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printerSettings/printerSettings9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555" tabRatio="868" activeTab="3"/>
  </bookViews>
  <sheets>
    <sheet name="目录" sheetId="8" r:id="rId1"/>
    <sheet name="1.01经营快报月-调营收" sheetId="17" r:id="rId2"/>
    <sheet name="1.01经营快报累计-调营收" sheetId="6" r:id="rId3"/>
    <sheet name="1.02春夏利润表-调营收" sheetId="1" r:id="rId4"/>
    <sheet name="1.02货架渠道利润表-调营收" sheetId="2" r:id="rId5"/>
    <sheet name="1.03品牌、渠道分品类实际营收折扣报表" sheetId="9" r:id="rId6"/>
    <sheet name="1.04分渠道营收达成统计表-调营收" sheetId="5" r:id="rId7"/>
    <sheet name="1.05分系列营收贡献报表" sheetId="13" r:id="rId8"/>
    <sheet name="1.05营收业绩统计表-附表" sheetId="7" r:id="rId9"/>
    <sheet name="1.06应收账龄分析及逾期款追踪表" sheetId="10" r:id="rId10"/>
    <sheet name="1.07代理商进货指标达成统计表" sheetId="11" r:id="rId11"/>
    <sheet name="1.08渠道客户毛利贡献表" sheetId="12" r:id="rId12"/>
    <sheet name="1.09其他应收款追踪明细表" sheetId="18" state="hidden" r:id="rId13"/>
    <sheet name="1.10采购支出台账报表（新增）" sheetId="21" state="hidden" r:id="rId14"/>
    <sheet name="1.11促销费-分渠道沟通确认表" sheetId="22" state="hidden" r:id="rId15"/>
    <sheet name="1.12金税及系统开票差异比对表" sheetId="23" state="hidden" r:id="rId16"/>
    <sheet name="1.13重点费用差异分析表-春夏" sheetId="26" r:id="rId17"/>
    <sheet name="1.13重点费用差异分析表-货架" sheetId="27" r:id="rId18"/>
    <sheet name="1.14保证金进销存报表" sheetId="24" state="hidden" r:id="rId19"/>
    <sheet name="1.15库存（柜台及大仓）盘存差异报表" sheetId="25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zx" hidden="1">#REF!</definedName>
    <definedName name="______________wrn2" hidden="1">{#N/A,#N/A,FALSE,"Cash Flow - 94"}</definedName>
    <definedName name="____________wrn2" hidden="1">{#N/A,#N/A,FALSE,"Cash Flow - 94"}</definedName>
    <definedName name="___________wrn2" hidden="1">{#N/A,#N/A,FALSE,"Cash Flow - 94"}</definedName>
    <definedName name="__________wrn2" hidden="1">{#N/A,#N/A,FALSE,"Cash Flow - 94"}</definedName>
    <definedName name="________wrn2" hidden="1">{#N/A,#N/A,FALSE,"Cash Flow - 94"}</definedName>
    <definedName name="_______wrn2" hidden="1">{#N/A,#N/A,FALSE,"Cash Flow - 94"}</definedName>
    <definedName name="______wrn2" hidden="1">{#N/A,#N/A,FALSE,"Cash Flow - 94"}</definedName>
    <definedName name="_____wrn2" hidden="1">{#N/A,#N/A,FALSE,"Cash Flow - 94"}</definedName>
    <definedName name="___18_0__123Grap" hidden="1">#REF!</definedName>
    <definedName name="___wrn2" hidden="1">{#N/A,#N/A,FALSE,"Cash Flow - 94"}</definedName>
    <definedName name="___xlc_DefaultDisplayOption___" hidden="1">"caption"</definedName>
    <definedName name="___xlc_DisplayNullValues___" hidden="1">TRUE</definedName>
    <definedName name="___xlc_DisplayNullValuesAs___" hidden="1">"..."</definedName>
    <definedName name="___xlc_PromptForInsertOnDrill___" hidden="1">FALSE</definedName>
    <definedName name="___xlc_SuppressNULLSOnDrill___" hidden="1">TRUE</definedName>
    <definedName name="___xlc_SuppressZerosOnDrill___" hidden="1">FALSE</definedName>
    <definedName name="__12_0__123Grap" hidden="1">#REF!</definedName>
    <definedName name="__123Graph_A" hidden="1">[1]FIAT!#REF!</definedName>
    <definedName name="__123Graph_ACorrente" hidden="1">[1]FIAT!#REF!</definedName>
    <definedName name="__123Graph_B" hidden="1">[1]FIAT!#REF!</definedName>
    <definedName name="__123Graph_BCorrente" hidden="1">[1]FIAT!#REF!</definedName>
    <definedName name="__123Graph_C" hidden="1">[1]FIAT!#REF!</definedName>
    <definedName name="__123Graph_CCorrente" hidden="1">[1]FIAT!#REF!</definedName>
    <definedName name="__123Graph_D" hidden="1">[1]FIAT!#REF!</definedName>
    <definedName name="__123Graph_DCorrente" hidden="1">[1]FIAT!#REF!</definedName>
    <definedName name="__123Graph_E" hidden="1">[1]FIAT!#REF!</definedName>
    <definedName name="__123Graph_ECorrente" hidden="1">[1]FIAT!#REF!</definedName>
    <definedName name="__123Graph_F" hidden="1">[1]FIAT!#REF!</definedName>
    <definedName name="__123Graph_FCorrente" hidden="1">[1]FIAT!#REF!</definedName>
    <definedName name="__123Graph_X" hidden="1">'[2]#RIF'!#REF!</definedName>
    <definedName name="__14_0__123Grap" hidden="1">#REF!</definedName>
    <definedName name="__18_0__123Grap" hidden="1">#REF!</definedName>
    <definedName name="__22_0__123Grap" hidden="1">#REF!</definedName>
    <definedName name="__wrn2" hidden="1">{#N/A,#N/A,FALSE,"Cash Flow - 94"}</definedName>
    <definedName name="_10_0__123Grap" hidden="1">#REF!</definedName>
    <definedName name="_11_0_0_F" hidden="1">'[3]#RIF'!#REF!</definedName>
    <definedName name="_12_0__123Grap" hidden="1">#REF!</definedName>
    <definedName name="_12_0_0_F" hidden="1">'[3]#RIF'!#REF!</definedName>
    <definedName name="_14_0__123Grap" hidden="1">#REF!</definedName>
    <definedName name="_15_0__123Grap" hidden="1">#REF!</definedName>
    <definedName name="_16_0__123Grap" hidden="1">#REF!</definedName>
    <definedName name="_18_0__123Grap" hidden="1">#REF!</definedName>
    <definedName name="_181_0_0_F" hidden="1">'[3]#RIF'!#REF!</definedName>
    <definedName name="_20_0__123Grap" hidden="1">#REF!</definedName>
    <definedName name="_21_0_0_F" hidden="1">'[3]#RIF'!#REF!</definedName>
    <definedName name="_22_0__123Grap" hidden="1">#REF!</definedName>
    <definedName name="_22_0_0_F" hidden="1">'[3]#RIF'!#REF!</definedName>
    <definedName name="_24_0_0_F" hidden="1">'[4]1_ORDER ACQUISITION'!#REF!</definedName>
    <definedName name="_254_0_0_F" hidden="1">'[3]#RIF'!#REF!</definedName>
    <definedName name="_26_0__123Grap" hidden="1">#REF!</definedName>
    <definedName name="_29_0__123Grap" hidden="1">#REF!</definedName>
    <definedName name="_3_0__123Grap" hidden="1">#REF!</definedName>
    <definedName name="_30_0__123Grap" hidden="1">#REF!</definedName>
    <definedName name="_34_0__123Grap" hidden="1">#REF!</definedName>
    <definedName name="_38_0_0_F" hidden="1">'[3]#RIF'!#REF!</definedName>
    <definedName name="_43_0__123Grap" hidden="1">#REF!</definedName>
    <definedName name="_44_0_0_F" hidden="1">'[3]#RIF'!#REF!</definedName>
    <definedName name="_458_0_0_F" hidden="1">'[3]#RIF'!#REF!</definedName>
    <definedName name="_5_0__123Grap" hidden="1">#REF!</definedName>
    <definedName name="_50_0_0_F" hidden="1">#REF!</definedName>
    <definedName name="_58_0_0_F" hidden="1">'[3]#RIF'!#REF!</definedName>
    <definedName name="_6_0__123Grap" hidden="1">#REF!</definedName>
    <definedName name="_6F" hidden="1">'[4]1_ORDER ACQUISITION'!#REF!</definedName>
    <definedName name="_7_0__123Grap" hidden="1">#REF!</definedName>
    <definedName name="_8_0__123Grap" hidden="1">#REF!</definedName>
    <definedName name="_9_0__123Grap" hidden="1">#REF!</definedName>
    <definedName name="_com" hidden="1">{"'OBT_6M_30_6'!$S$1:$AE$53"}</definedName>
    <definedName name="_Fill" hidden="1">#REF!</definedName>
    <definedName name="_xlnm._FilterDatabase" localSheetId="10" hidden="1">'1.07代理商进货指标达成统计表'!$A$3:$Q$345</definedName>
    <definedName name="_xlnm._FilterDatabase" localSheetId="11" hidden="1">'1.08渠道客户毛利贡献表'!$A$3:$S$244</definedName>
    <definedName name="_xlnm._FilterDatabase" hidden="1">#REF!</definedName>
    <definedName name="_Key1" hidden="1">[5]CALEND!#REF!</definedName>
    <definedName name="_Key2" hidden="1">[5]CALEND!#REF!</definedName>
    <definedName name="_Order1" hidden="1">0</definedName>
    <definedName name="_Order2" hidden="1">255</definedName>
    <definedName name="_Sort" hidden="1">#REF!</definedName>
    <definedName name="_wrn2" hidden="1">{#N/A,#N/A,FALSE,"Cash Flow - 94"}</definedName>
    <definedName name="AASSD" hidden="1">{"'BGT2001'!$A$1:$AE$112"}</definedName>
    <definedName name="adfasf" hidden="1">#REF!</definedName>
    <definedName name="aedw" hidden="1">{"'BGT2001'!$A$1:$AE$112"}</definedName>
    <definedName name="AERG" hidden="1">{"'OBT_6M_30_6'!$S$1:$AE$53"}</definedName>
    <definedName name="AET" hidden="1">{"'BGT2001'!$A$1:$AE$112"}</definedName>
    <definedName name="afd" hidden="1">#REF!</definedName>
    <definedName name="afgsdfgds" hidden="1">{"'OBT_6M_30_6'!$S$1:$AE$53"}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DFVG" hidden="1">{"'BGT2001'!$A$1:$AE$112"}</definedName>
    <definedName name="ASG" hidden="1">{"'BGT2001'!$A$1:$AE$112"}</definedName>
    <definedName name="ASRG" hidden="1">{"'BGT2001'!$A$1:$AE$112"}</definedName>
    <definedName name="au" hidden="1">{"'BGT2001'!$A$1:$AE$112"}</definedName>
    <definedName name="avcxzv" hidden="1">#REF!</definedName>
    <definedName name="az" hidden="1">#REF!</definedName>
    <definedName name="azerert" hidden="1">#REF!</definedName>
    <definedName name="bd" hidden="1">{"'BGT2001'!$A$1:$AE$112"}</definedName>
    <definedName name="BG_Del" hidden="1">15</definedName>
    <definedName name="BG_Ins" hidden="1">4</definedName>
    <definedName name="BG_Mod" hidden="1">6</definedName>
    <definedName name="BO" hidden="1">#REF!</definedName>
    <definedName name="BU">[6]科目匹配表!#REF!</definedName>
    <definedName name="Category">[6]科目匹配表!#REF!</definedName>
    <definedName name="CCCCCCCCC" hidden="1">{"'BGT2001'!$A$1:$AE$112"}</definedName>
    <definedName name="ce_lf_fore" hidden="1">{"'BGT2001'!$A$1:$AE$112"}</definedName>
    <definedName name="CIAO" hidden="1">{"'OBT_6M_30_6'!$S$1:$AE$53"}</definedName>
    <definedName name="ciao1" hidden="1">{"'OBT_6M_30_6'!$S$1:$AE$53"}</definedName>
    <definedName name="ciao2" hidden="1">{"'OBT_6M_30_6'!$S$1:$AE$53"}</definedName>
    <definedName name="dfaerw" hidden="1">#REF!</definedName>
    <definedName name="dtyioeo" hidden="1">{"'BGT2001'!$A$1:$AE$112"}</definedName>
    <definedName name="dxszdcsv" hidden="1">{"'OBT_6M_30_6'!$S$1:$AE$53"}</definedName>
    <definedName name="EFR" hidden="1">{"'OBT_6M_30_6'!$S$1:$AE$53"}</definedName>
    <definedName name="efwef" hidden="1">{"'BGT2001'!$A$1:$AE$112"}</definedName>
    <definedName name="Entity">[6]科目匹配表!#REF!</definedName>
    <definedName name="ERG" hidden="1">{"'OBT_6M_30_6'!$S$1:$AE$53"}</definedName>
    <definedName name="ert" hidden="1">#REF!</definedName>
    <definedName name="fgfg" hidden="1">{#N/A,#N/A,FALSE,"Japan";#N/A,#N/A,FALSE,"Taiwan";#N/A,#N/A,FALSE,"Thailand";#N/A,#N/A,FALSE,"Australia"}</definedName>
    <definedName name="fgk" hidden="1">{"'BGT2001'!$A$1:$AE$112"}</definedName>
    <definedName name="fgt" hidden="1">{"'BGT2001'!$A$1:$AE$112"}</definedName>
    <definedName name="fur" hidden="1">{"'BGT2001'!$A$1:$AE$112"}</definedName>
    <definedName name="gfad" hidden="1">#REF!</definedName>
    <definedName name="GGGG" hidden="1">[7]ECOLOGIA!$A$50:$A$91</definedName>
    <definedName name="gii" hidden="1">{"'OBT_6M_30_6'!$S$1:$AE$53"}</definedName>
    <definedName name="Grafico" hidden="1">{"'BGT2001'!$A$1:$AE$112"}</definedName>
    <definedName name="HRS.5" hidden="1">{#N/A,#N/A,TRUE,"7d";#N/A,#N/A,TRUE,"7g";#N/A,#N/A,TRUE,"7i"}</definedName>
    <definedName name="HTML_CodePage" hidden="1">1252</definedName>
    <definedName name="HTML_Control" hidden="1">{"'OBT_6M_30_6'!$S$1:$AE$53"}</definedName>
    <definedName name="HTML_Description" hidden="1">""</definedName>
    <definedName name="HTML_Email" hidden="1">""</definedName>
    <definedName name="HTML_Header" hidden="1">"BGT2001"</definedName>
    <definedName name="HTML_LastUpdate" hidden="1">"07/09/00"</definedName>
    <definedName name="HTML_LineAfter" hidden="1">FALSE</definedName>
    <definedName name="HTML_LineBefore" hidden="1">FALSE</definedName>
    <definedName name="HTML_Name" hidden="1">"Dsst"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"C:\WINDOWS\Desktop\Stk Anziano 6 mesi\Anz_6m_II.htm"</definedName>
    <definedName name="HTML_PathTemplate" hidden="1">"D:\Intranet\Titolo_Stock_Anziano_mensile.htm"</definedName>
    <definedName name="HTML_Title" hidden="1">"1TABELLABGT2001"</definedName>
    <definedName name="HTML1_1" hidden="1">"[OBT_6M.XLS]OBT_6M!$B$5:$S$48"</definedName>
    <definedName name="HTML1_11" hidden="1">1</definedName>
    <definedName name="HTML1_12" hidden="1">"C:\WEB\EXCEL\ASS_PROD\MyHTMLx.htm"</definedName>
    <definedName name="HTML1_2" hidden="1">-4146</definedName>
    <definedName name="HTML1_3" hidden="1">"C:\WEB\EXCEL\ASS_PROD\HTMLTemp.htm"</definedName>
    <definedName name="HTML2_1" hidden="1">"[OBT_6M_1.XLS]OBT_6M_sem!$B$5:$M$51"</definedName>
    <definedName name="HTML2_11" hidden="1">1</definedName>
    <definedName name="HTML2_12" hidden="1">"C:\WEB\EXCEL\STK_ANZ\ANZ_6M.HTM"</definedName>
    <definedName name="HTML2_2" hidden="1">-4146</definedName>
    <definedName name="HTML2_3" hidden="1">"C:\WEB\EXCEL\STK_ANZ\HTMLTEMP.HTM"</definedName>
    <definedName name="HTMLCount" hidden="1">2</definedName>
    <definedName name="ijoisj" hidden="1">{"'BGT2001'!$A$1:$AE$112"}</definedName>
    <definedName name="INCSTA_FRAIKIN" hidden="1">{"'BGT2001'!$A$1:$AE$112"}</definedName>
    <definedName name="INFRA" hidden="1">#REF!</definedName>
    <definedName name="iNFRAPOC2REV" hidden="1">#REF!</definedName>
    <definedName name="IRISBUSX3" hidden="1">{"'BGT2001'!$A$1:$AE$112"}</definedName>
    <definedName name="irooru" hidden="1">{"'BGT2001'!$A$1:$AE$112"}</definedName>
    <definedName name="ITALO" hidden="1">[8]Piadiv1!#REF!</definedName>
    <definedName name="kjkk" hidden="1">{"'BGT2001'!$A$1:$AE$112"}</definedName>
    <definedName name="KPI" hidden="1">{"'OBT_6M_30_6'!$S$1:$AE$53"}</definedName>
    <definedName name="L" hidden="1">#N/A</definedName>
    <definedName name="lejan" hidden="1">{"'OBT_6M_30_6'!$S$1:$AE$53"}</definedName>
    <definedName name="lejan1" hidden="1">{"'OBT_6M_30_6'!$S$1:$AE$53"}</definedName>
    <definedName name="lejan2" hidden="1">{"'OBT_6M_30_6'!$S$1:$AE$53"}</definedName>
    <definedName name="lejan3" hidden="1">{"'OBT_6M_30_6'!$S$1:$AE$53"}</definedName>
    <definedName name="lejan4" hidden="1">{"'OBT_6M_30_6'!$S$1:$AE$53"}</definedName>
    <definedName name="lejan5" hidden="1">{"'OBT_6M_30_6'!$S$1:$AE$53"}</definedName>
    <definedName name="lejan6" hidden="1">{"'OBT_6M_30_6'!$S$1:$AE$53"}</definedName>
    <definedName name="lejan7" hidden="1">{"'OBT_6M_30_6'!$S$1:$AE$53"}</definedName>
    <definedName name="LIDIA" hidden="1">{"'OBT_6M_30_6'!$S$1:$AE$53"}</definedName>
    <definedName name="LIDIA2" hidden="1">{"'OBT_6M_30_6'!$S$1:$AE$53"}</definedName>
    <definedName name="LIDIA3" hidden="1">{"'OBT_6M_30_6'!$S$1:$AE$53"}</definedName>
    <definedName name="LIDIA4" hidden="1">{"'OBT_6M_30_6'!$S$1:$AE$53"}</definedName>
    <definedName name="Lining2" hidden="1">{#N/A,#N/A,FALSE,"Lining 1"}</definedName>
    <definedName name="LKM" hidden="1">[9]Piadiv1!#REF!</definedName>
    <definedName name="llooj" hidden="1">{"'BGT2001'!$A$1:$AE$112"}</definedName>
    <definedName name="lpoiuj" hidden="1">{"'BGT2001'!$A$1:$AE$112"}</definedName>
    <definedName name="mm" hidden="1">#REF!</definedName>
    <definedName name="NA">[6]科目匹配表!#REF!</definedName>
    <definedName name="nana" hidden="1">255</definedName>
    <definedName name="Nature">[6]科目匹配表!#REF!</definedName>
    <definedName name="NBNBB" hidden="1">{"'BGT2001'!$A$1:$AE$112"}</definedName>
    <definedName name="NCFR" hidden="1">{"'BGT2001'!$A$1:$AE$112"}</definedName>
    <definedName name="òòààà" hidden="1">{"'BGT2001'!$A$1:$AE$112"}</definedName>
    <definedName name="ooo" hidden="1">{#N/A,#N/A,TRUE,"7d";#N/A,#N/A,TRUE,"7g";#N/A,#N/A,TRUE,"7i"}</definedName>
    <definedName name="OP" hidden="1">{"'OBT_6M_30_6'!$S$1:$AE$53"}</definedName>
    <definedName name="OpbuQ4_Magnesio" hidden="1">{"'BGT2001'!$A$1:$AE$112"}</definedName>
    <definedName name="OPERATING" hidden="1">{"'BGT2001'!$A$1:$AE$112"}</definedName>
    <definedName name="Other_OP" hidden="1">{"'BGT2001'!$A$1:$AE$112"}</definedName>
    <definedName name="OTHOP" hidden="1">{"'BGT2001'!$A$1:$AE$112"}</definedName>
    <definedName name="PAFOVHD" hidden="1">{#N/A,#N/A,TRUE,"7d";#N/A,#N/A,TRUE,"7g";#N/A,#N/A,TRUE,"7i"}</definedName>
    <definedName name="PALMY" hidden="1">{"'BGT2001'!$A$1:$AE$112"}</definedName>
    <definedName name="PIPP" hidden="1">#REF!</definedName>
    <definedName name="pippo" hidden="1">{"'OBT_6M_30_6'!$S$1:$AE$53"}</definedName>
    <definedName name="pk" hidden="1">{"'OBT_6M_30_6'!$S$1:$AE$53"}</definedName>
    <definedName name="PLUTO" hidden="1">{"'OBT_6M_30_6'!$S$1:$AE$53"}</definedName>
    <definedName name="poc" hidden="1">#REF!</definedName>
    <definedName name="PP" hidden="1">#REF!</definedName>
    <definedName name="pppp" hidden="1">#N/A</definedName>
    <definedName name="PWT" hidden="1">#REF!</definedName>
    <definedName name="q" hidden="1">#REF!</definedName>
    <definedName name="qsdf" hidden="1">#REF!</definedName>
    <definedName name="qsdfg" hidden="1">#REF!</definedName>
    <definedName name="qsdfgh" hidden="1">#REF!</definedName>
    <definedName name="qsdfghjk" hidden="1">0</definedName>
    <definedName name="rolrort" hidden="1">{"'BGT2001'!$A$1:$AE$112"}</definedName>
    <definedName name="rrr" hidden="1">{"'BGT2001'!$A$1:$AE$112"}</definedName>
    <definedName name="S" hidden="1">#N/A</definedName>
    <definedName name="SAPBEXdnldView" hidden="1">"EU6X5PEQ33VE7CGLE0DO396HX"</definedName>
    <definedName name="SAPBEXhrIndnt" hidden="1">1</definedName>
    <definedName name="SAPBEXrevision" hidden="1">17</definedName>
    <definedName name="SAPBEXsysID" hidden="1">"PN2"</definedName>
    <definedName name="SAPBEXwbID" hidden="1">"3MZCEHR8GKEPIXOSL98MTZ0FT"</definedName>
    <definedName name="sasde" hidden="1">{"'BGT2001'!$A$1:$AE$112"}</definedName>
    <definedName name="sddxszd" hidden="1">{"'BGT2001'!$A$1:$AE$112"}</definedName>
    <definedName name="sdvgdvbds" hidden="1">#REF!</definedName>
    <definedName name="sdzdx" hidden="1">{"'OBT_6M_30_6'!$S$1:$AE$53"}</definedName>
    <definedName name="sedfaewd" hidden="1">{"'BGT2001'!$A$1:$AE$112"}</definedName>
    <definedName name="sfrfc" hidden="1">{"'BGT2001'!$A$1:$AE$112"}</definedName>
    <definedName name="sg" hidden="1">{"'BGT2001'!$A$1:$AE$112"}</definedName>
    <definedName name="sjejl" hidden="1">{"'BGT2001'!$A$1:$AE$112"}</definedName>
    <definedName name="sss" hidden="1">{"'BGT2001'!$A$1:$AE$112"}</definedName>
    <definedName name="SSSS" hidden="1">{"'OBT_6M_30_6'!$S$1:$AE$53"}</definedName>
    <definedName name="ssssss" hidden="1">{"'BGT2001'!$A$1:$AE$112"}</definedName>
    <definedName name="StatusOptions">[10]Sheet1!$A$3:$A$7</definedName>
    <definedName name="Summary2" hidden="1">{#N/A,#N/A,FALSE,"SUMMARY"}</definedName>
    <definedName name="szdsfd" hidden="1">{"'BGT2001'!$A$1:$AE$112"}</definedName>
    <definedName name="tdioer" hidden="1">{"'BGT2001'!$A$1:$AE$112"}</definedName>
    <definedName name="TextRefCopyRangeCount" hidden="1">5</definedName>
    <definedName name="ttt" hidden="1">{"'BGT2001'!$A$1:$AE$112"}</definedName>
    <definedName name="uokgf" hidden="1">{"'BGT2001'!$A$1:$AE$112"}</definedName>
    <definedName name="uortio" hidden="1">{"'BGT2001'!$A$1:$AE$112"}</definedName>
    <definedName name="uuu" hidden="1">#REF!</definedName>
    <definedName name="Value">#REF!</definedName>
    <definedName name="vhul" hidden="1">{"'BGT2001'!$A$1:$AE$112"}</definedName>
    <definedName name="vv" hidden="1">#REF!</definedName>
    <definedName name="w" hidden="1">#REF!</definedName>
    <definedName name="weewf" hidden="1">{"'OBT_6M_30_6'!$S$1:$AE$53"}</definedName>
    <definedName name="wer" hidden="1">#REF!</definedName>
    <definedName name="wghatt" hidden="1">{"'BGT2001'!$A$1:$AE$112"}</definedName>
    <definedName name="whatever" hidden="1">{#N/A,#N/A,FALSE,"Cash Flow - 94"}</definedName>
    <definedName name="wrn.1994._.PIECE." hidden="1">{#N/A,#N/A,FALSE,"Cash Flow - 94"}</definedName>
    <definedName name="wrn.1995._.PIECE." hidden="1">{#N/A,#N/A,TRUE,"Cash Flow - 94"}</definedName>
    <definedName name="wrn.Big._.Four._.Countries." hidden="1">{#N/A,#N/A,FALSE,"Japan";#N/A,#N/A,FALSE,"Taiwan";#N/A,#N/A,FALSE,"Thailand";#N/A,#N/A,FALSE,"Australia"}</definedName>
    <definedName name="wrn.CKD._.Price._.Build._.Up." hidden="1">{#N/A,#N/A,FALSE,"CKD Price Build Up"}</definedName>
    <definedName name="wrn.Contribution._.Margin." hidden="1">{#N/A,#N/A,FALSE,"Contr. Margin"}</definedName>
    <definedName name="wrn.Lining1." hidden="1">{#N/A,#N/A,FALSE,"Lining 1"}</definedName>
    <definedName name="wrn.MAT." hidden="1">{#N/A,#N/A,TRUE,"7d";#N/A,#N/A,TRUE,"7g";#N/A,#N/A,TRUE,"7i"}</definedName>
    <definedName name="wrn.Summary." hidden="1">{#N/A,#N/A,FALSE,"SUMMARY"}</definedName>
    <definedName name="xfyjkxj" hidden="1">{"'BGT2001'!$A$1:$AE$112"}</definedName>
    <definedName name="xjl.i" hidden="1">{"'BGT2001'!$A$1:$AE$112"}</definedName>
    <definedName name="XRefColumnsCount" hidden="1">7</definedName>
    <definedName name="XRefCopy17Row" hidden="1">[11]XREF!$A$17:$IV$17</definedName>
    <definedName name="XRefCopy19Row" hidden="1">[11]XREF!$A$21:$IV$21</definedName>
    <definedName name="XRefCopyRangeCount" hidden="1">66</definedName>
    <definedName name="XRefPasteRangeCount" hidden="1">44</definedName>
    <definedName name="XXX" hidden="1">{"'BGT2001'!$A$1:$AE$112"}</definedName>
    <definedName name="XZS" hidden="1">{"'BGT2001'!$A$1:$AE$112"}</definedName>
    <definedName name="Z_364D4527_EBAA_11D4_9C29_00D0B71025C2_.wvu.PrintTitles" hidden="1">#REF!,#REF!</definedName>
    <definedName name="Z_8D37EF10_ED49_11D4_9C2B_00D0B71025C2_.wvu.FilterData" hidden="1">#REF!</definedName>
    <definedName name="Z_8D37EF10_ED49_11D4_9C2B_00D0B71025C2_.wvu.PrintTitles" hidden="1">#REF!,#REF!</definedName>
    <definedName name="Z_F54855C4_09AD_11D5_9C46_00D0B71025C2_.wvu.PrintTitles" hidden="1">#REF!,#REF!</definedName>
  </definedNames>
  <calcPr calcId="162913"/>
</workbook>
</file>

<file path=xl/calcChain.xml><?xml version="1.0" encoding="utf-8"?>
<calcChain xmlns="http://schemas.openxmlformats.org/spreadsheetml/2006/main">
  <c r="AG52" i="1" l="1"/>
  <c r="AV52" i="1"/>
  <c r="BK52" i="1"/>
  <c r="BZ52" i="1"/>
  <c r="CO52" i="1"/>
  <c r="AG53" i="1"/>
  <c r="AV53" i="1"/>
  <c r="BK53" i="1"/>
  <c r="BZ53" i="1"/>
  <c r="CO53" i="1"/>
  <c r="AG54" i="1"/>
  <c r="AV54" i="1"/>
  <c r="BK54" i="1"/>
  <c r="BZ54" i="1"/>
  <c r="CO54" i="1"/>
  <c r="DK48" i="1"/>
  <c r="AG51" i="1"/>
  <c r="AV51" i="1"/>
  <c r="BK51" i="1"/>
  <c r="BZ51" i="1"/>
  <c r="CO51" i="1"/>
  <c r="DD51" i="1"/>
  <c r="DI51" i="1"/>
  <c r="DJ51" i="1"/>
  <c r="DL51" i="1"/>
  <c r="DO51" i="1"/>
  <c r="DP51" i="1"/>
  <c r="Z7" i="2" l="1"/>
  <c r="BH7" i="1"/>
  <c r="AD7" i="1"/>
  <c r="X17" i="5" l="1"/>
  <c r="X16" i="5"/>
  <c r="X6" i="5"/>
  <c r="H197" i="12" l="1"/>
  <c r="I197" i="12" s="1"/>
  <c r="H198" i="12"/>
  <c r="I198" i="12" s="1"/>
  <c r="H199" i="12"/>
  <c r="I199" i="12" s="1"/>
  <c r="H200" i="12"/>
  <c r="I200" i="12" s="1"/>
  <c r="H201" i="12"/>
  <c r="I201" i="12" s="1"/>
  <c r="H202" i="12"/>
  <c r="I202" i="12" s="1"/>
  <c r="H203" i="12"/>
  <c r="I203" i="12" s="1"/>
  <c r="H204" i="12"/>
  <c r="I204" i="12" s="1"/>
  <c r="H205" i="12"/>
  <c r="I205" i="12" s="1"/>
  <c r="H206" i="12"/>
  <c r="I206" i="12" s="1"/>
  <c r="H207" i="12"/>
  <c r="I207" i="12" s="1"/>
  <c r="H208" i="12"/>
  <c r="I208" i="12" s="1"/>
  <c r="H209" i="12"/>
  <c r="I209" i="12" s="1"/>
  <c r="H210" i="12"/>
  <c r="I210" i="12" s="1"/>
  <c r="H211" i="12"/>
  <c r="I211" i="12" s="1"/>
  <c r="H212" i="12"/>
  <c r="I212" i="12" s="1"/>
  <c r="H213" i="12"/>
  <c r="I213" i="12" s="1"/>
  <c r="H214" i="12"/>
  <c r="I214" i="12" s="1"/>
  <c r="H215" i="12"/>
  <c r="I215" i="12" s="1"/>
  <c r="H216" i="12"/>
  <c r="I216" i="12" s="1"/>
  <c r="H217" i="12"/>
  <c r="I217" i="12" s="1"/>
  <c r="H218" i="12"/>
  <c r="I218" i="12" s="1"/>
  <c r="H219" i="12"/>
  <c r="I219" i="12" s="1"/>
  <c r="H220" i="12"/>
  <c r="I220" i="12" s="1"/>
  <c r="H221" i="12"/>
  <c r="I221" i="12" s="1"/>
  <c r="H222" i="12"/>
  <c r="I222" i="12" s="1"/>
  <c r="H223" i="12"/>
  <c r="I223" i="12" s="1"/>
  <c r="H224" i="12"/>
  <c r="I224" i="12" s="1"/>
  <c r="H225" i="12"/>
  <c r="I225" i="12" s="1"/>
  <c r="H226" i="12"/>
  <c r="I226" i="12" s="1"/>
  <c r="H227" i="12"/>
  <c r="I227" i="12" s="1"/>
  <c r="H228" i="12"/>
  <c r="I228" i="12" s="1"/>
  <c r="H229" i="12"/>
  <c r="I229" i="12" s="1"/>
  <c r="H230" i="12"/>
  <c r="I230" i="12" s="1"/>
  <c r="H231" i="12"/>
  <c r="I231" i="12" s="1"/>
  <c r="H232" i="12"/>
  <c r="I232" i="12" s="1"/>
  <c r="H233" i="12"/>
  <c r="I233" i="12" s="1"/>
  <c r="H234" i="12"/>
  <c r="I234" i="12" s="1"/>
  <c r="H235" i="12"/>
  <c r="I235" i="12" s="1"/>
  <c r="H236" i="12"/>
  <c r="I236" i="12" s="1"/>
  <c r="H237" i="12"/>
  <c r="I237" i="12" s="1"/>
  <c r="H238" i="12"/>
  <c r="I238" i="12" s="1"/>
  <c r="H239" i="12"/>
  <c r="I239" i="12" s="1"/>
  <c r="H240" i="12"/>
  <c r="I240" i="12" s="1"/>
  <c r="H241" i="12"/>
  <c r="I241" i="12" s="1"/>
  <c r="H242" i="12"/>
  <c r="I242" i="12"/>
  <c r="H243" i="12"/>
  <c r="I243" i="12" s="1"/>
  <c r="H244" i="12"/>
  <c r="I244" i="12" s="1"/>
  <c r="H44" i="7" l="1"/>
  <c r="H43" i="7"/>
  <c r="E44" i="7"/>
  <c r="E43" i="7"/>
  <c r="D44" i="7"/>
  <c r="D43" i="7"/>
  <c r="H28" i="7"/>
  <c r="H27" i="7"/>
  <c r="H21" i="7"/>
  <c r="H9" i="7"/>
  <c r="D27" i="7"/>
  <c r="D21" i="7"/>
  <c r="D9" i="7"/>
  <c r="E26" i="7"/>
  <c r="E25" i="7"/>
  <c r="E24" i="7"/>
  <c r="E23" i="7"/>
  <c r="E22" i="7"/>
  <c r="E20" i="7"/>
  <c r="E19" i="7"/>
  <c r="E18" i="7"/>
  <c r="E17" i="7"/>
  <c r="E16" i="7"/>
  <c r="E8" i="7"/>
  <c r="E7" i="7"/>
  <c r="E6" i="7"/>
  <c r="E5" i="7"/>
  <c r="E4" i="7"/>
  <c r="F14" i="9"/>
  <c r="F13" i="9"/>
  <c r="J7" i="9"/>
  <c r="J9" i="9"/>
  <c r="J10" i="9"/>
  <c r="I6" i="9"/>
  <c r="I7" i="9"/>
  <c r="I9" i="9"/>
  <c r="I10" i="9"/>
  <c r="H7" i="9"/>
  <c r="H9" i="9"/>
  <c r="H10" i="9"/>
  <c r="G6" i="9"/>
  <c r="G7" i="9"/>
  <c r="G9" i="9"/>
  <c r="G10" i="9"/>
  <c r="F9" i="9"/>
  <c r="F10" i="9"/>
  <c r="E7" i="9"/>
  <c r="E9" i="9"/>
  <c r="E10" i="9"/>
  <c r="D7" i="9"/>
  <c r="D9" i="9"/>
  <c r="D10" i="9"/>
  <c r="C6" i="9"/>
  <c r="C7" i="9"/>
  <c r="C9" i="9"/>
  <c r="C10" i="9"/>
  <c r="IO6" i="9"/>
  <c r="IO7" i="9"/>
  <c r="IO8" i="9"/>
  <c r="IO9" i="9"/>
  <c r="IO10" i="9"/>
  <c r="IO11" i="9"/>
  <c r="IO12" i="9"/>
  <c r="IO13" i="9"/>
  <c r="IO14" i="9"/>
  <c r="IO15" i="9"/>
  <c r="IO16" i="9"/>
  <c r="IO5" i="9"/>
  <c r="HZ6" i="9"/>
  <c r="HZ7" i="9"/>
  <c r="HZ8" i="9"/>
  <c r="HZ9" i="9"/>
  <c r="HZ10" i="9"/>
  <c r="HZ11" i="9"/>
  <c r="HZ12" i="9"/>
  <c r="HZ13" i="9"/>
  <c r="HZ14" i="9"/>
  <c r="HZ15" i="9"/>
  <c r="HZ16" i="9"/>
  <c r="HZ5" i="9"/>
  <c r="HK6" i="9"/>
  <c r="HK7" i="9"/>
  <c r="HK8" i="9"/>
  <c r="HK9" i="9"/>
  <c r="HK10" i="9"/>
  <c r="HK11" i="9"/>
  <c r="HK12" i="9"/>
  <c r="HK13" i="9"/>
  <c r="HK14" i="9"/>
  <c r="HK15" i="9"/>
  <c r="HK16" i="9"/>
  <c r="HK5" i="9"/>
  <c r="GV6" i="9"/>
  <c r="GV7" i="9"/>
  <c r="GV8" i="9"/>
  <c r="GV9" i="9"/>
  <c r="GV10" i="9"/>
  <c r="GV11" i="9"/>
  <c r="GV12" i="9"/>
  <c r="GV13" i="9"/>
  <c r="GV14" i="9"/>
  <c r="GV15" i="9"/>
  <c r="GV16" i="9"/>
  <c r="GV5" i="9"/>
  <c r="GG6" i="9"/>
  <c r="GG7" i="9"/>
  <c r="GG8" i="9"/>
  <c r="GG9" i="9"/>
  <c r="GG10" i="9"/>
  <c r="GG11" i="9"/>
  <c r="GG12" i="9"/>
  <c r="GG13" i="9"/>
  <c r="GG14" i="9"/>
  <c r="GG15" i="9"/>
  <c r="GG16" i="9"/>
  <c r="GG5" i="9"/>
  <c r="FR6" i="9"/>
  <c r="FR7" i="9"/>
  <c r="FR8" i="9"/>
  <c r="FR9" i="9"/>
  <c r="FR10" i="9"/>
  <c r="FR11" i="9"/>
  <c r="FR12" i="9"/>
  <c r="FR13" i="9"/>
  <c r="FR14" i="9"/>
  <c r="FR15" i="9"/>
  <c r="FR16" i="9"/>
  <c r="FR5" i="9"/>
  <c r="FD6" i="9"/>
  <c r="FD7" i="9"/>
  <c r="FD8" i="9"/>
  <c r="FD9" i="9"/>
  <c r="FD10" i="9"/>
  <c r="FD11" i="9"/>
  <c r="FD12" i="9"/>
  <c r="FD13" i="9"/>
  <c r="FD14" i="9"/>
  <c r="FD15" i="9"/>
  <c r="FD16" i="9"/>
  <c r="FC6" i="9"/>
  <c r="FC7" i="9"/>
  <c r="FC8" i="9"/>
  <c r="FC9" i="9"/>
  <c r="FC10" i="9"/>
  <c r="FC11" i="9"/>
  <c r="FC12" i="9"/>
  <c r="FC13" i="9"/>
  <c r="FC14" i="9"/>
  <c r="FC15" i="9"/>
  <c r="FC16" i="9"/>
  <c r="FC5" i="9"/>
  <c r="EO6" i="9"/>
  <c r="EO7" i="9"/>
  <c r="EO8" i="9"/>
  <c r="EO9" i="9"/>
  <c r="EO10" i="9"/>
  <c r="EO11" i="9"/>
  <c r="EO12" i="9"/>
  <c r="EO13" i="9"/>
  <c r="EO14" i="9"/>
  <c r="EO15" i="9"/>
  <c r="EO16" i="9"/>
  <c r="EN6" i="9"/>
  <c r="EN7" i="9"/>
  <c r="EN8" i="9"/>
  <c r="EN9" i="9"/>
  <c r="EN10" i="9"/>
  <c r="EN11" i="9"/>
  <c r="EN12" i="9"/>
  <c r="EN13" i="9"/>
  <c r="EN14" i="9"/>
  <c r="EN15" i="9"/>
  <c r="EN16" i="9"/>
  <c r="EN5" i="9"/>
  <c r="DZ6" i="9"/>
  <c r="DZ7" i="9"/>
  <c r="DZ8" i="9"/>
  <c r="DZ9" i="9"/>
  <c r="DZ10" i="9"/>
  <c r="DZ11" i="9"/>
  <c r="DZ12" i="9"/>
  <c r="DZ13" i="9"/>
  <c r="DZ14" i="9"/>
  <c r="DZ15" i="9"/>
  <c r="DZ16" i="9"/>
  <c r="DY6" i="9"/>
  <c r="DY7" i="9"/>
  <c r="DY8" i="9"/>
  <c r="DY9" i="9"/>
  <c r="DY10" i="9"/>
  <c r="DY11" i="9"/>
  <c r="DY12" i="9"/>
  <c r="DY13" i="9"/>
  <c r="DY14" i="9"/>
  <c r="DY15" i="9"/>
  <c r="DY16" i="9"/>
  <c r="DY5" i="9"/>
  <c r="DJ6" i="9"/>
  <c r="DJ7" i="9"/>
  <c r="DJ8" i="9"/>
  <c r="DJ9" i="9"/>
  <c r="DJ10" i="9"/>
  <c r="DJ11" i="9"/>
  <c r="DJ12" i="9"/>
  <c r="DJ13" i="9"/>
  <c r="DJ14" i="9"/>
  <c r="DJ15" i="9"/>
  <c r="DJ16" i="9"/>
  <c r="DJ5" i="9"/>
  <c r="CU6" i="9"/>
  <c r="CV6" i="9"/>
  <c r="CU7" i="9"/>
  <c r="CV7" i="9"/>
  <c r="CU8" i="9"/>
  <c r="CV8" i="9"/>
  <c r="CU9" i="9"/>
  <c r="CV9" i="9"/>
  <c r="CU10" i="9"/>
  <c r="CV10" i="9"/>
  <c r="CU11" i="9"/>
  <c r="CV11" i="9"/>
  <c r="CU12" i="9"/>
  <c r="CV12" i="9"/>
  <c r="CU13" i="9"/>
  <c r="CV13" i="9"/>
  <c r="CU14" i="9"/>
  <c r="CV14" i="9"/>
  <c r="CU15" i="9"/>
  <c r="CV15" i="9"/>
  <c r="CU16" i="9"/>
  <c r="CV16" i="9"/>
  <c r="CF6" i="9"/>
  <c r="CF7" i="9"/>
  <c r="CF8" i="9"/>
  <c r="CF9" i="9"/>
  <c r="CF10" i="9"/>
  <c r="CF11" i="9"/>
  <c r="CF12" i="9"/>
  <c r="CF13" i="9"/>
  <c r="CF14" i="9"/>
  <c r="CF15" i="9"/>
  <c r="CF16" i="9"/>
  <c r="BQ6" i="9"/>
  <c r="BQ7" i="9"/>
  <c r="BQ8" i="9"/>
  <c r="BQ9" i="9"/>
  <c r="BQ10" i="9"/>
  <c r="BQ11" i="9"/>
  <c r="BQ12" i="9"/>
  <c r="BQ13" i="9"/>
  <c r="BQ14" i="9"/>
  <c r="BQ15" i="9"/>
  <c r="X6" i="9"/>
  <c r="X7" i="9"/>
  <c r="X8" i="9"/>
  <c r="X9" i="9"/>
  <c r="X10" i="9"/>
  <c r="X11" i="9"/>
  <c r="X12" i="9"/>
  <c r="X13" i="9"/>
  <c r="X14" i="9"/>
  <c r="X15" i="9"/>
  <c r="X16" i="9"/>
  <c r="CU5" i="9"/>
  <c r="CG6" i="9"/>
  <c r="CG7" i="9"/>
  <c r="CG8" i="9"/>
  <c r="CG9" i="9"/>
  <c r="CG10" i="9"/>
  <c r="CG11" i="9"/>
  <c r="CG12" i="9"/>
  <c r="CG13" i="9"/>
  <c r="CG14" i="9"/>
  <c r="CG15" i="9"/>
  <c r="CG16" i="9"/>
  <c r="CF5" i="9"/>
  <c r="BQ5" i="9"/>
  <c r="BB6" i="9"/>
  <c r="BB7" i="9"/>
  <c r="BB8" i="9"/>
  <c r="BB9" i="9"/>
  <c r="BB10" i="9"/>
  <c r="BB11" i="9"/>
  <c r="BB12" i="9"/>
  <c r="BB13" i="9"/>
  <c r="BB14" i="9"/>
  <c r="BB15" i="9"/>
  <c r="BB5" i="9"/>
  <c r="AM6" i="9"/>
  <c r="AM7" i="9"/>
  <c r="AM8" i="9"/>
  <c r="AM9" i="9"/>
  <c r="AM10" i="9"/>
  <c r="AM11" i="9"/>
  <c r="AM12" i="9"/>
  <c r="AM13" i="9"/>
  <c r="AM14" i="9"/>
  <c r="AM15" i="9"/>
  <c r="AM16" i="9"/>
  <c r="AM5" i="9"/>
  <c r="X5" i="9"/>
  <c r="X18" i="5" l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8" i="2"/>
  <c r="G7" i="2"/>
  <c r="G6" i="2"/>
  <c r="G5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8" i="2"/>
  <c r="F7" i="2"/>
  <c r="F6" i="2"/>
  <c r="F5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8" i="2"/>
  <c r="AP7" i="2"/>
  <c r="AP6" i="2"/>
  <c r="AP5" i="2"/>
  <c r="AB5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8" i="2"/>
  <c r="AA7" i="2"/>
  <c r="AA6" i="2"/>
  <c r="AA5" i="2"/>
  <c r="Z20" i="2"/>
  <c r="K25" i="1" l="1"/>
  <c r="K24" i="1"/>
  <c r="K23" i="1"/>
  <c r="K22" i="1"/>
  <c r="K21" i="1"/>
  <c r="K20" i="1"/>
  <c r="K19" i="1"/>
  <c r="K18" i="1"/>
  <c r="K16" i="1"/>
  <c r="K15" i="1"/>
  <c r="K14" i="1"/>
  <c r="K13" i="1"/>
  <c r="K12" i="1"/>
  <c r="K8" i="1"/>
  <c r="K7" i="1"/>
  <c r="K6" i="1"/>
  <c r="K5" i="1"/>
  <c r="J25" i="1"/>
  <c r="J24" i="1"/>
  <c r="J23" i="1"/>
  <c r="J22" i="1"/>
  <c r="J21" i="1"/>
  <c r="J19" i="1"/>
  <c r="J18" i="1"/>
  <c r="J16" i="1"/>
  <c r="J15" i="1"/>
  <c r="J14" i="1"/>
  <c r="J13" i="1"/>
  <c r="J12" i="1"/>
  <c r="J8" i="1"/>
  <c r="J7" i="1"/>
  <c r="J6" i="1"/>
  <c r="J5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8" i="1"/>
  <c r="G7" i="1"/>
  <c r="G6" i="1"/>
  <c r="G5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8" i="1"/>
  <c r="C7" i="1"/>
  <c r="C6" i="1"/>
  <c r="C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7" i="1"/>
  <c r="B6" i="1"/>
  <c r="B5" i="1"/>
  <c r="EF43" i="1" l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6" i="1"/>
  <c r="EF7" i="1"/>
  <c r="EF8" i="1"/>
  <c r="EF5" i="1"/>
  <c r="DQ42" i="1"/>
  <c r="DQ41" i="1"/>
  <c r="DQ40" i="1"/>
  <c r="DQ38" i="1"/>
  <c r="DQ37" i="1"/>
  <c r="DQ36" i="1"/>
  <c r="DQ35" i="1"/>
  <c r="DQ34" i="1"/>
  <c r="DQ33" i="1"/>
  <c r="DQ32" i="1"/>
  <c r="DQ30" i="1"/>
  <c r="DQ29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6" i="1"/>
  <c r="DQ7" i="1"/>
  <c r="DQ8" i="1"/>
  <c r="DQ5" i="1"/>
  <c r="DP28" i="1"/>
  <c r="DQ28" i="1" s="1"/>
  <c r="DB25" i="1"/>
  <c r="DB24" i="1"/>
  <c r="DB23" i="1"/>
  <c r="DB22" i="1"/>
  <c r="DB21" i="1"/>
  <c r="DB20" i="1"/>
  <c r="DB19" i="1"/>
  <c r="DB18" i="1"/>
  <c r="DB16" i="1"/>
  <c r="DB15" i="1"/>
  <c r="DB14" i="1"/>
  <c r="DB13" i="1"/>
  <c r="DB12" i="1"/>
  <c r="DB8" i="1"/>
  <c r="DB7" i="1"/>
  <c r="DB6" i="1"/>
  <c r="DB5" i="1"/>
  <c r="CM25" i="1"/>
  <c r="CM23" i="1"/>
  <c r="CM22" i="1"/>
  <c r="CM21" i="1"/>
  <c r="CM18" i="1"/>
  <c r="CM16" i="1"/>
  <c r="CM15" i="1"/>
  <c r="CM14" i="1"/>
  <c r="CM13" i="1"/>
  <c r="CM12" i="1"/>
  <c r="CM8" i="1"/>
  <c r="CM7" i="1"/>
  <c r="CM6" i="1"/>
  <c r="CM5" i="1"/>
  <c r="CL20" i="1"/>
  <c r="J20" i="1" s="1"/>
  <c r="CL17" i="1"/>
  <c r="J17" i="1" s="1"/>
  <c r="BX25" i="1"/>
  <c r="BX24" i="1"/>
  <c r="BX23" i="1"/>
  <c r="BX22" i="1"/>
  <c r="BX21" i="1"/>
  <c r="BX19" i="1"/>
  <c r="BX18" i="1"/>
  <c r="BX16" i="1"/>
  <c r="BX15" i="1"/>
  <c r="BX14" i="1"/>
  <c r="BX13" i="1"/>
  <c r="BX12" i="1"/>
  <c r="BX8" i="1"/>
  <c r="BX7" i="1"/>
  <c r="BX6" i="1"/>
  <c r="BX5" i="1"/>
  <c r="BI25" i="1"/>
  <c r="BI24" i="1"/>
  <c r="BI23" i="1"/>
  <c r="BI22" i="1"/>
  <c r="BI21" i="1"/>
  <c r="BI20" i="1"/>
  <c r="BI17" i="1"/>
  <c r="BI16" i="1"/>
  <c r="BI15" i="1"/>
  <c r="BI14" i="1"/>
  <c r="BI12" i="1"/>
  <c r="BI8" i="1"/>
  <c r="BI7" i="1"/>
  <c r="BI6" i="1"/>
  <c r="BI5" i="1"/>
  <c r="BH13" i="1"/>
  <c r="F13" i="1" s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8" i="1"/>
  <c r="AT7" i="1"/>
  <c r="AT6" i="1"/>
  <c r="AT5" i="1"/>
  <c r="AE25" i="1"/>
  <c r="AE24" i="1"/>
  <c r="AE23" i="1"/>
  <c r="AE22" i="1"/>
  <c r="AE21" i="1"/>
  <c r="AE20" i="1"/>
  <c r="AE18" i="1"/>
  <c r="AE17" i="1"/>
  <c r="AE16" i="1"/>
  <c r="AE15" i="1"/>
  <c r="AE14" i="1"/>
  <c r="AE13" i="1"/>
  <c r="AE12" i="1"/>
  <c r="AE8" i="1"/>
  <c r="AE7" i="1"/>
  <c r="AE6" i="1"/>
  <c r="AE5" i="1"/>
  <c r="AR17" i="5" l="1"/>
  <c r="AR16" i="5"/>
  <c r="AR6" i="5"/>
  <c r="AR18" i="5" l="1"/>
  <c r="D18" i="5" l="1"/>
  <c r="D17" i="5"/>
  <c r="D16" i="5"/>
  <c r="D6" i="5"/>
  <c r="G18" i="5" l="1"/>
  <c r="G17" i="5"/>
  <c r="G16" i="5"/>
  <c r="G6" i="5"/>
  <c r="C18" i="5"/>
  <c r="C17" i="5"/>
  <c r="C16" i="5"/>
  <c r="C6" i="5"/>
  <c r="AK19" i="5"/>
  <c r="AK8" i="5"/>
  <c r="AK21" i="5" s="1"/>
  <c r="H22" i="12" l="1"/>
  <c r="I22" i="12" s="1"/>
  <c r="H23" i="12"/>
  <c r="I23" i="12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 s="1"/>
  <c r="H41" i="12"/>
  <c r="I41" i="12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49" i="12"/>
  <c r="I49" i="12" s="1"/>
  <c r="H50" i="12"/>
  <c r="I50" i="12" s="1"/>
  <c r="H51" i="12"/>
  <c r="I51" i="12" s="1"/>
  <c r="H52" i="12"/>
  <c r="I52" i="12" s="1"/>
  <c r="H53" i="12"/>
  <c r="I53" i="12" s="1"/>
  <c r="H54" i="12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H64" i="12"/>
  <c r="I64" i="12" s="1"/>
  <c r="H65" i="12"/>
  <c r="I65" i="12" s="1"/>
  <c r="H66" i="12"/>
  <c r="I66" i="12" s="1"/>
  <c r="H67" i="12"/>
  <c r="I67" i="12" s="1"/>
  <c r="H68" i="12"/>
  <c r="I68" i="12" s="1"/>
  <c r="H69" i="12"/>
  <c r="I69" i="12" s="1"/>
  <c r="H70" i="12"/>
  <c r="I70" i="12" s="1"/>
  <c r="H71" i="12"/>
  <c r="I71" i="12" s="1"/>
  <c r="H72" i="12"/>
  <c r="I72" i="12" s="1"/>
  <c r="H73" i="12"/>
  <c r="I73" i="12"/>
  <c r="H74" i="12"/>
  <c r="I74" i="12" s="1"/>
  <c r="H75" i="12"/>
  <c r="I75" i="12" s="1"/>
  <c r="H76" i="12"/>
  <c r="I76" i="12" s="1"/>
  <c r="H77" i="12"/>
  <c r="I77" i="12" s="1"/>
  <c r="H78" i="12"/>
  <c r="I78" i="12" s="1"/>
  <c r="H79" i="12"/>
  <c r="I79" i="12" s="1"/>
  <c r="H80" i="12"/>
  <c r="I80" i="12" s="1"/>
  <c r="H81" i="12"/>
  <c r="I81" i="12" s="1"/>
  <c r="H82" i="12"/>
  <c r="I82" i="12" s="1"/>
  <c r="H83" i="12"/>
  <c r="I83" i="12" s="1"/>
  <c r="H84" i="12"/>
  <c r="I84" i="12" s="1"/>
  <c r="H85" i="12"/>
  <c r="I85" i="12" s="1"/>
  <c r="H86" i="12"/>
  <c r="I86" i="12" s="1"/>
  <c r="H87" i="12"/>
  <c r="I87" i="12" s="1"/>
  <c r="H88" i="12"/>
  <c r="I88" i="12" s="1"/>
  <c r="H89" i="12"/>
  <c r="I89" i="12" s="1"/>
  <c r="H90" i="12"/>
  <c r="I90" i="12" s="1"/>
  <c r="H91" i="12"/>
  <c r="I91" i="12"/>
  <c r="H92" i="12"/>
  <c r="I92" i="12" s="1"/>
  <c r="H93" i="12"/>
  <c r="I93" i="12" s="1"/>
  <c r="H94" i="12"/>
  <c r="I94" i="12" s="1"/>
  <c r="H95" i="12"/>
  <c r="I95" i="12" s="1"/>
  <c r="H96" i="12"/>
  <c r="I96" i="12" s="1"/>
  <c r="H97" i="12"/>
  <c r="I97" i="12" s="1"/>
  <c r="H98" i="12"/>
  <c r="I98" i="12" s="1"/>
  <c r="H99" i="12"/>
  <c r="I99" i="12" s="1"/>
  <c r="H100" i="12"/>
  <c r="I100" i="12" s="1"/>
  <c r="H101" i="12"/>
  <c r="I101" i="12" s="1"/>
  <c r="H102" i="12"/>
  <c r="I102" i="12" s="1"/>
  <c r="H103" i="12"/>
  <c r="I103" i="12"/>
  <c r="H104" i="12"/>
  <c r="I104" i="12" s="1"/>
  <c r="H105" i="12"/>
  <c r="I105" i="12" s="1"/>
  <c r="H106" i="12"/>
  <c r="I106" i="12" s="1"/>
  <c r="H107" i="12"/>
  <c r="I107" i="12" s="1"/>
  <c r="H108" i="12"/>
  <c r="I108" i="12" s="1"/>
  <c r="H109" i="12"/>
  <c r="I109" i="12" s="1"/>
  <c r="H110" i="12"/>
  <c r="I110" i="12" s="1"/>
  <c r="H111" i="12"/>
  <c r="I111" i="12" s="1"/>
  <c r="H112" i="12"/>
  <c r="I112" i="12" s="1"/>
  <c r="H113" i="12"/>
  <c r="I113" i="12" s="1"/>
  <c r="H114" i="12"/>
  <c r="I114" i="12" s="1"/>
  <c r="H115" i="12"/>
  <c r="I115" i="12" s="1"/>
  <c r="H116" i="12"/>
  <c r="I116" i="12" s="1"/>
  <c r="H117" i="12"/>
  <c r="I117" i="12" s="1"/>
  <c r="H118" i="12"/>
  <c r="I118" i="12" s="1"/>
  <c r="H119" i="12"/>
  <c r="I119" i="12" s="1"/>
  <c r="H120" i="12"/>
  <c r="I120" i="12" s="1"/>
  <c r="H121" i="12"/>
  <c r="I121" i="12" s="1"/>
  <c r="H122" i="12"/>
  <c r="I122" i="12" s="1"/>
  <c r="H123" i="12"/>
  <c r="I123" i="12" s="1"/>
  <c r="H124" i="12"/>
  <c r="I124" i="12" s="1"/>
  <c r="H125" i="12"/>
  <c r="I125" i="12"/>
  <c r="H126" i="12"/>
  <c r="I126" i="12" s="1"/>
  <c r="H127" i="12"/>
  <c r="I127" i="12" s="1"/>
  <c r="H128" i="12"/>
  <c r="I128" i="12" s="1"/>
  <c r="H129" i="12"/>
  <c r="I129" i="12" s="1"/>
  <c r="H130" i="12"/>
  <c r="I130" i="12" s="1"/>
  <c r="H131" i="12"/>
  <c r="I131" i="12" s="1"/>
  <c r="H132" i="12"/>
  <c r="I132" i="12" s="1"/>
  <c r="H133" i="12"/>
  <c r="I133" i="12" s="1"/>
  <c r="H134" i="12"/>
  <c r="I134" i="12" s="1"/>
  <c r="H135" i="12"/>
  <c r="I135" i="12" s="1"/>
  <c r="H136" i="12"/>
  <c r="I136" i="12" s="1"/>
  <c r="H137" i="12"/>
  <c r="I137" i="12" s="1"/>
  <c r="H138" i="12"/>
  <c r="I138" i="12" s="1"/>
  <c r="H139" i="12"/>
  <c r="I139" i="12" s="1"/>
  <c r="H140" i="12"/>
  <c r="I140" i="12" s="1"/>
  <c r="H141" i="12"/>
  <c r="I141" i="12" s="1"/>
  <c r="H142" i="12"/>
  <c r="I142" i="12" s="1"/>
  <c r="H143" i="12"/>
  <c r="I143" i="12" s="1"/>
  <c r="H144" i="12"/>
  <c r="I144" i="12" s="1"/>
  <c r="H145" i="12"/>
  <c r="I145" i="12" s="1"/>
  <c r="H146" i="12"/>
  <c r="I146" i="12" s="1"/>
  <c r="H147" i="12"/>
  <c r="I147" i="12" s="1"/>
  <c r="H148" i="12"/>
  <c r="I148" i="12" s="1"/>
  <c r="H149" i="12"/>
  <c r="I149" i="12" s="1"/>
  <c r="H150" i="12"/>
  <c r="I150" i="12" s="1"/>
  <c r="H151" i="12"/>
  <c r="I151" i="12" s="1"/>
  <c r="H152" i="12"/>
  <c r="I152" i="12" s="1"/>
  <c r="H153" i="12"/>
  <c r="I153" i="12" s="1"/>
  <c r="H154" i="12"/>
  <c r="I154" i="12" s="1"/>
  <c r="H155" i="12"/>
  <c r="I155" i="12" s="1"/>
  <c r="H156" i="12"/>
  <c r="I156" i="12" s="1"/>
  <c r="H157" i="12"/>
  <c r="I157" i="12" s="1"/>
  <c r="H158" i="12"/>
  <c r="I158" i="12" s="1"/>
  <c r="H159" i="12"/>
  <c r="I159" i="12" s="1"/>
  <c r="H160" i="12"/>
  <c r="I160" i="12" s="1"/>
  <c r="H161" i="12"/>
  <c r="I161" i="12" s="1"/>
  <c r="H162" i="12"/>
  <c r="I162" i="12" s="1"/>
  <c r="H163" i="12"/>
  <c r="I163" i="12" s="1"/>
  <c r="H164" i="12"/>
  <c r="I164" i="12" s="1"/>
  <c r="H165" i="12"/>
  <c r="I165" i="12" s="1"/>
  <c r="H166" i="12"/>
  <c r="I166" i="12" s="1"/>
  <c r="H167" i="12"/>
  <c r="I167" i="12" s="1"/>
  <c r="H168" i="12"/>
  <c r="I168" i="12" s="1"/>
  <c r="H169" i="12"/>
  <c r="I169" i="12" s="1"/>
  <c r="H170" i="12"/>
  <c r="I170" i="12" s="1"/>
  <c r="H171" i="12"/>
  <c r="I171" i="12" s="1"/>
  <c r="H172" i="12"/>
  <c r="I172" i="12" s="1"/>
  <c r="H173" i="12"/>
  <c r="I173" i="12" s="1"/>
  <c r="H174" i="12"/>
  <c r="I174" i="12" s="1"/>
  <c r="H175" i="12"/>
  <c r="I175" i="12" s="1"/>
  <c r="H176" i="12"/>
  <c r="I176" i="12" s="1"/>
  <c r="H177" i="12"/>
  <c r="I177" i="12" s="1"/>
  <c r="H178" i="12"/>
  <c r="I178" i="12" s="1"/>
  <c r="H179" i="12"/>
  <c r="I179" i="12" s="1"/>
  <c r="H180" i="12"/>
  <c r="I180" i="12" s="1"/>
  <c r="H181" i="12"/>
  <c r="I181" i="12" s="1"/>
  <c r="H182" i="12"/>
  <c r="I182" i="12" s="1"/>
  <c r="H183" i="12"/>
  <c r="I183" i="12" s="1"/>
  <c r="H184" i="12"/>
  <c r="I184" i="12" s="1"/>
  <c r="H185" i="12"/>
  <c r="I185" i="12" s="1"/>
  <c r="H186" i="12"/>
  <c r="I186" i="12" s="1"/>
  <c r="H187" i="12"/>
  <c r="I187" i="12" s="1"/>
  <c r="H188" i="12"/>
  <c r="I188" i="12" s="1"/>
  <c r="H189" i="12"/>
  <c r="I189" i="12" s="1"/>
  <c r="H190" i="12"/>
  <c r="I190" i="12" s="1"/>
  <c r="H191" i="12"/>
  <c r="I191" i="12" s="1"/>
  <c r="H192" i="12"/>
  <c r="I192" i="12" s="1"/>
  <c r="H193" i="12"/>
  <c r="I193" i="12" s="1"/>
  <c r="H194" i="12"/>
  <c r="I194" i="12" s="1"/>
  <c r="H195" i="12"/>
  <c r="I195" i="12" s="1"/>
  <c r="H196" i="12"/>
  <c r="I196" i="12" s="1"/>
  <c r="E14" i="10"/>
  <c r="F14" i="10"/>
  <c r="G14" i="10"/>
  <c r="H14" i="10"/>
  <c r="I14" i="10"/>
  <c r="J14" i="10"/>
  <c r="K14" i="10"/>
  <c r="L14" i="10"/>
  <c r="E9" i="10"/>
  <c r="F9" i="10"/>
  <c r="G9" i="10"/>
  <c r="H9" i="10"/>
  <c r="I9" i="10"/>
  <c r="J9" i="10"/>
  <c r="K9" i="10"/>
  <c r="L9" i="10"/>
  <c r="M13" i="10"/>
  <c r="M10" i="10"/>
  <c r="M8" i="10"/>
  <c r="M5" i="10"/>
  <c r="M12" i="10" l="1"/>
  <c r="D12" i="10"/>
  <c r="C12" i="10"/>
  <c r="D11" i="10"/>
  <c r="D7" i="10"/>
  <c r="C7" i="10"/>
  <c r="M7" i="10"/>
  <c r="D13" i="10" l="1"/>
  <c r="C13" i="10"/>
  <c r="D10" i="10"/>
  <c r="D14" i="10" s="1"/>
  <c r="C10" i="10"/>
  <c r="D8" i="10"/>
  <c r="C8" i="10"/>
  <c r="D5" i="10"/>
  <c r="C5" i="10"/>
  <c r="M11" i="10" l="1"/>
  <c r="M14" i="10" s="1"/>
  <c r="M6" i="10"/>
  <c r="M9" i="10" s="1"/>
  <c r="D6" i="10"/>
  <c r="D9" i="10" s="1"/>
  <c r="C11" i="10"/>
  <c r="C14" i="10" s="1"/>
  <c r="C6" i="10"/>
  <c r="C9" i="10" s="1"/>
  <c r="F16" i="9" l="1"/>
  <c r="E14" i="9"/>
  <c r="AZ14" i="9" l="1"/>
  <c r="AZ13" i="9"/>
  <c r="BO14" i="9"/>
  <c r="BO13" i="9"/>
  <c r="CD5" i="9"/>
  <c r="CD7" i="9"/>
  <c r="CS7" i="9"/>
  <c r="CS5" i="9"/>
  <c r="AN6" i="9"/>
  <c r="AN7" i="9"/>
  <c r="AN8" i="9"/>
  <c r="AN9" i="9"/>
  <c r="AN11" i="9"/>
  <c r="AN12" i="9"/>
  <c r="AN13" i="9"/>
  <c r="AN14" i="9"/>
  <c r="AN15" i="9"/>
  <c r="AN16" i="9"/>
  <c r="CK20" i="1" l="1"/>
  <c r="CK17" i="1"/>
  <c r="BG13" i="1"/>
  <c r="H15" i="12" l="1"/>
  <c r="I15" i="12" s="1"/>
  <c r="H16" i="12"/>
  <c r="I16" i="12" s="1"/>
  <c r="H17" i="12"/>
  <c r="I17" i="12" s="1"/>
  <c r="H18" i="12"/>
  <c r="I18" i="12" s="1"/>
  <c r="H19" i="12"/>
  <c r="I19" i="12" s="1"/>
  <c r="H20" i="12"/>
  <c r="I20" i="12" s="1"/>
  <c r="H21" i="12"/>
  <c r="I21" i="12" s="1"/>
  <c r="E24" i="13" l="1"/>
  <c r="C24" i="13"/>
  <c r="D6" i="13" l="1"/>
  <c r="D10" i="13"/>
  <c r="D14" i="13"/>
  <c r="D18" i="13"/>
  <c r="D22" i="13"/>
  <c r="D5" i="13"/>
  <c r="D17" i="13"/>
  <c r="D7" i="13"/>
  <c r="D11" i="13"/>
  <c r="D15" i="13"/>
  <c r="D19" i="13"/>
  <c r="D23" i="13"/>
  <c r="D13" i="13"/>
  <c r="D8" i="13"/>
  <c r="D12" i="13"/>
  <c r="D16" i="13"/>
  <c r="D20" i="13"/>
  <c r="D9" i="13"/>
  <c r="D21" i="13"/>
  <c r="F5" i="13"/>
  <c r="F9" i="13"/>
  <c r="F13" i="13"/>
  <c r="F17" i="13"/>
  <c r="F21" i="13"/>
  <c r="F12" i="13"/>
  <c r="F6" i="13"/>
  <c r="F10" i="13"/>
  <c r="F14" i="13"/>
  <c r="F18" i="13"/>
  <c r="F22" i="13"/>
  <c r="F16" i="13"/>
  <c r="F20" i="13"/>
  <c r="F7" i="13"/>
  <c r="F11" i="13"/>
  <c r="F15" i="13"/>
  <c r="F19" i="13"/>
  <c r="F23" i="13"/>
  <c r="F8" i="13"/>
  <c r="F24" i="13"/>
  <c r="I43" i="7"/>
  <c r="X20" i="2"/>
  <c r="CZ17" i="1"/>
  <c r="CY17" i="1"/>
  <c r="BV17" i="1"/>
  <c r="BU17" i="1"/>
  <c r="BX17" i="1" l="1"/>
  <c r="DN39" i="1"/>
  <c r="DN43" i="1"/>
  <c r="DN51" i="1" s="1"/>
  <c r="CJ20" i="1"/>
  <c r="H4" i="12" l="1"/>
  <c r="H5" i="12"/>
  <c r="I5" i="12" s="1"/>
  <c r="H6" i="12"/>
  <c r="I6" i="12" s="1"/>
  <c r="H7" i="12"/>
  <c r="I7" i="12" s="1"/>
  <c r="H8" i="12"/>
  <c r="I8" i="12" s="1"/>
  <c r="H9" i="12"/>
  <c r="I9" i="12" s="1"/>
  <c r="H10" i="12"/>
  <c r="I10" i="12" s="1"/>
  <c r="H11" i="12"/>
  <c r="I11" i="12" s="1"/>
  <c r="H12" i="12"/>
  <c r="I12" i="12" s="1"/>
  <c r="H13" i="12"/>
  <c r="I13" i="12" s="1"/>
  <c r="H14" i="12"/>
  <c r="I14" i="12" s="1"/>
  <c r="I23" i="7" l="1"/>
  <c r="I24" i="7"/>
  <c r="I25" i="7"/>
  <c r="I26" i="7"/>
  <c r="I17" i="7"/>
  <c r="I18" i="7"/>
  <c r="I19" i="7"/>
  <c r="I20" i="7"/>
  <c r="I5" i="7"/>
  <c r="I6" i="7"/>
  <c r="I7" i="7"/>
  <c r="I8" i="7"/>
  <c r="J5" i="9" l="1"/>
  <c r="H5" i="9"/>
  <c r="F5" i="9"/>
  <c r="D5" i="9"/>
  <c r="AX14" i="9"/>
  <c r="AX13" i="9"/>
  <c r="BM14" i="9"/>
  <c r="BM13" i="9"/>
  <c r="IP6" i="9"/>
  <c r="IP7" i="9"/>
  <c r="IP8" i="9"/>
  <c r="IP9" i="9"/>
  <c r="IP10" i="9"/>
  <c r="IP11" i="9"/>
  <c r="IP12" i="9"/>
  <c r="IP13" i="9"/>
  <c r="IP14" i="9"/>
  <c r="IP15" i="9"/>
  <c r="IP16" i="9"/>
  <c r="IA6" i="9"/>
  <c r="IA7" i="9"/>
  <c r="IA8" i="9"/>
  <c r="IA9" i="9"/>
  <c r="IA10" i="9"/>
  <c r="IA11" i="9"/>
  <c r="IA12" i="9"/>
  <c r="IA13" i="9"/>
  <c r="IA14" i="9"/>
  <c r="IA15" i="9"/>
  <c r="IA16" i="9"/>
  <c r="HL6" i="9"/>
  <c r="HL7" i="9"/>
  <c r="HL8" i="9"/>
  <c r="HL9" i="9"/>
  <c r="HL10" i="9"/>
  <c r="HL11" i="9"/>
  <c r="HL12" i="9"/>
  <c r="HL13" i="9"/>
  <c r="HL14" i="9"/>
  <c r="HL15" i="9"/>
  <c r="HL16" i="9"/>
  <c r="GW6" i="9"/>
  <c r="GW7" i="9"/>
  <c r="GW8" i="9"/>
  <c r="GW9" i="9"/>
  <c r="GW10" i="9"/>
  <c r="GW11" i="9"/>
  <c r="GW12" i="9"/>
  <c r="GW13" i="9"/>
  <c r="GW14" i="9"/>
  <c r="GW15" i="9"/>
  <c r="GW16" i="9"/>
  <c r="GH6" i="9"/>
  <c r="GH7" i="9"/>
  <c r="GH8" i="9"/>
  <c r="GH9" i="9"/>
  <c r="GH10" i="9"/>
  <c r="GH11" i="9"/>
  <c r="GH12" i="9"/>
  <c r="GH13" i="9"/>
  <c r="GH14" i="9"/>
  <c r="GH15" i="9"/>
  <c r="GH16" i="9"/>
  <c r="FS6" i="9"/>
  <c r="FS7" i="9"/>
  <c r="FS8" i="9"/>
  <c r="FS9" i="9"/>
  <c r="FS10" i="9"/>
  <c r="FS11" i="9"/>
  <c r="FS12" i="9"/>
  <c r="FS13" i="9"/>
  <c r="FS14" i="9"/>
  <c r="FS15" i="9"/>
  <c r="FS16" i="9"/>
  <c r="DK11" i="9"/>
  <c r="DK12" i="9"/>
  <c r="DK13" i="9"/>
  <c r="DK14" i="9"/>
  <c r="DK15" i="9"/>
  <c r="DK16" i="9"/>
  <c r="BC6" i="9"/>
  <c r="BC7" i="9"/>
  <c r="BC8" i="9"/>
  <c r="BC9" i="9"/>
  <c r="BC11" i="9"/>
  <c r="BC12" i="9"/>
  <c r="BC13" i="9"/>
  <c r="BC14" i="9"/>
  <c r="BC15" i="9"/>
  <c r="Y6" i="9"/>
  <c r="Y7" i="9"/>
  <c r="Y8" i="9"/>
  <c r="Y9" i="9"/>
  <c r="Y11" i="9"/>
  <c r="Y12" i="9"/>
  <c r="Y13" i="9"/>
  <c r="Y14" i="9"/>
  <c r="Y15" i="9"/>
  <c r="Y16" i="9"/>
  <c r="W20" i="2" l="1"/>
  <c r="DM43" i="1" l="1"/>
  <c r="DM51" i="1" s="1"/>
  <c r="CI20" i="1"/>
  <c r="CI17" i="1"/>
  <c r="D28" i="7" l="1"/>
  <c r="G5" i="9"/>
  <c r="EO5" i="9"/>
  <c r="DD6" i="9"/>
  <c r="DE6" i="9"/>
  <c r="DF6" i="9"/>
  <c r="DG6" i="9"/>
  <c r="DH6" i="9"/>
  <c r="DI6" i="9"/>
  <c r="DD7" i="9"/>
  <c r="DE7" i="9"/>
  <c r="DF7" i="9"/>
  <c r="DG7" i="9"/>
  <c r="DH7" i="9"/>
  <c r="DI7" i="9"/>
  <c r="DD8" i="9"/>
  <c r="DE8" i="9"/>
  <c r="DF8" i="9"/>
  <c r="DG8" i="9"/>
  <c r="DH8" i="9"/>
  <c r="DK8" i="9" s="1"/>
  <c r="DI8" i="9"/>
  <c r="DD9" i="9"/>
  <c r="DE9" i="9"/>
  <c r="DF9" i="9"/>
  <c r="DG9" i="9"/>
  <c r="DH9" i="9"/>
  <c r="DI9" i="9"/>
  <c r="DG5" i="9"/>
  <c r="DH5" i="9"/>
  <c r="DI5" i="9"/>
  <c r="DE5" i="9"/>
  <c r="DF5" i="9"/>
  <c r="DK9" i="9" l="1"/>
  <c r="DK7" i="9"/>
  <c r="DK6" i="9"/>
  <c r="F11" i="2"/>
  <c r="F27" i="2"/>
  <c r="V20" i="2"/>
  <c r="CH20" i="1" l="1"/>
  <c r="F18" i="5" l="1"/>
  <c r="F17" i="5"/>
  <c r="F16" i="5"/>
  <c r="F6" i="5"/>
  <c r="DK43" i="1" l="1"/>
  <c r="DK51" i="1" s="1"/>
  <c r="CG20" i="1"/>
  <c r="CG24" i="1"/>
  <c r="CM24" i="1" s="1"/>
  <c r="CG17" i="1"/>
  <c r="G44" i="7" l="1"/>
  <c r="G43" i="7"/>
  <c r="G28" i="7" l="1"/>
  <c r="G27" i="7"/>
  <c r="G21" i="7"/>
  <c r="G9" i="7"/>
  <c r="DC6" i="9" l="1"/>
  <c r="DC7" i="9"/>
  <c r="DC8" i="9"/>
  <c r="DC9" i="9"/>
  <c r="DC5" i="9"/>
  <c r="DD5" i="9"/>
  <c r="CF20" i="1" l="1"/>
  <c r="J16" i="23" l="1"/>
  <c r="F16" i="23"/>
  <c r="L16" i="23" s="1"/>
  <c r="M16" i="23" s="1"/>
  <c r="J15" i="23"/>
  <c r="F15" i="23"/>
  <c r="L15" i="23" s="1"/>
  <c r="M15" i="23" s="1"/>
  <c r="J14" i="23"/>
  <c r="F14" i="23"/>
  <c r="L14" i="23" s="1"/>
  <c r="M14" i="23" s="1"/>
  <c r="J13" i="23"/>
  <c r="F13" i="23"/>
  <c r="L13" i="23" s="1"/>
  <c r="M13" i="23" s="1"/>
  <c r="J12" i="23"/>
  <c r="F12" i="23"/>
  <c r="L12" i="23" s="1"/>
  <c r="M12" i="23" s="1"/>
  <c r="J11" i="23"/>
  <c r="F11" i="23"/>
  <c r="L11" i="23" s="1"/>
  <c r="M11" i="23" s="1"/>
  <c r="J10" i="23"/>
  <c r="F10" i="23"/>
  <c r="L10" i="23" s="1"/>
  <c r="M10" i="23" s="1"/>
  <c r="J9" i="23"/>
  <c r="F9" i="23"/>
  <c r="L9" i="23" s="1"/>
  <c r="M9" i="23" s="1"/>
  <c r="J8" i="23"/>
  <c r="F8" i="23"/>
  <c r="L8" i="23" s="1"/>
  <c r="M8" i="23" s="1"/>
  <c r="J7" i="23"/>
  <c r="F7" i="23"/>
  <c r="L7" i="23" s="1"/>
  <c r="M7" i="23" s="1"/>
  <c r="J6" i="23"/>
  <c r="F6" i="23"/>
  <c r="L6" i="23" s="1"/>
  <c r="M6" i="23" s="1"/>
  <c r="G46" i="7" l="1"/>
  <c r="G53" i="7" s="1"/>
  <c r="E42" i="13" l="1"/>
  <c r="C42" i="13"/>
  <c r="F26" i="13" l="1"/>
  <c r="F30" i="13"/>
  <c r="F34" i="13"/>
  <c r="F38" i="13"/>
  <c r="F33" i="13"/>
  <c r="F37" i="13"/>
  <c r="F27" i="13"/>
  <c r="F31" i="13"/>
  <c r="F35" i="13"/>
  <c r="F39" i="13"/>
  <c r="F29" i="13"/>
  <c r="F41" i="13"/>
  <c r="F28" i="13"/>
  <c r="F32" i="13"/>
  <c r="F36" i="13"/>
  <c r="F40" i="13"/>
  <c r="D26" i="13"/>
  <c r="D30" i="13"/>
  <c r="D34" i="13"/>
  <c r="D38" i="13"/>
  <c r="D27" i="13"/>
  <c r="D31" i="13"/>
  <c r="D35" i="13"/>
  <c r="D39" i="13"/>
  <c r="D28" i="13"/>
  <c r="D32" i="13"/>
  <c r="D36" i="13"/>
  <c r="D40" i="13"/>
  <c r="D29" i="13"/>
  <c r="D33" i="13"/>
  <c r="D37" i="13"/>
  <c r="D41" i="13"/>
  <c r="F42" i="13"/>
  <c r="D24" i="13"/>
  <c r="D25" i="13"/>
  <c r="D42" i="13"/>
  <c r="F25" i="13"/>
  <c r="F4" i="13"/>
  <c r="D4" i="13"/>
  <c r="DB6" i="9" l="1"/>
  <c r="DB7" i="9"/>
  <c r="DB8" i="9"/>
  <c r="DB9" i="9"/>
  <c r="DB5" i="9"/>
  <c r="CE20" i="1" l="1"/>
  <c r="BA13" i="1"/>
  <c r="BI13" i="1" s="1"/>
  <c r="FV16" i="9" l="1"/>
  <c r="FW16" i="9"/>
  <c r="FX16" i="9"/>
  <c r="FY16" i="9"/>
  <c r="FZ16" i="9"/>
  <c r="GA16" i="9"/>
  <c r="GB16" i="9"/>
  <c r="GC16" i="9"/>
  <c r="GD16" i="9"/>
  <c r="GE16" i="9"/>
  <c r="GF16" i="9"/>
  <c r="FU16" i="9"/>
  <c r="FG16" i="9"/>
  <c r="FH16" i="9"/>
  <c r="FI16" i="9"/>
  <c r="FJ16" i="9"/>
  <c r="FK16" i="9"/>
  <c r="FL16" i="9"/>
  <c r="FM16" i="9"/>
  <c r="FN16" i="9"/>
  <c r="FO16" i="9"/>
  <c r="FP16" i="9"/>
  <c r="FQ16" i="9"/>
  <c r="FF16" i="9"/>
  <c r="GZ10" i="9" l="1"/>
  <c r="HA10" i="9"/>
  <c r="HB10" i="9"/>
  <c r="HC10" i="9"/>
  <c r="HD10" i="9"/>
  <c r="HE10" i="9"/>
  <c r="HF10" i="9"/>
  <c r="HG10" i="9"/>
  <c r="HH10" i="9"/>
  <c r="HI10" i="9"/>
  <c r="HJ10" i="9"/>
  <c r="GY10" i="9"/>
  <c r="GK10" i="9"/>
  <c r="GL10" i="9"/>
  <c r="GM10" i="9"/>
  <c r="GN10" i="9"/>
  <c r="GO10" i="9"/>
  <c r="GP10" i="9"/>
  <c r="GQ10" i="9"/>
  <c r="GR10" i="9"/>
  <c r="GS10" i="9"/>
  <c r="GT10" i="9"/>
  <c r="GU10" i="9"/>
  <c r="GJ10" i="9"/>
  <c r="FV10" i="9"/>
  <c r="FW10" i="9"/>
  <c r="FX10" i="9"/>
  <c r="FY10" i="9"/>
  <c r="FZ10" i="9"/>
  <c r="GA10" i="9"/>
  <c r="GB10" i="9"/>
  <c r="GC10" i="9"/>
  <c r="GD10" i="9"/>
  <c r="GE10" i="9"/>
  <c r="GF10" i="9"/>
  <c r="FU10" i="9"/>
  <c r="FG10" i="9"/>
  <c r="FH10" i="9"/>
  <c r="FI10" i="9"/>
  <c r="FJ10" i="9"/>
  <c r="FK10" i="9"/>
  <c r="FL10" i="9"/>
  <c r="FM10" i="9"/>
  <c r="FN10" i="9"/>
  <c r="FO10" i="9"/>
  <c r="FP10" i="9"/>
  <c r="FQ10" i="9"/>
  <c r="FF10" i="9"/>
  <c r="ER10" i="9"/>
  <c r="ES10" i="9"/>
  <c r="ET10" i="9"/>
  <c r="EU10" i="9"/>
  <c r="EV10" i="9"/>
  <c r="EW10" i="9"/>
  <c r="EX10" i="9"/>
  <c r="EY10" i="9"/>
  <c r="EZ10" i="9"/>
  <c r="FA10" i="9"/>
  <c r="FB10" i="9"/>
  <c r="EQ10" i="9"/>
  <c r="EC10" i="9"/>
  <c r="ED10" i="9"/>
  <c r="EE10" i="9"/>
  <c r="EF10" i="9"/>
  <c r="EG10" i="9"/>
  <c r="EH10" i="9"/>
  <c r="EI10" i="9"/>
  <c r="EJ10" i="9"/>
  <c r="EK10" i="9"/>
  <c r="EL10" i="9"/>
  <c r="EM10" i="9"/>
  <c r="EB10" i="9"/>
  <c r="IC11" i="9" l="1"/>
  <c r="ID11" i="9"/>
  <c r="IE11" i="9"/>
  <c r="IF11" i="9"/>
  <c r="IG11" i="9"/>
  <c r="IH11" i="9"/>
  <c r="II11" i="9"/>
  <c r="IJ11" i="9"/>
  <c r="IK11" i="9"/>
  <c r="IL11" i="9"/>
  <c r="IM11" i="9"/>
  <c r="IN11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HN6" i="9"/>
  <c r="HO6" i="9"/>
  <c r="HP6" i="9"/>
  <c r="HQ6" i="9"/>
  <c r="HR6" i="9"/>
  <c r="HS6" i="9"/>
  <c r="HT6" i="9"/>
  <c r="HU6" i="9"/>
  <c r="HV6" i="9"/>
  <c r="HW6" i="9"/>
  <c r="HX6" i="9"/>
  <c r="HY6" i="9"/>
  <c r="HN7" i="9"/>
  <c r="HO7" i="9"/>
  <c r="HP7" i="9"/>
  <c r="HQ7" i="9"/>
  <c r="HR7" i="9"/>
  <c r="HS7" i="9"/>
  <c r="HT7" i="9"/>
  <c r="HU7" i="9"/>
  <c r="HV7" i="9"/>
  <c r="HW7" i="9"/>
  <c r="HX7" i="9"/>
  <c r="HY7" i="9"/>
  <c r="HN8" i="9"/>
  <c r="HO8" i="9"/>
  <c r="HP8" i="9"/>
  <c r="HQ8" i="9"/>
  <c r="HR8" i="9"/>
  <c r="HS8" i="9"/>
  <c r="HT8" i="9"/>
  <c r="HU8" i="9"/>
  <c r="HV8" i="9"/>
  <c r="HW8" i="9"/>
  <c r="HX8" i="9"/>
  <c r="HY8" i="9"/>
  <c r="HN9" i="9"/>
  <c r="HO9" i="9"/>
  <c r="HP9" i="9"/>
  <c r="HQ9" i="9"/>
  <c r="HR9" i="9"/>
  <c r="HS9" i="9"/>
  <c r="HT9" i="9"/>
  <c r="HU9" i="9"/>
  <c r="HV9" i="9"/>
  <c r="HW9" i="9"/>
  <c r="HX9" i="9"/>
  <c r="HY9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O5" i="9"/>
  <c r="HP5" i="9"/>
  <c r="HQ5" i="9"/>
  <c r="HR5" i="9"/>
  <c r="HS5" i="9"/>
  <c r="HT5" i="9"/>
  <c r="HU5" i="9"/>
  <c r="HV5" i="9"/>
  <c r="HW5" i="9"/>
  <c r="HX5" i="9"/>
  <c r="HY5" i="9"/>
  <c r="HL5" i="9"/>
  <c r="GW5" i="9" l="1"/>
  <c r="FS5" i="9"/>
  <c r="GH5" i="9"/>
  <c r="FD5" i="9"/>
  <c r="I4" i="12" l="1"/>
  <c r="F10" i="7" l="1"/>
  <c r="J10" i="7"/>
  <c r="F11" i="7"/>
  <c r="J11" i="7"/>
  <c r="F12" i="7"/>
  <c r="J12" i="7"/>
  <c r="F13" i="7"/>
  <c r="J13" i="7"/>
  <c r="F14" i="7"/>
  <c r="J14" i="7"/>
  <c r="D15" i="7"/>
  <c r="E15" i="7"/>
  <c r="J15" i="7"/>
  <c r="BG13" i="9"/>
  <c r="BG16" i="9" s="1"/>
  <c r="BF13" i="9"/>
  <c r="BF16" i="9" s="1"/>
  <c r="BE13" i="9"/>
  <c r="BH16" i="9"/>
  <c r="BI16" i="9"/>
  <c r="BJ16" i="9"/>
  <c r="BK16" i="9"/>
  <c r="BL16" i="9"/>
  <c r="BM16" i="9"/>
  <c r="BN16" i="9"/>
  <c r="BO16" i="9"/>
  <c r="BP16" i="9"/>
  <c r="BQ16" i="9" s="1"/>
  <c r="AQ16" i="9"/>
  <c r="AR16" i="9"/>
  <c r="AS16" i="9"/>
  <c r="AT16" i="9"/>
  <c r="AU16" i="9"/>
  <c r="AV16" i="9"/>
  <c r="AW16" i="9"/>
  <c r="AX16" i="9"/>
  <c r="AY16" i="9"/>
  <c r="AZ16" i="9"/>
  <c r="BA16" i="9"/>
  <c r="AP16" i="9"/>
  <c r="IN9" i="9"/>
  <c r="IM9" i="9"/>
  <c r="IL9" i="9"/>
  <c r="IK9" i="9"/>
  <c r="IJ9" i="9"/>
  <c r="II9" i="9"/>
  <c r="IH9" i="9"/>
  <c r="IG9" i="9"/>
  <c r="IF9" i="9"/>
  <c r="IE9" i="9"/>
  <c r="ID9" i="9"/>
  <c r="IC9" i="9"/>
  <c r="IN8" i="9"/>
  <c r="IM8" i="9"/>
  <c r="IL8" i="9"/>
  <c r="IK8" i="9"/>
  <c r="IJ8" i="9"/>
  <c r="II8" i="9"/>
  <c r="IH8" i="9"/>
  <c r="IG8" i="9"/>
  <c r="IF8" i="9"/>
  <c r="IE8" i="9"/>
  <c r="ID8" i="9"/>
  <c r="IC8" i="9"/>
  <c r="IN7" i="9"/>
  <c r="IM7" i="9"/>
  <c r="IL7" i="9"/>
  <c r="IK7" i="9"/>
  <c r="IJ7" i="9"/>
  <c r="II7" i="9"/>
  <c r="IH7" i="9"/>
  <c r="IG7" i="9"/>
  <c r="IF7" i="9"/>
  <c r="IE7" i="9"/>
  <c r="ID7" i="9"/>
  <c r="IC7" i="9"/>
  <c r="IN6" i="9"/>
  <c r="IM6" i="9"/>
  <c r="IL6" i="9"/>
  <c r="IK6" i="9"/>
  <c r="IJ6" i="9"/>
  <c r="II6" i="9"/>
  <c r="IH6" i="9"/>
  <c r="IG6" i="9"/>
  <c r="IF6" i="9"/>
  <c r="IE6" i="9"/>
  <c r="ID6" i="9"/>
  <c r="IC6" i="9"/>
  <c r="IN5" i="9"/>
  <c r="IN10" i="9" s="1"/>
  <c r="IM5" i="9"/>
  <c r="IM10" i="9" s="1"/>
  <c r="IL5" i="9"/>
  <c r="IL10" i="9" s="1"/>
  <c r="IK5" i="9"/>
  <c r="IK10" i="9" s="1"/>
  <c r="IJ5" i="9"/>
  <c r="IJ10" i="9" s="1"/>
  <c r="II5" i="9"/>
  <c r="II10" i="9" s="1"/>
  <c r="IH5" i="9"/>
  <c r="IH10" i="9" s="1"/>
  <c r="IG5" i="9"/>
  <c r="IG10" i="9" s="1"/>
  <c r="IF5" i="9"/>
  <c r="IF10" i="9" s="1"/>
  <c r="IE5" i="9"/>
  <c r="IE10" i="9" s="1"/>
  <c r="ID5" i="9"/>
  <c r="ID10" i="9" s="1"/>
  <c r="IC5" i="9"/>
  <c r="HN5" i="9"/>
  <c r="DM6" i="9"/>
  <c r="DN6" i="9"/>
  <c r="DO6" i="9"/>
  <c r="DP6" i="9"/>
  <c r="DQ6" i="9"/>
  <c r="DR6" i="9"/>
  <c r="DS6" i="9"/>
  <c r="DT6" i="9"/>
  <c r="DU6" i="9"/>
  <c r="DV6" i="9"/>
  <c r="DW6" i="9"/>
  <c r="DX6" i="9"/>
  <c r="DM7" i="9"/>
  <c r="DN7" i="9"/>
  <c r="DO7" i="9"/>
  <c r="DP7" i="9"/>
  <c r="DQ7" i="9"/>
  <c r="DR7" i="9"/>
  <c r="DS7" i="9"/>
  <c r="DT7" i="9"/>
  <c r="DU7" i="9"/>
  <c r="DV7" i="9"/>
  <c r="DW7" i="9"/>
  <c r="DX7" i="9"/>
  <c r="DM8" i="9"/>
  <c r="DN8" i="9"/>
  <c r="DO8" i="9"/>
  <c r="DP8" i="9"/>
  <c r="DQ8" i="9"/>
  <c r="DR8" i="9"/>
  <c r="DS8" i="9"/>
  <c r="DT8" i="9"/>
  <c r="DU8" i="9"/>
  <c r="DV8" i="9"/>
  <c r="DW8" i="9"/>
  <c r="DX8" i="9"/>
  <c r="DM9" i="9"/>
  <c r="DN9" i="9"/>
  <c r="DO9" i="9"/>
  <c r="DP9" i="9"/>
  <c r="DQ9" i="9"/>
  <c r="DR9" i="9"/>
  <c r="DS9" i="9"/>
  <c r="DT9" i="9"/>
  <c r="DU9" i="9"/>
  <c r="DV9" i="9"/>
  <c r="DW9" i="9"/>
  <c r="DX9" i="9"/>
  <c r="DN5" i="9"/>
  <c r="DO5" i="9"/>
  <c r="DP5" i="9"/>
  <c r="DQ5" i="9"/>
  <c r="DR5" i="9"/>
  <c r="DS5" i="9"/>
  <c r="DT5" i="9"/>
  <c r="DU5" i="9"/>
  <c r="DV5" i="9"/>
  <c r="DW5" i="9"/>
  <c r="DX5" i="9"/>
  <c r="DM5" i="9"/>
  <c r="CX6" i="9"/>
  <c r="CY6" i="9"/>
  <c r="CY10" i="9" s="1"/>
  <c r="CZ6" i="9"/>
  <c r="DA6" i="9"/>
  <c r="CX7" i="9"/>
  <c r="CY7" i="9"/>
  <c r="CZ7" i="9"/>
  <c r="DA7" i="9"/>
  <c r="CX8" i="9"/>
  <c r="CY8" i="9"/>
  <c r="CZ8" i="9"/>
  <c r="DA8" i="9"/>
  <c r="CX9" i="9"/>
  <c r="CY9" i="9"/>
  <c r="CZ9" i="9"/>
  <c r="DA9" i="9"/>
  <c r="CY5" i="9"/>
  <c r="CZ5" i="9"/>
  <c r="DA5" i="9"/>
  <c r="CX5" i="9"/>
  <c r="DN10" i="9"/>
  <c r="DI10" i="9"/>
  <c r="DH10" i="9"/>
  <c r="DG10" i="9"/>
  <c r="DF10" i="9"/>
  <c r="DE10" i="9"/>
  <c r="DD10" i="9"/>
  <c r="DC10" i="9"/>
  <c r="DB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V5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CG5" i="9"/>
  <c r="I22" i="7"/>
  <c r="E5" i="9"/>
  <c r="K43" i="7"/>
  <c r="I44" i="7"/>
  <c r="K44" i="7" s="1"/>
  <c r="I16" i="7"/>
  <c r="I4" i="7"/>
  <c r="BF10" i="9"/>
  <c r="BG10" i="9"/>
  <c r="BH10" i="9"/>
  <c r="BI10" i="9"/>
  <c r="BJ10" i="9"/>
  <c r="BK10" i="9"/>
  <c r="BL10" i="9"/>
  <c r="BM10" i="9"/>
  <c r="BN10" i="9"/>
  <c r="BO10" i="9"/>
  <c r="BP10" i="9"/>
  <c r="BE10" i="9"/>
  <c r="BR6" i="9"/>
  <c r="BR7" i="9"/>
  <c r="BR8" i="9"/>
  <c r="BR9" i="9"/>
  <c r="BR11" i="9"/>
  <c r="BR12" i="9"/>
  <c r="BR13" i="9"/>
  <c r="BR14" i="9"/>
  <c r="BR15" i="9"/>
  <c r="BR5" i="9"/>
  <c r="BC5" i="9"/>
  <c r="AQ10" i="9"/>
  <c r="AR10" i="9"/>
  <c r="AS10" i="9"/>
  <c r="AT10" i="9"/>
  <c r="AU10" i="9"/>
  <c r="AV10" i="9"/>
  <c r="AW10" i="9"/>
  <c r="AX10" i="9"/>
  <c r="AY10" i="9"/>
  <c r="AZ10" i="9"/>
  <c r="BA10" i="9"/>
  <c r="AP10" i="9"/>
  <c r="AN5" i="9"/>
  <c r="C5" i="9" s="1"/>
  <c r="AB10" i="9"/>
  <c r="AC10" i="9"/>
  <c r="AD10" i="9"/>
  <c r="AE10" i="9"/>
  <c r="AF10" i="9"/>
  <c r="AG10" i="9"/>
  <c r="AH10" i="9"/>
  <c r="AI10" i="9"/>
  <c r="AJ10" i="9"/>
  <c r="AK10" i="9"/>
  <c r="AL10" i="9"/>
  <c r="AN10" i="9" s="1"/>
  <c r="AA10" i="9"/>
  <c r="M10" i="9"/>
  <c r="N10" i="9"/>
  <c r="O10" i="9"/>
  <c r="P10" i="9"/>
  <c r="Q10" i="9"/>
  <c r="R10" i="9"/>
  <c r="S10" i="9"/>
  <c r="T10" i="9"/>
  <c r="U10" i="9"/>
  <c r="V10" i="9"/>
  <c r="W10" i="9"/>
  <c r="L10" i="9"/>
  <c r="Y5" i="9"/>
  <c r="BB16" i="9" l="1"/>
  <c r="E16" i="9"/>
  <c r="Y10" i="9"/>
  <c r="BC10" i="9"/>
  <c r="DV10" i="9"/>
  <c r="DK10" i="9"/>
  <c r="BC16" i="9"/>
  <c r="DU10" i="9"/>
  <c r="E13" i="9"/>
  <c r="CZ10" i="9"/>
  <c r="DS10" i="9"/>
  <c r="DO10" i="9"/>
  <c r="BE16" i="9"/>
  <c r="DR10" i="9"/>
  <c r="DQ10" i="9"/>
  <c r="DW10" i="9"/>
  <c r="DK5" i="9"/>
  <c r="I5" i="9"/>
  <c r="F15" i="7"/>
  <c r="IP5" i="9"/>
  <c r="DX10" i="9"/>
  <c r="DP10" i="9"/>
  <c r="CX10" i="9"/>
  <c r="DZ5" i="9"/>
  <c r="DT10" i="9"/>
  <c r="DM10" i="9"/>
  <c r="BR16" i="9"/>
  <c r="IA5" i="9"/>
  <c r="IC10" i="9"/>
  <c r="DA10" i="9"/>
  <c r="AM7" i="5" l="1"/>
  <c r="AM6" i="5"/>
  <c r="AM5" i="5"/>
  <c r="AM4" i="5"/>
  <c r="AB8" i="5"/>
  <c r="AC8" i="5"/>
  <c r="AD8" i="5"/>
  <c r="AE8" i="5"/>
  <c r="AF8" i="5"/>
  <c r="AG8" i="5"/>
  <c r="AH8" i="5"/>
  <c r="AI8" i="5"/>
  <c r="AJ8" i="5"/>
  <c r="AL8" i="5"/>
  <c r="AA8" i="5"/>
  <c r="Y7" i="5"/>
  <c r="Y6" i="5"/>
  <c r="H6" i="5" s="1"/>
  <c r="Y5" i="5"/>
  <c r="Y4" i="5"/>
  <c r="N8" i="5"/>
  <c r="O8" i="5"/>
  <c r="P8" i="5"/>
  <c r="Q8" i="5"/>
  <c r="R8" i="5"/>
  <c r="S8" i="5"/>
  <c r="T8" i="5"/>
  <c r="U8" i="5"/>
  <c r="V8" i="5"/>
  <c r="W8" i="5"/>
  <c r="X8" i="5"/>
  <c r="M8" i="5"/>
  <c r="AB19" i="5"/>
  <c r="AC19" i="5"/>
  <c r="AD19" i="5"/>
  <c r="AE19" i="5"/>
  <c r="AF19" i="5"/>
  <c r="AG19" i="5"/>
  <c r="AH19" i="5"/>
  <c r="AI19" i="5"/>
  <c r="AJ19" i="5"/>
  <c r="AL19" i="5"/>
  <c r="AA19" i="5"/>
  <c r="N19" i="5"/>
  <c r="O19" i="5"/>
  <c r="P19" i="5"/>
  <c r="Q19" i="5"/>
  <c r="R19" i="5"/>
  <c r="S19" i="5"/>
  <c r="T19" i="5"/>
  <c r="U19" i="5"/>
  <c r="V19" i="5"/>
  <c r="W19" i="5"/>
  <c r="X19" i="5"/>
  <c r="M19" i="5"/>
  <c r="AG21" i="5" l="1"/>
  <c r="AC21" i="5"/>
  <c r="V21" i="5"/>
  <c r="R21" i="5"/>
  <c r="N21" i="5"/>
  <c r="AJ21" i="5"/>
  <c r="AF21" i="5"/>
  <c r="AB21" i="5"/>
  <c r="X21" i="5"/>
  <c r="T21" i="5"/>
  <c r="AL21" i="5"/>
  <c r="Q21" i="5"/>
  <c r="M21" i="5"/>
  <c r="D20" i="5"/>
  <c r="U21" i="5"/>
  <c r="AH21" i="5"/>
  <c r="AD21" i="5"/>
  <c r="W21" i="5"/>
  <c r="S21" i="5"/>
  <c r="O21" i="5"/>
  <c r="Y8" i="5"/>
  <c r="AM8" i="5"/>
  <c r="P21" i="5"/>
  <c r="AA21" i="5"/>
  <c r="AI21" i="5"/>
  <c r="AE21" i="5"/>
  <c r="BR10" i="9" l="1"/>
  <c r="AM17" i="5"/>
  <c r="AM18" i="5"/>
  <c r="AM16" i="5"/>
  <c r="Y17" i="5"/>
  <c r="H17" i="5" s="1"/>
  <c r="H20" i="5" s="1"/>
  <c r="Y18" i="5"/>
  <c r="H18" i="5" s="1"/>
  <c r="Y16" i="5"/>
  <c r="Y19" i="5" l="1"/>
  <c r="Y21" i="5" s="1"/>
  <c r="H16" i="5"/>
  <c r="C20" i="5"/>
  <c r="G20" i="5"/>
  <c r="I20" i="5" s="1"/>
  <c r="F20" i="5"/>
  <c r="J20" i="5" s="1"/>
  <c r="AM19" i="5"/>
  <c r="AM21" i="5" s="1"/>
  <c r="R19" i="2"/>
  <c r="DH43" i="1" l="1"/>
  <c r="DH51" i="1" s="1"/>
  <c r="DH31" i="1"/>
  <c r="DH39" i="1"/>
  <c r="CD19" i="1" l="1"/>
  <c r="CD20" i="1"/>
  <c r="CD17" i="1"/>
  <c r="AZ19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6" i="1"/>
  <c r="D7" i="1"/>
  <c r="D8" i="1"/>
  <c r="D5" i="1"/>
  <c r="V19" i="1"/>
  <c r="B11" i="1" s="1"/>
  <c r="E52" i="7" l="1"/>
  <c r="D52" i="7"/>
  <c r="J51" i="7"/>
  <c r="I51" i="7"/>
  <c r="F51" i="7"/>
  <c r="J50" i="7"/>
  <c r="I50" i="7"/>
  <c r="F50" i="7"/>
  <c r="J49" i="7"/>
  <c r="I49" i="7"/>
  <c r="F49" i="7"/>
  <c r="I48" i="7"/>
  <c r="I47" i="7"/>
  <c r="F47" i="7"/>
  <c r="D46" i="7"/>
  <c r="J45" i="7"/>
  <c r="F45" i="7"/>
  <c r="F44" i="7"/>
  <c r="H46" i="7"/>
  <c r="H53" i="7" s="1"/>
  <c r="F43" i="7"/>
  <c r="J42" i="7"/>
  <c r="F42" i="7"/>
  <c r="F41" i="7"/>
  <c r="J40" i="7"/>
  <c r="E40" i="7"/>
  <c r="D40" i="7"/>
  <c r="J39" i="7"/>
  <c r="F39" i="7"/>
  <c r="J38" i="7"/>
  <c r="F38" i="7"/>
  <c r="J37" i="7"/>
  <c r="F37" i="7"/>
  <c r="J36" i="7"/>
  <c r="F36" i="7"/>
  <c r="J35" i="7"/>
  <c r="F35" i="7"/>
  <c r="E34" i="7"/>
  <c r="D34" i="7"/>
  <c r="I33" i="7"/>
  <c r="J33" i="7" s="1"/>
  <c r="F33" i="7"/>
  <c r="I32" i="7"/>
  <c r="F32" i="7"/>
  <c r="I31" i="7"/>
  <c r="J26" i="7" s="1"/>
  <c r="F31" i="7"/>
  <c r="I30" i="7"/>
  <c r="J30" i="7" s="1"/>
  <c r="F30" i="7"/>
  <c r="I29" i="7"/>
  <c r="J24" i="7" s="1"/>
  <c r="F29" i="7"/>
  <c r="F26" i="7"/>
  <c r="F25" i="7"/>
  <c r="F24" i="7"/>
  <c r="E21" i="7"/>
  <c r="J20" i="7"/>
  <c r="F20" i="7"/>
  <c r="J19" i="7"/>
  <c r="F19" i="7"/>
  <c r="J18" i="7"/>
  <c r="F18" i="7"/>
  <c r="J17" i="7"/>
  <c r="F17" i="7"/>
  <c r="F16" i="7"/>
  <c r="J8" i="7"/>
  <c r="F8" i="7"/>
  <c r="J7" i="7"/>
  <c r="F7" i="7"/>
  <c r="J6" i="7"/>
  <c r="F6" i="7"/>
  <c r="J5" i="7"/>
  <c r="F5" i="7"/>
  <c r="P5" i="2"/>
  <c r="F21" i="7" l="1"/>
  <c r="F34" i="7"/>
  <c r="F40" i="7"/>
  <c r="J43" i="7"/>
  <c r="J44" i="7"/>
  <c r="E46" i="7"/>
  <c r="F46" i="7" s="1"/>
  <c r="J25" i="7"/>
  <c r="D53" i="7"/>
  <c r="I34" i="7"/>
  <c r="J34" i="7" s="1"/>
  <c r="I21" i="7"/>
  <c r="K21" i="7" s="1"/>
  <c r="I27" i="7"/>
  <c r="K27" i="7" s="1"/>
  <c r="J29" i="7"/>
  <c r="I52" i="7"/>
  <c r="J52" i="7" s="1"/>
  <c r="I9" i="7"/>
  <c r="J4" i="7"/>
  <c r="F4" i="7"/>
  <c r="E9" i="7"/>
  <c r="F9" i="7" s="1"/>
  <c r="E27" i="7"/>
  <c r="J32" i="7"/>
  <c r="J16" i="7"/>
  <c r="J31" i="7"/>
  <c r="J41" i="7"/>
  <c r="F52" i="7"/>
  <c r="K9" i="7" l="1"/>
  <c r="I28" i="7"/>
  <c r="K28" i="7" s="1"/>
  <c r="J27" i="7"/>
  <c r="J9" i="7"/>
  <c r="J21" i="7"/>
  <c r="E53" i="7"/>
  <c r="F48" i="7" s="1"/>
  <c r="I46" i="7"/>
  <c r="J46" i="7" s="1"/>
  <c r="J47" i="7"/>
  <c r="J22" i="7"/>
  <c r="E28" i="7"/>
  <c r="F27" i="7"/>
  <c r="F22" i="7"/>
  <c r="F53" i="7" l="1"/>
  <c r="I53" i="7"/>
  <c r="J53" i="7" s="1"/>
  <c r="F23" i="7"/>
  <c r="F28" i="7"/>
  <c r="J23" i="7"/>
  <c r="J28" i="7"/>
  <c r="J48" i="7" l="1"/>
  <c r="E9" i="5"/>
  <c r="I9" i="5"/>
  <c r="J9" i="5"/>
  <c r="E10" i="5"/>
  <c r="I10" i="5"/>
  <c r="J10" i="5"/>
  <c r="E11" i="5"/>
  <c r="I11" i="5"/>
  <c r="J11" i="5"/>
  <c r="C12" i="5"/>
  <c r="D12" i="5"/>
  <c r="F12" i="5"/>
  <c r="G12" i="5"/>
  <c r="H12" i="5"/>
  <c r="E13" i="5"/>
  <c r="I13" i="5"/>
  <c r="J13" i="5"/>
  <c r="E14" i="5"/>
  <c r="I14" i="5"/>
  <c r="J14" i="5"/>
  <c r="C15" i="5"/>
  <c r="D15" i="5"/>
  <c r="F15" i="5"/>
  <c r="G15" i="5"/>
  <c r="H15" i="5"/>
  <c r="F19" i="5"/>
  <c r="D19" i="5"/>
  <c r="C19" i="5"/>
  <c r="J18" i="5"/>
  <c r="E18" i="5"/>
  <c r="J17" i="5"/>
  <c r="E17" i="5"/>
  <c r="E16" i="5"/>
  <c r="F8" i="5"/>
  <c r="D8" i="5"/>
  <c r="C8" i="5"/>
  <c r="J7" i="5"/>
  <c r="I7" i="5"/>
  <c r="E7" i="5"/>
  <c r="J6" i="5"/>
  <c r="G8" i="5"/>
  <c r="E6" i="5"/>
  <c r="J5" i="5"/>
  <c r="I5" i="5"/>
  <c r="E5" i="5"/>
  <c r="J4" i="5"/>
  <c r="I4" i="5"/>
  <c r="E4" i="5"/>
  <c r="E12" i="5" l="1"/>
  <c r="I12" i="5"/>
  <c r="F21" i="5"/>
  <c r="J15" i="5"/>
  <c r="E15" i="5"/>
  <c r="J12" i="5"/>
  <c r="I16" i="5"/>
  <c r="I15" i="5"/>
  <c r="I6" i="5"/>
  <c r="H8" i="5"/>
  <c r="I8" i="5" s="1"/>
  <c r="J16" i="5"/>
  <c r="I17" i="5"/>
  <c r="C21" i="5"/>
  <c r="G19" i="5"/>
  <c r="G21" i="5" s="1"/>
  <c r="E8" i="5"/>
  <c r="E19" i="5"/>
  <c r="E20" i="5" s="1"/>
  <c r="H19" i="5"/>
  <c r="D21" i="5"/>
  <c r="I18" i="5"/>
  <c r="J8" i="5" l="1"/>
  <c r="E21" i="5"/>
  <c r="J19" i="5"/>
  <c r="I19" i="5"/>
  <c r="H21" i="5"/>
  <c r="J21" i="5" l="1"/>
  <c r="I21" i="5"/>
  <c r="I43" i="2" l="1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8" i="2"/>
  <c r="H8" i="2"/>
  <c r="I7" i="2"/>
  <c r="H7" i="2"/>
  <c r="I6" i="2"/>
  <c r="H6" i="2"/>
  <c r="I5" i="2"/>
  <c r="O19" i="2"/>
  <c r="H19" i="2" s="1"/>
  <c r="AQ43" i="2" l="1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 s="1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O9" i="2"/>
  <c r="AN9" i="2"/>
  <c r="AN10" i="2" s="1"/>
  <c r="AM9" i="2"/>
  <c r="AL9" i="2"/>
  <c r="AK9" i="2"/>
  <c r="AJ9" i="2"/>
  <c r="AJ10" i="2" s="1"/>
  <c r="AI9" i="2"/>
  <c r="AH9" i="2"/>
  <c r="AG9" i="2"/>
  <c r="AF9" i="2"/>
  <c r="AF10" i="2" s="1"/>
  <c r="AE9" i="2"/>
  <c r="AD9" i="2"/>
  <c r="AQ8" i="2"/>
  <c r="AQ7" i="2"/>
  <c r="AQ9" i="2" s="1"/>
  <c r="AP9" i="2"/>
  <c r="AQ6" i="2"/>
  <c r="AQ5" i="2"/>
  <c r="P27" i="2"/>
  <c r="Q27" i="2"/>
  <c r="R27" i="2"/>
  <c r="S27" i="2"/>
  <c r="T27" i="2"/>
  <c r="U27" i="2"/>
  <c r="V27" i="2"/>
  <c r="W27" i="2"/>
  <c r="X27" i="2"/>
  <c r="Y27" i="2"/>
  <c r="Z27" i="2"/>
  <c r="AA27" i="2"/>
  <c r="P9" i="2"/>
  <c r="P10" i="2" s="1"/>
  <c r="Q9" i="2"/>
  <c r="R9" i="2"/>
  <c r="S9" i="2"/>
  <c r="S10" i="2" s="1"/>
  <c r="T9" i="2"/>
  <c r="U9" i="2"/>
  <c r="U10" i="2" s="1"/>
  <c r="V9" i="2"/>
  <c r="W9" i="2"/>
  <c r="W10" i="2" s="1"/>
  <c r="X9" i="2"/>
  <c r="Y9" i="2"/>
  <c r="Z9" i="2"/>
  <c r="Q10" i="2"/>
  <c r="X10" i="2"/>
  <c r="Y10" i="2"/>
  <c r="Z10" i="2"/>
  <c r="P11" i="2"/>
  <c r="Q11" i="2"/>
  <c r="Q26" i="2" s="1"/>
  <c r="Q44" i="2" s="1"/>
  <c r="R11" i="2"/>
  <c r="S11" i="2"/>
  <c r="T11" i="2"/>
  <c r="U11" i="2"/>
  <c r="V11" i="2"/>
  <c r="W11" i="2"/>
  <c r="X11" i="2"/>
  <c r="Y11" i="2"/>
  <c r="Z11" i="2"/>
  <c r="O27" i="2"/>
  <c r="O11" i="2"/>
  <c r="O9" i="2"/>
  <c r="O10" i="2" s="1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 s="1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8" i="2"/>
  <c r="AA9" i="2"/>
  <c r="AB7" i="2"/>
  <c r="AB6" i="2"/>
  <c r="H5" i="2"/>
  <c r="C25" i="2"/>
  <c r="B25" i="2"/>
  <c r="C24" i="2"/>
  <c r="B24" i="2"/>
  <c r="C23" i="2"/>
  <c r="B23" i="2"/>
  <c r="C22" i="2"/>
  <c r="B22" i="2"/>
  <c r="C21" i="2"/>
  <c r="B21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B6" i="2"/>
  <c r="C6" i="2"/>
  <c r="B7" i="2"/>
  <c r="C7" i="2"/>
  <c r="B8" i="2"/>
  <c r="C8" i="2"/>
  <c r="C5" i="2"/>
  <c r="B5" i="2"/>
  <c r="EJ8" i="1"/>
  <c r="EK5" i="1" s="1"/>
  <c r="AC40" i="1" s="1"/>
  <c r="EL8" i="1"/>
  <c r="EM6" i="1" s="1"/>
  <c r="U42" i="1" l="1"/>
  <c r="AC28" i="1"/>
  <c r="Y31" i="1"/>
  <c r="U34" i="1"/>
  <c r="AC36" i="1"/>
  <c r="Y40" i="1"/>
  <c r="Y43" i="1"/>
  <c r="EK7" i="1"/>
  <c r="AC29" i="1"/>
  <c r="Y32" i="1"/>
  <c r="U35" i="1"/>
  <c r="AC37" i="1"/>
  <c r="AC43" i="1"/>
  <c r="AB50" i="1"/>
  <c r="X50" i="1"/>
  <c r="T50" i="1"/>
  <c r="AB49" i="1"/>
  <c r="X49" i="1"/>
  <c r="T49" i="1"/>
  <c r="AB48" i="1"/>
  <c r="X48" i="1"/>
  <c r="T48" i="1"/>
  <c r="AA50" i="1"/>
  <c r="W50" i="1"/>
  <c r="S50" i="1"/>
  <c r="AA49" i="1"/>
  <c r="W49" i="1"/>
  <c r="S49" i="1"/>
  <c r="AA48" i="1"/>
  <c r="W48" i="1"/>
  <c r="S48" i="1"/>
  <c r="AA47" i="1"/>
  <c r="AD50" i="1"/>
  <c r="Z50" i="1"/>
  <c r="V50" i="1"/>
  <c r="AD49" i="1"/>
  <c r="Z49" i="1"/>
  <c r="V49" i="1"/>
  <c r="AD48" i="1"/>
  <c r="Z48" i="1"/>
  <c r="V48" i="1"/>
  <c r="AC50" i="1"/>
  <c r="Y50" i="1"/>
  <c r="U50" i="1"/>
  <c r="AC49" i="1"/>
  <c r="AC53" i="1" s="1"/>
  <c r="Y49" i="1"/>
  <c r="U49" i="1"/>
  <c r="AC48" i="1"/>
  <c r="Y48" i="1"/>
  <c r="U48" i="1"/>
  <c r="Z47" i="1"/>
  <c r="Z54" i="1" s="1"/>
  <c r="V47" i="1"/>
  <c r="AD47" i="1"/>
  <c r="U47" i="1"/>
  <c r="U54" i="1" s="1"/>
  <c r="AC47" i="1"/>
  <c r="AC54" i="1" s="1"/>
  <c r="T47" i="1"/>
  <c r="AB47" i="1"/>
  <c r="AB54" i="1" s="1"/>
  <c r="W47" i="1"/>
  <c r="W54" i="1" s="1"/>
  <c r="Y47" i="1"/>
  <c r="Y54" i="1" s="1"/>
  <c r="X47" i="1"/>
  <c r="S47" i="1"/>
  <c r="Y28" i="1"/>
  <c r="U31" i="1"/>
  <c r="AC33" i="1"/>
  <c r="Y36" i="1"/>
  <c r="Y39" i="1"/>
  <c r="EK6" i="1"/>
  <c r="U30" i="1"/>
  <c r="AC32" i="1"/>
  <c r="Y35" i="1"/>
  <c r="U38" i="1"/>
  <c r="AC41" i="1"/>
  <c r="BU50" i="1"/>
  <c r="BQ50" i="1"/>
  <c r="BM50" i="1"/>
  <c r="BU49" i="1"/>
  <c r="BQ49" i="1"/>
  <c r="BM49" i="1"/>
  <c r="BU48" i="1"/>
  <c r="BQ48" i="1"/>
  <c r="BM48" i="1"/>
  <c r="BU47" i="1"/>
  <c r="BQ47" i="1"/>
  <c r="BQ54" i="1" s="1"/>
  <c r="BM47" i="1"/>
  <c r="BT50" i="1"/>
  <c r="BP50" i="1"/>
  <c r="BL50" i="1"/>
  <c r="BT49" i="1"/>
  <c r="BP49" i="1"/>
  <c r="BL49" i="1"/>
  <c r="BT48" i="1"/>
  <c r="BP48" i="1"/>
  <c r="BL48" i="1"/>
  <c r="BT47" i="1"/>
  <c r="BP47" i="1"/>
  <c r="BP54" i="1" s="1"/>
  <c r="BL47" i="1"/>
  <c r="BW50" i="1"/>
  <c r="BS50" i="1"/>
  <c r="BO50" i="1"/>
  <c r="BW49" i="1"/>
  <c r="BS49" i="1"/>
  <c r="BO49" i="1"/>
  <c r="BW48" i="1"/>
  <c r="BS48" i="1"/>
  <c r="BO48" i="1"/>
  <c r="BW47" i="1"/>
  <c r="BS47" i="1"/>
  <c r="BS54" i="1" s="1"/>
  <c r="BO47" i="1"/>
  <c r="BV50" i="1"/>
  <c r="BR50" i="1"/>
  <c r="BN50" i="1"/>
  <c r="BV49" i="1"/>
  <c r="BR49" i="1"/>
  <c r="BN49" i="1"/>
  <c r="BV48" i="1"/>
  <c r="BR48" i="1"/>
  <c r="BN48" i="1"/>
  <c r="BV47" i="1"/>
  <c r="BR47" i="1"/>
  <c r="BR54" i="1" s="1"/>
  <c r="BN47" i="1"/>
  <c r="CJ38" i="1"/>
  <c r="CJ50" i="1"/>
  <c r="CF50" i="1"/>
  <c r="CB50" i="1"/>
  <c r="CJ49" i="1"/>
  <c r="CF49" i="1"/>
  <c r="CB49" i="1"/>
  <c r="CJ48" i="1"/>
  <c r="CF48" i="1"/>
  <c r="CB48" i="1"/>
  <c r="CJ47" i="1"/>
  <c r="CJ54" i="1" s="1"/>
  <c r="CF47" i="1"/>
  <c r="CB47" i="1"/>
  <c r="CB54" i="1" s="1"/>
  <c r="CI50" i="1"/>
  <c r="CE50" i="1"/>
  <c r="CA50" i="1"/>
  <c r="CI49" i="1"/>
  <c r="CE49" i="1"/>
  <c r="CA49" i="1"/>
  <c r="CI48" i="1"/>
  <c r="CE48" i="1"/>
  <c r="CA48" i="1"/>
  <c r="CI47" i="1"/>
  <c r="CI54" i="1" s="1"/>
  <c r="CE47" i="1"/>
  <c r="CA47" i="1"/>
  <c r="CL50" i="1"/>
  <c r="CH50" i="1"/>
  <c r="CD50" i="1"/>
  <c r="CL49" i="1"/>
  <c r="CH49" i="1"/>
  <c r="CD49" i="1"/>
  <c r="CL48" i="1"/>
  <c r="CH48" i="1"/>
  <c r="CD48" i="1"/>
  <c r="CL47" i="1"/>
  <c r="CL54" i="1" s="1"/>
  <c r="CH47" i="1"/>
  <c r="CD47" i="1"/>
  <c r="CD54" i="1" s="1"/>
  <c r="CK50" i="1"/>
  <c r="CG50" i="1"/>
  <c r="CC50" i="1"/>
  <c r="CK49" i="1"/>
  <c r="CG49" i="1"/>
  <c r="CC49" i="1"/>
  <c r="CK48" i="1"/>
  <c r="CG48" i="1"/>
  <c r="CC48" i="1"/>
  <c r="CK47" i="1"/>
  <c r="CK54" i="1" s="1"/>
  <c r="CG47" i="1"/>
  <c r="CC47" i="1"/>
  <c r="CC54" i="1" s="1"/>
  <c r="CJ31" i="1"/>
  <c r="CB37" i="1"/>
  <c r="BB50" i="1"/>
  <c r="AX49" i="1"/>
  <c r="BF47" i="1"/>
  <c r="BA50" i="1"/>
  <c r="AW49" i="1"/>
  <c r="BE47" i="1"/>
  <c r="BD50" i="1"/>
  <c r="AZ49" i="1"/>
  <c r="BH47" i="1"/>
  <c r="BC50" i="1"/>
  <c r="AY49" i="1"/>
  <c r="BG47" i="1"/>
  <c r="BD36" i="1"/>
  <c r="CB33" i="1"/>
  <c r="CF41" i="1"/>
  <c r="Z26" i="2"/>
  <c r="Z44" i="2" s="1"/>
  <c r="X26" i="2"/>
  <c r="X44" i="2" s="1"/>
  <c r="V26" i="2"/>
  <c r="V44" i="2" s="1"/>
  <c r="V10" i="2"/>
  <c r="BE29" i="1"/>
  <c r="BW43" i="1"/>
  <c r="BS43" i="1"/>
  <c r="BO43" i="1"/>
  <c r="BW42" i="1"/>
  <c r="G42" i="1" s="1"/>
  <c r="BS42" i="1"/>
  <c r="BO42" i="1"/>
  <c r="BW41" i="1"/>
  <c r="G41" i="1" s="1"/>
  <c r="BS41" i="1"/>
  <c r="BO41" i="1"/>
  <c r="BW40" i="1"/>
  <c r="BS40" i="1"/>
  <c r="BS53" i="1" s="1"/>
  <c r="BO40" i="1"/>
  <c r="BW39" i="1"/>
  <c r="G39" i="1" s="1"/>
  <c r="BS39" i="1"/>
  <c r="BO39" i="1"/>
  <c r="C39" i="2" s="1"/>
  <c r="BW38" i="1"/>
  <c r="G38" i="1" s="1"/>
  <c r="BS38" i="1"/>
  <c r="BO38" i="1"/>
  <c r="BW37" i="1"/>
  <c r="G37" i="1" s="1"/>
  <c r="BS37" i="1"/>
  <c r="BO37" i="1"/>
  <c r="BW36" i="1"/>
  <c r="G36" i="1" s="1"/>
  <c r="BS36" i="1"/>
  <c r="BO36" i="1"/>
  <c r="BW35" i="1"/>
  <c r="G35" i="1" s="1"/>
  <c r="BS35" i="1"/>
  <c r="BO35" i="1"/>
  <c r="C35" i="2" s="1"/>
  <c r="BW34" i="1"/>
  <c r="G34" i="1" s="1"/>
  <c r="BS34" i="1"/>
  <c r="BO34" i="1"/>
  <c r="BW33" i="1"/>
  <c r="G33" i="1" s="1"/>
  <c r="BS33" i="1"/>
  <c r="BO33" i="1"/>
  <c r="BW32" i="1"/>
  <c r="G32" i="1" s="1"/>
  <c r="BS32" i="1"/>
  <c r="BO32" i="1"/>
  <c r="BV43" i="1"/>
  <c r="BR43" i="1"/>
  <c r="BN43" i="1"/>
  <c r="BV42" i="1"/>
  <c r="BR42" i="1"/>
  <c r="BN42" i="1"/>
  <c r="BV41" i="1"/>
  <c r="BR41" i="1"/>
  <c r="BN41" i="1"/>
  <c r="BV40" i="1"/>
  <c r="BV53" i="1" s="1"/>
  <c r="BR40" i="1"/>
  <c r="BR53" i="1" s="1"/>
  <c r="BN40" i="1"/>
  <c r="BN53" i="1" s="1"/>
  <c r="BV39" i="1"/>
  <c r="BR39" i="1"/>
  <c r="BN39" i="1"/>
  <c r="BV38" i="1"/>
  <c r="BR38" i="1"/>
  <c r="BN38" i="1"/>
  <c r="BV37" i="1"/>
  <c r="BR37" i="1"/>
  <c r="BN37" i="1"/>
  <c r="BV36" i="1"/>
  <c r="BR36" i="1"/>
  <c r="BN36" i="1"/>
  <c r="BV35" i="1"/>
  <c r="BR35" i="1"/>
  <c r="BN35" i="1"/>
  <c r="BV34" i="1"/>
  <c r="BR34" i="1"/>
  <c r="BN34" i="1"/>
  <c r="BV33" i="1"/>
  <c r="BR33" i="1"/>
  <c r="BN33" i="1"/>
  <c r="BV32" i="1"/>
  <c r="BR32" i="1"/>
  <c r="BN32" i="1"/>
  <c r="BT43" i="1"/>
  <c r="BL43" i="1"/>
  <c r="BP42" i="1"/>
  <c r="BT41" i="1"/>
  <c r="BL41" i="1"/>
  <c r="BP40" i="1"/>
  <c r="BP53" i="1" s="1"/>
  <c r="BT39" i="1"/>
  <c r="BL39" i="1"/>
  <c r="BP38" i="1"/>
  <c r="BT37" i="1"/>
  <c r="BL37" i="1"/>
  <c r="BP36" i="1"/>
  <c r="BT35" i="1"/>
  <c r="BL35" i="1"/>
  <c r="BP34" i="1"/>
  <c r="BT33" i="1"/>
  <c r="BL33" i="1"/>
  <c r="BP32" i="1"/>
  <c r="BV31" i="1"/>
  <c r="BR31" i="1"/>
  <c r="BN31" i="1"/>
  <c r="BV30" i="1"/>
  <c r="BR30" i="1"/>
  <c r="BN30" i="1"/>
  <c r="BV29" i="1"/>
  <c r="BR29" i="1"/>
  <c r="BR52" i="1" s="1"/>
  <c r="BN29" i="1"/>
  <c r="BN52" i="1" s="1"/>
  <c r="BV28" i="1"/>
  <c r="BR28" i="1"/>
  <c r="BN28" i="1"/>
  <c r="BQ43" i="1"/>
  <c r="BU42" i="1"/>
  <c r="BM42" i="1"/>
  <c r="BQ41" i="1"/>
  <c r="BU40" i="1"/>
  <c r="BU53" i="1" s="1"/>
  <c r="BM40" i="1"/>
  <c r="BM53" i="1" s="1"/>
  <c r="BQ39" i="1"/>
  <c r="BU38" i="1"/>
  <c r="BM38" i="1"/>
  <c r="BQ37" i="1"/>
  <c r="BU36" i="1"/>
  <c r="BM36" i="1"/>
  <c r="BQ35" i="1"/>
  <c r="BU34" i="1"/>
  <c r="BM34" i="1"/>
  <c r="BQ33" i="1"/>
  <c r="BU32" i="1"/>
  <c r="BM32" i="1"/>
  <c r="BU31" i="1"/>
  <c r="BQ31" i="1"/>
  <c r="BM31" i="1"/>
  <c r="BU30" i="1"/>
  <c r="BQ30" i="1"/>
  <c r="BM30" i="1"/>
  <c r="BU29" i="1"/>
  <c r="BQ29" i="1"/>
  <c r="BQ52" i="1" s="1"/>
  <c r="BM29" i="1"/>
  <c r="BU28" i="1"/>
  <c r="BQ28" i="1"/>
  <c r="BM28" i="1"/>
  <c r="BP43" i="1"/>
  <c r="BL42" i="1"/>
  <c r="BT40" i="1"/>
  <c r="BT53" i="1" s="1"/>
  <c r="BP39" i="1"/>
  <c r="BL38" i="1"/>
  <c r="BT36" i="1"/>
  <c r="BP35" i="1"/>
  <c r="BL34" i="1"/>
  <c r="BT32" i="1"/>
  <c r="BT31" i="1"/>
  <c r="BL31" i="1"/>
  <c r="BP30" i="1"/>
  <c r="BT29" i="1"/>
  <c r="BT52" i="1" s="1"/>
  <c r="BL29" i="1"/>
  <c r="BP28" i="1"/>
  <c r="BM43" i="1"/>
  <c r="BU41" i="1"/>
  <c r="BQ40" i="1"/>
  <c r="BQ53" i="1" s="1"/>
  <c r="BM39" i="1"/>
  <c r="BU37" i="1"/>
  <c r="BQ36" i="1"/>
  <c r="BM35" i="1"/>
  <c r="BU33" i="1"/>
  <c r="BQ32" i="1"/>
  <c r="BS31" i="1"/>
  <c r="BW30" i="1"/>
  <c r="G30" i="1" s="1"/>
  <c r="BO30" i="1"/>
  <c r="BS29" i="1"/>
  <c r="BS52" i="1" s="1"/>
  <c r="BW28" i="1"/>
  <c r="G28" i="1" s="1"/>
  <c r="BO28" i="1"/>
  <c r="BM41" i="1"/>
  <c r="BQ38" i="1"/>
  <c r="BU35" i="1"/>
  <c r="BM33" i="1"/>
  <c r="BO31" i="1"/>
  <c r="BW29" i="1"/>
  <c r="BS28" i="1"/>
  <c r="BT42" i="1"/>
  <c r="BP41" i="1"/>
  <c r="BL40" i="1"/>
  <c r="BT38" i="1"/>
  <c r="BP37" i="1"/>
  <c r="BL36" i="1"/>
  <c r="BT34" i="1"/>
  <c r="BP33" i="1"/>
  <c r="BL32" i="1"/>
  <c r="BP31" i="1"/>
  <c r="BT30" i="1"/>
  <c r="BL30" i="1"/>
  <c r="BP29" i="1"/>
  <c r="BP52" i="1" s="1"/>
  <c r="BT28" i="1"/>
  <c r="BL28" i="1"/>
  <c r="BU43" i="1"/>
  <c r="BQ42" i="1"/>
  <c r="BU39" i="1"/>
  <c r="BM37" i="1"/>
  <c r="BQ34" i="1"/>
  <c r="BW31" i="1"/>
  <c r="G31" i="1" s="1"/>
  <c r="BS30" i="1"/>
  <c r="BO29" i="1"/>
  <c r="EM7" i="1"/>
  <c r="EM5" i="1"/>
  <c r="EM8" i="1"/>
  <c r="BC42" i="1"/>
  <c r="AY41" i="1"/>
  <c r="BG39" i="1"/>
  <c r="AY38" i="1"/>
  <c r="BG36" i="1"/>
  <c r="BC35" i="1"/>
  <c r="AY34" i="1"/>
  <c r="BG32" i="1"/>
  <c r="BB42" i="1"/>
  <c r="AX41" i="1"/>
  <c r="BF39" i="1"/>
  <c r="AX38" i="1"/>
  <c r="BF36" i="1"/>
  <c r="BB35" i="1"/>
  <c r="AX34" i="1"/>
  <c r="BE43" i="1"/>
  <c r="BA40" i="1"/>
  <c r="AW37" i="1"/>
  <c r="BA34" i="1"/>
  <c r="AZ32" i="1"/>
  <c r="BH30" i="1"/>
  <c r="BD29" i="1"/>
  <c r="AZ28" i="1"/>
  <c r="BH42" i="1"/>
  <c r="AZ40" i="1"/>
  <c r="AZ53" i="1" s="1"/>
  <c r="BD37" i="1"/>
  <c r="BH34" i="1"/>
  <c r="F34" i="1" s="1"/>
  <c r="BC32" i="1"/>
  <c r="AY31" i="1"/>
  <c r="BG29" i="1"/>
  <c r="BC28" i="1"/>
  <c r="BD40" i="1"/>
  <c r="AW42" i="1"/>
  <c r="BA39" i="1"/>
  <c r="BE36" i="1"/>
  <c r="AW34" i="1"/>
  <c r="AX32" i="1"/>
  <c r="BF30" i="1"/>
  <c r="BB29" i="1"/>
  <c r="AX28" i="1"/>
  <c r="BD38" i="1"/>
  <c r="U29" i="1"/>
  <c r="Y30" i="1"/>
  <c r="AC31" i="1"/>
  <c r="U33" i="1"/>
  <c r="Y34" i="1"/>
  <c r="AC35" i="1"/>
  <c r="U37" i="1"/>
  <c r="Y38" i="1"/>
  <c r="AC39" i="1"/>
  <c r="U41" i="1"/>
  <c r="Y42" i="1"/>
  <c r="BE32" i="1"/>
  <c r="AB43" i="1"/>
  <c r="AB51" i="1" s="1"/>
  <c r="X43" i="1"/>
  <c r="AB42" i="1"/>
  <c r="X42" i="1"/>
  <c r="T42" i="1"/>
  <c r="AB41" i="1"/>
  <c r="X41" i="1"/>
  <c r="T41" i="1"/>
  <c r="AB40" i="1"/>
  <c r="AB53" i="1" s="1"/>
  <c r="X40" i="1"/>
  <c r="X53" i="1" s="1"/>
  <c r="T40" i="1"/>
  <c r="T53" i="1" s="1"/>
  <c r="AB39" i="1"/>
  <c r="X39" i="1"/>
  <c r="AB38" i="1"/>
  <c r="X38" i="1"/>
  <c r="T38" i="1"/>
  <c r="AB37" i="1"/>
  <c r="X37" i="1"/>
  <c r="T37" i="1"/>
  <c r="AB36" i="1"/>
  <c r="X36" i="1"/>
  <c r="T36" i="1"/>
  <c r="AB35" i="1"/>
  <c r="X35" i="1"/>
  <c r="T35" i="1"/>
  <c r="AB34" i="1"/>
  <c r="X34" i="1"/>
  <c r="T34" i="1"/>
  <c r="AB33" i="1"/>
  <c r="X33" i="1"/>
  <c r="T33" i="1"/>
  <c r="AB32" i="1"/>
  <c r="X32" i="1"/>
  <c r="T32" i="1"/>
  <c r="AB31" i="1"/>
  <c r="X31" i="1"/>
  <c r="T31" i="1"/>
  <c r="AB30" i="1"/>
  <c r="X30" i="1"/>
  <c r="T30" i="1"/>
  <c r="AB29" i="1"/>
  <c r="AB52" i="1" s="1"/>
  <c r="X29" i="1"/>
  <c r="X52" i="1" s="1"/>
  <c r="T29" i="1"/>
  <c r="T52" i="1" s="1"/>
  <c r="AB28" i="1"/>
  <c r="X28" i="1"/>
  <c r="T28" i="1"/>
  <c r="AA43" i="1"/>
  <c r="AA51" i="1" s="1"/>
  <c r="W43" i="1"/>
  <c r="AA42" i="1"/>
  <c r="W42" i="1"/>
  <c r="S42" i="1"/>
  <c r="AA41" i="1"/>
  <c r="W41" i="1"/>
  <c r="S41" i="1"/>
  <c r="AA40" i="1"/>
  <c r="AA53" i="1" s="1"/>
  <c r="W40" i="1"/>
  <c r="S40" i="1"/>
  <c r="S53" i="1" s="1"/>
  <c r="AA39" i="1"/>
  <c r="W39" i="1"/>
  <c r="AA38" i="1"/>
  <c r="W38" i="1"/>
  <c r="S38" i="1"/>
  <c r="AA37" i="1"/>
  <c r="W37" i="1"/>
  <c r="S37" i="1"/>
  <c r="AA36" i="1"/>
  <c r="W36" i="1"/>
  <c r="S36" i="1"/>
  <c r="AA35" i="1"/>
  <c r="W35" i="1"/>
  <c r="S35" i="1"/>
  <c r="AA34" i="1"/>
  <c r="W34" i="1"/>
  <c r="S34" i="1"/>
  <c r="AA33" i="1"/>
  <c r="W33" i="1"/>
  <c r="S33" i="1"/>
  <c r="AA32" i="1"/>
  <c r="W32" i="1"/>
  <c r="S32" i="1"/>
  <c r="AA31" i="1"/>
  <c r="W31" i="1"/>
  <c r="AA30" i="1"/>
  <c r="W30" i="1"/>
  <c r="S30" i="1"/>
  <c r="AA29" i="1"/>
  <c r="W29" i="1"/>
  <c r="W52" i="1" s="1"/>
  <c r="S29" i="1"/>
  <c r="S52" i="1" s="1"/>
  <c r="AA28" i="1"/>
  <c r="W28" i="1"/>
  <c r="S28" i="1"/>
  <c r="AD43" i="1"/>
  <c r="Z43" i="1"/>
  <c r="V43" i="1"/>
  <c r="AD42" i="1"/>
  <c r="Z42" i="1"/>
  <c r="V42" i="1"/>
  <c r="AD41" i="1"/>
  <c r="B41" i="1" s="1"/>
  <c r="Z41" i="1"/>
  <c r="V41" i="1"/>
  <c r="AD40" i="1"/>
  <c r="AD53" i="1" s="1"/>
  <c r="Z40" i="1"/>
  <c r="Z53" i="1" s="1"/>
  <c r="V40" i="1"/>
  <c r="V53" i="1" s="1"/>
  <c r="AD39" i="1"/>
  <c r="Z39" i="1"/>
  <c r="V39" i="1"/>
  <c r="AD38" i="1"/>
  <c r="Z38" i="1"/>
  <c r="V38" i="1"/>
  <c r="AD37" i="1"/>
  <c r="B37" i="1" s="1"/>
  <c r="Z37" i="1"/>
  <c r="V37" i="1"/>
  <c r="AD36" i="1"/>
  <c r="Z36" i="1"/>
  <c r="V36" i="1"/>
  <c r="AD35" i="1"/>
  <c r="Z35" i="1"/>
  <c r="V35" i="1"/>
  <c r="AD34" i="1"/>
  <c r="B34" i="1" s="1"/>
  <c r="Z34" i="1"/>
  <c r="V34" i="1"/>
  <c r="AD33" i="1"/>
  <c r="B33" i="1" s="1"/>
  <c r="Z33" i="1"/>
  <c r="V33" i="1"/>
  <c r="AD32" i="1"/>
  <c r="Z32" i="1"/>
  <c r="V32" i="1"/>
  <c r="AD31" i="1"/>
  <c r="Z31" i="1"/>
  <c r="V31" i="1"/>
  <c r="AD30" i="1"/>
  <c r="Z30" i="1"/>
  <c r="V30" i="1"/>
  <c r="AD29" i="1"/>
  <c r="AD52" i="1" s="1"/>
  <c r="Z29" i="1"/>
  <c r="Z52" i="1" s="1"/>
  <c r="V29" i="1"/>
  <c r="V52" i="1" s="1"/>
  <c r="AD28" i="1"/>
  <c r="Z28" i="1"/>
  <c r="V28" i="1"/>
  <c r="U28" i="1"/>
  <c r="Y29" i="1"/>
  <c r="AC30" i="1"/>
  <c r="U32" i="1"/>
  <c r="Y33" i="1"/>
  <c r="AC34" i="1"/>
  <c r="U36" i="1"/>
  <c r="Y37" i="1"/>
  <c r="AC38" i="1"/>
  <c r="U40" i="1"/>
  <c r="Y41" i="1"/>
  <c r="AC42" i="1"/>
  <c r="AZ33" i="1"/>
  <c r="EK8" i="1"/>
  <c r="CA28" i="1"/>
  <c r="CE29" i="1"/>
  <c r="CI30" i="1"/>
  <c r="CA32" i="1"/>
  <c r="CE33" i="1"/>
  <c r="CI34" i="1"/>
  <c r="CA36" i="1"/>
  <c r="CE37" i="1"/>
  <c r="CF42" i="1"/>
  <c r="CF28" i="1"/>
  <c r="CJ29" i="1"/>
  <c r="CB31" i="1"/>
  <c r="CF32" i="1"/>
  <c r="CJ33" i="1"/>
  <c r="CB35" i="1"/>
  <c r="CF36" i="1"/>
  <c r="CI43" i="1"/>
  <c r="CE43" i="1"/>
  <c r="CI42" i="1"/>
  <c r="CE42" i="1"/>
  <c r="CA42" i="1"/>
  <c r="CI41" i="1"/>
  <c r="CE41" i="1"/>
  <c r="CA41" i="1"/>
  <c r="CI40" i="1"/>
  <c r="CI53" i="1" s="1"/>
  <c r="CE40" i="1"/>
  <c r="CE53" i="1" s="1"/>
  <c r="CA40" i="1"/>
  <c r="CI39" i="1"/>
  <c r="CE39" i="1"/>
  <c r="CI38" i="1"/>
  <c r="CE38" i="1"/>
  <c r="CA38" i="1"/>
  <c r="CI37" i="1"/>
  <c r="CL43" i="1"/>
  <c r="CH43" i="1"/>
  <c r="CD43" i="1"/>
  <c r="CL42" i="1"/>
  <c r="CH42" i="1"/>
  <c r="CD42" i="1"/>
  <c r="CL41" i="1"/>
  <c r="J41" i="1" s="1"/>
  <c r="CH41" i="1"/>
  <c r="CD41" i="1"/>
  <c r="CL40" i="1"/>
  <c r="CL53" i="1" s="1"/>
  <c r="CH40" i="1"/>
  <c r="CH53" i="1" s="1"/>
  <c r="CD40" i="1"/>
  <c r="CL39" i="1"/>
  <c r="CH39" i="1"/>
  <c r="CD39" i="1"/>
  <c r="CL38" i="1"/>
  <c r="CH38" i="1"/>
  <c r="CD38" i="1"/>
  <c r="CL37" i="1"/>
  <c r="J37" i="1" s="1"/>
  <c r="CH37" i="1"/>
  <c r="CK43" i="1"/>
  <c r="CG43" i="1"/>
  <c r="CK42" i="1"/>
  <c r="CG42" i="1"/>
  <c r="CC42" i="1"/>
  <c r="CK41" i="1"/>
  <c r="CG41" i="1"/>
  <c r="CC41" i="1"/>
  <c r="CK40" i="1"/>
  <c r="CK53" i="1" s="1"/>
  <c r="CG40" i="1"/>
  <c r="CG53" i="1" s="1"/>
  <c r="CC40" i="1"/>
  <c r="CK39" i="1"/>
  <c r="CG39" i="1"/>
  <c r="CK38" i="1"/>
  <c r="CG38" i="1"/>
  <c r="CC38" i="1"/>
  <c r="CK37" i="1"/>
  <c r="CG37" i="1"/>
  <c r="CF43" i="1"/>
  <c r="CB42" i="1"/>
  <c r="CJ40" i="1"/>
  <c r="CJ53" i="1" s="1"/>
  <c r="CF39" i="1"/>
  <c r="CB38" i="1"/>
  <c r="CD37" i="1"/>
  <c r="CL36" i="1"/>
  <c r="CH36" i="1"/>
  <c r="CD36" i="1"/>
  <c r="CL35" i="1"/>
  <c r="CH35" i="1"/>
  <c r="CD35" i="1"/>
  <c r="CL34" i="1"/>
  <c r="J34" i="1" s="1"/>
  <c r="CH34" i="1"/>
  <c r="CD34" i="1"/>
  <c r="CL33" i="1"/>
  <c r="J33" i="1" s="1"/>
  <c r="CH33" i="1"/>
  <c r="CD33" i="1"/>
  <c r="CL32" i="1"/>
  <c r="CH32" i="1"/>
  <c r="CD32" i="1"/>
  <c r="CL31" i="1"/>
  <c r="CH31" i="1"/>
  <c r="CD31" i="1"/>
  <c r="CL30" i="1"/>
  <c r="CH30" i="1"/>
  <c r="CD30" i="1"/>
  <c r="CL29" i="1"/>
  <c r="CL52" i="1" s="1"/>
  <c r="CH29" i="1"/>
  <c r="CH52" i="1" s="1"/>
  <c r="CD29" i="1"/>
  <c r="CD52" i="1" s="1"/>
  <c r="CL28" i="1"/>
  <c r="CH28" i="1"/>
  <c r="CD28" i="1"/>
  <c r="CJ41" i="1"/>
  <c r="CF40" i="1"/>
  <c r="CF53" i="1" s="1"/>
  <c r="CJ37" i="1"/>
  <c r="CC37" i="1"/>
  <c r="CK36" i="1"/>
  <c r="CG36" i="1"/>
  <c r="CC36" i="1"/>
  <c r="CK35" i="1"/>
  <c r="CG35" i="1"/>
  <c r="CC35" i="1"/>
  <c r="CK34" i="1"/>
  <c r="CG34" i="1"/>
  <c r="CC34" i="1"/>
  <c r="CK33" i="1"/>
  <c r="CG33" i="1"/>
  <c r="CC33" i="1"/>
  <c r="CK32" i="1"/>
  <c r="CG32" i="1"/>
  <c r="CC32" i="1"/>
  <c r="CK31" i="1"/>
  <c r="CG31" i="1"/>
  <c r="CC31" i="1"/>
  <c r="CK30" i="1"/>
  <c r="CG30" i="1"/>
  <c r="CC30" i="1"/>
  <c r="CK29" i="1"/>
  <c r="CK52" i="1" s="1"/>
  <c r="CG29" i="1"/>
  <c r="CG52" i="1" s="1"/>
  <c r="CC29" i="1"/>
  <c r="CC52" i="1" s="1"/>
  <c r="CK28" i="1"/>
  <c r="CG28" i="1"/>
  <c r="CC28" i="1"/>
  <c r="CJ43" i="1"/>
  <c r="CB41" i="1"/>
  <c r="CF38" i="1"/>
  <c r="CA37" i="1"/>
  <c r="CE36" i="1"/>
  <c r="CI35" i="1"/>
  <c r="CA35" i="1"/>
  <c r="CE34" i="1"/>
  <c r="CI33" i="1"/>
  <c r="CA33" i="1"/>
  <c r="CE32" i="1"/>
  <c r="CI31" i="1"/>
  <c r="CE30" i="1"/>
  <c r="CI29" i="1"/>
  <c r="CI52" i="1" s="1"/>
  <c r="CA29" i="1"/>
  <c r="CA52" i="1" s="1"/>
  <c r="CE28" i="1"/>
  <c r="CJ42" i="1"/>
  <c r="CB40" i="1"/>
  <c r="CF37" i="1"/>
  <c r="CJ36" i="1"/>
  <c r="CB36" i="1"/>
  <c r="CF35" i="1"/>
  <c r="CJ34" i="1"/>
  <c r="CB34" i="1"/>
  <c r="CF33" i="1"/>
  <c r="CJ32" i="1"/>
  <c r="CB32" i="1"/>
  <c r="CF31" i="1"/>
  <c r="CJ30" i="1"/>
  <c r="CB30" i="1"/>
  <c r="CF29" i="1"/>
  <c r="CF52" i="1" s="1"/>
  <c r="CJ28" i="1"/>
  <c r="CB28" i="1"/>
  <c r="CI28" i="1"/>
  <c r="CA30" i="1"/>
  <c r="CE31" i="1"/>
  <c r="CI32" i="1"/>
  <c r="CA34" i="1"/>
  <c r="CE35" i="1"/>
  <c r="CI36" i="1"/>
  <c r="CJ39" i="1"/>
  <c r="Y26" i="2"/>
  <c r="Y44" i="2" s="1"/>
  <c r="U26" i="2"/>
  <c r="U44" i="2" s="1"/>
  <c r="T10" i="2"/>
  <c r="T26" i="2"/>
  <c r="T44" i="2" s="1"/>
  <c r="O26" i="2"/>
  <c r="O44" i="2" s="1"/>
  <c r="P26" i="2"/>
  <c r="P44" i="2" s="1"/>
  <c r="W26" i="2"/>
  <c r="W44" i="2" s="1"/>
  <c r="S26" i="2"/>
  <c r="S44" i="2" s="1"/>
  <c r="AB9" i="2"/>
  <c r="AB10" i="2" s="1"/>
  <c r="AJ26" i="2"/>
  <c r="AJ44" i="2" s="1"/>
  <c r="AN26" i="2"/>
  <c r="AN44" i="2" s="1"/>
  <c r="R26" i="2"/>
  <c r="R44" i="2" s="1"/>
  <c r="R10" i="2"/>
  <c r="AA11" i="2"/>
  <c r="AA26" i="2" s="1"/>
  <c r="AA44" i="2" s="1"/>
  <c r="AB11" i="2"/>
  <c r="AA10" i="2"/>
  <c r="AF26" i="2"/>
  <c r="AF44" i="2" s="1"/>
  <c r="AQ11" i="2"/>
  <c r="AQ26" i="2" s="1"/>
  <c r="AQ44" i="2" s="1"/>
  <c r="AG26" i="2"/>
  <c r="AG44" i="2" s="1"/>
  <c r="AO26" i="2"/>
  <c r="AO44" i="2" s="1"/>
  <c r="AK26" i="2"/>
  <c r="AK44" i="2" s="1"/>
  <c r="AE26" i="2"/>
  <c r="AE44" i="2" s="1"/>
  <c r="AI26" i="2"/>
  <c r="AI44" i="2" s="1"/>
  <c r="AM26" i="2"/>
  <c r="AM44" i="2" s="1"/>
  <c r="AP11" i="2"/>
  <c r="AP26" i="2" s="1"/>
  <c r="AP44" i="2" s="1"/>
  <c r="AD26" i="2"/>
  <c r="AD44" i="2" s="1"/>
  <c r="AH26" i="2"/>
  <c r="AH44" i="2" s="1"/>
  <c r="AL26" i="2"/>
  <c r="AL44" i="2" s="1"/>
  <c r="AQ10" i="2"/>
  <c r="AP10" i="2"/>
  <c r="AG10" i="2"/>
  <c r="AK10" i="2"/>
  <c r="AO10" i="2"/>
  <c r="AD10" i="2"/>
  <c r="AH10" i="2"/>
  <c r="AL10" i="2"/>
  <c r="AE10" i="2"/>
  <c r="AI10" i="2"/>
  <c r="AM10" i="2"/>
  <c r="DR42" i="1"/>
  <c r="C30" i="2" l="1"/>
  <c r="CA54" i="1"/>
  <c r="CE52" i="1"/>
  <c r="C31" i="2"/>
  <c r="BU52" i="1"/>
  <c r="AC52" i="1"/>
  <c r="BD52" i="1"/>
  <c r="BH33" i="1"/>
  <c r="F33" i="1" s="1"/>
  <c r="B33" i="2" s="1"/>
  <c r="AW32" i="1"/>
  <c r="BE30" i="1"/>
  <c r="Y51" i="1"/>
  <c r="CM37" i="1"/>
  <c r="CG51" i="1"/>
  <c r="CH51" i="1"/>
  <c r="CA53" i="1"/>
  <c r="CJ52" i="1"/>
  <c r="BH35" i="1"/>
  <c r="AW29" i="1"/>
  <c r="AW52" i="1" s="1"/>
  <c r="W53" i="1"/>
  <c r="W51" i="1"/>
  <c r="AZ35" i="1"/>
  <c r="BE28" i="1"/>
  <c r="AZ37" i="1"/>
  <c r="AZ43" i="1"/>
  <c r="AX29" i="1"/>
  <c r="BB30" i="1"/>
  <c r="BF31" i="1"/>
  <c r="BA33" i="1"/>
  <c r="AW36" i="1"/>
  <c r="BE38" i="1"/>
  <c r="BA41" i="1"/>
  <c r="AZ39" i="1"/>
  <c r="AY28" i="1"/>
  <c r="BC29" i="1"/>
  <c r="BG30" i="1"/>
  <c r="AY32" i="1"/>
  <c r="AZ34" i="1"/>
  <c r="BH36" i="1"/>
  <c r="BD39" i="1"/>
  <c r="AZ42" i="1"/>
  <c r="BH43" i="1"/>
  <c r="AZ29" i="1"/>
  <c r="BD30" i="1"/>
  <c r="BH31" i="1"/>
  <c r="F31" i="1" s="1"/>
  <c r="B31" i="2" s="1"/>
  <c r="BE33" i="1"/>
  <c r="BA36" i="1"/>
  <c r="BE39" i="1"/>
  <c r="BA42" i="1"/>
  <c r="BF33" i="1"/>
  <c r="AX35" i="1"/>
  <c r="BB36" i="1"/>
  <c r="BF37" i="1"/>
  <c r="BB39" i="1"/>
  <c r="BF40" i="1"/>
  <c r="AX42" i="1"/>
  <c r="BF43" i="1"/>
  <c r="BG33" i="1"/>
  <c r="AY35" i="1"/>
  <c r="BC36" i="1"/>
  <c r="BG37" i="1"/>
  <c r="BG52" i="1" s="1"/>
  <c r="BC39" i="1"/>
  <c r="BG40" i="1"/>
  <c r="AY42" i="1"/>
  <c r="BG43" i="1"/>
  <c r="BO52" i="1"/>
  <c r="BX28" i="1"/>
  <c r="BX40" i="1"/>
  <c r="BL53" i="1"/>
  <c r="G29" i="1"/>
  <c r="C29" i="2" s="1"/>
  <c r="BW52" i="1"/>
  <c r="BM51" i="1"/>
  <c r="C32" i="2"/>
  <c r="C36" i="2"/>
  <c r="BO53" i="1"/>
  <c r="BA32" i="1"/>
  <c r="BC47" i="1"/>
  <c r="BG48" i="1"/>
  <c r="AY50" i="1"/>
  <c r="BD47" i="1"/>
  <c r="BH48" i="1"/>
  <c r="BH54" i="1" s="1"/>
  <c r="AZ50" i="1"/>
  <c r="BA47" i="1"/>
  <c r="BE48" i="1"/>
  <c r="BE54" i="1" s="1"/>
  <c r="AW50" i="1"/>
  <c r="BB47" i="1"/>
  <c r="BF48" i="1"/>
  <c r="BF54" i="1" s="1"/>
  <c r="AX50" i="1"/>
  <c r="CG54" i="1"/>
  <c r="CH54" i="1"/>
  <c r="CL51" i="1"/>
  <c r="CE54" i="1"/>
  <c r="CF54" i="1"/>
  <c r="BN54" i="1"/>
  <c r="BO54" i="1"/>
  <c r="BL54" i="1"/>
  <c r="BY47" i="1"/>
  <c r="BM54" i="1"/>
  <c r="X54" i="1"/>
  <c r="T54" i="1"/>
  <c r="V54" i="1"/>
  <c r="AA54" i="1"/>
  <c r="AF49" i="1"/>
  <c r="AE49" i="1"/>
  <c r="CJ35" i="1"/>
  <c r="CF34" i="1"/>
  <c r="CF30" i="1"/>
  <c r="CM30" i="1" s="1"/>
  <c r="CB29" i="1"/>
  <c r="CB52" i="1" s="1"/>
  <c r="BG54" i="1"/>
  <c r="AE48" i="1"/>
  <c r="AF48" i="1"/>
  <c r="CB53" i="1"/>
  <c r="CD53" i="1"/>
  <c r="BE31" i="1"/>
  <c r="V51" i="1"/>
  <c r="AA52" i="1"/>
  <c r="X51" i="1"/>
  <c r="BA31" i="1"/>
  <c r="BH39" i="1"/>
  <c r="BB28" i="1"/>
  <c r="BF29" i="1"/>
  <c r="AX31" i="1"/>
  <c r="BB32" i="1"/>
  <c r="BE34" i="1"/>
  <c r="BA37" i="1"/>
  <c r="AW40" i="1"/>
  <c r="AW53" i="1" s="1"/>
  <c r="BE42" i="1"/>
  <c r="BH41" i="1"/>
  <c r="F41" i="1" s="1"/>
  <c r="B41" i="2" s="1"/>
  <c r="BG28" i="1"/>
  <c r="AY30" i="1"/>
  <c r="BC31" i="1"/>
  <c r="BH32" i="1"/>
  <c r="F32" i="1" s="1"/>
  <c r="B32" i="2" s="1"/>
  <c r="BD35" i="1"/>
  <c r="AZ38" i="1"/>
  <c r="BH40" i="1"/>
  <c r="BD43" i="1"/>
  <c r="BD28" i="1"/>
  <c r="BH29" i="1"/>
  <c r="AZ31" i="1"/>
  <c r="BD32" i="1"/>
  <c r="AW35" i="1"/>
  <c r="BE37" i="1"/>
  <c r="AW41" i="1"/>
  <c r="AX33" i="1"/>
  <c r="BB34" i="1"/>
  <c r="BF35" i="1"/>
  <c r="AX37" i="1"/>
  <c r="BB38" i="1"/>
  <c r="AX40" i="1"/>
  <c r="AX53" i="1" s="1"/>
  <c r="BB41" i="1"/>
  <c r="BF42" i="1"/>
  <c r="AY33" i="1"/>
  <c r="BC34" i="1"/>
  <c r="BG35" i="1"/>
  <c r="AY37" i="1"/>
  <c r="BC38" i="1"/>
  <c r="AY40" i="1"/>
  <c r="AY53" i="1" s="1"/>
  <c r="BC41" i="1"/>
  <c r="BG42" i="1"/>
  <c r="AQ50" i="1"/>
  <c r="AM50" i="1"/>
  <c r="AI50" i="1"/>
  <c r="AQ49" i="1"/>
  <c r="AM49" i="1"/>
  <c r="AI49" i="1"/>
  <c r="AQ48" i="1"/>
  <c r="AM48" i="1"/>
  <c r="AI48" i="1"/>
  <c r="AQ47" i="1"/>
  <c r="AQ54" i="1" s="1"/>
  <c r="AM47" i="1"/>
  <c r="AP50" i="1"/>
  <c r="AL50" i="1"/>
  <c r="AH50" i="1"/>
  <c r="AP49" i="1"/>
  <c r="AL49" i="1"/>
  <c r="AH49" i="1"/>
  <c r="AP48" i="1"/>
  <c r="AL48" i="1"/>
  <c r="AH48" i="1"/>
  <c r="AP47" i="1"/>
  <c r="AP54" i="1" s="1"/>
  <c r="AL47" i="1"/>
  <c r="AL54" i="1" s="1"/>
  <c r="AH47" i="1"/>
  <c r="AS50" i="1"/>
  <c r="AO50" i="1"/>
  <c r="AK50" i="1"/>
  <c r="AS49" i="1"/>
  <c r="AO49" i="1"/>
  <c r="AK49" i="1"/>
  <c r="AS48" i="1"/>
  <c r="AO48" i="1"/>
  <c r="AK48" i="1"/>
  <c r="AS47" i="1"/>
  <c r="AS54" i="1" s="1"/>
  <c r="AO47" i="1"/>
  <c r="AO54" i="1" s="1"/>
  <c r="AR50" i="1"/>
  <c r="AN50" i="1"/>
  <c r="AJ50" i="1"/>
  <c r="AR49" i="1"/>
  <c r="AN49" i="1"/>
  <c r="AJ49" i="1"/>
  <c r="AR48" i="1"/>
  <c r="AN48" i="1"/>
  <c r="AJ48" i="1"/>
  <c r="AR47" i="1"/>
  <c r="AN47" i="1"/>
  <c r="AN54" i="1" s="1"/>
  <c r="AJ47" i="1"/>
  <c r="AJ54" i="1" s="1"/>
  <c r="AI47" i="1"/>
  <c r="AK47" i="1"/>
  <c r="AK54" i="1" s="1"/>
  <c r="C28" i="2"/>
  <c r="BL52" i="1"/>
  <c r="G40" i="1"/>
  <c r="C40" i="2" s="1"/>
  <c r="BW53" i="1"/>
  <c r="BA28" i="1"/>
  <c r="BA29" i="1"/>
  <c r="BA52" i="1" s="1"/>
  <c r="AY48" i="1"/>
  <c r="BC49" i="1"/>
  <c r="BG50" i="1"/>
  <c r="AZ48" i="1"/>
  <c r="BD49" i="1"/>
  <c r="BD53" i="1" s="1"/>
  <c r="BH50" i="1"/>
  <c r="AW48" i="1"/>
  <c r="BA49" i="1"/>
  <c r="BE50" i="1"/>
  <c r="AX48" i="1"/>
  <c r="BB49" i="1"/>
  <c r="BF50" i="1"/>
  <c r="AW28" i="1"/>
  <c r="BV54" i="1"/>
  <c r="BW54" i="1"/>
  <c r="BT54" i="1"/>
  <c r="BU54" i="1"/>
  <c r="Y53" i="1"/>
  <c r="BE52" i="1"/>
  <c r="CC53" i="1"/>
  <c r="BA30" i="1"/>
  <c r="U53" i="1"/>
  <c r="Y52" i="1"/>
  <c r="Z51" i="1"/>
  <c r="AW30" i="1"/>
  <c r="U52" i="1"/>
  <c r="AZ41" i="1"/>
  <c r="BF28" i="1"/>
  <c r="AX30" i="1"/>
  <c r="BB31" i="1"/>
  <c r="BF32" i="1"/>
  <c r="BA35" i="1"/>
  <c r="AW38" i="1"/>
  <c r="BE40" i="1"/>
  <c r="BA43" i="1"/>
  <c r="BD42" i="1"/>
  <c r="AY29" i="1"/>
  <c r="AY52" i="1" s="1"/>
  <c r="BC30" i="1"/>
  <c r="BG31" i="1"/>
  <c r="BD33" i="1"/>
  <c r="AZ36" i="1"/>
  <c r="BH38" i="1"/>
  <c r="BD41" i="1"/>
  <c r="BH37" i="1"/>
  <c r="F37" i="1" s="1"/>
  <c r="BH28" i="1"/>
  <c r="F28" i="1" s="1"/>
  <c r="B28" i="2" s="1"/>
  <c r="AZ30" i="1"/>
  <c r="BD31" i="1"/>
  <c r="AW33" i="1"/>
  <c r="BE35" i="1"/>
  <c r="BA38" i="1"/>
  <c r="BE41" i="1"/>
  <c r="BB33" i="1"/>
  <c r="BF34" i="1"/>
  <c r="AX36" i="1"/>
  <c r="BB37" i="1"/>
  <c r="BB52" i="1" s="1"/>
  <c r="BF38" i="1"/>
  <c r="BB40" i="1"/>
  <c r="BB53" i="1" s="1"/>
  <c r="BF41" i="1"/>
  <c r="BB43" i="1"/>
  <c r="BC33" i="1"/>
  <c r="BG34" i="1"/>
  <c r="AY36" i="1"/>
  <c r="BC37" i="1"/>
  <c r="BG38" i="1"/>
  <c r="BC40" i="1"/>
  <c r="BC53" i="1" s="1"/>
  <c r="BG41" i="1"/>
  <c r="BC43" i="1"/>
  <c r="BM52" i="1"/>
  <c r="BV52" i="1"/>
  <c r="AY47" i="1"/>
  <c r="AY54" i="1" s="1"/>
  <c r="BC48" i="1"/>
  <c r="BG49" i="1"/>
  <c r="AZ47" i="1"/>
  <c r="AZ54" i="1" s="1"/>
  <c r="BD48" i="1"/>
  <c r="BH49" i="1"/>
  <c r="AW47" i="1"/>
  <c r="BA48" i="1"/>
  <c r="BE49" i="1"/>
  <c r="BE51" i="1" s="1"/>
  <c r="AX47" i="1"/>
  <c r="AX54" i="1" s="1"/>
  <c r="BB48" i="1"/>
  <c r="BF49" i="1"/>
  <c r="BD34" i="1"/>
  <c r="AF47" i="1"/>
  <c r="AF54" i="1" s="1"/>
  <c r="S54" i="1"/>
  <c r="AE47" i="1"/>
  <c r="AE54" i="1" s="1"/>
  <c r="AD54" i="1"/>
  <c r="AE50" i="1"/>
  <c r="AF50" i="1"/>
  <c r="AC51" i="1"/>
  <c r="F42" i="1"/>
  <c r="BI30" i="1"/>
  <c r="F30" i="1"/>
  <c r="BX36" i="1"/>
  <c r="BX31" i="1"/>
  <c r="BQ51" i="1"/>
  <c r="BX37" i="1"/>
  <c r="BN51" i="1"/>
  <c r="BO51" i="1"/>
  <c r="CM49" i="1"/>
  <c r="CN49" i="1"/>
  <c r="BX50" i="1"/>
  <c r="BY50" i="1"/>
  <c r="CM29" i="1"/>
  <c r="CM52" i="1" s="1"/>
  <c r="J29" i="1"/>
  <c r="F35" i="1"/>
  <c r="B35" i="2" s="1"/>
  <c r="AE35" i="1"/>
  <c r="B35" i="1"/>
  <c r="B39" i="1"/>
  <c r="F36" i="1"/>
  <c r="B36" i="2" s="1"/>
  <c r="BH51" i="1"/>
  <c r="F43" i="1"/>
  <c r="BX34" i="1"/>
  <c r="BX39" i="1"/>
  <c r="BX47" i="1"/>
  <c r="CM32" i="1"/>
  <c r="J32" i="1"/>
  <c r="J43" i="1"/>
  <c r="AE30" i="1"/>
  <c r="B30" i="1"/>
  <c r="AE38" i="1"/>
  <c r="D38" i="1" s="1"/>
  <c r="B38" i="1"/>
  <c r="AE42" i="1"/>
  <c r="B42" i="1"/>
  <c r="CM34" i="1"/>
  <c r="CM33" i="1"/>
  <c r="J31" i="1"/>
  <c r="CM35" i="1"/>
  <c r="J35" i="1"/>
  <c r="CM38" i="1"/>
  <c r="J38" i="1"/>
  <c r="CM42" i="1"/>
  <c r="J42" i="1"/>
  <c r="CI51" i="1"/>
  <c r="AE29" i="1"/>
  <c r="B29" i="1"/>
  <c r="AE34" i="1"/>
  <c r="AE41" i="1"/>
  <c r="D30" i="1"/>
  <c r="F39" i="1"/>
  <c r="BI32" i="1"/>
  <c r="F40" i="1"/>
  <c r="BD51" i="1"/>
  <c r="F29" i="1"/>
  <c r="BX32" i="1"/>
  <c r="BX29" i="1"/>
  <c r="BX52" i="1" s="1"/>
  <c r="BX42" i="1"/>
  <c r="BX35" i="1"/>
  <c r="BL51" i="1"/>
  <c r="BX43" i="1"/>
  <c r="BR51" i="1"/>
  <c r="C34" i="2"/>
  <c r="C38" i="2"/>
  <c r="C42" i="2"/>
  <c r="K42" i="2" s="1"/>
  <c r="BS51" i="1"/>
  <c r="BI48" i="1"/>
  <c r="CM48" i="1"/>
  <c r="CN48" i="1"/>
  <c r="BX49" i="1"/>
  <c r="BY49" i="1"/>
  <c r="CM40" i="1"/>
  <c r="J40" i="1"/>
  <c r="B31" i="1"/>
  <c r="AD51" i="1"/>
  <c r="B43" i="1"/>
  <c r="B29" i="2"/>
  <c r="BI50" i="1"/>
  <c r="CM50" i="1"/>
  <c r="CN50" i="1"/>
  <c r="CM28" i="1"/>
  <c r="J28" i="1"/>
  <c r="CM36" i="1"/>
  <c r="J36" i="1"/>
  <c r="CK51" i="1"/>
  <c r="J39" i="1"/>
  <c r="CE51" i="1"/>
  <c r="CJ51" i="1"/>
  <c r="J30" i="1"/>
  <c r="CF51" i="1"/>
  <c r="CD51" i="1"/>
  <c r="CM41" i="1"/>
  <c r="AE28" i="1"/>
  <c r="D28" i="1" s="1"/>
  <c r="B28" i="1"/>
  <c r="AE32" i="1"/>
  <c r="D32" i="1" s="1"/>
  <c r="B32" i="1"/>
  <c r="AE36" i="1"/>
  <c r="D36" i="1" s="1"/>
  <c r="B36" i="1"/>
  <c r="AE40" i="1"/>
  <c r="AE53" i="1" s="1"/>
  <c r="B40" i="1"/>
  <c r="AE33" i="1"/>
  <c r="D33" i="1" s="1"/>
  <c r="AE37" i="1"/>
  <c r="D37" i="1" s="1"/>
  <c r="F38" i="1"/>
  <c r="BB51" i="1"/>
  <c r="BC51" i="1"/>
  <c r="CY50" i="1"/>
  <c r="CU50" i="1"/>
  <c r="CQ50" i="1"/>
  <c r="CY49" i="1"/>
  <c r="CU49" i="1"/>
  <c r="CQ49" i="1"/>
  <c r="CY48" i="1"/>
  <c r="CU48" i="1"/>
  <c r="CQ48" i="1"/>
  <c r="CY47" i="1"/>
  <c r="CU47" i="1"/>
  <c r="CQ47" i="1"/>
  <c r="CQ54" i="1" s="1"/>
  <c r="CX50" i="1"/>
  <c r="CT50" i="1"/>
  <c r="CP50" i="1"/>
  <c r="CX49" i="1"/>
  <c r="CT49" i="1"/>
  <c r="CP49" i="1"/>
  <c r="CX48" i="1"/>
  <c r="CT48" i="1"/>
  <c r="CP48" i="1"/>
  <c r="CX47" i="1"/>
  <c r="CT47" i="1"/>
  <c r="CP47" i="1"/>
  <c r="CP54" i="1" s="1"/>
  <c r="DA50" i="1"/>
  <c r="CW50" i="1"/>
  <c r="CS50" i="1"/>
  <c r="DA49" i="1"/>
  <c r="CW49" i="1"/>
  <c r="CS49" i="1"/>
  <c r="DA48" i="1"/>
  <c r="CW48" i="1"/>
  <c r="CS48" i="1"/>
  <c r="DA47" i="1"/>
  <c r="CW47" i="1"/>
  <c r="CS47" i="1"/>
  <c r="CS54" i="1" s="1"/>
  <c r="CZ50" i="1"/>
  <c r="CV50" i="1"/>
  <c r="CR50" i="1"/>
  <c r="CZ49" i="1"/>
  <c r="CV49" i="1"/>
  <c r="CR49" i="1"/>
  <c r="CZ48" i="1"/>
  <c r="CV48" i="1"/>
  <c r="CR48" i="1"/>
  <c r="CZ47" i="1"/>
  <c r="CV47" i="1"/>
  <c r="CR47" i="1"/>
  <c r="CR54" i="1" s="1"/>
  <c r="BU51" i="1"/>
  <c r="BX30" i="1"/>
  <c r="BX38" i="1"/>
  <c r="BP51" i="1"/>
  <c r="BX33" i="1"/>
  <c r="BX41" i="1"/>
  <c r="BT51" i="1"/>
  <c r="BV51" i="1"/>
  <c r="C33" i="2"/>
  <c r="C37" i="2"/>
  <c r="C41" i="2"/>
  <c r="BW51" i="1"/>
  <c r="G43" i="1"/>
  <c r="C43" i="2" s="1"/>
  <c r="BJ47" i="1"/>
  <c r="CN47" i="1"/>
  <c r="CN54" i="1" s="1"/>
  <c r="CM47" i="1"/>
  <c r="BX48" i="1"/>
  <c r="BY48" i="1"/>
  <c r="AF42" i="1"/>
  <c r="AB26" i="2"/>
  <c r="AB44" i="2" s="1"/>
  <c r="B39" i="2"/>
  <c r="B34" i="2"/>
  <c r="D42" i="1"/>
  <c r="L42" i="1"/>
  <c r="B30" i="2"/>
  <c r="D34" i="1"/>
  <c r="D41" i="1"/>
  <c r="B43" i="2"/>
  <c r="B38" i="2"/>
  <c r="B40" i="2"/>
  <c r="D35" i="1"/>
  <c r="B37" i="2"/>
  <c r="AP43" i="1"/>
  <c r="AL43" i="1"/>
  <c r="AH43" i="1"/>
  <c r="AP42" i="1"/>
  <c r="AL42" i="1"/>
  <c r="AH42" i="1"/>
  <c r="AP41" i="1"/>
  <c r="AL41" i="1"/>
  <c r="AH41" i="1"/>
  <c r="AP40" i="1"/>
  <c r="AP53" i="1" s="1"/>
  <c r="AL40" i="1"/>
  <c r="AL53" i="1" s="1"/>
  <c r="AH40" i="1"/>
  <c r="AH53" i="1" s="1"/>
  <c r="AP39" i="1"/>
  <c r="AL39" i="1"/>
  <c r="AH39" i="1"/>
  <c r="AP38" i="1"/>
  <c r="AL38" i="1"/>
  <c r="AH38" i="1"/>
  <c r="AP37" i="1"/>
  <c r="AL37" i="1"/>
  <c r="AH37" i="1"/>
  <c r="AP36" i="1"/>
  <c r="AL36" i="1"/>
  <c r="AH36" i="1"/>
  <c r="AP35" i="1"/>
  <c r="AL35" i="1"/>
  <c r="AH35" i="1"/>
  <c r="AP34" i="1"/>
  <c r="AL34" i="1"/>
  <c r="AH34" i="1"/>
  <c r="AP33" i="1"/>
  <c r="AL33" i="1"/>
  <c r="AH33" i="1"/>
  <c r="AP32" i="1"/>
  <c r="AL32" i="1"/>
  <c r="AH32" i="1"/>
  <c r="AP31" i="1"/>
  <c r="AL31" i="1"/>
  <c r="AH31" i="1"/>
  <c r="AP30" i="1"/>
  <c r="AL30" i="1"/>
  <c r="AH30" i="1"/>
  <c r="AP29" i="1"/>
  <c r="AP52" i="1" s="1"/>
  <c r="AL29" i="1"/>
  <c r="AL52" i="1" s="1"/>
  <c r="AH29" i="1"/>
  <c r="AH52" i="1" s="1"/>
  <c r="AP28" i="1"/>
  <c r="AL28" i="1"/>
  <c r="AH28" i="1"/>
  <c r="AS43" i="1"/>
  <c r="AO43" i="1"/>
  <c r="AK43" i="1"/>
  <c r="AS42" i="1"/>
  <c r="C42" i="1" s="1"/>
  <c r="AO42" i="1"/>
  <c r="AK42" i="1"/>
  <c r="AS41" i="1"/>
  <c r="C41" i="1" s="1"/>
  <c r="AO41" i="1"/>
  <c r="AK41" i="1"/>
  <c r="AS40" i="1"/>
  <c r="AO40" i="1"/>
  <c r="AO53" i="1" s="1"/>
  <c r="AK40" i="1"/>
  <c r="AK53" i="1" s="1"/>
  <c r="AS39" i="1"/>
  <c r="C39" i="1" s="1"/>
  <c r="AO39" i="1"/>
  <c r="AK39" i="1"/>
  <c r="AS38" i="1"/>
  <c r="C38" i="1" s="1"/>
  <c r="AO38" i="1"/>
  <c r="AK38" i="1"/>
  <c r="AS37" i="1"/>
  <c r="C37" i="1" s="1"/>
  <c r="AO37" i="1"/>
  <c r="AK37" i="1"/>
  <c r="AS36" i="1"/>
  <c r="C36" i="1" s="1"/>
  <c r="AO36" i="1"/>
  <c r="AK36" i="1"/>
  <c r="AS35" i="1"/>
  <c r="C35" i="1" s="1"/>
  <c r="AO35" i="1"/>
  <c r="AK35" i="1"/>
  <c r="AS34" i="1"/>
  <c r="C34" i="1" s="1"/>
  <c r="AO34" i="1"/>
  <c r="AK34" i="1"/>
  <c r="AS33" i="1"/>
  <c r="C33" i="1" s="1"/>
  <c r="AO33" i="1"/>
  <c r="AK33" i="1"/>
  <c r="AS32" i="1"/>
  <c r="C32" i="1" s="1"/>
  <c r="AO32" i="1"/>
  <c r="AK32" i="1"/>
  <c r="AS31" i="1"/>
  <c r="C31" i="1" s="1"/>
  <c r="AO31" i="1"/>
  <c r="AK31" i="1"/>
  <c r="AS30" i="1"/>
  <c r="C30" i="1" s="1"/>
  <c r="AO30" i="1"/>
  <c r="AK30" i="1"/>
  <c r="AS29" i="1"/>
  <c r="AO29" i="1"/>
  <c r="AO52" i="1" s="1"/>
  <c r="AK29" i="1"/>
  <c r="AK52" i="1" s="1"/>
  <c r="AS28" i="1"/>
  <c r="C28" i="1" s="1"/>
  <c r="AO28" i="1"/>
  <c r="AK28" i="1"/>
  <c r="AR43" i="1"/>
  <c r="AN43" i="1"/>
  <c r="AJ43" i="1"/>
  <c r="AR42" i="1"/>
  <c r="AN42" i="1"/>
  <c r="AJ42" i="1"/>
  <c r="AR41" i="1"/>
  <c r="AN41" i="1"/>
  <c r="AJ41" i="1"/>
  <c r="AR40" i="1"/>
  <c r="AR53" i="1" s="1"/>
  <c r="AN40" i="1"/>
  <c r="AN53" i="1" s="1"/>
  <c r="AJ40" i="1"/>
  <c r="AJ53" i="1" s="1"/>
  <c r="AR39" i="1"/>
  <c r="AN39" i="1"/>
  <c r="AJ39" i="1"/>
  <c r="AR38" i="1"/>
  <c r="AN38" i="1"/>
  <c r="AJ38" i="1"/>
  <c r="AR37" i="1"/>
  <c r="AN37" i="1"/>
  <c r="AJ37" i="1"/>
  <c r="AR36" i="1"/>
  <c r="AN36" i="1"/>
  <c r="AJ36" i="1"/>
  <c r="AR35" i="1"/>
  <c r="AN35" i="1"/>
  <c r="AJ35" i="1"/>
  <c r="AR34" i="1"/>
  <c r="AN34" i="1"/>
  <c r="AJ34" i="1"/>
  <c r="AR33" i="1"/>
  <c r="AN33" i="1"/>
  <c r="AJ33" i="1"/>
  <c r="AR32" i="1"/>
  <c r="AN32" i="1"/>
  <c r="AJ32" i="1"/>
  <c r="AR31" i="1"/>
  <c r="AN31" i="1"/>
  <c r="AJ31" i="1"/>
  <c r="AR30" i="1"/>
  <c r="AN30" i="1"/>
  <c r="AJ30" i="1"/>
  <c r="AR29" i="1"/>
  <c r="AR52" i="1" s="1"/>
  <c r="AN29" i="1"/>
  <c r="AN52" i="1" s="1"/>
  <c r="AJ29" i="1"/>
  <c r="AJ52" i="1" s="1"/>
  <c r="AR28" i="1"/>
  <c r="AN28" i="1"/>
  <c r="AJ28" i="1"/>
  <c r="AQ43" i="1"/>
  <c r="AM42" i="1"/>
  <c r="AI41" i="1"/>
  <c r="AQ39" i="1"/>
  <c r="AM38" i="1"/>
  <c r="AI37" i="1"/>
  <c r="AQ35" i="1"/>
  <c r="AM34" i="1"/>
  <c r="AI33" i="1"/>
  <c r="AQ31" i="1"/>
  <c r="AM30" i="1"/>
  <c r="AI29" i="1"/>
  <c r="AI52" i="1" s="1"/>
  <c r="AM32" i="1"/>
  <c r="AQ29" i="1"/>
  <c r="AM28" i="1"/>
  <c r="AQ42" i="1"/>
  <c r="AI40" i="1"/>
  <c r="AI53" i="1" s="1"/>
  <c r="AQ38" i="1"/>
  <c r="AQ34" i="1"/>
  <c r="AQ30" i="1"/>
  <c r="AI28" i="1"/>
  <c r="AM43" i="1"/>
  <c r="AI42" i="1"/>
  <c r="AQ40" i="1"/>
  <c r="AQ53" i="1" s="1"/>
  <c r="AM39" i="1"/>
  <c r="AI38" i="1"/>
  <c r="AQ36" i="1"/>
  <c r="AM35" i="1"/>
  <c r="AI34" i="1"/>
  <c r="AQ32" i="1"/>
  <c r="AM31" i="1"/>
  <c r="AI30" i="1"/>
  <c r="AQ28" i="1"/>
  <c r="AI31" i="1"/>
  <c r="AI36" i="1"/>
  <c r="AM33" i="1"/>
  <c r="AM29" i="1"/>
  <c r="AM52" i="1" s="1"/>
  <c r="AI43" i="1"/>
  <c r="AQ41" i="1"/>
  <c r="AM40" i="1"/>
  <c r="AM53" i="1" s="1"/>
  <c r="AI39" i="1"/>
  <c r="AQ37" i="1"/>
  <c r="AM36" i="1"/>
  <c r="AI35" i="1"/>
  <c r="AQ33" i="1"/>
  <c r="AM41" i="1"/>
  <c r="AM37" i="1"/>
  <c r="AI32" i="1"/>
  <c r="D40" i="1"/>
  <c r="CX43" i="1"/>
  <c r="CT43" i="1"/>
  <c r="CP43" i="1"/>
  <c r="CX42" i="1"/>
  <c r="CT42" i="1"/>
  <c r="CP42" i="1"/>
  <c r="CX41" i="1"/>
  <c r="CT41" i="1"/>
  <c r="CP41" i="1"/>
  <c r="CX40" i="1"/>
  <c r="CX53" i="1" s="1"/>
  <c r="CT40" i="1"/>
  <c r="CT53" i="1" s="1"/>
  <c r="CP40" i="1"/>
  <c r="CP53" i="1" s="1"/>
  <c r="CX39" i="1"/>
  <c r="CT39" i="1"/>
  <c r="CP39" i="1"/>
  <c r="CX38" i="1"/>
  <c r="CT38" i="1"/>
  <c r="CP38" i="1"/>
  <c r="CX37" i="1"/>
  <c r="CT37" i="1"/>
  <c r="CP37" i="1"/>
  <c r="CX36" i="1"/>
  <c r="CT36" i="1"/>
  <c r="CP36" i="1"/>
  <c r="CX35" i="1"/>
  <c r="CT35" i="1"/>
  <c r="CP35" i="1"/>
  <c r="CX34" i="1"/>
  <c r="CT34" i="1"/>
  <c r="CP34" i="1"/>
  <c r="CX33" i="1"/>
  <c r="CT33" i="1"/>
  <c r="CP33" i="1"/>
  <c r="CX32" i="1"/>
  <c r="CT32" i="1"/>
  <c r="CP32" i="1"/>
  <c r="CX31" i="1"/>
  <c r="CT31" i="1"/>
  <c r="CP31" i="1"/>
  <c r="CX30" i="1"/>
  <c r="CT30" i="1"/>
  <c r="CP30" i="1"/>
  <c r="CX29" i="1"/>
  <c r="CX52" i="1" s="1"/>
  <c r="CT29" i="1"/>
  <c r="CT52" i="1" s="1"/>
  <c r="CP29" i="1"/>
  <c r="CP52" i="1" s="1"/>
  <c r="CX28" i="1"/>
  <c r="CT28" i="1"/>
  <c r="CP28" i="1"/>
  <c r="DA43" i="1"/>
  <c r="CW43" i="1"/>
  <c r="CS43" i="1"/>
  <c r="DA42" i="1"/>
  <c r="K42" i="1" s="1"/>
  <c r="CW42" i="1"/>
  <c r="CS42" i="1"/>
  <c r="DA41" i="1"/>
  <c r="K41" i="1" s="1"/>
  <c r="CW41" i="1"/>
  <c r="CS41" i="1"/>
  <c r="DA40" i="1"/>
  <c r="CW40" i="1"/>
  <c r="CW53" i="1" s="1"/>
  <c r="CS40" i="1"/>
  <c r="CS53" i="1" s="1"/>
  <c r="DA39" i="1"/>
  <c r="K39" i="1" s="1"/>
  <c r="CW39" i="1"/>
  <c r="CS39" i="1"/>
  <c r="DA38" i="1"/>
  <c r="K38" i="1" s="1"/>
  <c r="CW38" i="1"/>
  <c r="CS38" i="1"/>
  <c r="DA37" i="1"/>
  <c r="K37" i="1" s="1"/>
  <c r="CW37" i="1"/>
  <c r="CS37" i="1"/>
  <c r="DA36" i="1"/>
  <c r="K36" i="1" s="1"/>
  <c r="CW36" i="1"/>
  <c r="CS36" i="1"/>
  <c r="DA35" i="1"/>
  <c r="K35" i="1" s="1"/>
  <c r="CW35" i="1"/>
  <c r="CS35" i="1"/>
  <c r="DA34" i="1"/>
  <c r="K34" i="1" s="1"/>
  <c r="CW34" i="1"/>
  <c r="CS34" i="1"/>
  <c r="DA33" i="1"/>
  <c r="K33" i="1" s="1"/>
  <c r="CW33" i="1"/>
  <c r="CS33" i="1"/>
  <c r="DA32" i="1"/>
  <c r="K32" i="1" s="1"/>
  <c r="CW32" i="1"/>
  <c r="CS32" i="1"/>
  <c r="DA31" i="1"/>
  <c r="K31" i="1" s="1"/>
  <c r="CW31" i="1"/>
  <c r="CS31" i="1"/>
  <c r="DA30" i="1"/>
  <c r="K30" i="1" s="1"/>
  <c r="CW30" i="1"/>
  <c r="CS30" i="1"/>
  <c r="DA29" i="1"/>
  <c r="CW29" i="1"/>
  <c r="CW52" i="1" s="1"/>
  <c r="CS29" i="1"/>
  <c r="CS52" i="1" s="1"/>
  <c r="DA28" i="1"/>
  <c r="K28" i="1" s="1"/>
  <c r="CW28" i="1"/>
  <c r="CS28" i="1"/>
  <c r="CZ43" i="1"/>
  <c r="CV43" i="1"/>
  <c r="CR43" i="1"/>
  <c r="CZ42" i="1"/>
  <c r="CV42" i="1"/>
  <c r="CR42" i="1"/>
  <c r="CZ41" i="1"/>
  <c r="CV41" i="1"/>
  <c r="CR41" i="1"/>
  <c r="CZ40" i="1"/>
  <c r="CZ53" i="1" s="1"/>
  <c r="CV40" i="1"/>
  <c r="CV53" i="1" s="1"/>
  <c r="CR40" i="1"/>
  <c r="CR53" i="1" s="1"/>
  <c r="CZ39" i="1"/>
  <c r="CV39" i="1"/>
  <c r="CR39" i="1"/>
  <c r="CZ38" i="1"/>
  <c r="CV38" i="1"/>
  <c r="CR38" i="1"/>
  <c r="CZ37" i="1"/>
  <c r="CV37" i="1"/>
  <c r="CR37" i="1"/>
  <c r="CZ36" i="1"/>
  <c r="CV36" i="1"/>
  <c r="CR36" i="1"/>
  <c r="CZ35" i="1"/>
  <c r="CV35" i="1"/>
  <c r="CR35" i="1"/>
  <c r="CZ34" i="1"/>
  <c r="CV34" i="1"/>
  <c r="CR34" i="1"/>
  <c r="CZ33" i="1"/>
  <c r="CV33" i="1"/>
  <c r="CR33" i="1"/>
  <c r="CZ32" i="1"/>
  <c r="CV32" i="1"/>
  <c r="CR32" i="1"/>
  <c r="CZ31" i="1"/>
  <c r="CV31" i="1"/>
  <c r="CR31" i="1"/>
  <c r="CZ30" i="1"/>
  <c r="CV30" i="1"/>
  <c r="CR30" i="1"/>
  <c r="CZ29" i="1"/>
  <c r="CZ52" i="1" s="1"/>
  <c r="CV29" i="1"/>
  <c r="CV52" i="1" s="1"/>
  <c r="CR29" i="1"/>
  <c r="CR52" i="1" s="1"/>
  <c r="CZ28" i="1"/>
  <c r="CV28" i="1"/>
  <c r="CR28" i="1"/>
  <c r="CY43" i="1"/>
  <c r="CU42" i="1"/>
  <c r="CQ41" i="1"/>
  <c r="CY39" i="1"/>
  <c r="CU38" i="1"/>
  <c r="CU43" i="1"/>
  <c r="CQ42" i="1"/>
  <c r="CY40" i="1"/>
  <c r="CY53" i="1" s="1"/>
  <c r="CU39" i="1"/>
  <c r="CQ38" i="1"/>
  <c r="CY36" i="1"/>
  <c r="CU35" i="1"/>
  <c r="CQ34" i="1"/>
  <c r="CY32" i="1"/>
  <c r="CU31" i="1"/>
  <c r="CQ30" i="1"/>
  <c r="CY28" i="1"/>
  <c r="CQ43" i="1"/>
  <c r="CY41" i="1"/>
  <c r="CU40" i="1"/>
  <c r="CU53" i="1" s="1"/>
  <c r="CQ39" i="1"/>
  <c r="CY37" i="1"/>
  <c r="CU36" i="1"/>
  <c r="CQ35" i="1"/>
  <c r="CY33" i="1"/>
  <c r="CU32" i="1"/>
  <c r="CQ31" i="1"/>
  <c r="CY29" i="1"/>
  <c r="CY52" i="1" s="1"/>
  <c r="CU28" i="1"/>
  <c r="CY38" i="1"/>
  <c r="CY35" i="1"/>
  <c r="CQ33" i="1"/>
  <c r="CU30" i="1"/>
  <c r="CY42" i="1"/>
  <c r="CU37" i="1"/>
  <c r="CY34" i="1"/>
  <c r="CQ32" i="1"/>
  <c r="CU29" i="1"/>
  <c r="CU41" i="1"/>
  <c r="CU34" i="1"/>
  <c r="CQ29" i="1"/>
  <c r="CQ40" i="1"/>
  <c r="CQ53" i="1" s="1"/>
  <c r="CU33" i="1"/>
  <c r="CQ28" i="1"/>
  <c r="CY30" i="1"/>
  <c r="CQ37" i="1"/>
  <c r="CY31" i="1"/>
  <c r="CQ36" i="1"/>
  <c r="CN42" i="1"/>
  <c r="B42" i="2"/>
  <c r="J42" i="2" s="1"/>
  <c r="I42" i="1"/>
  <c r="E42" i="2" s="1"/>
  <c r="M42" i="2" s="1"/>
  <c r="BY42" i="1"/>
  <c r="DG43" i="1"/>
  <c r="DG51" i="1" s="1"/>
  <c r="DF43" i="1"/>
  <c r="DF51" i="1" s="1"/>
  <c r="DE43" i="1"/>
  <c r="DE31" i="1"/>
  <c r="DQ31" i="1" s="1"/>
  <c r="DG39" i="1"/>
  <c r="DF39" i="1"/>
  <c r="DE39" i="1"/>
  <c r="AZ52" i="1" l="1"/>
  <c r="BI35" i="1"/>
  <c r="CV54" i="1"/>
  <c r="CW54" i="1"/>
  <c r="CT54" i="1"/>
  <c r="CU54" i="1"/>
  <c r="AM54" i="1"/>
  <c r="BJ49" i="1"/>
  <c r="BI41" i="1"/>
  <c r="BI36" i="1"/>
  <c r="BJ48" i="1"/>
  <c r="BI28" i="1"/>
  <c r="BI33" i="1"/>
  <c r="BI34" i="1"/>
  <c r="BX53" i="1"/>
  <c r="BI37" i="1"/>
  <c r="BI42" i="1"/>
  <c r="H42" i="1" s="1"/>
  <c r="D42" i="2" s="1"/>
  <c r="L42" i="2" s="1"/>
  <c r="BX51" i="1"/>
  <c r="BI38" i="1"/>
  <c r="BJ50" i="1"/>
  <c r="K29" i="1"/>
  <c r="DA52" i="1"/>
  <c r="AT49" i="1"/>
  <c r="BA54" i="1"/>
  <c r="BG51" i="1"/>
  <c r="BJ42" i="1"/>
  <c r="CU52" i="1"/>
  <c r="K40" i="1"/>
  <c r="DA53" i="1"/>
  <c r="AJ51" i="1"/>
  <c r="C29" i="1"/>
  <c r="AS52" i="1"/>
  <c r="AK51" i="1"/>
  <c r="BI47" i="1"/>
  <c r="BI54" i="1" s="1"/>
  <c r="CZ54" i="1"/>
  <c r="DA54" i="1"/>
  <c r="CX54" i="1"/>
  <c r="CY54" i="1"/>
  <c r="BI49" i="1"/>
  <c r="AW54" i="1"/>
  <c r="AR54" i="1"/>
  <c r="AT48" i="1"/>
  <c r="BH53" i="1"/>
  <c r="BA53" i="1"/>
  <c r="BB54" i="1"/>
  <c r="BJ54" i="1"/>
  <c r="AU48" i="1"/>
  <c r="BF51" i="1"/>
  <c r="AZ51" i="1"/>
  <c r="CQ52" i="1"/>
  <c r="AI51" i="1"/>
  <c r="AM51" i="1"/>
  <c r="AQ52" i="1"/>
  <c r="AN51" i="1"/>
  <c r="C40" i="1"/>
  <c r="AS53" i="1"/>
  <c r="AO51" i="1"/>
  <c r="AL51" i="1"/>
  <c r="CM54" i="1"/>
  <c r="BA51" i="1"/>
  <c r="BI40" i="1"/>
  <c r="D29" i="1"/>
  <c r="AE52" i="1"/>
  <c r="BX54" i="1"/>
  <c r="AU47" i="1"/>
  <c r="AI54" i="1"/>
  <c r="AT47" i="1"/>
  <c r="AH54" i="1"/>
  <c r="AU50" i="1"/>
  <c r="BH52" i="1"/>
  <c r="BY54" i="1"/>
  <c r="BC54" i="1"/>
  <c r="BG53" i="1"/>
  <c r="BF53" i="1"/>
  <c r="BC52" i="1"/>
  <c r="DQ39" i="1"/>
  <c r="AT28" i="1"/>
  <c r="AQ51" i="1"/>
  <c r="AR51" i="1"/>
  <c r="AP51" i="1"/>
  <c r="CM53" i="1"/>
  <c r="BI29" i="1"/>
  <c r="BI52" i="1" s="1"/>
  <c r="BE53" i="1"/>
  <c r="AT50" i="1"/>
  <c r="AU49" i="1"/>
  <c r="BF52" i="1"/>
  <c r="BD54" i="1"/>
  <c r="AX52" i="1"/>
  <c r="DB28" i="1"/>
  <c r="AT32" i="1"/>
  <c r="AT36" i="1"/>
  <c r="AT40" i="1"/>
  <c r="AT53" i="1" s="1"/>
  <c r="DB47" i="1"/>
  <c r="DC47" i="1"/>
  <c r="DB32" i="1"/>
  <c r="DB36" i="1"/>
  <c r="DB40" i="1"/>
  <c r="AS51" i="1"/>
  <c r="C43" i="1"/>
  <c r="AT33" i="1"/>
  <c r="AT37" i="1"/>
  <c r="AT41" i="1"/>
  <c r="DB48" i="1"/>
  <c r="DC48" i="1"/>
  <c r="CR51" i="1"/>
  <c r="DB39" i="1"/>
  <c r="CQ51" i="1"/>
  <c r="CU51" i="1"/>
  <c r="CV51" i="1"/>
  <c r="CW51" i="1"/>
  <c r="DB30" i="1"/>
  <c r="DB34" i="1"/>
  <c r="DB38" i="1"/>
  <c r="DB42" i="1"/>
  <c r="M42" i="1" s="1"/>
  <c r="CT51" i="1"/>
  <c r="AT31" i="1"/>
  <c r="AT35" i="1"/>
  <c r="AT39" i="1"/>
  <c r="AH51" i="1"/>
  <c r="AT43" i="1"/>
  <c r="DC50" i="1"/>
  <c r="DB50" i="1"/>
  <c r="DE51" i="1"/>
  <c r="DQ43" i="1"/>
  <c r="AT29" i="1"/>
  <c r="AT52" i="1" s="1"/>
  <c r="CS51" i="1"/>
  <c r="DB31" i="1"/>
  <c r="DB35" i="1"/>
  <c r="CP51" i="1"/>
  <c r="DB43" i="1"/>
  <c r="CY51" i="1"/>
  <c r="CZ51" i="1"/>
  <c r="DA51" i="1"/>
  <c r="K43" i="1"/>
  <c r="DB29" i="1"/>
  <c r="DB33" i="1"/>
  <c r="DB37" i="1"/>
  <c r="DB41" i="1"/>
  <c r="CX51" i="1"/>
  <c r="AT30" i="1"/>
  <c r="AT34" i="1"/>
  <c r="AT38" i="1"/>
  <c r="AT42" i="1"/>
  <c r="DB49" i="1"/>
  <c r="DC49" i="1"/>
  <c r="B27" i="1"/>
  <c r="P42" i="1"/>
  <c r="B33" i="26" s="1"/>
  <c r="CA43" i="1"/>
  <c r="AW43" i="1"/>
  <c r="S43" i="1"/>
  <c r="DR43" i="1"/>
  <c r="CB39" i="1"/>
  <c r="AX39" i="1"/>
  <c r="T39" i="1"/>
  <c r="CB43" i="1"/>
  <c r="CB51" i="1" s="1"/>
  <c r="AX43" i="1"/>
  <c r="AX51" i="1" s="1"/>
  <c r="T43" i="1"/>
  <c r="T51" i="1" s="1"/>
  <c r="O42" i="1"/>
  <c r="E42" i="1"/>
  <c r="AU42" i="1"/>
  <c r="CA31" i="1"/>
  <c r="CM31" i="1" s="1"/>
  <c r="S31" i="1"/>
  <c r="AW31" i="1"/>
  <c r="BI31" i="1" s="1"/>
  <c r="CA39" i="1"/>
  <c r="AW39" i="1"/>
  <c r="S39" i="1"/>
  <c r="CC39" i="1"/>
  <c r="AY39" i="1"/>
  <c r="U39" i="1"/>
  <c r="CC43" i="1"/>
  <c r="CC51" i="1" s="1"/>
  <c r="AY43" i="1"/>
  <c r="AY51" i="1" s="1"/>
  <c r="U43" i="1"/>
  <c r="U51" i="1" s="1"/>
  <c r="DC42" i="1"/>
  <c r="N42" i="1"/>
  <c r="EG42" i="1"/>
  <c r="DW27" i="1"/>
  <c r="EA27" i="1"/>
  <c r="DU27" i="1"/>
  <c r="EE27" i="1"/>
  <c r="EG41" i="1"/>
  <c r="EG40" i="1"/>
  <c r="EG38" i="1"/>
  <c r="EG37" i="1"/>
  <c r="EG36" i="1"/>
  <c r="EG35" i="1"/>
  <c r="EG34" i="1"/>
  <c r="EG33" i="1"/>
  <c r="EG32" i="1"/>
  <c r="EG31" i="1"/>
  <c r="EG30" i="1"/>
  <c r="EG28" i="1"/>
  <c r="DZ27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EE9" i="1"/>
  <c r="EE26" i="1" s="1"/>
  <c r="ED9" i="1"/>
  <c r="ED26" i="1" s="1"/>
  <c r="EC9" i="1"/>
  <c r="EC26" i="1" s="1"/>
  <c r="EB9" i="1"/>
  <c r="EA9" i="1"/>
  <c r="EA26" i="1" s="1"/>
  <c r="DZ9" i="1"/>
  <c r="DZ26" i="1" s="1"/>
  <c r="DY9" i="1"/>
  <c r="DY26" i="1" s="1"/>
  <c r="DX9" i="1"/>
  <c r="DX26" i="1" s="1"/>
  <c r="DW9" i="1"/>
  <c r="DW26" i="1" s="1"/>
  <c r="DV9" i="1"/>
  <c r="DV26" i="1" s="1"/>
  <c r="DU9" i="1"/>
  <c r="DU26" i="1" s="1"/>
  <c r="DT9" i="1"/>
  <c r="DT26" i="1" s="1"/>
  <c r="EG8" i="1"/>
  <c r="EG7" i="1"/>
  <c r="EF9" i="1"/>
  <c r="EG6" i="1"/>
  <c r="EG5" i="1"/>
  <c r="DR41" i="1"/>
  <c r="DR40" i="1"/>
  <c r="DR39" i="1"/>
  <c r="DR38" i="1"/>
  <c r="DR37" i="1"/>
  <c r="DR36" i="1"/>
  <c r="DR35" i="1"/>
  <c r="DR34" i="1"/>
  <c r="DR33" i="1"/>
  <c r="DR32" i="1"/>
  <c r="DR31" i="1"/>
  <c r="DR30" i="1"/>
  <c r="DR29" i="1"/>
  <c r="DR28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R25" i="1"/>
  <c r="DR24" i="1"/>
  <c r="DR23" i="1"/>
  <c r="DR22" i="1"/>
  <c r="DR21" i="1"/>
  <c r="DR20" i="1"/>
  <c r="DR19" i="1"/>
  <c r="DR18" i="1"/>
  <c r="DR17" i="1"/>
  <c r="DN11" i="1"/>
  <c r="DR16" i="1"/>
  <c r="DR15" i="1"/>
  <c r="DR14" i="1"/>
  <c r="DR13" i="1"/>
  <c r="DR12" i="1"/>
  <c r="DQ11" i="1"/>
  <c r="DP11" i="1"/>
  <c r="DO11" i="1"/>
  <c r="DM11" i="1"/>
  <c r="DL11" i="1"/>
  <c r="DK11" i="1"/>
  <c r="DJ11" i="1"/>
  <c r="DI11" i="1"/>
  <c r="DH11" i="1"/>
  <c r="DG11" i="1"/>
  <c r="DF11" i="1"/>
  <c r="DE11" i="1"/>
  <c r="DP9" i="1"/>
  <c r="DO9" i="1"/>
  <c r="DN9" i="1"/>
  <c r="DN26" i="1" s="1"/>
  <c r="DM9" i="1"/>
  <c r="DM10" i="1" s="1"/>
  <c r="DL9" i="1"/>
  <c r="DL10" i="1" s="1"/>
  <c r="DK9" i="1"/>
  <c r="DK26" i="1" s="1"/>
  <c r="DJ9" i="1"/>
  <c r="DJ26" i="1" s="1"/>
  <c r="DI9" i="1"/>
  <c r="DI10" i="1" s="1"/>
  <c r="DH9" i="1"/>
  <c r="DH26" i="1" s="1"/>
  <c r="DG9" i="1"/>
  <c r="DG26" i="1" s="1"/>
  <c r="DF9" i="1"/>
  <c r="DF26" i="1" s="1"/>
  <c r="DE9" i="1"/>
  <c r="DE10" i="1" s="1"/>
  <c r="DR8" i="1"/>
  <c r="DR7" i="1"/>
  <c r="DR6" i="1"/>
  <c r="DR5" i="1"/>
  <c r="M5" i="1"/>
  <c r="DA17" i="1"/>
  <c r="AU54" i="1" l="1"/>
  <c r="BI53" i="1"/>
  <c r="DB54" i="1"/>
  <c r="CM39" i="1"/>
  <c r="L39" i="1" s="1"/>
  <c r="AT51" i="1"/>
  <c r="AT54" i="1"/>
  <c r="DP26" i="1"/>
  <c r="DB52" i="1"/>
  <c r="K17" i="1"/>
  <c r="DB17" i="1"/>
  <c r="M17" i="1" s="1"/>
  <c r="DG44" i="1"/>
  <c r="DO26" i="1"/>
  <c r="DO44" i="1" s="1"/>
  <c r="EG9" i="1"/>
  <c r="DC54" i="1"/>
  <c r="DB53" i="1"/>
  <c r="AE39" i="1"/>
  <c r="AE31" i="1"/>
  <c r="D31" i="1" s="1"/>
  <c r="S51" i="1"/>
  <c r="AE43" i="1"/>
  <c r="AE51" i="1" s="1"/>
  <c r="CA51" i="1"/>
  <c r="CM43" i="1"/>
  <c r="CM51" i="1" s="1"/>
  <c r="BI39" i="1"/>
  <c r="H39" i="1" s="1"/>
  <c r="D39" i="2" s="1"/>
  <c r="AW51" i="1"/>
  <c r="BI43" i="1"/>
  <c r="BI51" i="1" s="1"/>
  <c r="DB51" i="1"/>
  <c r="DP44" i="1"/>
  <c r="DN44" i="1"/>
  <c r="DK44" i="1"/>
  <c r="DJ44" i="1"/>
  <c r="DX10" i="1"/>
  <c r="Q42" i="1"/>
  <c r="C33" i="26" s="1"/>
  <c r="AF43" i="1"/>
  <c r="AF51" i="1" s="1"/>
  <c r="DY10" i="1"/>
  <c r="DT10" i="1"/>
  <c r="DK10" i="1"/>
  <c r="DU10" i="1"/>
  <c r="EG11" i="1"/>
  <c r="EG26" i="1" s="1"/>
  <c r="D39" i="1"/>
  <c r="DH44" i="1"/>
  <c r="DR27" i="1"/>
  <c r="DF44" i="1"/>
  <c r="EG43" i="1"/>
  <c r="DX27" i="1"/>
  <c r="DV27" i="1"/>
  <c r="DV44" i="1" s="1"/>
  <c r="DQ27" i="1"/>
  <c r="EC27" i="1"/>
  <c r="EC44" i="1" s="1"/>
  <c r="DY27" i="1"/>
  <c r="DY44" i="1" s="1"/>
  <c r="ED27" i="1"/>
  <c r="ED44" i="1" s="1"/>
  <c r="EB27" i="1"/>
  <c r="EG29" i="1"/>
  <c r="DT27" i="1"/>
  <c r="DT44" i="1" s="1"/>
  <c r="DW44" i="1"/>
  <c r="EA44" i="1"/>
  <c r="EF27" i="1"/>
  <c r="DU44" i="1"/>
  <c r="EE44" i="1"/>
  <c r="DZ44" i="1"/>
  <c r="EG39" i="1"/>
  <c r="EG27" i="1" s="1"/>
  <c r="DX44" i="1"/>
  <c r="EB26" i="1"/>
  <c r="EB10" i="1"/>
  <c r="EC10" i="1"/>
  <c r="DR11" i="1"/>
  <c r="DQ9" i="1"/>
  <c r="DQ10" i="1" s="1"/>
  <c r="DF10" i="1"/>
  <c r="DN10" i="1"/>
  <c r="DR9" i="1"/>
  <c r="DG10" i="1"/>
  <c r="DO10" i="1"/>
  <c r="DJ10" i="1"/>
  <c r="EF10" i="1"/>
  <c r="EF26" i="1"/>
  <c r="EG10" i="1"/>
  <c r="DV10" i="1"/>
  <c r="DZ10" i="1"/>
  <c r="ED10" i="1"/>
  <c r="DW10" i="1"/>
  <c r="EA10" i="1"/>
  <c r="EE10" i="1"/>
  <c r="DE26" i="1"/>
  <c r="DE44" i="1" s="1"/>
  <c r="DI26" i="1"/>
  <c r="DI44" i="1" s="1"/>
  <c r="DM26" i="1"/>
  <c r="DM44" i="1" s="1"/>
  <c r="DL26" i="1"/>
  <c r="DL44" i="1" s="1"/>
  <c r="DH10" i="1"/>
  <c r="DP10" i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8" i="1"/>
  <c r="M7" i="1"/>
  <c r="M6" i="1"/>
  <c r="DB9" i="1"/>
  <c r="DB10" i="1" s="1"/>
  <c r="L5" i="1"/>
  <c r="CC20" i="1"/>
  <c r="CC11" i="1" s="1"/>
  <c r="CB20" i="1"/>
  <c r="CB11" i="1" s="1"/>
  <c r="CA20" i="1"/>
  <c r="CA19" i="1"/>
  <c r="CM19" i="1" s="1"/>
  <c r="CA17" i="1"/>
  <c r="CM17" i="1" s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5" i="1"/>
  <c r="L24" i="1"/>
  <c r="L23" i="1"/>
  <c r="L22" i="1"/>
  <c r="L21" i="1"/>
  <c r="L18" i="1"/>
  <c r="L17" i="1"/>
  <c r="L16" i="1"/>
  <c r="L15" i="1"/>
  <c r="L14" i="1"/>
  <c r="L13" i="1"/>
  <c r="L12" i="1"/>
  <c r="L6" i="1"/>
  <c r="L8" i="1"/>
  <c r="I25" i="1"/>
  <c r="E25" i="2" s="1"/>
  <c r="I21" i="1"/>
  <c r="E21" i="2" s="1"/>
  <c r="I17" i="1"/>
  <c r="E17" i="2" s="1"/>
  <c r="I13" i="1"/>
  <c r="E13" i="2" s="1"/>
  <c r="I8" i="1"/>
  <c r="E8" i="2" s="1"/>
  <c r="I5" i="1"/>
  <c r="E5" i="2" s="1"/>
  <c r="BW20" i="1"/>
  <c r="BW11" i="1" s="1"/>
  <c r="I43" i="1"/>
  <c r="E43" i="2" s="1"/>
  <c r="I41" i="1"/>
  <c r="E41" i="2" s="1"/>
  <c r="I40" i="1"/>
  <c r="E40" i="2" s="1"/>
  <c r="I39" i="1"/>
  <c r="E39" i="2" s="1"/>
  <c r="I38" i="1"/>
  <c r="E38" i="2" s="1"/>
  <c r="I37" i="1"/>
  <c r="E37" i="2" s="1"/>
  <c r="I36" i="1"/>
  <c r="E36" i="2" s="1"/>
  <c r="I35" i="1"/>
  <c r="E35" i="2" s="1"/>
  <c r="I34" i="1"/>
  <c r="E34" i="2" s="1"/>
  <c r="I33" i="1"/>
  <c r="E33" i="2" s="1"/>
  <c r="I32" i="1"/>
  <c r="E32" i="2" s="1"/>
  <c r="I31" i="1"/>
  <c r="E31" i="2" s="1"/>
  <c r="I30" i="1"/>
  <c r="E30" i="2" s="1"/>
  <c r="I29" i="1"/>
  <c r="E29" i="2" s="1"/>
  <c r="I24" i="1"/>
  <c r="E24" i="2" s="1"/>
  <c r="I23" i="1"/>
  <c r="E23" i="2" s="1"/>
  <c r="I22" i="1"/>
  <c r="E22" i="2" s="1"/>
  <c r="I19" i="1"/>
  <c r="E19" i="2" s="1"/>
  <c r="I18" i="1"/>
  <c r="E18" i="2" s="1"/>
  <c r="I16" i="1"/>
  <c r="E16" i="2" s="1"/>
  <c r="I15" i="1"/>
  <c r="E15" i="2" s="1"/>
  <c r="I14" i="1"/>
  <c r="E14" i="2" s="1"/>
  <c r="I12" i="1"/>
  <c r="E12" i="2" s="1"/>
  <c r="I6" i="1"/>
  <c r="E6" i="2" s="1"/>
  <c r="BX9" i="1"/>
  <c r="H25" i="1"/>
  <c r="D25" i="2" s="1"/>
  <c r="H24" i="1"/>
  <c r="D24" i="2" s="1"/>
  <c r="H21" i="1"/>
  <c r="D21" i="2" s="1"/>
  <c r="H20" i="1"/>
  <c r="D20" i="2" s="1"/>
  <c r="H16" i="1"/>
  <c r="D16" i="2" s="1"/>
  <c r="H12" i="1"/>
  <c r="D12" i="2" s="1"/>
  <c r="H5" i="1"/>
  <c r="D5" i="2" s="1"/>
  <c r="AY18" i="1"/>
  <c r="BI18" i="1" s="1"/>
  <c r="AW19" i="1"/>
  <c r="BI19" i="1" s="1"/>
  <c r="H41" i="1"/>
  <c r="D41" i="2" s="1"/>
  <c r="H40" i="1"/>
  <c r="D40" i="2" s="1"/>
  <c r="H38" i="1"/>
  <c r="D38" i="2" s="1"/>
  <c r="H37" i="1"/>
  <c r="D37" i="2" s="1"/>
  <c r="H36" i="1"/>
  <c r="D36" i="2" s="1"/>
  <c r="H35" i="1"/>
  <c r="D35" i="2" s="1"/>
  <c r="H34" i="1"/>
  <c r="D34" i="2" s="1"/>
  <c r="H33" i="1"/>
  <c r="D33" i="2" s="1"/>
  <c r="H32" i="1"/>
  <c r="D32" i="2" s="1"/>
  <c r="H31" i="1"/>
  <c r="D31" i="2" s="1"/>
  <c r="H30" i="1"/>
  <c r="D30" i="2" s="1"/>
  <c r="H29" i="1"/>
  <c r="D29" i="2" s="1"/>
  <c r="H23" i="1"/>
  <c r="D23" i="2" s="1"/>
  <c r="H22" i="1"/>
  <c r="D22" i="2" s="1"/>
  <c r="H18" i="1"/>
  <c r="D18" i="2" s="1"/>
  <c r="H17" i="1"/>
  <c r="D17" i="2" s="1"/>
  <c r="H15" i="1"/>
  <c r="D15" i="2" s="1"/>
  <c r="H14" i="1"/>
  <c r="D14" i="2" s="1"/>
  <c r="H13" i="1"/>
  <c r="D13" i="2" s="1"/>
  <c r="H6" i="1"/>
  <c r="D6" i="2" s="1"/>
  <c r="H7" i="1"/>
  <c r="D7" i="2" s="1"/>
  <c r="H8" i="1"/>
  <c r="D8" i="2" s="1"/>
  <c r="E23" i="1"/>
  <c r="E19" i="1"/>
  <c r="E15" i="1"/>
  <c r="E6" i="1"/>
  <c r="E5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5" i="1"/>
  <c r="E22" i="1"/>
  <c r="E21" i="1"/>
  <c r="E20" i="1"/>
  <c r="E18" i="1"/>
  <c r="E17" i="1"/>
  <c r="E16" i="1"/>
  <c r="E14" i="1"/>
  <c r="E13" i="1"/>
  <c r="E12" i="1"/>
  <c r="E7" i="1"/>
  <c r="E8" i="1"/>
  <c r="AE9" i="1"/>
  <c r="DC43" i="1"/>
  <c r="DC51" i="1" s="1"/>
  <c r="DC41" i="1"/>
  <c r="DC40" i="1"/>
  <c r="DC53" i="1" s="1"/>
  <c r="DC39" i="1"/>
  <c r="DC38" i="1"/>
  <c r="DC37" i="1"/>
  <c r="DC36" i="1"/>
  <c r="DC35" i="1"/>
  <c r="DC34" i="1"/>
  <c r="DC33" i="1"/>
  <c r="DC32" i="1"/>
  <c r="DC31" i="1"/>
  <c r="DC30" i="1"/>
  <c r="DC29" i="1"/>
  <c r="DC52" i="1" s="1"/>
  <c r="DC28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DA9" i="1"/>
  <c r="DA10" i="1" s="1"/>
  <c r="CZ9" i="1"/>
  <c r="CZ26" i="1" s="1"/>
  <c r="CY9" i="1"/>
  <c r="CX9" i="1"/>
  <c r="CW9" i="1"/>
  <c r="CW26" i="1" s="1"/>
  <c r="CV9" i="1"/>
  <c r="CV10" i="1" s="1"/>
  <c r="CU9" i="1"/>
  <c r="CU26" i="1" s="1"/>
  <c r="CU44" i="1" s="1"/>
  <c r="CT9" i="1"/>
  <c r="CT26" i="1" s="1"/>
  <c r="CS9" i="1"/>
  <c r="CS10" i="1" s="1"/>
  <c r="CR9" i="1"/>
  <c r="CR26" i="1" s="1"/>
  <c r="CQ9" i="1"/>
  <c r="CQ26" i="1" s="1"/>
  <c r="CQ44" i="1" s="1"/>
  <c r="CP9" i="1"/>
  <c r="CP26" i="1" s="1"/>
  <c r="DC8" i="1"/>
  <c r="DC7" i="1"/>
  <c r="DC6" i="1"/>
  <c r="DC5" i="1"/>
  <c r="CN43" i="1"/>
  <c r="CN51" i="1" s="1"/>
  <c r="CN41" i="1"/>
  <c r="CN40" i="1"/>
  <c r="CN53" i="1" s="1"/>
  <c r="CN39" i="1"/>
  <c r="CN38" i="1"/>
  <c r="CN37" i="1"/>
  <c r="CN36" i="1"/>
  <c r="CN35" i="1"/>
  <c r="CN34" i="1"/>
  <c r="CN33" i="1"/>
  <c r="CN32" i="1"/>
  <c r="CN31" i="1"/>
  <c r="CN30" i="1"/>
  <c r="CN29" i="1"/>
  <c r="CN52" i="1" s="1"/>
  <c r="CN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CN25" i="1"/>
  <c r="CN24" i="1"/>
  <c r="CN23" i="1"/>
  <c r="CN22" i="1"/>
  <c r="CN21" i="1"/>
  <c r="CN19" i="1"/>
  <c r="CN18" i="1"/>
  <c r="CN16" i="1"/>
  <c r="CN15" i="1"/>
  <c r="CN14" i="1"/>
  <c r="CN13" i="1"/>
  <c r="CN12" i="1"/>
  <c r="CL11" i="1"/>
  <c r="CK11" i="1"/>
  <c r="CJ11" i="1"/>
  <c r="CI11" i="1"/>
  <c r="CH11" i="1"/>
  <c r="CG11" i="1"/>
  <c r="CF11" i="1"/>
  <c r="CE11" i="1"/>
  <c r="CD11" i="1"/>
  <c r="CL9" i="1"/>
  <c r="CK9" i="1"/>
  <c r="CK10" i="1" s="1"/>
  <c r="CJ9" i="1"/>
  <c r="CI9" i="1"/>
  <c r="CH9" i="1"/>
  <c r="CG9" i="1"/>
  <c r="CF9" i="1"/>
  <c r="CE9" i="1"/>
  <c r="CD9" i="1"/>
  <c r="CC9" i="1"/>
  <c r="CB9" i="1"/>
  <c r="CA9" i="1"/>
  <c r="CN8" i="1"/>
  <c r="CN7" i="1"/>
  <c r="CN6" i="1"/>
  <c r="CN5" i="1"/>
  <c r="BY43" i="1"/>
  <c r="BY51" i="1" s="1"/>
  <c r="BY41" i="1"/>
  <c r="BY40" i="1"/>
  <c r="BY53" i="1" s="1"/>
  <c r="BY39" i="1"/>
  <c r="BY38" i="1"/>
  <c r="BY37" i="1"/>
  <c r="BY36" i="1"/>
  <c r="BY35" i="1"/>
  <c r="BY34" i="1"/>
  <c r="BY33" i="1"/>
  <c r="BY32" i="1"/>
  <c r="BY31" i="1"/>
  <c r="BY30" i="1"/>
  <c r="BY29" i="1"/>
  <c r="BY52" i="1" s="1"/>
  <c r="BY28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V11" i="1"/>
  <c r="BU11" i="1"/>
  <c r="BT11" i="1"/>
  <c r="BS11" i="1"/>
  <c r="BR11" i="1"/>
  <c r="BQ11" i="1"/>
  <c r="BP11" i="1"/>
  <c r="BO11" i="1"/>
  <c r="BN11" i="1"/>
  <c r="BM11" i="1"/>
  <c r="BL11" i="1"/>
  <c r="BW9" i="1"/>
  <c r="BV9" i="1"/>
  <c r="BU9" i="1"/>
  <c r="BT9" i="1"/>
  <c r="BS9" i="1"/>
  <c r="BR9" i="1"/>
  <c r="BQ9" i="1"/>
  <c r="BP9" i="1"/>
  <c r="BO9" i="1"/>
  <c r="BN9" i="1"/>
  <c r="BN10" i="1" s="1"/>
  <c r="BM9" i="1"/>
  <c r="BM10" i="1" s="1"/>
  <c r="BL9" i="1"/>
  <c r="BY8" i="1"/>
  <c r="BY7" i="1"/>
  <c r="BY6" i="1"/>
  <c r="BY5" i="1"/>
  <c r="BJ43" i="1"/>
  <c r="BJ51" i="1" s="1"/>
  <c r="BJ41" i="1"/>
  <c r="BJ40" i="1"/>
  <c r="BJ53" i="1" s="1"/>
  <c r="BJ39" i="1"/>
  <c r="BJ38" i="1"/>
  <c r="BJ37" i="1"/>
  <c r="BJ36" i="1"/>
  <c r="BJ35" i="1"/>
  <c r="BJ34" i="1"/>
  <c r="BJ33" i="1"/>
  <c r="BJ32" i="1"/>
  <c r="BJ31" i="1"/>
  <c r="BJ30" i="1"/>
  <c r="BJ29" i="1"/>
  <c r="BJ52" i="1" s="1"/>
  <c r="BJ28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BJ25" i="1"/>
  <c r="BJ24" i="1"/>
  <c r="BJ23" i="1"/>
  <c r="BJ22" i="1"/>
  <c r="BJ21" i="1"/>
  <c r="BJ20" i="1"/>
  <c r="BJ17" i="1"/>
  <c r="BJ16" i="1"/>
  <c r="BJ15" i="1"/>
  <c r="BJ14" i="1"/>
  <c r="BJ13" i="1"/>
  <c r="BJ12" i="1"/>
  <c r="BH11" i="1"/>
  <c r="BG11" i="1"/>
  <c r="BF11" i="1"/>
  <c r="BE11" i="1"/>
  <c r="BD11" i="1"/>
  <c r="BC11" i="1"/>
  <c r="BB11" i="1"/>
  <c r="BA11" i="1"/>
  <c r="AZ11" i="1"/>
  <c r="AX11" i="1"/>
  <c r="AW11" i="1"/>
  <c r="BH9" i="1"/>
  <c r="BG9" i="1"/>
  <c r="BF9" i="1"/>
  <c r="BE9" i="1"/>
  <c r="BD9" i="1"/>
  <c r="BC9" i="1"/>
  <c r="BC10" i="1" s="1"/>
  <c r="BB9" i="1"/>
  <c r="BA9" i="1"/>
  <c r="AZ9" i="1"/>
  <c r="AY9" i="1"/>
  <c r="AX9" i="1"/>
  <c r="AX26" i="1" s="1"/>
  <c r="AW9" i="1"/>
  <c r="BJ8" i="1"/>
  <c r="BJ7" i="1"/>
  <c r="BJ6" i="1"/>
  <c r="BJ5" i="1"/>
  <c r="AI27" i="1"/>
  <c r="AJ27" i="1"/>
  <c r="AK27" i="1"/>
  <c r="AL27" i="1"/>
  <c r="AM27" i="1"/>
  <c r="AN27" i="1"/>
  <c r="AO27" i="1"/>
  <c r="AP27" i="1"/>
  <c r="AQ27" i="1"/>
  <c r="AR27" i="1"/>
  <c r="AS27" i="1"/>
  <c r="AI9" i="1"/>
  <c r="AI10" i="1" s="1"/>
  <c r="AJ9" i="1"/>
  <c r="AJ10" i="1" s="1"/>
  <c r="AK9" i="1"/>
  <c r="AL9" i="1"/>
  <c r="AL10" i="1" s="1"/>
  <c r="AM9" i="1"/>
  <c r="AM10" i="1" s="1"/>
  <c r="AN9" i="1"/>
  <c r="AN10" i="1" s="1"/>
  <c r="AO9" i="1"/>
  <c r="AO10" i="1" s="1"/>
  <c r="AP9" i="1"/>
  <c r="AP10" i="1" s="1"/>
  <c r="AQ9" i="1"/>
  <c r="AQ10" i="1" s="1"/>
  <c r="AR9" i="1"/>
  <c r="AR10" i="1" s="1"/>
  <c r="AS9" i="1"/>
  <c r="AS10" i="1" s="1"/>
  <c r="AI11" i="1"/>
  <c r="AJ11" i="1"/>
  <c r="AK11" i="1"/>
  <c r="AL11" i="1"/>
  <c r="AM11" i="1"/>
  <c r="AN11" i="1"/>
  <c r="AO11" i="1"/>
  <c r="AP11" i="1"/>
  <c r="AQ11" i="1"/>
  <c r="AR11" i="1"/>
  <c r="AS11" i="1"/>
  <c r="AH27" i="1"/>
  <c r="AH11" i="1"/>
  <c r="AH9" i="1"/>
  <c r="AH10" i="1" s="1"/>
  <c r="AU43" i="1"/>
  <c r="AU51" i="1" s="1"/>
  <c r="AU41" i="1"/>
  <c r="AU40" i="1"/>
  <c r="AU53" i="1" s="1"/>
  <c r="AU39" i="1"/>
  <c r="AU38" i="1"/>
  <c r="AU37" i="1"/>
  <c r="AU36" i="1"/>
  <c r="AU35" i="1"/>
  <c r="AU34" i="1"/>
  <c r="AU33" i="1"/>
  <c r="AU32" i="1"/>
  <c r="AU31" i="1"/>
  <c r="AU30" i="1"/>
  <c r="AU29" i="1"/>
  <c r="AU52" i="1" s="1"/>
  <c r="AU28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8" i="1"/>
  <c r="AU7" i="1"/>
  <c r="AU6" i="1"/>
  <c r="AU5" i="1"/>
  <c r="AF41" i="1"/>
  <c r="AF40" i="1"/>
  <c r="AF53" i="1" s="1"/>
  <c r="AF39" i="1"/>
  <c r="AF38" i="1"/>
  <c r="AF37" i="1"/>
  <c r="AF36" i="1"/>
  <c r="AF35" i="1"/>
  <c r="AF34" i="1"/>
  <c r="AF33" i="1"/>
  <c r="AF32" i="1"/>
  <c r="AF31" i="1"/>
  <c r="AF30" i="1"/>
  <c r="AF29" i="1"/>
  <c r="AF52" i="1" s="1"/>
  <c r="AF28" i="1"/>
  <c r="AF25" i="1"/>
  <c r="AF24" i="1"/>
  <c r="AF23" i="1"/>
  <c r="AF22" i="1"/>
  <c r="AF21" i="1"/>
  <c r="AF20" i="1"/>
  <c r="AF18" i="1"/>
  <c r="AF17" i="1"/>
  <c r="AF16" i="1"/>
  <c r="AF15" i="1"/>
  <c r="AF14" i="1"/>
  <c r="AF13" i="1"/>
  <c r="AF12" i="1"/>
  <c r="S19" i="1"/>
  <c r="BJ19" i="1" l="1"/>
  <c r="DR26" i="1"/>
  <c r="BA26" i="1"/>
  <c r="D43" i="1"/>
  <c r="DR10" i="1"/>
  <c r="AH26" i="1"/>
  <c r="CN20" i="1"/>
  <c r="G20" i="1"/>
  <c r="C20" i="2" s="1"/>
  <c r="BX20" i="1"/>
  <c r="I20" i="1" s="1"/>
  <c r="E20" i="2" s="1"/>
  <c r="AE19" i="1"/>
  <c r="D19" i="1" s="1"/>
  <c r="AY11" i="1"/>
  <c r="AY26" i="1" s="1"/>
  <c r="AY44" i="1" s="1"/>
  <c r="BJ18" i="1"/>
  <c r="CN17" i="1"/>
  <c r="CN11" i="1" s="1"/>
  <c r="CT44" i="1"/>
  <c r="CM20" i="1"/>
  <c r="L20" i="1" s="1"/>
  <c r="H43" i="1"/>
  <c r="D43" i="2" s="1"/>
  <c r="L43" i="1"/>
  <c r="AU9" i="1"/>
  <c r="BH26" i="1"/>
  <c r="BH44" i="1" s="1"/>
  <c r="BG26" i="1"/>
  <c r="BG44" i="1" s="1"/>
  <c r="BF26" i="1"/>
  <c r="BF44" i="1" s="1"/>
  <c r="CJ26" i="1"/>
  <c r="CJ44" i="1" s="1"/>
  <c r="CI26" i="1"/>
  <c r="CI44" i="1" s="1"/>
  <c r="BE26" i="1"/>
  <c r="BE44" i="1" s="1"/>
  <c r="CH26" i="1"/>
  <c r="CH44" i="1" s="1"/>
  <c r="BD26" i="1"/>
  <c r="BD44" i="1" s="1"/>
  <c r="AX44" i="1"/>
  <c r="CG26" i="1"/>
  <c r="CG44" i="1" s="1"/>
  <c r="CF26" i="1"/>
  <c r="CF44" i="1" s="1"/>
  <c r="BB26" i="1"/>
  <c r="BB44" i="1" s="1"/>
  <c r="DQ26" i="1"/>
  <c r="DQ44" i="1" s="1"/>
  <c r="CE26" i="1"/>
  <c r="CE44" i="1" s="1"/>
  <c r="CA11" i="1"/>
  <c r="L19" i="1"/>
  <c r="AF19" i="1"/>
  <c r="CN9" i="1"/>
  <c r="CN10" i="1" s="1"/>
  <c r="AE11" i="1"/>
  <c r="AE26" i="1" s="1"/>
  <c r="BY9" i="1"/>
  <c r="H19" i="1"/>
  <c r="D19" i="2" s="1"/>
  <c r="CK26" i="1"/>
  <c r="CK44" i="1" s="1"/>
  <c r="CD26" i="1"/>
  <c r="CD44" i="1" s="1"/>
  <c r="AZ26" i="1"/>
  <c r="AZ44" i="1" s="1"/>
  <c r="CR44" i="1"/>
  <c r="CZ44" i="1"/>
  <c r="CW44" i="1"/>
  <c r="CP44" i="1"/>
  <c r="BX27" i="1"/>
  <c r="I28" i="1"/>
  <c r="E28" i="2" s="1"/>
  <c r="BA44" i="1"/>
  <c r="BI27" i="1"/>
  <c r="H28" i="1"/>
  <c r="D28" i="2" s="1"/>
  <c r="AU27" i="1"/>
  <c r="AH44" i="1"/>
  <c r="DR44" i="1"/>
  <c r="AE10" i="1"/>
  <c r="AT11" i="1"/>
  <c r="I7" i="1"/>
  <c r="E7" i="2" s="1"/>
  <c r="CN27" i="1"/>
  <c r="AE27" i="1"/>
  <c r="CM27" i="1"/>
  <c r="DB27" i="1"/>
  <c r="BY27" i="1"/>
  <c r="AT27" i="1"/>
  <c r="E24" i="1"/>
  <c r="BJ9" i="1"/>
  <c r="BJ10" i="1" s="1"/>
  <c r="BJ27" i="1"/>
  <c r="DC27" i="1"/>
  <c r="AT9" i="1"/>
  <c r="AT10" i="1" s="1"/>
  <c r="CM9" i="1"/>
  <c r="CM10" i="1" s="1"/>
  <c r="L7" i="1"/>
  <c r="EB44" i="1"/>
  <c r="EF44" i="1"/>
  <c r="EG44" i="1"/>
  <c r="CY26" i="1"/>
  <c r="CY44" i="1" s="1"/>
  <c r="CX26" i="1"/>
  <c r="CX44" i="1" s="1"/>
  <c r="DB11" i="1"/>
  <c r="DB26" i="1" s="1"/>
  <c r="DC11" i="1"/>
  <c r="CZ10" i="1"/>
  <c r="DC9" i="1"/>
  <c r="DC10" i="1" s="1"/>
  <c r="CV26" i="1"/>
  <c r="CV44" i="1" s="1"/>
  <c r="CR10" i="1"/>
  <c r="CL26" i="1"/>
  <c r="CL44" i="1" s="1"/>
  <c r="CA26" i="1"/>
  <c r="CA44" i="1" s="1"/>
  <c r="CC26" i="1"/>
  <c r="CC44" i="1" s="1"/>
  <c r="CB26" i="1"/>
  <c r="CB44" i="1" s="1"/>
  <c r="CC10" i="1"/>
  <c r="CG10" i="1"/>
  <c r="BL26" i="1"/>
  <c r="BL44" i="1" s="1"/>
  <c r="BP26" i="1"/>
  <c r="BP44" i="1" s="1"/>
  <c r="BT26" i="1"/>
  <c r="BT44" i="1" s="1"/>
  <c r="BY11" i="1"/>
  <c r="BY26" i="1" s="1"/>
  <c r="BO26" i="1"/>
  <c r="BO44" i="1" s="1"/>
  <c r="BS26" i="1"/>
  <c r="BS44" i="1" s="1"/>
  <c r="BW26" i="1"/>
  <c r="BW44" i="1" s="1"/>
  <c r="BM26" i="1"/>
  <c r="BM44" i="1" s="1"/>
  <c r="BQ26" i="1"/>
  <c r="BQ44" i="1" s="1"/>
  <c r="BU26" i="1"/>
  <c r="BU44" i="1" s="1"/>
  <c r="BR26" i="1"/>
  <c r="BR44" i="1" s="1"/>
  <c r="BV26" i="1"/>
  <c r="BV44" i="1" s="1"/>
  <c r="BX10" i="1"/>
  <c r="BQ10" i="1"/>
  <c r="BU10" i="1"/>
  <c r="BJ11" i="1"/>
  <c r="BI11" i="1"/>
  <c r="AW26" i="1"/>
  <c r="AW44" i="1" s="1"/>
  <c r="BC26" i="1"/>
  <c r="BC44" i="1" s="1"/>
  <c r="BI9" i="1"/>
  <c r="BI10" i="1" s="1"/>
  <c r="BE10" i="1"/>
  <c r="AY10" i="1"/>
  <c r="BG10" i="1"/>
  <c r="AW10" i="1"/>
  <c r="BA10" i="1"/>
  <c r="AU11" i="1"/>
  <c r="AQ26" i="1"/>
  <c r="AQ44" i="1" s="1"/>
  <c r="AM26" i="1"/>
  <c r="AM44" i="1" s="1"/>
  <c r="AI26" i="1"/>
  <c r="AI44" i="1" s="1"/>
  <c r="AP26" i="1"/>
  <c r="AP44" i="1" s="1"/>
  <c r="AL26" i="1"/>
  <c r="AL44" i="1" s="1"/>
  <c r="AS26" i="1"/>
  <c r="AS44" i="1" s="1"/>
  <c r="AO26" i="1"/>
  <c r="AO44" i="1" s="1"/>
  <c r="AK26" i="1"/>
  <c r="AK44" i="1" s="1"/>
  <c r="AR26" i="1"/>
  <c r="AR44" i="1" s="1"/>
  <c r="AN26" i="1"/>
  <c r="AN44" i="1" s="1"/>
  <c r="AJ26" i="1"/>
  <c r="AJ44" i="1" s="1"/>
  <c r="AU26" i="1"/>
  <c r="AU10" i="1"/>
  <c r="AK10" i="1"/>
  <c r="CW10" i="1"/>
  <c r="CS26" i="1"/>
  <c r="CS44" i="1" s="1"/>
  <c r="DA26" i="1"/>
  <c r="DA44" i="1" s="1"/>
  <c r="CP10" i="1"/>
  <c r="CT10" i="1"/>
  <c r="CX10" i="1"/>
  <c r="CQ10" i="1"/>
  <c r="CU10" i="1"/>
  <c r="CY10" i="1"/>
  <c r="CA10" i="1"/>
  <c r="CE10" i="1"/>
  <c r="CI10" i="1"/>
  <c r="CD10" i="1"/>
  <c r="CH10" i="1"/>
  <c r="CL10" i="1"/>
  <c r="CB10" i="1"/>
  <c r="CF10" i="1"/>
  <c r="CJ10" i="1"/>
  <c r="BY10" i="1"/>
  <c r="BR10" i="1"/>
  <c r="BV10" i="1"/>
  <c r="BN26" i="1"/>
  <c r="BN44" i="1" s="1"/>
  <c r="BO10" i="1"/>
  <c r="BS10" i="1"/>
  <c r="BW10" i="1"/>
  <c r="BL10" i="1"/>
  <c r="BP10" i="1"/>
  <c r="BT10" i="1"/>
  <c r="AZ10" i="1"/>
  <c r="BD10" i="1"/>
  <c r="BH10" i="1"/>
  <c r="AX10" i="1"/>
  <c r="BB10" i="1"/>
  <c r="BF10" i="1"/>
  <c r="CM11" i="1" l="1"/>
  <c r="BX11" i="1"/>
  <c r="BX26" i="1" s="1"/>
  <c r="BX44" i="1" s="1"/>
  <c r="AU44" i="1"/>
  <c r="BJ26" i="1"/>
  <c r="BJ44" i="1" s="1"/>
  <c r="CN26" i="1"/>
  <c r="CN44" i="1" s="1"/>
  <c r="AT26" i="1"/>
  <c r="AT44" i="1" s="1"/>
  <c r="DB44" i="1"/>
  <c r="BY44" i="1"/>
  <c r="CM26" i="1"/>
  <c r="CM44" i="1" s="1"/>
  <c r="AE44" i="1"/>
  <c r="DC26" i="1"/>
  <c r="DC44" i="1" s="1"/>
  <c r="BI26" i="1"/>
  <c r="BI44" i="1" s="1"/>
  <c r="T27" i="1" l="1"/>
  <c r="U27" i="1"/>
  <c r="V27" i="1"/>
  <c r="W27" i="1"/>
  <c r="X27" i="1"/>
  <c r="Y27" i="1"/>
  <c r="Z27" i="1"/>
  <c r="AA27" i="1"/>
  <c r="AB27" i="1"/>
  <c r="AC27" i="1"/>
  <c r="AD27" i="1"/>
  <c r="AF27" i="1"/>
  <c r="T11" i="1"/>
  <c r="U11" i="1"/>
  <c r="V11" i="1"/>
  <c r="W11" i="1"/>
  <c r="X11" i="1"/>
  <c r="Y11" i="1"/>
  <c r="Z11" i="1"/>
  <c r="AA11" i="1"/>
  <c r="AB11" i="1"/>
  <c r="AC11" i="1"/>
  <c r="AD11" i="1"/>
  <c r="AF11" i="1"/>
  <c r="S27" i="1"/>
  <c r="S11" i="1"/>
  <c r="T9" i="1"/>
  <c r="T10" i="1" s="1"/>
  <c r="U9" i="1"/>
  <c r="U10" i="1" s="1"/>
  <c r="V9" i="1"/>
  <c r="W9" i="1"/>
  <c r="X9" i="1"/>
  <c r="X10" i="1" s="1"/>
  <c r="Y9" i="1"/>
  <c r="Z9" i="1"/>
  <c r="AA9" i="1"/>
  <c r="AB9" i="1"/>
  <c r="AB10" i="1" s="1"/>
  <c r="AC9" i="1"/>
  <c r="AD9" i="1"/>
  <c r="S9" i="1"/>
  <c r="S10" i="1" s="1"/>
  <c r="AF6" i="1"/>
  <c r="P6" i="1" s="1"/>
  <c r="AF7" i="1"/>
  <c r="AF8" i="1"/>
  <c r="P8" i="1" s="1"/>
  <c r="AF5" i="1"/>
  <c r="Q43" i="1"/>
  <c r="C34" i="26" s="1"/>
  <c r="P43" i="1"/>
  <c r="B34" i="26" s="1"/>
  <c r="O43" i="1"/>
  <c r="N43" i="1"/>
  <c r="Q41" i="1"/>
  <c r="C32" i="26" s="1"/>
  <c r="P41" i="1"/>
  <c r="B32" i="26" s="1"/>
  <c r="O41" i="1"/>
  <c r="N41" i="1"/>
  <c r="Q40" i="1"/>
  <c r="C31" i="26" s="1"/>
  <c r="P40" i="1"/>
  <c r="B31" i="26" s="1"/>
  <c r="O40" i="1"/>
  <c r="N40" i="1"/>
  <c r="Q39" i="1"/>
  <c r="C30" i="26" s="1"/>
  <c r="P39" i="1"/>
  <c r="B30" i="26" s="1"/>
  <c r="O39" i="1"/>
  <c r="N39" i="1"/>
  <c r="Q38" i="1"/>
  <c r="C29" i="26" s="1"/>
  <c r="P38" i="1"/>
  <c r="B29" i="26" s="1"/>
  <c r="O38" i="1"/>
  <c r="N38" i="1"/>
  <c r="Q37" i="1"/>
  <c r="C28" i="26" s="1"/>
  <c r="P37" i="1"/>
  <c r="B28" i="26" s="1"/>
  <c r="O37" i="1"/>
  <c r="N37" i="1"/>
  <c r="Q36" i="1"/>
  <c r="C27" i="26" s="1"/>
  <c r="P36" i="1"/>
  <c r="B27" i="26" s="1"/>
  <c r="O36" i="1"/>
  <c r="N36" i="1"/>
  <c r="Q35" i="1"/>
  <c r="C26" i="26" s="1"/>
  <c r="P35" i="1"/>
  <c r="B26" i="26" s="1"/>
  <c r="O35" i="1"/>
  <c r="N35" i="1"/>
  <c r="Q34" i="1"/>
  <c r="C25" i="26" s="1"/>
  <c r="P34" i="1"/>
  <c r="B25" i="26" s="1"/>
  <c r="O34" i="1"/>
  <c r="N34" i="1"/>
  <c r="Q33" i="1"/>
  <c r="C24" i="26" s="1"/>
  <c r="P33" i="1"/>
  <c r="B24" i="26" s="1"/>
  <c r="O33" i="1"/>
  <c r="N33" i="1"/>
  <c r="Q32" i="1"/>
  <c r="C23" i="26" s="1"/>
  <c r="P32" i="1"/>
  <c r="B23" i="26" s="1"/>
  <c r="O32" i="1"/>
  <c r="N32" i="1"/>
  <c r="Q31" i="1"/>
  <c r="C22" i="26" s="1"/>
  <c r="P31" i="1"/>
  <c r="B22" i="26" s="1"/>
  <c r="O31" i="1"/>
  <c r="N31" i="1"/>
  <c r="Q30" i="1"/>
  <c r="C21" i="26" s="1"/>
  <c r="P30" i="1"/>
  <c r="B21" i="26" s="1"/>
  <c r="O30" i="1"/>
  <c r="N30" i="1"/>
  <c r="Q29" i="1"/>
  <c r="C20" i="26" s="1"/>
  <c r="P29" i="1"/>
  <c r="B20" i="26" s="1"/>
  <c r="O29" i="1"/>
  <c r="N29" i="1"/>
  <c r="Q28" i="1"/>
  <c r="C19" i="26" s="1"/>
  <c r="P28" i="1"/>
  <c r="B19" i="26" s="1"/>
  <c r="O28" i="1"/>
  <c r="N28" i="1"/>
  <c r="Q25" i="1"/>
  <c r="C17" i="26" s="1"/>
  <c r="P25" i="1"/>
  <c r="B17" i="26" s="1"/>
  <c r="O25" i="1"/>
  <c r="N25" i="1"/>
  <c r="Q24" i="1"/>
  <c r="C16" i="26" s="1"/>
  <c r="P24" i="1"/>
  <c r="B16" i="26" s="1"/>
  <c r="O24" i="1"/>
  <c r="N24" i="1"/>
  <c r="Q23" i="1"/>
  <c r="C15" i="26" s="1"/>
  <c r="P23" i="1"/>
  <c r="B15" i="26" s="1"/>
  <c r="O23" i="1"/>
  <c r="N23" i="1"/>
  <c r="Q22" i="1"/>
  <c r="C14" i="26" s="1"/>
  <c r="P22" i="1"/>
  <c r="B14" i="26" s="1"/>
  <c r="O22" i="1"/>
  <c r="N22" i="1"/>
  <c r="Q21" i="1"/>
  <c r="C13" i="26" s="1"/>
  <c r="P21" i="1"/>
  <c r="B13" i="26" s="1"/>
  <c r="O21" i="1"/>
  <c r="N21" i="1"/>
  <c r="Q20" i="1"/>
  <c r="C12" i="26" s="1"/>
  <c r="P20" i="1"/>
  <c r="B12" i="26" s="1"/>
  <c r="O20" i="1"/>
  <c r="N20" i="1"/>
  <c r="Q19" i="1"/>
  <c r="C11" i="26" s="1"/>
  <c r="P19" i="1"/>
  <c r="B11" i="26" s="1"/>
  <c r="O19" i="1"/>
  <c r="N19" i="1"/>
  <c r="Q18" i="1"/>
  <c r="C10" i="26" s="1"/>
  <c r="P18" i="1"/>
  <c r="B10" i="26" s="1"/>
  <c r="O18" i="1"/>
  <c r="N18" i="1"/>
  <c r="Q17" i="1"/>
  <c r="C9" i="26" s="1"/>
  <c r="P17" i="1"/>
  <c r="B9" i="26" s="1"/>
  <c r="O17" i="1"/>
  <c r="N17" i="1"/>
  <c r="Q16" i="1"/>
  <c r="C8" i="26" s="1"/>
  <c r="P16" i="1"/>
  <c r="B8" i="26" s="1"/>
  <c r="O16" i="1"/>
  <c r="N16" i="1"/>
  <c r="Q15" i="1"/>
  <c r="C7" i="26" s="1"/>
  <c r="P15" i="1"/>
  <c r="B7" i="26" s="1"/>
  <c r="O15" i="1"/>
  <c r="N15" i="1"/>
  <c r="Q14" i="1"/>
  <c r="C6" i="26" s="1"/>
  <c r="P14" i="1"/>
  <c r="B6" i="26" s="1"/>
  <c r="O14" i="1"/>
  <c r="N14" i="1"/>
  <c r="Q13" i="1"/>
  <c r="C5" i="26" s="1"/>
  <c r="P13" i="1"/>
  <c r="B5" i="26" s="1"/>
  <c r="O13" i="1"/>
  <c r="N13" i="1"/>
  <c r="Q12" i="1"/>
  <c r="C4" i="26" s="1"/>
  <c r="P12" i="1"/>
  <c r="B4" i="26" s="1"/>
  <c r="O12" i="1"/>
  <c r="N12" i="1"/>
  <c r="Q8" i="1"/>
  <c r="O8" i="1"/>
  <c r="N8" i="1"/>
  <c r="Q7" i="1"/>
  <c r="P7" i="1"/>
  <c r="O7" i="1"/>
  <c r="N7" i="1"/>
  <c r="Q6" i="1"/>
  <c r="O6" i="1"/>
  <c r="N6" i="1"/>
  <c r="Q5" i="1"/>
  <c r="P5" i="1"/>
  <c r="O5" i="1"/>
  <c r="N5" i="1"/>
  <c r="D28" i="26" l="1"/>
  <c r="D34" i="26"/>
  <c r="C18" i="26"/>
  <c r="C3" i="26"/>
  <c r="B3" i="26"/>
  <c r="D22" i="26"/>
  <c r="D23" i="26"/>
  <c r="D26" i="26"/>
  <c r="D30" i="26"/>
  <c r="D19" i="26"/>
  <c r="B18" i="26"/>
  <c r="S26" i="1"/>
  <c r="S44" i="1" s="1"/>
  <c r="AF9" i="1"/>
  <c r="AF10" i="1" s="1"/>
  <c r="AC26" i="1"/>
  <c r="AC44" i="1" s="1"/>
  <c r="Y26" i="1"/>
  <c r="Y44" i="1" s="1"/>
  <c r="AA26" i="1"/>
  <c r="AA44" i="1" s="1"/>
  <c r="AD26" i="1"/>
  <c r="AD44" i="1" s="1"/>
  <c r="Z26" i="1"/>
  <c r="Z44" i="1" s="1"/>
  <c r="V26" i="1"/>
  <c r="V44" i="1" s="1"/>
  <c r="W26" i="1"/>
  <c r="W44" i="1" s="1"/>
  <c r="AA10" i="1"/>
  <c r="W10" i="1"/>
  <c r="U26" i="1"/>
  <c r="U44" i="1" s="1"/>
  <c r="AB26" i="1"/>
  <c r="AB44" i="1" s="1"/>
  <c r="X26" i="1"/>
  <c r="X44" i="1" s="1"/>
  <c r="AD10" i="1"/>
  <c r="Z10" i="1"/>
  <c r="V10" i="1"/>
  <c r="T26" i="1"/>
  <c r="T44" i="1" s="1"/>
  <c r="AC10" i="1"/>
  <c r="Y10" i="1"/>
  <c r="C27" i="1"/>
  <c r="D27" i="1"/>
  <c r="E27" i="1"/>
  <c r="F27" i="1"/>
  <c r="G27" i="1"/>
  <c r="H27" i="1"/>
  <c r="I27" i="1"/>
  <c r="J27" i="1"/>
  <c r="K27" i="1"/>
  <c r="L27" i="1"/>
  <c r="M27" i="1"/>
  <c r="D18" i="26" l="1"/>
  <c r="AF26" i="1"/>
  <c r="AF44" i="1" s="1"/>
  <c r="G27" i="2"/>
  <c r="H27" i="2"/>
  <c r="I27" i="2"/>
  <c r="M43" i="2"/>
  <c r="L43" i="2"/>
  <c r="K43" i="2"/>
  <c r="J43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5" i="2"/>
  <c r="C17" i="27" s="1"/>
  <c r="L25" i="2"/>
  <c r="B17" i="27" s="1"/>
  <c r="K25" i="2"/>
  <c r="J25" i="2"/>
  <c r="M24" i="2"/>
  <c r="C16" i="27" s="1"/>
  <c r="L24" i="2"/>
  <c r="B16" i="27" s="1"/>
  <c r="K24" i="2"/>
  <c r="J24" i="2"/>
  <c r="M23" i="2"/>
  <c r="C15" i="27" s="1"/>
  <c r="L23" i="2"/>
  <c r="B15" i="27" s="1"/>
  <c r="K23" i="2"/>
  <c r="J23" i="2"/>
  <c r="M22" i="2"/>
  <c r="C14" i="27" s="1"/>
  <c r="L22" i="2"/>
  <c r="B14" i="27" s="1"/>
  <c r="K22" i="2"/>
  <c r="J22" i="2"/>
  <c r="M21" i="2"/>
  <c r="C13" i="27" s="1"/>
  <c r="L21" i="2"/>
  <c r="B13" i="27" s="1"/>
  <c r="K21" i="2"/>
  <c r="J21" i="2"/>
  <c r="M20" i="2"/>
  <c r="C12" i="27" s="1"/>
  <c r="L20" i="2"/>
  <c r="B12" i="27" s="1"/>
  <c r="K20" i="2"/>
  <c r="J20" i="2"/>
  <c r="M19" i="2"/>
  <c r="C11" i="27" s="1"/>
  <c r="L19" i="2"/>
  <c r="B11" i="27" s="1"/>
  <c r="K19" i="2"/>
  <c r="J19" i="2"/>
  <c r="M18" i="2"/>
  <c r="C10" i="27" s="1"/>
  <c r="L18" i="2"/>
  <c r="B10" i="27" s="1"/>
  <c r="K18" i="2"/>
  <c r="J18" i="2"/>
  <c r="M17" i="2"/>
  <c r="C9" i="27" s="1"/>
  <c r="K17" i="2"/>
  <c r="M16" i="2"/>
  <c r="C8" i="27" s="1"/>
  <c r="L16" i="2"/>
  <c r="B8" i="27" s="1"/>
  <c r="K16" i="2"/>
  <c r="J16" i="2"/>
  <c r="M15" i="2"/>
  <c r="C7" i="27" s="1"/>
  <c r="L15" i="2"/>
  <c r="B7" i="27" s="1"/>
  <c r="K15" i="2"/>
  <c r="J15" i="2"/>
  <c r="M14" i="2"/>
  <c r="C6" i="27" s="1"/>
  <c r="L14" i="2"/>
  <c r="B6" i="27" s="1"/>
  <c r="K14" i="2"/>
  <c r="J14" i="2"/>
  <c r="M13" i="2"/>
  <c r="C5" i="27" s="1"/>
  <c r="L13" i="2"/>
  <c r="B5" i="27" s="1"/>
  <c r="K13" i="2"/>
  <c r="J13" i="2"/>
  <c r="M12" i="2"/>
  <c r="C4" i="27" s="1"/>
  <c r="L12" i="2"/>
  <c r="B4" i="27" s="1"/>
  <c r="K12" i="2"/>
  <c r="J12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D5" i="27" l="1"/>
  <c r="D8" i="27"/>
  <c r="C3" i="27"/>
  <c r="D10" i="27"/>
  <c r="D11" i="27"/>
  <c r="D12" i="27"/>
  <c r="D14" i="27"/>
  <c r="D15" i="27"/>
  <c r="D16" i="27"/>
  <c r="D4" i="27"/>
  <c r="L27" i="2"/>
  <c r="K9" i="2"/>
  <c r="J9" i="2"/>
  <c r="M27" i="2"/>
  <c r="J27" i="2"/>
  <c r="E27" i="2"/>
  <c r="D27" i="2"/>
  <c r="C27" i="2"/>
  <c r="B27" i="2"/>
  <c r="H11" i="2"/>
  <c r="L17" i="2"/>
  <c r="B9" i="27" s="1"/>
  <c r="D9" i="27" s="1"/>
  <c r="J17" i="2"/>
  <c r="I11" i="2"/>
  <c r="G11" i="2"/>
  <c r="E11" i="2"/>
  <c r="C11" i="2"/>
  <c r="I9" i="2"/>
  <c r="H9" i="2"/>
  <c r="G9" i="2"/>
  <c r="G10" i="2" s="1"/>
  <c r="F9" i="2"/>
  <c r="E9" i="2"/>
  <c r="D9" i="2"/>
  <c r="D10" i="2" s="1"/>
  <c r="C9" i="2"/>
  <c r="B9" i="2"/>
  <c r="B10" i="2" s="1"/>
  <c r="M9" i="2"/>
  <c r="L9" i="2"/>
  <c r="F10" i="2" l="1"/>
  <c r="F26" i="2"/>
  <c r="F44" i="2" s="1"/>
  <c r="B3" i="27"/>
  <c r="D3" i="27" s="1"/>
  <c r="G26" i="2"/>
  <c r="G44" i="2" s="1"/>
  <c r="H26" i="2"/>
  <c r="H44" i="2" s="1"/>
  <c r="I26" i="2"/>
  <c r="I44" i="2" s="1"/>
  <c r="K27" i="2"/>
  <c r="C26" i="2"/>
  <c r="C44" i="2" s="1"/>
  <c r="J11" i="2"/>
  <c r="J26" i="2" s="1"/>
  <c r="J44" i="2" s="1"/>
  <c r="B11" i="2"/>
  <c r="B26" i="2" s="1"/>
  <c r="B44" i="2" s="1"/>
  <c r="K11" i="2"/>
  <c r="K26" i="2" s="1"/>
  <c r="E26" i="2"/>
  <c r="E44" i="2" s="1"/>
  <c r="M11" i="2"/>
  <c r="M26" i="2" s="1"/>
  <c r="M44" i="2" s="1"/>
  <c r="M10" i="2"/>
  <c r="K10" i="2"/>
  <c r="L11" i="2"/>
  <c r="L26" i="2" s="1"/>
  <c r="L44" i="2" s="1"/>
  <c r="J10" i="2"/>
  <c r="L10" i="2"/>
  <c r="C10" i="2"/>
  <c r="H10" i="2"/>
  <c r="D11" i="2"/>
  <c r="D26" i="2" s="1"/>
  <c r="D44" i="2" s="1"/>
  <c r="E10" i="2"/>
  <c r="I10" i="2"/>
  <c r="K44" i="2" l="1"/>
  <c r="M11" i="1"/>
  <c r="L11" i="1"/>
  <c r="K11" i="1"/>
  <c r="J11" i="1"/>
  <c r="I11" i="1"/>
  <c r="H11" i="1"/>
  <c r="G11" i="1"/>
  <c r="F11" i="1"/>
  <c r="E11" i="1"/>
  <c r="D11" i="1"/>
  <c r="C11" i="1"/>
  <c r="M9" i="1"/>
  <c r="L9" i="1"/>
  <c r="K9" i="1"/>
  <c r="J9" i="1"/>
  <c r="I9" i="1"/>
  <c r="H9" i="1"/>
  <c r="G9" i="1"/>
  <c r="G10" i="1" s="1"/>
  <c r="F9" i="1"/>
  <c r="E9" i="1"/>
  <c r="D9" i="1"/>
  <c r="C9" i="1"/>
  <c r="B9" i="1"/>
  <c r="O9" i="1"/>
  <c r="D26" i="1" l="1"/>
  <c r="D44" i="1" s="1"/>
  <c r="L26" i="1"/>
  <c r="L44" i="1" s="1"/>
  <c r="E26" i="1"/>
  <c r="E44" i="1" s="1"/>
  <c r="I26" i="1"/>
  <c r="I44" i="1" s="1"/>
  <c r="M26" i="1"/>
  <c r="M44" i="1" s="1"/>
  <c r="B26" i="1"/>
  <c r="B44" i="1" s="1"/>
  <c r="F26" i="1"/>
  <c r="F44" i="1" s="1"/>
  <c r="J26" i="1"/>
  <c r="J44" i="1" s="1"/>
  <c r="H26" i="1"/>
  <c r="H44" i="1" s="1"/>
  <c r="C26" i="1"/>
  <c r="C44" i="1" s="1"/>
  <c r="G26" i="1"/>
  <c r="G44" i="1" s="1"/>
  <c r="K26" i="1"/>
  <c r="K44" i="1" s="1"/>
  <c r="Q9" i="1"/>
  <c r="Q10" i="1" s="1"/>
  <c r="P27" i="1"/>
  <c r="N27" i="1"/>
  <c r="O27" i="1"/>
  <c r="P9" i="1"/>
  <c r="P10" i="1" s="1"/>
  <c r="N9" i="1"/>
  <c r="N10" i="1" s="1"/>
  <c r="P11" i="1"/>
  <c r="N11" i="1"/>
  <c r="O11" i="1"/>
  <c r="O26" i="1" s="1"/>
  <c r="O10" i="1"/>
  <c r="C10" i="1"/>
  <c r="Q11" i="1"/>
  <c r="D10" i="1"/>
  <c r="H10" i="1"/>
  <c r="L10" i="1"/>
  <c r="K10" i="1"/>
  <c r="Q27" i="1"/>
  <c r="E10" i="1"/>
  <c r="I10" i="1"/>
  <c r="M10" i="1"/>
  <c r="B10" i="1"/>
  <c r="F10" i="1"/>
  <c r="J10" i="1"/>
  <c r="P26" i="1" l="1"/>
  <c r="P44" i="1" s="1"/>
  <c r="Q26" i="1"/>
  <c r="Q44" i="1" s="1"/>
  <c r="N26" i="1"/>
  <c r="N44" i="1" s="1"/>
  <c r="O44" i="1"/>
</calcChain>
</file>

<file path=xl/comments1.xml><?xml version="1.0" encoding="utf-8"?>
<comments xmlns="http://schemas.openxmlformats.org/spreadsheetml/2006/main">
  <authors>
    <author>作者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家乐福数据调整,调减115352.88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家乐福数据调整，调减17376.24</t>
        </r>
      </text>
    </comment>
  </commentList>
</comments>
</file>

<file path=xl/sharedStrings.xml><?xml version="1.0" encoding="utf-8"?>
<sst xmlns="http://schemas.openxmlformats.org/spreadsheetml/2006/main" count="3505" uniqueCount="1169">
  <si>
    <t>科目</t>
    <phoneticPr fontId="10" type="noConversion"/>
  </si>
  <si>
    <t>美妆店渠道</t>
    <phoneticPr fontId="6" type="noConversion"/>
  </si>
  <si>
    <t>现代货架渠道</t>
    <phoneticPr fontId="6" type="noConversion"/>
  </si>
  <si>
    <t>电商</t>
    <phoneticPr fontId="6" type="noConversion"/>
  </si>
  <si>
    <t>合计</t>
    <phoneticPr fontId="6" type="noConversion"/>
  </si>
  <si>
    <t>去同</t>
    <phoneticPr fontId="6" type="noConversion"/>
  </si>
  <si>
    <t>本年累计</t>
    <phoneticPr fontId="6" type="noConversion"/>
  </si>
  <si>
    <t>去年累计</t>
    <phoneticPr fontId="6" type="noConversion"/>
  </si>
  <si>
    <t>去同</t>
  </si>
  <si>
    <t>本年累计</t>
  </si>
  <si>
    <t>去年累计</t>
  </si>
  <si>
    <t>一、零售原价金额</t>
    <phoneticPr fontId="12" type="noConversion"/>
  </si>
  <si>
    <t>二、营业收入（管理口径）</t>
    <phoneticPr fontId="12" type="noConversion"/>
  </si>
  <si>
    <t>三、营业收入（净收入）</t>
    <phoneticPr fontId="12" type="noConversion"/>
  </si>
  <si>
    <t>四、营业成本（净成本）</t>
    <phoneticPr fontId="6" type="noConversion"/>
  </si>
  <si>
    <t>五、销售毛利</t>
    <phoneticPr fontId="12" type="noConversion"/>
  </si>
  <si>
    <t xml:space="preserve">    销售毛利率</t>
    <phoneticPr fontId="12" type="noConversion"/>
  </si>
  <si>
    <t>六、销售费用-渠道费用</t>
    <phoneticPr fontId="12" type="noConversion"/>
  </si>
  <si>
    <t>1、仓储物流费</t>
    <phoneticPr fontId="12" type="noConversion"/>
  </si>
  <si>
    <t>2、促销费</t>
    <phoneticPr fontId="12" type="noConversion"/>
  </si>
  <si>
    <t>3、BA劳务费用</t>
    <phoneticPr fontId="12" type="noConversion"/>
  </si>
  <si>
    <t>4、广告费</t>
    <phoneticPr fontId="12" type="noConversion"/>
  </si>
  <si>
    <t>5、培训和会议</t>
    <phoneticPr fontId="12" type="noConversion"/>
  </si>
  <si>
    <t>6、渠道发展费</t>
    <phoneticPr fontId="12" type="noConversion"/>
  </si>
  <si>
    <t>7、渠道建设费</t>
    <phoneticPr fontId="12" type="noConversion"/>
  </si>
  <si>
    <t>8、销售人资费用</t>
    <phoneticPr fontId="12" type="noConversion"/>
  </si>
  <si>
    <t>9、日常费用</t>
    <phoneticPr fontId="12" type="noConversion"/>
  </si>
  <si>
    <t>10、市场秩序维护费</t>
    <phoneticPr fontId="12" type="noConversion"/>
  </si>
  <si>
    <t>11、长期待摊、折旧费用</t>
    <phoneticPr fontId="12" type="noConversion"/>
  </si>
  <si>
    <t>13、折扣折让、货补费用</t>
    <phoneticPr fontId="12" type="noConversion"/>
  </si>
  <si>
    <t>14、物料配赠费用</t>
    <phoneticPr fontId="12" type="noConversion"/>
  </si>
  <si>
    <t>15、咨询服务费</t>
    <phoneticPr fontId="6" type="noConversion"/>
  </si>
  <si>
    <t xml:space="preserve">   渠道利润</t>
    <phoneticPr fontId="6" type="noConversion"/>
  </si>
  <si>
    <t>七、销售费用-市场费用</t>
    <phoneticPr fontId="12" type="noConversion"/>
  </si>
  <si>
    <t>1、促销费</t>
  </si>
  <si>
    <t>2、广告费</t>
  </si>
  <si>
    <t>3、培训和会议</t>
  </si>
  <si>
    <t>4、人资费用</t>
  </si>
  <si>
    <t>5、日常费用</t>
  </si>
  <si>
    <t>6、CRM费用</t>
  </si>
  <si>
    <t>7、公关费</t>
  </si>
  <si>
    <t>8、广告劳务费</t>
  </si>
  <si>
    <t>9、广告制作费</t>
  </si>
  <si>
    <t>10、数字营销</t>
  </si>
  <si>
    <t>11、调研费</t>
  </si>
  <si>
    <t>12、咨询服务费</t>
  </si>
  <si>
    <t>13、仓储物流费</t>
  </si>
  <si>
    <t>14、营销推广费</t>
  </si>
  <si>
    <t>销售利润</t>
    <phoneticPr fontId="12" type="noConversion"/>
  </si>
  <si>
    <t>单位：万元</t>
    <phoneticPr fontId="6" type="noConversion"/>
  </si>
  <si>
    <t>本月</t>
  </si>
  <si>
    <t>15、其他</t>
    <phoneticPr fontId="6" type="noConversion"/>
  </si>
  <si>
    <t>春夏现代货架渠道</t>
    <phoneticPr fontId="6" type="noConversion"/>
  </si>
  <si>
    <t>自然堂现代货架渠道</t>
    <phoneticPr fontId="6" type="noConversion"/>
  </si>
  <si>
    <t>自然堂现代渠道没有分摊市场费用</t>
    <phoneticPr fontId="6" type="noConversion"/>
  </si>
  <si>
    <t>1月</t>
    <phoneticPr fontId="6" type="noConversion"/>
  </si>
  <si>
    <t>2月</t>
    <phoneticPr fontId="6" type="noConversion"/>
  </si>
  <si>
    <t>3月</t>
    <phoneticPr fontId="6" type="noConversion"/>
  </si>
  <si>
    <t>4月</t>
    <phoneticPr fontId="6" type="noConversion"/>
  </si>
  <si>
    <t>5月</t>
    <phoneticPr fontId="6" type="noConversion"/>
  </si>
  <si>
    <t>6月</t>
    <phoneticPr fontId="6" type="noConversion"/>
  </si>
  <si>
    <t>7月</t>
    <phoneticPr fontId="6" type="noConversion"/>
  </si>
  <si>
    <t>8月</t>
    <phoneticPr fontId="6" type="noConversion"/>
  </si>
  <si>
    <t>9月</t>
    <phoneticPr fontId="6" type="noConversion"/>
  </si>
  <si>
    <t>10月</t>
    <phoneticPr fontId="6" type="noConversion"/>
  </si>
  <si>
    <t>11月</t>
    <phoneticPr fontId="6" type="noConversion"/>
  </si>
  <si>
    <t>12月</t>
    <phoneticPr fontId="6" type="noConversion"/>
  </si>
  <si>
    <t>本年累计</t>
    <phoneticPr fontId="6" type="noConversion"/>
  </si>
  <si>
    <t>美妆渠道19年实际数</t>
    <phoneticPr fontId="6" type="noConversion"/>
  </si>
  <si>
    <t>美妆渠道18年实际数</t>
    <phoneticPr fontId="6" type="noConversion"/>
  </si>
  <si>
    <t>货架渠道19年实际数</t>
    <phoneticPr fontId="6" type="noConversion"/>
  </si>
  <si>
    <t>货架渠道18年实际数</t>
    <phoneticPr fontId="6" type="noConversion"/>
  </si>
  <si>
    <t>电商渠道18年实际数</t>
    <phoneticPr fontId="6" type="noConversion"/>
  </si>
  <si>
    <t>电商渠道19年实际数</t>
    <phoneticPr fontId="6" type="noConversion"/>
  </si>
  <si>
    <t>本期累计</t>
    <phoneticPr fontId="6" type="noConversion"/>
  </si>
  <si>
    <t>本期累计</t>
    <phoneticPr fontId="6" type="noConversion"/>
  </si>
  <si>
    <t>19年市场费用</t>
    <phoneticPr fontId="6" type="noConversion"/>
  </si>
  <si>
    <t>18年市场费用</t>
    <phoneticPr fontId="6" type="noConversion"/>
  </si>
  <si>
    <t>15、信息系统维护费</t>
    <phoneticPr fontId="6" type="noConversion"/>
  </si>
  <si>
    <t>成本</t>
    <phoneticPr fontId="6" type="noConversion"/>
  </si>
  <si>
    <t>19年占比</t>
    <phoneticPr fontId="6" type="noConversion"/>
  </si>
  <si>
    <t>美妆渠道</t>
    <phoneticPr fontId="6" type="noConversion"/>
  </si>
  <si>
    <t>现代渠道</t>
    <phoneticPr fontId="6" type="noConversion"/>
  </si>
  <si>
    <t>电商渠道</t>
    <phoneticPr fontId="6" type="noConversion"/>
  </si>
  <si>
    <t>合计</t>
    <phoneticPr fontId="6" type="noConversion"/>
  </si>
  <si>
    <t>18年占比</t>
    <phoneticPr fontId="6" type="noConversion"/>
  </si>
  <si>
    <t>19年预算</t>
    <phoneticPr fontId="6" type="noConversion"/>
  </si>
  <si>
    <t>18年实际</t>
    <phoneticPr fontId="6" type="noConversion"/>
  </si>
  <si>
    <t>1月</t>
    <phoneticPr fontId="6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</si>
  <si>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</si>
  <si>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</si>
  <si>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</si>
  <si>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</si>
  <si>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</si>
  <si>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</si>
  <si>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</si>
  <si>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</si>
  <si>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</si>
  <si>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</si>
  <si>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</si>
  <si>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本年累计</t>
    <phoneticPr fontId="6" type="noConversion"/>
  </si>
  <si>
    <t>本期累计</t>
    <phoneticPr fontId="6" type="noConversion"/>
  </si>
  <si>
    <t>自然堂现代货架渠道2019年实际</t>
    <phoneticPr fontId="6" type="noConversion"/>
  </si>
  <si>
    <t>自然堂现代货架渠道2018年实际</t>
    <phoneticPr fontId="6" type="noConversion"/>
  </si>
  <si>
    <t>单位：万元</t>
  </si>
  <si>
    <t>品牌</t>
  </si>
  <si>
    <t>渠道</t>
  </si>
  <si>
    <t>春夏</t>
    <phoneticPr fontId="6" type="noConversion"/>
  </si>
  <si>
    <t>专营</t>
  </si>
  <si>
    <t>电商</t>
  </si>
  <si>
    <t>小计</t>
  </si>
  <si>
    <t>自然堂</t>
    <phoneticPr fontId="6" type="noConversion"/>
  </si>
  <si>
    <t>植物智慧</t>
  </si>
  <si>
    <t>集团合计</t>
  </si>
  <si>
    <t>品牌</t>
    <phoneticPr fontId="6" type="noConversion"/>
  </si>
  <si>
    <t>渠  道</t>
    <phoneticPr fontId="6" type="noConversion"/>
  </si>
  <si>
    <t>达成率</t>
    <phoneticPr fontId="6" type="noConversion"/>
  </si>
  <si>
    <t>年度指标</t>
    <phoneticPr fontId="6" type="noConversion"/>
  </si>
  <si>
    <t>累计指标</t>
    <phoneticPr fontId="6" type="noConversion"/>
  </si>
  <si>
    <t>累计达成</t>
    <phoneticPr fontId="6" type="noConversion"/>
  </si>
  <si>
    <t>累计达成率</t>
    <phoneticPr fontId="6" type="noConversion"/>
  </si>
  <si>
    <t>进度率</t>
    <phoneticPr fontId="6" type="noConversion"/>
  </si>
  <si>
    <t>备注</t>
    <phoneticPr fontId="6" type="noConversion"/>
  </si>
  <si>
    <t>百货渠道</t>
    <phoneticPr fontId="6" type="noConversion"/>
  </si>
  <si>
    <t>小计</t>
    <phoneticPr fontId="6" type="noConversion"/>
  </si>
  <si>
    <t>美素</t>
    <phoneticPr fontId="6" type="noConversion"/>
  </si>
  <si>
    <t>美妆店渠道</t>
  </si>
  <si>
    <t>商场渠道</t>
  </si>
  <si>
    <t>小计</t>
    <phoneticPr fontId="6" type="noConversion"/>
  </si>
  <si>
    <t>植物智慧</t>
    <phoneticPr fontId="6" type="noConversion"/>
  </si>
  <si>
    <t>电商渠道</t>
    <phoneticPr fontId="6" type="noConversion"/>
  </si>
  <si>
    <t>合 计</t>
    <phoneticPr fontId="6" type="noConversion"/>
  </si>
  <si>
    <t>制表人：</t>
    <phoneticPr fontId="6" type="noConversion"/>
  </si>
  <si>
    <t>复核人：</t>
    <phoneticPr fontId="6" type="noConversion"/>
  </si>
  <si>
    <t>单位：万元</t>
    <phoneticPr fontId="6" type="noConversion"/>
  </si>
  <si>
    <t>品牌</t>
    <phoneticPr fontId="6" type="noConversion"/>
  </si>
  <si>
    <t>品类</t>
    <phoneticPr fontId="6" type="noConversion"/>
  </si>
  <si>
    <t>达成率</t>
    <phoneticPr fontId="6" type="noConversion"/>
  </si>
  <si>
    <t>年度指标</t>
  </si>
  <si>
    <t>累计指标</t>
  </si>
  <si>
    <t>累计达成</t>
  </si>
  <si>
    <t>累计达成率</t>
  </si>
  <si>
    <t>进度率</t>
  </si>
  <si>
    <t>备注</t>
  </si>
  <si>
    <t>春夏</t>
    <phoneticPr fontId="6" type="noConversion"/>
  </si>
  <si>
    <t>美妆店渠道</t>
    <phoneticPr fontId="6" type="noConversion"/>
  </si>
  <si>
    <t>护肤</t>
  </si>
  <si>
    <t>彩妆</t>
  </si>
  <si>
    <t>面膜</t>
  </si>
  <si>
    <t>男士</t>
  </si>
  <si>
    <t>个人护理</t>
  </si>
  <si>
    <t>小计</t>
    <phoneticPr fontId="6" type="noConversion"/>
  </si>
  <si>
    <t>百货渠道</t>
    <phoneticPr fontId="6" type="noConversion"/>
  </si>
  <si>
    <t>现代货架渠道</t>
    <phoneticPr fontId="6" type="noConversion"/>
  </si>
  <si>
    <t>电商</t>
    <phoneticPr fontId="6" type="noConversion"/>
  </si>
  <si>
    <t>合计</t>
    <phoneticPr fontId="6" type="noConversion"/>
  </si>
  <si>
    <t>百货渠道</t>
    <phoneticPr fontId="6" type="noConversion"/>
  </si>
  <si>
    <t>销售体系管理报表一览表</t>
    <phoneticPr fontId="6" type="noConversion"/>
  </si>
  <si>
    <t>序号</t>
    <phoneticPr fontId="6" type="noConversion"/>
  </si>
  <si>
    <t>报表名称</t>
    <phoneticPr fontId="6" type="noConversion"/>
  </si>
  <si>
    <t>级别</t>
    <phoneticPr fontId="6" type="noConversion"/>
  </si>
  <si>
    <t>管理目标</t>
    <phoneticPr fontId="6" type="noConversion"/>
  </si>
  <si>
    <t>提报岗位</t>
    <phoneticPr fontId="6" type="noConversion"/>
  </si>
  <si>
    <t>报送节点</t>
    <phoneticPr fontId="6" type="noConversion"/>
  </si>
  <si>
    <t>主送岗位</t>
    <phoneticPr fontId="6" type="noConversion"/>
  </si>
  <si>
    <t>抄送岗位</t>
    <phoneticPr fontId="6" type="noConversion"/>
  </si>
  <si>
    <r>
      <t>备注</t>
    </r>
    <r>
      <rPr>
        <sz val="10"/>
        <color rgb="FFFF0000"/>
        <rFont val="宋体"/>
        <family val="3"/>
        <charset val="134"/>
        <scheme val="minor"/>
      </rPr>
      <t>（无特殊标注各事业部均需完成）</t>
    </r>
    <phoneticPr fontId="6" type="noConversion"/>
  </si>
  <si>
    <t>经营快报</t>
    <phoneticPr fontId="6" type="noConversion"/>
  </si>
  <si>
    <t>一级</t>
    <phoneticPr fontId="6" type="noConversion"/>
  </si>
  <si>
    <t>向总裁办反映零售、回款、营收情况</t>
    <phoneticPr fontId="6" type="noConversion"/>
  </si>
  <si>
    <t>品牌财务经理</t>
    <phoneticPr fontId="6" type="noConversion"/>
  </si>
  <si>
    <t>财务中心总监</t>
    <phoneticPr fontId="6" type="noConversion"/>
  </si>
  <si>
    <t>事业部总经理</t>
    <phoneticPr fontId="6" type="noConversion"/>
  </si>
  <si>
    <t>除上、北子外</t>
    <phoneticPr fontId="6" type="noConversion"/>
  </si>
  <si>
    <t>月度经营简报</t>
    <phoneticPr fontId="6" type="noConversion"/>
  </si>
  <si>
    <t>反映品牌渠道经营效果情况，作为预结账的强制性检查</t>
    <phoneticPr fontId="6" type="noConversion"/>
  </si>
  <si>
    <t>品牌（事业部）总经理</t>
    <phoneticPr fontId="6" type="noConversion"/>
  </si>
  <si>
    <t>财务总监</t>
    <phoneticPr fontId="6" type="noConversion"/>
  </si>
  <si>
    <t>销售回款业绩报告</t>
    <phoneticPr fontId="6" type="noConversion"/>
  </si>
  <si>
    <t>二级</t>
    <phoneticPr fontId="6" type="noConversion"/>
  </si>
  <si>
    <t>反映品牌渠道业绩达成状况</t>
    <phoneticPr fontId="6" type="noConversion"/>
  </si>
  <si>
    <t>分品类分系列营收贡献报表</t>
    <phoneticPr fontId="6" type="noConversion"/>
  </si>
  <si>
    <t>反映我司核算口径折扣折让额，便于后续投入产品毛利分析</t>
    <phoneticPr fontId="6" type="noConversion"/>
  </si>
  <si>
    <t>分渠道实际营收达成报表</t>
    <phoneticPr fontId="6" type="noConversion"/>
  </si>
  <si>
    <t>反映我司核算口径折扣折让额，便于后续投入产品及管理口径毛利分析</t>
    <phoneticPr fontId="6" type="noConversion"/>
  </si>
  <si>
    <t>除上、北分外</t>
    <phoneticPr fontId="6" type="noConversion"/>
  </si>
  <si>
    <t>应收账龄分析及逾期款追踪表</t>
    <phoneticPr fontId="6" type="noConversion"/>
  </si>
  <si>
    <t>反映品牌往来款的异常状况，协同业务帮助催收</t>
    <phoneticPr fontId="6" type="noConversion"/>
  </si>
  <si>
    <t>代理商进货达成业绩报表</t>
    <phoneticPr fontId="6" type="noConversion"/>
  </si>
  <si>
    <t>按政策计算、复核进货回款等计算逻辑在公司政策内执行，协助业务推进执行</t>
    <phoneticPr fontId="6" type="noConversion"/>
  </si>
  <si>
    <t>限自然堂、美素品牌事业部</t>
    <phoneticPr fontId="6" type="noConversion"/>
  </si>
  <si>
    <t>渠道客户毛利率贡献表</t>
    <phoneticPr fontId="6" type="noConversion"/>
  </si>
  <si>
    <t>反映各代理商对我司利润贡献状况</t>
    <phoneticPr fontId="6" type="noConversion"/>
  </si>
  <si>
    <t>其他应收款跟进确认表</t>
    <phoneticPr fontId="6" type="noConversion"/>
  </si>
  <si>
    <t>反映员工借支状况，规避员工离职时造成企业不必要损失</t>
    <phoneticPr fontId="6" type="noConversion"/>
  </si>
  <si>
    <t>采购支出台账报表</t>
    <phoneticPr fontId="6" type="noConversion"/>
  </si>
  <si>
    <t>掌控品牌市场部预算执行状况</t>
    <phoneticPr fontId="6" type="noConversion"/>
  </si>
  <si>
    <t>促销费（渠道）账表费用核对确认表</t>
    <phoneticPr fontId="6" type="noConversion"/>
  </si>
  <si>
    <t>便于每月定期账账核对，规避不可控大额差异发生及后续处理不落位，将差异逐渐趋小</t>
    <phoneticPr fontId="6" type="noConversion"/>
  </si>
  <si>
    <t>除植物智慧品牌事业部外</t>
    <phoneticPr fontId="6" type="noConversion"/>
  </si>
  <si>
    <t>金税及系统开票差异比对表</t>
    <phoneticPr fontId="6" type="noConversion"/>
  </si>
  <si>
    <t>反映金税和SAP系统开票的差异并跟进处理</t>
    <phoneticPr fontId="6" type="noConversion"/>
  </si>
  <si>
    <t>财务总经理</t>
    <phoneticPr fontId="6" type="noConversion"/>
  </si>
  <si>
    <t>重点费用变动分析表</t>
    <phoneticPr fontId="6" type="noConversion"/>
  </si>
  <si>
    <t>促使费用及主管岗位了解费用变动原因，深入业务本质，利于后续财务分析</t>
    <phoneticPr fontId="6" type="noConversion"/>
  </si>
  <si>
    <t>保证金进销存报表</t>
    <phoneticPr fontId="6" type="noConversion"/>
  </si>
  <si>
    <t>每月动态反映保证金缴存、退还情况，督促高效执行公司政策，并及时进行台帐处理，确保账、实际业务同步一致</t>
    <phoneticPr fontId="6" type="noConversion"/>
  </si>
  <si>
    <t>库存监盘差异说明表</t>
    <phoneticPr fontId="6" type="noConversion"/>
  </si>
  <si>
    <t>督促每月履行财务监盘职责，将差异原因进行跟进并报核，核批后及时进行系统账务处理，确保系统间、实物无差异且可控</t>
    <phoneticPr fontId="6" type="noConversion"/>
  </si>
  <si>
    <t>限上、北子公司</t>
    <phoneticPr fontId="6" type="noConversion"/>
  </si>
  <si>
    <t>促销基金快报</t>
    <phoneticPr fontId="6" type="noConversion"/>
  </si>
  <si>
    <t>反映代理商基金报核进程状况，协同业务共同推进</t>
    <phoneticPr fontId="6" type="noConversion"/>
  </si>
  <si>
    <t>说明：注意各表单位,不特殊说明保留小数点后一位，百分比一位，无特殊说明的数据则为财务口径，个别比如经营简报有管理口径（配赠品成本重分类为费用）;无附表格式的则不限格式。</t>
    <phoneticPr fontId="6" type="noConversion"/>
  </si>
  <si>
    <t>1月</t>
    <phoneticPr fontId="6" type="noConversion"/>
  </si>
  <si>
    <t>合计</t>
    <phoneticPr fontId="6" type="noConversion"/>
  </si>
  <si>
    <t>2019年实际</t>
    <phoneticPr fontId="6" type="noConversion"/>
  </si>
  <si>
    <t>货架事业部小计</t>
    <phoneticPr fontId="6" type="noConversion"/>
  </si>
  <si>
    <t>品牌渠道品类营收及折扣率报表</t>
    <phoneticPr fontId="6" type="noConversion"/>
  </si>
  <si>
    <t>品牌</t>
    <phoneticPr fontId="6" type="noConversion"/>
  </si>
  <si>
    <t>品类</t>
    <phoneticPr fontId="6" type="noConversion"/>
  </si>
  <si>
    <t xml:space="preserve"> 现代货架 </t>
    <phoneticPr fontId="6" type="noConversion"/>
  </si>
  <si>
    <t>电商</t>
    <phoneticPr fontId="6" type="noConversion"/>
  </si>
  <si>
    <t>全渠道</t>
    <phoneticPr fontId="6" type="noConversion"/>
  </si>
  <si>
    <t>身体护理</t>
    <phoneticPr fontId="6" type="noConversion"/>
  </si>
  <si>
    <t>计算逻辑：=（商品营收*1.13）/（所有出库且开票的商品数量*公司零售原价），商品不含议价及非议价的中小样等无准销证的助销非卖品。</t>
    <phoneticPr fontId="6" type="noConversion"/>
  </si>
  <si>
    <t>美妆渠道</t>
    <phoneticPr fontId="6" type="noConversion"/>
  </si>
  <si>
    <t>春夏</t>
    <phoneticPr fontId="6" type="noConversion"/>
  </si>
  <si>
    <t>合计</t>
    <phoneticPr fontId="6" type="noConversion"/>
  </si>
  <si>
    <t>1月</t>
    <phoneticPr fontId="6" type="noConversion"/>
  </si>
  <si>
    <t>合计</t>
    <phoneticPr fontId="6" type="noConversion"/>
  </si>
  <si>
    <t>2019年收入-美妆渠道</t>
    <phoneticPr fontId="6" type="noConversion"/>
  </si>
  <si>
    <t>2019年原价零售-美妆渠道</t>
    <phoneticPr fontId="6" type="noConversion"/>
  </si>
  <si>
    <t>2019年收入-货架渠道</t>
    <phoneticPr fontId="6" type="noConversion"/>
  </si>
  <si>
    <t>2019年原价零售-货架渠道</t>
    <phoneticPr fontId="6" type="noConversion"/>
  </si>
  <si>
    <t>2019年收入-电商渠道</t>
    <phoneticPr fontId="6" type="noConversion"/>
  </si>
  <si>
    <t>2019年原价零售-电商渠道</t>
    <phoneticPr fontId="6" type="noConversion"/>
  </si>
  <si>
    <t>累计折扣率</t>
  </si>
  <si>
    <t>累计折扣率</t>
    <phoneticPr fontId="6" type="noConversion"/>
  </si>
  <si>
    <t>同期折扣率</t>
  </si>
  <si>
    <t>同期折扣率</t>
    <phoneticPr fontId="6" type="noConversion"/>
  </si>
  <si>
    <t>当前累计</t>
    <phoneticPr fontId="6" type="noConversion"/>
  </si>
  <si>
    <t>全年合计</t>
    <phoneticPr fontId="6" type="noConversion"/>
  </si>
  <si>
    <t>当期累计</t>
    <phoneticPr fontId="6" type="noConversion"/>
  </si>
  <si>
    <t>全年合计</t>
    <phoneticPr fontId="6" type="noConversion"/>
  </si>
  <si>
    <t>2019年收入-全渠道</t>
    <phoneticPr fontId="6" type="noConversion"/>
  </si>
  <si>
    <t>2019年零售原价-全渠道</t>
    <phoneticPr fontId="6" type="noConversion"/>
  </si>
  <si>
    <t>2018年收入-美妆渠道</t>
  </si>
  <si>
    <t>2018年原价零售-美妆渠道</t>
  </si>
  <si>
    <t>2018年收入-货架渠道</t>
  </si>
  <si>
    <t>2018年原价零售-货架渠道</t>
  </si>
  <si>
    <t>2018年收入-电商渠道</t>
  </si>
  <si>
    <t>2018年原价零售-电商渠道</t>
  </si>
  <si>
    <t>2018年收入-全渠道</t>
  </si>
  <si>
    <t>2018年零售原价-全渠道</t>
  </si>
  <si>
    <t>屈臣氏-自然堂货架</t>
  </si>
  <si>
    <t>家乐福-自然堂货架</t>
  </si>
  <si>
    <t>大润发-自然堂货架</t>
  </si>
  <si>
    <t>渠道</t>
    <phoneticPr fontId="6" type="noConversion"/>
  </si>
  <si>
    <t>月度指标</t>
    <phoneticPr fontId="6" type="noConversion"/>
  </si>
  <si>
    <t>月度实际达成</t>
    <phoneticPr fontId="6" type="noConversion"/>
  </si>
  <si>
    <t>去年同期达成</t>
    <phoneticPr fontId="6" type="noConversion"/>
  </si>
  <si>
    <t>同期比</t>
    <phoneticPr fontId="6" type="noConversion"/>
  </si>
  <si>
    <t>本年度累计达成</t>
    <phoneticPr fontId="6" type="noConversion"/>
  </si>
  <si>
    <t>年度业绩进度</t>
    <phoneticPr fontId="6" type="noConversion"/>
  </si>
  <si>
    <t>去年同期累计达成</t>
    <phoneticPr fontId="6" type="noConversion"/>
  </si>
  <si>
    <t>美妆店</t>
    <phoneticPr fontId="6" type="noConversion"/>
  </si>
  <si>
    <t>期间：</t>
    <phoneticPr fontId="6" type="noConversion"/>
  </si>
  <si>
    <t>序号</t>
  </si>
  <si>
    <t>客户名称</t>
  </si>
  <si>
    <t>销售收入</t>
  </si>
  <si>
    <t>销售成本</t>
  </si>
  <si>
    <t>毛利</t>
  </si>
  <si>
    <t>毛利率</t>
  </si>
  <si>
    <t>去同销售收入</t>
  </si>
  <si>
    <t>去同销售成本</t>
  </si>
  <si>
    <t>代理商客户毛利贡献表</t>
    <phoneticPr fontId="6" type="noConversion"/>
  </si>
  <si>
    <t>大区</t>
    <phoneticPr fontId="6" type="noConversion"/>
  </si>
  <si>
    <t>分品类分系列的-月营收贡献表</t>
    <phoneticPr fontId="6" type="noConversion"/>
  </si>
  <si>
    <t>系列</t>
    <phoneticPr fontId="6" type="noConversion"/>
  </si>
  <si>
    <t>防晒系列</t>
  </si>
  <si>
    <t>昆明易诺商贸有限公司（春夏美妆店）</t>
  </si>
  <si>
    <t>山西名洋美汇商贸有限公司（春夏美妆店）</t>
  </si>
  <si>
    <t>烟台通达商贸有限公司（春夏美妆店）</t>
  </si>
  <si>
    <t>衡水菡萱化妆品商贸有限公司（春夏美妆店）</t>
  </si>
  <si>
    <t>北京昊呈仁合商贸有限公司（春夏美妆店）</t>
  </si>
  <si>
    <t>临沂美传天下化妆品有限公司（春夏美妆店）</t>
  </si>
  <si>
    <t>河北晨龙化妆品销售有限公司（春夏美妆店）</t>
  </si>
  <si>
    <t>唐山宏祥日化有限公司（春夏美妆店）</t>
  </si>
  <si>
    <t>张家口自然堂商贸有限公司（春夏美妆店）</t>
  </si>
  <si>
    <t>大同市彬丽贸易有限责任公司（春夏美妆店）</t>
  </si>
  <si>
    <t>济南雨霖铃经贸有限公司（春夏美妆店）</t>
  </si>
  <si>
    <t>双桥区忆慧雅化妆品商行（春夏美妆店）</t>
  </si>
  <si>
    <t>重庆渝美汇美容服务有限公司（春夏美妆店）</t>
  </si>
  <si>
    <t>通辽市科尔沁区团结路荣荣化妆品商行（春夏</t>
  </si>
  <si>
    <t>沈阳依之诺商贸有限责任公司（春夏美妆店）</t>
  </si>
  <si>
    <t>锦州市尚悦商贸有限公司（春夏美妆店）</t>
  </si>
  <si>
    <t>呼和浩特市自然堂商贸有限责任公司（春夏美</t>
  </si>
  <si>
    <t>宜昌浩霖商贸有限公司（春夏美妆店）</t>
  </si>
  <si>
    <t>洛阳市站区欣雅化妆品商行（春夏美妆店）</t>
  </si>
  <si>
    <t>南阳华美达商贸有限公司（春夏美妆店）</t>
  </si>
  <si>
    <t>长沙紫晶化妆品有限公司（春夏美妆店）</t>
  </si>
  <si>
    <t>长沙景顺企业管理有限公司（春夏美妆店）</t>
  </si>
  <si>
    <t>河南中百丽化妆品有限公司（春夏美妆店）</t>
  </si>
  <si>
    <t>陕西米格文化发展有限公司（春夏美妆店）</t>
  </si>
  <si>
    <t>甘肃鼎励商贸有限公司（春夏美妆店）</t>
  </si>
  <si>
    <t>银川添彩行贸易有限公司（春夏美妆店）</t>
  </si>
  <si>
    <t>青海创美商贸有限责任公司（春夏美妆店）</t>
  </si>
  <si>
    <t>新疆怡亚通嘉乐供应链管理有限公司（春夏美</t>
  </si>
  <si>
    <t>无锡美鑫诚商贸有限公司（春夏美妆店）</t>
  </si>
  <si>
    <t>温州弘方化妆品有限公司（春夏美妆店）</t>
  </si>
  <si>
    <t>南京韩旭商贸有限公司（春夏美妆店）</t>
  </si>
  <si>
    <t>杭州春蓝贸易有限公司（春夏美妆店）</t>
  </si>
  <si>
    <t>东莞市顺帆实业投资有限公司（春夏美妆店）</t>
  </si>
  <si>
    <t>海口龙华汇佳美容美发用品商行（春夏美妆店</t>
  </si>
  <si>
    <t>天津市思宇浓商贸有限公司（春夏美妆店）</t>
  </si>
  <si>
    <t>贵阳翔蓉化妆品有限公司（春夏美妆店）</t>
  </si>
  <si>
    <t>郑州美尚化妆品有限公司（春夏美妆店）</t>
  </si>
  <si>
    <t>合肥人广商贸有限公司（春夏美妆店）</t>
  </si>
  <si>
    <t>河南花初颜化妆品有限公司（春夏美妆店）</t>
  </si>
  <si>
    <t>深圳市茂华实业有限公司（春夏美妆店）</t>
  </si>
  <si>
    <t>西安康创商贸有限公司（春夏美妆店）</t>
  </si>
  <si>
    <t>哈尔滨恒盖奥经贸有限公司（春夏美妆店）</t>
  </si>
  <si>
    <t>哈尔滨龙昌商贸有限公司（春夏美妆店）</t>
  </si>
  <si>
    <t>杭州恒浩贸易有限公司（春夏美妆店）</t>
  </si>
  <si>
    <t>聊城雅晴商贸有限公司（春夏美妆店）</t>
  </si>
  <si>
    <t>德州市德城区其右商贸有限公司（春夏美妆店</t>
  </si>
  <si>
    <t>云南伊俊生物科技有限公司（春夏美妆店）</t>
  </si>
  <si>
    <t>南昌禾润化妆品有限公司（春夏美妆店）</t>
  </si>
  <si>
    <t>内蒙古粉蝶商贸有限责任公司（春夏美妆店）</t>
  </si>
  <si>
    <t>吉林市昌邑区美之的化妆品经销处（春夏美妆</t>
  </si>
  <si>
    <t>呼伦贝尔市馨美妆商贸有限公司（春夏美妆店</t>
  </si>
  <si>
    <t>淮北市丽雅名妆日化中心（春夏美妆店）</t>
  </si>
  <si>
    <t>春夏美妆店西南大区</t>
  </si>
  <si>
    <t>春夏美妆店华北大区</t>
  </si>
  <si>
    <t>春夏美妆店东北大区</t>
  </si>
  <si>
    <t>春夏美妆店华中大区</t>
  </si>
  <si>
    <t>春夏美妆店西北大区</t>
  </si>
  <si>
    <t>春夏美妆店华东大区</t>
  </si>
  <si>
    <t>春夏美妆店华南大区</t>
  </si>
  <si>
    <t>济南明予经贸有限公司（春夏现代货架）</t>
  </si>
  <si>
    <t>滕州市三朝荣贸易有限公司（春夏现代货架）</t>
  </si>
  <si>
    <t>潍坊市泰和秀经贸有限公司（春夏现代货架）</t>
  </si>
  <si>
    <t>徐州安霞商贸有限公司（春夏现代货架）</t>
  </si>
  <si>
    <t>中山市众欣源贸易有限公司（春夏现代货架）</t>
  </si>
  <si>
    <t>义乌市葛进贸易有限公司（春夏现代货架）</t>
  </si>
  <si>
    <t>四川家庆贸易有限责任公司（春夏现代货架）</t>
  </si>
  <si>
    <t>江山市惟蔚商贸有限公司（春夏现代货架）</t>
  </si>
  <si>
    <t>衡水菡萱化妆品商贸有限公司（春夏现代货架</t>
  </si>
  <si>
    <t>昆明品方商贸有限公司（春夏现代货架）</t>
  </si>
  <si>
    <t>江西魔丽化妆品有限公司（春夏现代货架）</t>
  </si>
  <si>
    <t>湖北晶盟化妆品有限公司（春夏现代货架）</t>
  </si>
  <si>
    <t>南京欢悦百货贸易有限公司（春夏现代货架）</t>
  </si>
  <si>
    <t>银川尚美生活化妆品有限公司（春夏现代货架</t>
  </si>
  <si>
    <t>重庆展鹿商贸有限公司（春夏现代货架）</t>
  </si>
  <si>
    <t>佳木斯市侨芳威商贸有限公司（春夏现代货架</t>
  </si>
  <si>
    <t>广州明购网络科技有限公司（自然堂现代货架</t>
  </si>
  <si>
    <t>深圳市盛世鑫隆科技有限公司（春夏现代货架</t>
  </si>
  <si>
    <t>广州博南贸易有限公司（春夏现代货架）</t>
  </si>
  <si>
    <t>杭州圣可缇商贸有限公司（春夏现代货架）</t>
  </si>
  <si>
    <t>西安盛妆商贸有限公司（春夏现代货架）</t>
  </si>
  <si>
    <t>包头市畅优商贸有限公司（春夏现代货架）</t>
  </si>
  <si>
    <t>呼和浩特市盛洁商贸有限公司（春夏现代货架</t>
  </si>
  <si>
    <t>新疆金盛华供应链管理有限公司（春夏现代货</t>
  </si>
  <si>
    <t>青岛鸿宝源商贸有限公司（春夏现代货架）</t>
  </si>
  <si>
    <t>上海旭一实业有限公司(春夏现代货架)</t>
  </si>
  <si>
    <t>艾琪儿（济宁）商贸有限公司（春夏现代货架</t>
  </si>
  <si>
    <t>山西恒昕宏业贸易有限公司（春夏现代货架）</t>
  </si>
  <si>
    <t>合肥人广商贸有限公司（春夏现代货架）</t>
  </si>
  <si>
    <t>兰州航远商贸有限公司（春夏现代货架）</t>
  </si>
  <si>
    <t>恩施市博雅丽莎商贸有限责任公司（春夏现代</t>
  </si>
  <si>
    <t>兰州汇通华盛商贸有限公司（春夏现代货架）</t>
  </si>
  <si>
    <t>贵阳丰奇美业商贸有限公司（春夏现代货架）</t>
  </si>
  <si>
    <t>十堰一俊贸易有限公司（春夏现代货架）</t>
  </si>
  <si>
    <t>沈阳碧茜经贸有限公司（春夏现代货架）</t>
  </si>
  <si>
    <t>西昌市金利美商贸有限公司（春夏现代货架）</t>
  </si>
  <si>
    <t>广州齐佑宝商贸有限公司（春夏现代货架）</t>
  </si>
  <si>
    <t>山东有容商贸有限公司(春夏现代货架)</t>
  </si>
  <si>
    <t>宁波海曙天姿商贸有限公司（春夏现代货架）</t>
  </si>
  <si>
    <t>荆门清兰商贸有限公司（春夏现代货架）</t>
  </si>
  <si>
    <t>西安鑫悦智美商贸有限公司(春夏现代货架)</t>
  </si>
  <si>
    <t>攀枝花臻美莉化妆品有限公司（春夏现代货架</t>
  </si>
  <si>
    <t>天美韵生物科技河北有限公司（春夏现代货架</t>
  </si>
  <si>
    <t>襄阳和盛德商贸有限公司（春夏现代货架）</t>
  </si>
  <si>
    <t>日照绿洲工贸有限公司（春夏现代货架）</t>
  </si>
  <si>
    <t>北京景轩盛通商贸有限公司（春夏现代货架）</t>
  </si>
  <si>
    <t>郑州植美加商贸有限公司（春夏现代货架）</t>
  </si>
  <si>
    <t>无锡苏易祥贸易有限公司(春夏现代货架)</t>
  </si>
  <si>
    <t>云南高振科技有限公司（自然堂现代货架）</t>
  </si>
  <si>
    <t>保定市生升日化贸易有限公司（春夏现代货架</t>
  </si>
  <si>
    <t>运城经济开发区卓越商贸有限公司(春夏现代</t>
  </si>
  <si>
    <t>随州市泓增贸易商行（春夏现代货架）</t>
  </si>
  <si>
    <t>菏泽开发区大森林日化用品有限公司（春夏现</t>
  </si>
  <si>
    <t>现代渠道华东区大区</t>
  </si>
  <si>
    <t>现代渠道华南区大区</t>
  </si>
  <si>
    <t>现代渠道西南区大区</t>
  </si>
  <si>
    <t>现代渠道华北区大区</t>
  </si>
  <si>
    <t>现代渠道华中区大区</t>
  </si>
  <si>
    <t>现代渠道西北区大区</t>
  </si>
  <si>
    <t>现代渠道东北区大区</t>
  </si>
  <si>
    <t>深圳市盛世鑫隆科技有限公司（自然堂现代货</t>
  </si>
  <si>
    <t>西安奕涛商贸有限公司（自然堂现代货架）</t>
  </si>
  <si>
    <t>昆明品方商贸有限公司（自然堂现代货架）</t>
  </si>
  <si>
    <t>贵州洁丽达贸易有限责任公司(自然堂现代货</t>
  </si>
  <si>
    <t>上海旭一实业有限公司(自然堂现代货架)</t>
  </si>
  <si>
    <t>徐州安霞商贸有限公司(自然堂现代货架)</t>
  </si>
  <si>
    <t>四川家庆贸易有限责任公司（自然堂现代货架</t>
  </si>
  <si>
    <t>山西恒昕宏业贸易有限公司（自然堂现代货架</t>
  </si>
  <si>
    <t>衡水菡萱化妆品商贸有限公司（自然堂现代货</t>
  </si>
  <si>
    <t>宁波海曙天姿商贸有限公司（自然堂现代货架</t>
  </si>
  <si>
    <t>贵阳丰奇美业商贸有限公司（自然堂现代货架</t>
  </si>
  <si>
    <t>成都佳瑞诚商贸有限公司（自然堂现代货架）</t>
  </si>
  <si>
    <t>十堰一俊贸易有限公司（自然堂现代货架）</t>
  </si>
  <si>
    <t>新疆金盛华供应链管理有限公司(自然堂现代</t>
  </si>
  <si>
    <t>兰州航远商贸有限公司（自然堂现代货架）</t>
  </si>
  <si>
    <t>西昌市金利美商贸有限公司（自然堂现代货架</t>
  </si>
  <si>
    <t>广州齐佑宝商贸有限公司（自然堂现代货架）</t>
  </si>
  <si>
    <t>杭州晓荷贸易有限公司（自然堂现代货架）</t>
  </si>
  <si>
    <t>艾琪儿（济宁）商贸有限公司（自然堂现代货</t>
  </si>
  <si>
    <t>广州博南贸易有限公司（自然堂现代货架）</t>
  </si>
  <si>
    <t>山东有容商贸有限公司(自然堂现代货架)</t>
  </si>
  <si>
    <t>合肥人广商贸有限公司（自然堂现代货架）</t>
  </si>
  <si>
    <t>银川尚美生活化妆品有限公司(自然堂现代货</t>
  </si>
  <si>
    <t>荆门清兰商贸有限公司（自然堂现代货架）</t>
  </si>
  <si>
    <t>杭州圣可缇商贸有限公司（自然堂现代货架）</t>
  </si>
  <si>
    <t>西安鑫悦智美商贸有限公司(自然堂现代货架</t>
  </si>
  <si>
    <t>青岛鸿宝源商贸有限公司（自然堂现代货架）</t>
  </si>
  <si>
    <t>天美韵生物科技河北有限公司（自然堂现代货</t>
  </si>
  <si>
    <t>攀枝花臻美莉化妆品有限公司（自然堂现代货</t>
  </si>
  <si>
    <t>呼和浩特市盛洁商贸有限公司（自然堂现代货</t>
  </si>
  <si>
    <t>襄阳和盛德商贸有限公司（自然堂现代货架）</t>
  </si>
  <si>
    <t>日照绿洲工贸有限公司（自然堂现代货架）</t>
  </si>
  <si>
    <t>山西虹雅商贸有限公司（自然堂现代货架）</t>
  </si>
  <si>
    <t>北京景轩盛通商贸有限公司（自然堂现代货架</t>
  </si>
  <si>
    <t>郑州植美加商贸有限公司（自然堂现代货架）</t>
  </si>
  <si>
    <t>滕州市三朝荣贸易有限公司（自然堂现代货架</t>
  </si>
  <si>
    <t>无锡苏易祥贸易有限公司(自然堂现代货架)</t>
  </si>
  <si>
    <t>义乌市葛进贸易有限公司（自然堂现代货架）</t>
  </si>
  <si>
    <t>保定市生升日化贸易有限公司（自然堂现代货</t>
  </si>
  <si>
    <t>运城经济开发区卓越商贸有限公司(自然堂现</t>
  </si>
  <si>
    <t>沈阳碧茜经贸有限公司（自然堂现代货架）</t>
  </si>
  <si>
    <t>随州市泓增贸易商行（自然堂现代货架）</t>
  </si>
  <si>
    <t>菏泽开发区大森林日化用品有限公司（自然堂</t>
  </si>
  <si>
    <t>昆明秀亮商贸有限公司（自然堂现代货架）</t>
  </si>
  <si>
    <t>创意咨询服务</t>
  </si>
  <si>
    <t>京都玉露补水系列</t>
  </si>
  <si>
    <t>南非复活草保湿系列</t>
  </si>
  <si>
    <t>芬兰海莓果滋养系列</t>
  </si>
  <si>
    <t>印度余甘子美白系列</t>
  </si>
  <si>
    <t>法国紫苏弹力系列</t>
  </si>
  <si>
    <t>清洁系列</t>
  </si>
  <si>
    <t>五色浆果面膜系列</t>
  </si>
  <si>
    <t>个护系列</t>
  </si>
  <si>
    <t>类产品系列</t>
  </si>
  <si>
    <t>电商实物套组系列</t>
  </si>
  <si>
    <t>未分配</t>
  </si>
  <si>
    <t>累计收入</t>
    <phoneticPr fontId="6" type="noConversion"/>
  </si>
  <si>
    <t>累计占比</t>
    <phoneticPr fontId="6" type="noConversion"/>
  </si>
  <si>
    <t>单位：万元</t>
    <phoneticPr fontId="6" type="noConversion"/>
  </si>
  <si>
    <t>合计</t>
    <phoneticPr fontId="6" type="noConversion"/>
  </si>
  <si>
    <t>喜马拉雅膜法-套装</t>
  </si>
  <si>
    <t>喜马拉雅膜法-水光系列</t>
  </si>
  <si>
    <t>喜马拉雅膜法-蜜光系列</t>
  </si>
  <si>
    <t>喜马拉雅膜法-植物系列</t>
  </si>
  <si>
    <t>男士-保湿系列</t>
  </si>
  <si>
    <t>男士-控油系列</t>
  </si>
  <si>
    <t>男士-醒肤系列</t>
  </si>
  <si>
    <t>茶马古道面膜系列</t>
  </si>
  <si>
    <t>组装礼盒系列</t>
  </si>
  <si>
    <t>1月</t>
    <phoneticPr fontId="6" type="noConversion"/>
  </si>
  <si>
    <t>指标</t>
    <phoneticPr fontId="6" type="noConversion"/>
  </si>
  <si>
    <t>客户名称</t>
    <phoneticPr fontId="6" type="noConversion"/>
  </si>
  <si>
    <t>喜马拉雅膜法-矿物系列</t>
  </si>
  <si>
    <t>华北</t>
  </si>
  <si>
    <t>华南</t>
  </si>
  <si>
    <t>东北</t>
  </si>
  <si>
    <t>西北</t>
  </si>
  <si>
    <t>西南</t>
  </si>
  <si>
    <t>华东</t>
  </si>
  <si>
    <t>华中</t>
  </si>
  <si>
    <t>已销户-海拉尔区美伦美商行（春夏美妆店）</t>
  </si>
  <si>
    <t>已销户-包头市佰润商贸有限公司（春夏美妆</t>
  </si>
  <si>
    <t>已销户-淮北市卓恒商贸有限责任公司（春夏</t>
  </si>
  <si>
    <t>已销户-昆明南浙经贸有限公司（春夏美妆店</t>
  </si>
  <si>
    <t>广元市丽生商贸有限公司（春夏美妆店）</t>
  </si>
  <si>
    <t>泰安市泰山区富饶商贸有限公司(春夏现代货</t>
  </si>
  <si>
    <t>铜仁鹏博商贸有限公司(春夏现代货架)</t>
  </si>
  <si>
    <t>南充市嘉陵区鹏达商贸有限公司（春夏现代货</t>
  </si>
  <si>
    <t>鞍山市信美商贸有限公司（春夏现代货架）</t>
  </si>
  <si>
    <t>阳泉傲雪商贸有限公司(春夏现代货架)</t>
  </si>
  <si>
    <t>泰安市泰山区富饶商贸有限公司(自然堂现代</t>
  </si>
  <si>
    <t>铜仁鹏博商贸有限公司(自然堂现代货架)</t>
  </si>
  <si>
    <t>南充市嘉陵区鹏达商贸有限公司（自然堂现代</t>
  </si>
  <si>
    <t>鞍山市信美商贸有限公司（自然堂现代货架）</t>
  </si>
  <si>
    <t>阳泉傲雪商贸有限公司(自然堂现代货架)</t>
  </si>
  <si>
    <t xml:space="preserve">                其他应收款明细表                </t>
    <phoneticPr fontId="6" type="noConversion"/>
  </si>
  <si>
    <t>单位：元</t>
    <phoneticPr fontId="6" type="noConversion"/>
  </si>
  <si>
    <t>姓名</t>
    <phoneticPr fontId="6" type="noConversion"/>
  </si>
  <si>
    <t>部门</t>
    <phoneticPr fontId="6" type="noConversion"/>
  </si>
  <si>
    <t>其他应收款额</t>
    <phoneticPr fontId="6" type="noConversion"/>
  </si>
  <si>
    <t>当事人签字确认</t>
    <phoneticPr fontId="6" type="noConversion"/>
  </si>
  <si>
    <t>说明：每月10日ERP系统拉出后无需特殊加工，由品牌经理安排人找当事人签字确认余额及还款日，签字后归档在销售财务部经理处，以规避离职时有未清核款项。</t>
    <phoneticPr fontId="6" type="noConversion"/>
  </si>
  <si>
    <t>30 OA采购申请编码</t>
  </si>
  <si>
    <t>31预审单编号</t>
  </si>
  <si>
    <t>32合同编号</t>
  </si>
  <si>
    <t>33合同名称</t>
  </si>
  <si>
    <t>36预算金额</t>
  </si>
  <si>
    <t>46总帐科目</t>
  </si>
  <si>
    <t/>
  </si>
  <si>
    <t>采购订单数量</t>
  </si>
  <si>
    <t>采购金额(含税)</t>
  </si>
  <si>
    <t>上一年度平均采购单价</t>
  </si>
  <si>
    <t>交货日期</t>
  </si>
  <si>
    <t>实际交货日期</t>
  </si>
  <si>
    <t>采购申请创建日期</t>
  </si>
  <si>
    <t>采购申请要求到货日期</t>
  </si>
  <si>
    <t>最后审批通过时间</t>
  </si>
  <si>
    <t>发票预制日期</t>
  </si>
  <si>
    <t>CG08-201807019</t>
  </si>
  <si>
    <t>20180718722</t>
  </si>
  <si>
    <t>MZ-CG-ZX-201809-0704</t>
  </si>
  <si>
    <t>自然堂BA手册排版设计</t>
  </si>
  <si>
    <t>40000.00</t>
  </si>
  <si>
    <t>1000/8220010105</t>
  </si>
  <si>
    <t>CG08-201807025</t>
  </si>
  <si>
    <t>20180807823</t>
  </si>
  <si>
    <t>MZ-CG-GG-201809-0683-2</t>
  </si>
  <si>
    <t>2018年凝时数字营销推广补充协议-2</t>
  </si>
  <si>
    <t>4000000.00</t>
  </si>
  <si>
    <t>1000/8006020101</t>
  </si>
  <si>
    <t>数字营销-数字营销推广</t>
  </si>
  <si>
    <t>CG08-201807031</t>
  </si>
  <si>
    <t>20180726768</t>
  </si>
  <si>
    <t>MZ-CG-ZX-201809-0678-2</t>
  </si>
  <si>
    <t>自然堂男士终端设计合同补充协议</t>
  </si>
  <si>
    <t>200000.00</t>
  </si>
  <si>
    <t>1000/8008010107</t>
  </si>
  <si>
    <t>促销费-促销活动费-策划创意费 </t>
  </si>
  <si>
    <t>CG08-201807036</t>
  </si>
  <si>
    <t>201811221342</t>
  </si>
  <si>
    <t>MZ-CG-ZX-201809-0677-2</t>
  </si>
  <si>
    <t>自然堂面膜终端设计合同补充协议</t>
  </si>
  <si>
    <t>CG08-201808007</t>
  </si>
  <si>
    <t>201810181194</t>
  </si>
  <si>
    <t>MZ-CG-GG-201811-1028-1</t>
  </si>
  <si>
    <t>然堂重庆男士项目公关活动传播项目合同 - 补充协议</t>
  </si>
  <si>
    <t>700000.00</t>
  </si>
  <si>
    <t>1000/8008010109</t>
  </si>
  <si>
    <t>促销费-促销活动费-执行管理费</t>
  </si>
  <si>
    <t>CG08-201808018</t>
  </si>
  <si>
    <t>#</t>
  </si>
  <si>
    <t>MZ-CG-ZX-201901-0003</t>
  </si>
  <si>
    <t>自然堂小分子大补水面膜申领H5更新开发合同</t>
  </si>
  <si>
    <t>5000.00</t>
  </si>
  <si>
    <t>1000/8006010104</t>
  </si>
  <si>
    <t>数字营销-自媒体</t>
  </si>
  <si>
    <t>CG08-201808057</t>
  </si>
  <si>
    <t>201809211056</t>
  </si>
  <si>
    <t>MZ-CG-GG-201901-0035</t>
  </si>
  <si>
    <t>2018年12月自然堂彩妆路演公关活动传播项目7场KOL场合同</t>
  </si>
  <si>
    <t>3950000.00</t>
  </si>
  <si>
    <t>1000/8001100103</t>
  </si>
  <si>
    <t>创新营销费-内容合作与授权</t>
  </si>
  <si>
    <t>CG08-201808062</t>
  </si>
  <si>
    <t>20180901949</t>
  </si>
  <si>
    <t>180000.00</t>
  </si>
  <si>
    <t>1000/8003010102</t>
  </si>
  <si>
    <t>广告劳务费-非代言劳务</t>
  </si>
  <si>
    <t>CG08-201809015</t>
  </si>
  <si>
    <t>MZ-CG-ZX-201804-0205-3</t>
  </si>
  <si>
    <t>J5TVC及平面拍摄制作合同补充协议</t>
  </si>
  <si>
    <t>20000.00</t>
  </si>
  <si>
    <t>1000/8002010103</t>
  </si>
  <si>
    <t>广告制作费-视频广告制作</t>
  </si>
  <si>
    <t>CG08-201809017</t>
  </si>
  <si>
    <t>MZ-CG-ZX-201802-0026-1</t>
  </si>
  <si>
    <t>2018年春夏品牌整合营销年度合同补充协议</t>
  </si>
  <si>
    <t>12000.00</t>
  </si>
  <si>
    <t>1000/8002010102</t>
  </si>
  <si>
    <t>广告制作费 -平面广告制作</t>
  </si>
  <si>
    <t>CG08-201809021</t>
  </si>
  <si>
    <t>201809261080</t>
  </si>
  <si>
    <t>MZ-CG-ZX-201901-0068</t>
  </si>
  <si>
    <t>媒介策划服务协议</t>
  </si>
  <si>
    <t>4300000.00</t>
  </si>
  <si>
    <t>CG08-201809034</t>
  </si>
  <si>
    <t>201811071280</t>
  </si>
  <si>
    <t>MZ-CG-GG-201901-0047</t>
  </si>
  <si>
    <t>自然堂数字营销男士品类第一阶段小红书腰部KOL合同</t>
  </si>
  <si>
    <t>940000.00</t>
  </si>
  <si>
    <t>CG08-201809035</t>
  </si>
  <si>
    <t>201810151160</t>
  </si>
  <si>
    <t>MZ-CG-ZX-201901-0075</t>
  </si>
  <si>
    <t>自然堂数字营销面膜品类小红书素人合同</t>
  </si>
  <si>
    <t>2800000.00</t>
  </si>
  <si>
    <t>CG08-201810002</t>
  </si>
  <si>
    <t>500000.00</t>
  </si>
  <si>
    <t>CG08-201810005</t>
  </si>
  <si>
    <t>201810311253</t>
  </si>
  <si>
    <t>MZ-CG-GG-201901-0048</t>
  </si>
  <si>
    <t>自然堂数字营销护肤品类第一阶段小红书腰部KOL合同</t>
  </si>
  <si>
    <t>2100000.00</t>
  </si>
  <si>
    <t>CG08-201810014</t>
  </si>
  <si>
    <t>201811201330</t>
  </si>
  <si>
    <t>CG-ZX-201812-1161</t>
  </si>
  <si>
    <t>集团代理商营销计划发布会快展架制作合同</t>
  </si>
  <si>
    <t>1000/8005030101</t>
  </si>
  <si>
    <t>公关费-公关活动</t>
  </si>
  <si>
    <t>CG08-201810021</t>
  </si>
  <si>
    <t>201811301380</t>
  </si>
  <si>
    <t>MZ-CG-ZX-201901-0062</t>
  </si>
  <si>
    <t>自然堂四节推广数字营销+公关传播红包制作合同</t>
  </si>
  <si>
    <t>3000000.00</t>
  </si>
  <si>
    <t>1000/8005010101</t>
  </si>
  <si>
    <t>公关费-日常公关</t>
  </si>
  <si>
    <t>CG08-201810032</t>
  </si>
  <si>
    <t>201810261228</t>
  </si>
  <si>
    <t>400000.00</t>
  </si>
  <si>
    <t>CG08-201811038</t>
  </si>
  <si>
    <t>201812201475</t>
  </si>
  <si>
    <t>MZ-CG-ZX-201901-0060</t>
  </si>
  <si>
    <t>自然堂新彩妆媒体监测服务协议</t>
  </si>
  <si>
    <t>1000/8001080101</t>
  </si>
  <si>
    <t>广告费-咨询服务-广告监测费用</t>
  </si>
  <si>
    <t>CG08-201811040</t>
  </si>
  <si>
    <t>201811291369</t>
  </si>
  <si>
    <t>2894052.50</t>
  </si>
  <si>
    <t>CG08-201812007</t>
  </si>
  <si>
    <t>201812301527</t>
  </si>
  <si>
    <t>350000.00</t>
  </si>
  <si>
    <t>CG08-201812009</t>
  </si>
  <si>
    <t>201812071427</t>
  </si>
  <si>
    <t>MZ-CG-ZX-201808-0573-1</t>
  </si>
  <si>
    <t>植物智慧品牌【渠道强化升级】在线医生问诊项目-孙诚续约</t>
  </si>
  <si>
    <t>54000.00</t>
  </si>
  <si>
    <t>CG08-201812012</t>
  </si>
  <si>
    <t>201812271510</t>
  </si>
  <si>
    <t>MZ-CG-ZX-201901-0018</t>
  </si>
  <si>
    <t>春夏节目视频剪辑制作</t>
  </si>
  <si>
    <t>CG08-201812020</t>
  </si>
  <si>
    <t>201812271514</t>
  </si>
  <si>
    <t>MZ-CG-ZX-201901-0061</t>
  </si>
  <si>
    <t>喜马拉雅公益项目合作意向书</t>
  </si>
  <si>
    <t>800000.00</t>
  </si>
  <si>
    <t>CG08-201812031</t>
  </si>
  <si>
    <t>201812191473</t>
  </si>
  <si>
    <t>MZ-ZX-201901-0032</t>
  </si>
  <si>
    <t>《声入人心》艺人合作合同-阿云嘎、郑云龙</t>
  </si>
  <si>
    <t>550000.00</t>
  </si>
  <si>
    <t>CG08-201812037</t>
  </si>
  <si>
    <t>201812281517</t>
  </si>
  <si>
    <t>CG-ZX-201901-0063</t>
  </si>
  <si>
    <t>J6品牌的上市计划-视频拍摄-STUDIO RD101</t>
  </si>
  <si>
    <t>CG08-201812039</t>
  </si>
  <si>
    <t>201812201474</t>
  </si>
  <si>
    <t>MZ-CG-GG-201901-0050</t>
  </si>
  <si>
    <t>2019自然堂年货节数字营销推广项目合同</t>
  </si>
  <si>
    <t>1000000.00</t>
  </si>
  <si>
    <t>CG08-201812047</t>
  </si>
  <si>
    <t>201812291526</t>
  </si>
  <si>
    <t>600000.00</t>
  </si>
  <si>
    <t>CG08-201812049</t>
  </si>
  <si>
    <t>201812291525</t>
  </si>
  <si>
    <t>MZ-CG-ZX-201901-0024</t>
  </si>
  <si>
    <t>加急！！！自然堂冰肌水KV及PR照人物（欧阳娜娜）拍摄修图合同-柳宗源</t>
  </si>
  <si>
    <t>CG08-201812053</t>
  </si>
  <si>
    <t>201901041540</t>
  </si>
  <si>
    <t>CG08-201901002</t>
  </si>
  <si>
    <t>201901101579</t>
  </si>
  <si>
    <t>CG-GG-201901-0071</t>
  </si>
  <si>
    <t>伽蓝艺术展传播推广网络广告发布合同</t>
  </si>
  <si>
    <t>43000.00</t>
  </si>
  <si>
    <t>CG08-201901003</t>
  </si>
  <si>
    <t>201901091563</t>
  </si>
  <si>
    <t>CG-ZX-201901-0082</t>
  </si>
  <si>
    <t>自然堂品牌书项目的策划及设计服务项目-CATARI</t>
  </si>
  <si>
    <t>520000.00</t>
  </si>
  <si>
    <t>CG08-201901005</t>
  </si>
  <si>
    <t>201901091566</t>
  </si>
  <si>
    <t>MZ-CG-GG-201901-0055</t>
  </si>
  <si>
    <t>自然堂口红节KOL营销推广网络广告发布</t>
  </si>
  <si>
    <t>CG08-201901007</t>
  </si>
  <si>
    <t>201901161607</t>
  </si>
  <si>
    <t>MZ-CG-ZX-201901-0063</t>
  </si>
  <si>
    <t>自然堂彩妆全系列产品官网介绍长图设计服务协议</t>
  </si>
  <si>
    <t>35000.00</t>
  </si>
  <si>
    <t>采购支出台账报表</t>
    <phoneticPr fontId="6" type="noConversion"/>
  </si>
  <si>
    <t>单位：元</t>
    <phoneticPr fontId="6" type="noConversion"/>
  </si>
  <si>
    <r>
      <rPr>
        <u/>
        <sz val="16"/>
        <color theme="1"/>
        <rFont val="宋体"/>
        <family val="3"/>
        <charset val="134"/>
      </rPr>
      <t xml:space="preserve">         </t>
    </r>
    <r>
      <rPr>
        <sz val="16"/>
        <color theme="1"/>
        <rFont val="宋体"/>
        <family val="3"/>
        <charset val="134"/>
      </rPr>
      <t>渠道重点费用</t>
    </r>
    <r>
      <rPr>
        <u/>
        <sz val="16"/>
        <color theme="1"/>
        <rFont val="宋体"/>
        <family val="3"/>
        <charset val="134"/>
      </rPr>
      <t xml:space="preserve">    </t>
    </r>
    <r>
      <rPr>
        <sz val="16"/>
        <color theme="1"/>
        <rFont val="宋体"/>
        <family val="3"/>
        <charset val="134"/>
      </rPr>
      <t>月份核对表</t>
    </r>
    <phoneticPr fontId="12" type="noConversion"/>
  </si>
  <si>
    <t>单位：万</t>
    <phoneticPr fontId="6" type="noConversion"/>
  </si>
  <si>
    <t>科目编码</t>
    <phoneticPr fontId="6" type="noConversion"/>
  </si>
  <si>
    <t>科目名称</t>
    <phoneticPr fontId="6" type="noConversion"/>
  </si>
  <si>
    <t>科目定义</t>
    <phoneticPr fontId="6" type="noConversion"/>
  </si>
  <si>
    <t>预算构成逻辑</t>
    <phoneticPr fontId="6" type="noConversion"/>
  </si>
  <si>
    <t>业务取数依据</t>
    <phoneticPr fontId="6" type="noConversion"/>
  </si>
  <si>
    <t>业务对接责任人</t>
    <phoneticPr fontId="6" type="noConversion"/>
  </si>
  <si>
    <t>已记账金额</t>
    <phoneticPr fontId="12" type="noConversion"/>
  </si>
  <si>
    <t>需账外预提金额</t>
    <phoneticPr fontId="12" type="noConversion"/>
  </si>
  <si>
    <t>表内本月费用合计</t>
    <phoneticPr fontId="12" type="noConversion"/>
  </si>
  <si>
    <t>促销费-促销活动费-促销道具设计费</t>
  </si>
  <si>
    <t>促销道具设计费</t>
  </si>
  <si>
    <t>促销费-促销活动费-制作费</t>
  </si>
  <si>
    <t>促销道具制作费</t>
  </si>
  <si>
    <t>促销费-促销活动费-搭建制作费</t>
  </si>
  <si>
    <t>会场搭建制作费</t>
  </si>
  <si>
    <t>促销费-促销活动费-运费</t>
  </si>
  <si>
    <t>会场搭建设备及器材 运费</t>
  </si>
  <si>
    <t>促销费-促销活动费-场租费</t>
  </si>
  <si>
    <t>会场场地租赁费用等</t>
  </si>
  <si>
    <t>促销费-促销活动费-劳务费</t>
  </si>
  <si>
    <t>会场相关人员费用</t>
  </si>
  <si>
    <t>会场活动策划费</t>
  </si>
  <si>
    <t>促销费-促销活动费-杂费</t>
  </si>
  <si>
    <t>活动杂费等其他费用</t>
  </si>
  <si>
    <t xml:space="preserve">促销费-促销活动费-促销支持费                      </t>
  </si>
  <si>
    <t>促销活动相关支持费用</t>
  </si>
  <si>
    <t xml:space="preserve">促销费-物料配赠费用-外购赠品                      </t>
  </si>
  <si>
    <t>外购赠品（不含会员礼品）</t>
  </si>
  <si>
    <t>促销费-物料配赠费用-商品</t>
    <phoneticPr fontId="12" type="noConversion"/>
  </si>
  <si>
    <t>促销赠送商品</t>
    <phoneticPr fontId="12" type="noConversion"/>
  </si>
  <si>
    <t xml:space="preserve">促销费-物料配赠费用-产成品-非商品非试用装         </t>
  </si>
  <si>
    <t>自产的用于赠送给消费者（含会员）的袋装、小样、中样、小包装、类产品等</t>
  </si>
  <si>
    <t>按配发标准计算</t>
    <phoneticPr fontId="6" type="noConversion"/>
  </si>
  <si>
    <t>档期物料盘点</t>
    <phoneticPr fontId="6" type="noConversion"/>
  </si>
  <si>
    <t xml:space="preserve">促销费-物料配赠费用-销售物料                      </t>
  </si>
  <si>
    <t>单页、海报、折页、展架、空礼盒、手提袋</t>
  </si>
  <si>
    <t>按配发标准计算</t>
    <phoneticPr fontId="6" type="noConversion"/>
  </si>
  <si>
    <t xml:space="preserve">促销费-物料配赠费用-产成品-试用装                 </t>
  </si>
  <si>
    <t>柜台陈列试用产品</t>
  </si>
  <si>
    <t xml:space="preserve">促销费-物料配赠费用-道具                          </t>
  </si>
  <si>
    <t xml:space="preserve">促销费-物料配赠费用-销售员工物料                  </t>
  </si>
  <si>
    <t>销售给员工的物料费</t>
  </si>
  <si>
    <t xml:space="preserve">促销费-公司主导的价补                 </t>
    <phoneticPr fontId="12" type="noConversion"/>
  </si>
  <si>
    <t>促销档期</t>
    <phoneticPr fontId="6" type="noConversion"/>
  </si>
  <si>
    <t>业务据促销档期小结提供</t>
    <phoneticPr fontId="6" type="noConversion"/>
  </si>
  <si>
    <t xml:space="preserve">促销费-返利                 </t>
    <phoneticPr fontId="12" type="noConversion"/>
  </si>
  <si>
    <t>据销售任务指标计算</t>
    <phoneticPr fontId="6" type="noConversion"/>
  </si>
  <si>
    <t>每月销售指标，纳入分析报告</t>
    <phoneticPr fontId="6" type="noConversion"/>
  </si>
  <si>
    <t>促销费-基金</t>
    <phoneticPr fontId="12" type="noConversion"/>
  </si>
  <si>
    <t>商超促销的档期排定</t>
    <phoneticPr fontId="6" type="noConversion"/>
  </si>
  <si>
    <t>据POS由业务拉取提供</t>
    <phoneticPr fontId="6" type="noConversion"/>
  </si>
  <si>
    <t>活动管理服务费用等</t>
  </si>
  <si>
    <t>渠道建设费-柜台设计制作费</t>
  </si>
  <si>
    <t>柜台设计费、柜台制作费</t>
  </si>
  <si>
    <t>渠道建设费-终端视觉陈列费</t>
  </si>
  <si>
    <t>灯片制作费、灯片更换人工费、陈列道具制作费、陈列道具安装费、维修费</t>
  </si>
  <si>
    <t>渠道建设费-进场费</t>
  </si>
  <si>
    <t>新品条码费、进场费、进场业务招待费</t>
  </si>
  <si>
    <t xml:space="preserve">渠道建设费-装修费                                 </t>
  </si>
  <si>
    <t>单品牌专卖店相关装修费</t>
  </si>
  <si>
    <t>渠道发展费-商超维护费</t>
  </si>
  <si>
    <t>商超管理费、老店改造费、理赔金、促销违约金、促销活动费、新店宣传费、商业发展基金、彩页制作、买单分摊</t>
  </si>
  <si>
    <t>渠道发展费-渠道陈列费</t>
  </si>
  <si>
    <t>TG（堆头）、DM（直邮）、陈列区装修</t>
  </si>
  <si>
    <t>渠道发展费-节庆费</t>
  </si>
  <si>
    <t>周年庆、节日活动赞助</t>
  </si>
  <si>
    <t>渠道发展费-信息系统服务费</t>
  </si>
  <si>
    <t>技术改造费、平台扣点</t>
  </si>
  <si>
    <t>渠道发展费-促销违约金</t>
  </si>
  <si>
    <t>违约罚款，如延误送货罚款</t>
  </si>
  <si>
    <t>渠道发展费-配送服务费</t>
  </si>
  <si>
    <t>物流费用</t>
  </si>
  <si>
    <t xml:space="preserve">渠道发展费-店铺租金                               </t>
  </si>
  <si>
    <t>单品牌专卖店租赁费</t>
  </si>
  <si>
    <t>培训和会议-会议费</t>
  </si>
  <si>
    <t>各项会议费用（差旅费、场地费、餐费、会议筹备费等）</t>
  </si>
  <si>
    <t>培训和会议-培训费</t>
  </si>
  <si>
    <t>各项培训费用（差旅费、场地费、餐费、培训筹备费用）</t>
  </si>
  <si>
    <t>吧</t>
    <phoneticPr fontId="6" type="noConversion"/>
  </si>
  <si>
    <t>单位：元</t>
    <phoneticPr fontId="6" type="noConversion"/>
  </si>
  <si>
    <t>账户</t>
    <phoneticPr fontId="6" type="noConversion"/>
  </si>
  <si>
    <t>期初待处理差异
（SAP-金税）</t>
    <phoneticPr fontId="6" type="noConversion"/>
  </si>
  <si>
    <t>SAP</t>
    <phoneticPr fontId="6" type="noConversion"/>
  </si>
  <si>
    <t>金税</t>
    <phoneticPr fontId="6" type="noConversion"/>
  </si>
  <si>
    <t>当月差异
（SAP-金税）</t>
    <phoneticPr fontId="6" type="noConversion"/>
  </si>
  <si>
    <t>待处理差异</t>
    <phoneticPr fontId="6" type="noConversion"/>
  </si>
  <si>
    <t>差异原因</t>
    <phoneticPr fontId="6" type="noConversion"/>
  </si>
  <si>
    <t>收入（不含税）</t>
    <phoneticPr fontId="6" type="noConversion"/>
  </si>
  <si>
    <t>销项税金</t>
    <phoneticPr fontId="6" type="noConversion"/>
  </si>
  <si>
    <t>价税合计</t>
    <phoneticPr fontId="6" type="noConversion"/>
  </si>
  <si>
    <t>收入-手工</t>
    <phoneticPr fontId="6" type="noConversion"/>
  </si>
  <si>
    <t>开票收入（不含税）</t>
    <phoneticPr fontId="6" type="noConversion"/>
  </si>
  <si>
    <t>开票销项税金</t>
    <phoneticPr fontId="6" type="noConversion"/>
  </si>
  <si>
    <t>开票价税合计</t>
    <phoneticPr fontId="6" type="noConversion"/>
  </si>
  <si>
    <t>无票申报价税合计</t>
    <phoneticPr fontId="6" type="noConversion"/>
  </si>
  <si>
    <t>商场-代理商</t>
    <phoneticPr fontId="6" type="noConversion"/>
  </si>
  <si>
    <t>商场-直营</t>
    <phoneticPr fontId="6" type="noConversion"/>
  </si>
  <si>
    <t>商场-自营</t>
    <phoneticPr fontId="6" type="noConversion"/>
  </si>
  <si>
    <t>其他</t>
    <phoneticPr fontId="6" type="noConversion"/>
  </si>
  <si>
    <t>电商-分销</t>
    <phoneticPr fontId="6" type="noConversion"/>
  </si>
  <si>
    <t>复核人:</t>
    <phoneticPr fontId="6" type="noConversion"/>
  </si>
  <si>
    <t>项目</t>
    <phoneticPr fontId="6" type="noConversion"/>
  </si>
  <si>
    <t>同比</t>
    <phoneticPr fontId="6" type="noConversion"/>
  </si>
  <si>
    <t>异常变动原因（业务层面沟通确认）</t>
    <phoneticPr fontId="6" type="noConversion"/>
  </si>
  <si>
    <t>备注</t>
    <phoneticPr fontId="6" type="noConversion"/>
  </si>
  <si>
    <t>货架渠道</t>
  </si>
  <si>
    <t>济南明予经贸有限公司</t>
  </si>
  <si>
    <t>滕州市三朝荣贸易有限公司</t>
  </si>
  <si>
    <t>潍坊市泰和秀经贸有限公司</t>
  </si>
  <si>
    <t>徐州安霞商贸有限公司</t>
  </si>
  <si>
    <t>中山市众欣源贸易有限公司</t>
  </si>
  <si>
    <t>义乌市葛进贸易有限公司</t>
  </si>
  <si>
    <t>四川家庆贸易有限责任公司</t>
  </si>
  <si>
    <t>江山市惟蔚商贸有限公司</t>
  </si>
  <si>
    <t>衡水菡萱化妆品商贸有限公司</t>
  </si>
  <si>
    <t>山西虹雅商贸有限公司</t>
  </si>
  <si>
    <t>昆明品方商贸有限公司</t>
  </si>
  <si>
    <t>天津市联威商贸有限公司</t>
  </si>
  <si>
    <t>贵州洁丽达贸易有限责任公司</t>
  </si>
  <si>
    <t>江西魔丽化妆品有限公司</t>
  </si>
  <si>
    <t>贵州姿宏商贸有限公司</t>
  </si>
  <si>
    <t>湖北晶盟化妆品有限公司</t>
  </si>
  <si>
    <t>南京欢悦百货贸易有限公司</t>
  </si>
  <si>
    <t>银川尚美生活化妆品有限公司</t>
  </si>
  <si>
    <t>重庆展鹿商贸有限公司</t>
  </si>
  <si>
    <t>佳木斯市侨芳威商贸有限公司</t>
  </si>
  <si>
    <t>深圳市盛世鑫隆科技有限公司</t>
  </si>
  <si>
    <t>广州博南贸易有限公司</t>
  </si>
  <si>
    <t>杭州圣可缇商贸有限公司</t>
  </si>
  <si>
    <t>西安盛妆商贸有限公司</t>
  </si>
  <si>
    <t>包头市畅优商贸有限公司</t>
  </si>
  <si>
    <t>呼和浩特市盛洁商贸有限公司</t>
  </si>
  <si>
    <t>新疆金盛华供应链管理有限公司</t>
  </si>
  <si>
    <t>青岛鸿宝源商贸有限公司</t>
  </si>
  <si>
    <t>上海旭一实业有限公司</t>
  </si>
  <si>
    <t>艾琪儿（济宁）商贸有限公司</t>
  </si>
  <si>
    <t>山西恒昕宏业贸易有限公司</t>
  </si>
  <si>
    <t>合肥人广商贸有限公司</t>
  </si>
  <si>
    <t>兰州航远商贸有限公司</t>
  </si>
  <si>
    <t>恩施市博雅丽莎商贸有限责任公司</t>
  </si>
  <si>
    <t>兰州汇通华盛商贸有限公司</t>
  </si>
  <si>
    <t>贵阳丰奇美业商贸有限公司</t>
  </si>
  <si>
    <t>十堰一俊贸易有限公司</t>
  </si>
  <si>
    <t>沈阳碧茜经贸有限公司</t>
  </si>
  <si>
    <t>西昌市金利美商贸有限公司</t>
  </si>
  <si>
    <t>广州齐佑宝商贸有限公司</t>
  </si>
  <si>
    <t>山东有容商贸有限公司</t>
  </si>
  <si>
    <t>杭州美盈商贸有限公司</t>
  </si>
  <si>
    <t>宁波海曙天姿商贸有限公司</t>
  </si>
  <si>
    <t>荆门清兰商贸有限公司</t>
  </si>
  <si>
    <t>西安鑫悦智美商贸有限公司</t>
  </si>
  <si>
    <t>攀枝花臻美莉化妆品有限公司</t>
  </si>
  <si>
    <t>天美韵生物科技河北有限公司</t>
  </si>
  <si>
    <t>武汉市兰丹尼商贸有限公司</t>
  </si>
  <si>
    <t>襄阳和盛德商贸有限公司</t>
  </si>
  <si>
    <t>日照绿洲工贸有限公司</t>
  </si>
  <si>
    <t>北京景轩盛通商贸有限公司</t>
  </si>
  <si>
    <t>郑州植美加商贸有限公司</t>
  </si>
  <si>
    <t>铜仁鹏博商贸有限公司</t>
  </si>
  <si>
    <t>无锡苏易祥贸易有限公司</t>
  </si>
  <si>
    <t>徐州市千禧百货商行</t>
  </si>
  <si>
    <t>保定市生升日化贸易有限公司</t>
  </si>
  <si>
    <t>运城经济开发区卓越商贸有限公司</t>
  </si>
  <si>
    <t>随州市泓增贸易商行</t>
  </si>
  <si>
    <t>阳泉傲雪商贸有限公司</t>
  </si>
  <si>
    <t>菏泽开发区大森林日化用品有限公司</t>
  </si>
  <si>
    <t>南充市嘉陵区鹏达商贸有限公司</t>
  </si>
  <si>
    <t>鞍山市信美商贸有限公司</t>
  </si>
  <si>
    <t>泰安市泰山区富饶商贸有限公司</t>
  </si>
  <si>
    <t>已销户-吉林市荣曜君茂商贸有限公司（春夏</t>
  </si>
  <si>
    <t>乌鲁木齐市凯旋鑫达商贸有限公司(春夏美妆</t>
  </si>
  <si>
    <t>徐州聚元电子商务有限公司（春夏美妆店）</t>
  </si>
  <si>
    <t>山西虹雅商贸有限公司（春夏现代货架）</t>
  </si>
  <si>
    <t>徐州市千禧百货商行(自然堂现代货架)</t>
  </si>
  <si>
    <t>徐州市千禧百货商行(春夏现代货架)</t>
  </si>
  <si>
    <t>淄博日升百货有限公司(春夏现代货架)</t>
  </si>
  <si>
    <t>柳州市超众贸易有限公司（春夏现代货架）</t>
  </si>
  <si>
    <t>南宁市嘉燕商贸有限公司（春夏现代货架）</t>
  </si>
  <si>
    <t>西宁惠雅商贸有限公司（春夏现代货架）</t>
  </si>
  <si>
    <t>榆林市创美商贸有限公司（春夏现代货架）</t>
  </si>
  <si>
    <t>连云港蕙风商贸有限公司(春夏现代货架)</t>
  </si>
  <si>
    <t>连云港蕙风商贸有限公司(自然堂现代货架)</t>
  </si>
  <si>
    <t>武汉市兰丹尼商贸有限公司（自然堂现代货架</t>
  </si>
  <si>
    <t>锡林浩特市德润商贸有限公司（自然堂现代货</t>
  </si>
  <si>
    <t>南京欢悦百货贸易有限公司(自然堂现代货架</t>
  </si>
  <si>
    <t>淄博日升百货有限公司(自然堂现代货架)</t>
  </si>
  <si>
    <t>柳州市超众贸易有限公司（自然堂现代货架）</t>
  </si>
  <si>
    <t>南宁市嘉燕商贸有限公司（自然堂现代货架）</t>
  </si>
  <si>
    <t>西宁惠雅商贸有限公司（自然堂现代货架）</t>
  </si>
  <si>
    <t>榆林市创美商贸有限公司（自然堂现代货架）</t>
  </si>
  <si>
    <t>南昌深美港商贸有限公司（自然堂现代货架）</t>
  </si>
  <si>
    <t>自然堂</t>
  </si>
  <si>
    <t>春夏</t>
  </si>
  <si>
    <t>美妆渠道</t>
  </si>
  <si>
    <t>自然堂现代货架渠道</t>
  </si>
  <si>
    <t>深圳市盛世鑫隆科技有限公司（自然堂现代货架）</t>
  </si>
  <si>
    <t>广州明购网络科技有限公司（自然堂现代货架）</t>
  </si>
  <si>
    <t>贵州洁丽达贸易有限责任公司(自然堂现代货架)</t>
  </si>
  <si>
    <t>四川家庆贸易有限责任公司（自然堂现代货架）</t>
  </si>
  <si>
    <t>山西恒昕宏业贸易有限公司（自然堂现代货架）</t>
  </si>
  <si>
    <t>衡水菡萱化妆品商贸有限公司（自然堂现代货架）</t>
  </si>
  <si>
    <t>宁波海曙天姿商贸有限公司（自然堂现代货架）</t>
  </si>
  <si>
    <t>贵阳丰奇美业商贸有限公司（自然堂现代货架）</t>
  </si>
  <si>
    <t>新疆金盛华供应链管理有限公司(自然堂现代货架)</t>
  </si>
  <si>
    <t>西昌市金利美商贸有限公司（自然堂现代货架）</t>
  </si>
  <si>
    <t>艾琪儿（济宁）商贸有限公司（自然堂现代货架）</t>
  </si>
  <si>
    <t>银川尚美生活化妆品有限公司(自然堂现代货架)</t>
  </si>
  <si>
    <t>西安鑫悦智美商贸有限公司(自然堂现代货架)</t>
  </si>
  <si>
    <t>天美韵生物科技河北有限公司（自然堂现代货架）</t>
  </si>
  <si>
    <t>攀枝花臻美莉化妆品有限公司（自然堂现代货架）</t>
  </si>
  <si>
    <t>呼和浩特市盛洁商贸有限公司（自然堂现代货架）</t>
  </si>
  <si>
    <t>北京景轩盛通商贸有限公司（自然堂现代货架）</t>
  </si>
  <si>
    <t>滕州市三朝荣贸易有限公司（自然堂现代货架）</t>
  </si>
  <si>
    <t>保定市生升日化贸易有限公司（自然堂现代货架）</t>
  </si>
  <si>
    <t>运城经济开发区卓越商贸有限公司(自然堂现代货架)</t>
  </si>
  <si>
    <t>菏泽开发区大森林日化用品有限公司（自然堂现代货架）</t>
  </si>
  <si>
    <t>南充市嘉陵区鹏达商贸有限公司（自然堂现代货架）</t>
  </si>
  <si>
    <t>锡林浩特市德润商贸有限公司（自然堂现代货架）</t>
  </si>
  <si>
    <t>泰安市泰山区富饶商贸有限公司(自然堂现代货架)</t>
  </si>
  <si>
    <t>武汉市兰丹尼商贸有限公司（自然堂现代货架）</t>
  </si>
  <si>
    <t>南京欢悦百货贸易有限公司(自然堂现代货架)</t>
  </si>
  <si>
    <t>2019年预算</t>
    <phoneticPr fontId="6" type="noConversion"/>
  </si>
  <si>
    <t>双桥区忆慧雅化妆品商行</t>
  </si>
  <si>
    <t>锦州市尚悦商贸有限公司</t>
  </si>
  <si>
    <t>四川省和谊华辉商贸有限责任公司</t>
  </si>
  <si>
    <t>淄博日升百货有限公司</t>
  </si>
  <si>
    <t>柳州市超众贸易有限公司</t>
  </si>
  <si>
    <t>南宁市嘉燕商贸有限公司</t>
  </si>
  <si>
    <t>西宁惠雅商贸有限公司</t>
  </si>
  <si>
    <t>榆林市创美商贸有限公司</t>
  </si>
  <si>
    <t>榆林市华泽美业商贸有限公司</t>
  </si>
  <si>
    <t>连云港蕙风商贸有限公司</t>
  </si>
  <si>
    <t>海南联尚百货有限公司</t>
  </si>
  <si>
    <t>南宁市鸿琪铭商贸有限公司</t>
  </si>
  <si>
    <t>钦州市丰华正联商贸有限责任公司</t>
  </si>
  <si>
    <t>天津市联威商贸有限公司（自然堂现代货架）</t>
  </si>
  <si>
    <t>贵州姿宏商贸有限公司(自然堂现代货架)</t>
  </si>
  <si>
    <t>榆林市华泽美业商贸有限公司（自然堂现代货架）</t>
  </si>
  <si>
    <t>株洲市吉美达商贸有限公司（自然堂现代货架）</t>
  </si>
  <si>
    <t>海南联尚百货有限公司（自然堂现代货架）</t>
  </si>
  <si>
    <t>中山市众欣源贸易有限公司（自然堂现代货架）</t>
  </si>
  <si>
    <t>中山市众欣源贸易有限公司（自然堂现代货架</t>
  </si>
  <si>
    <t>海南联尚百货有限公司（春夏现代货架）</t>
  </si>
  <si>
    <t>贵州洁丽达贸易有限责任公司（春夏现代货架</t>
  </si>
  <si>
    <t>榆林市华泽美业商贸有限公司（春夏现代货架</t>
  </si>
  <si>
    <t>天津市联威商贸有限公司（春夏现代货架）</t>
  </si>
  <si>
    <t>上海心昊商贸有限公司</t>
  </si>
  <si>
    <t>榆林市华泽美业商贸有限公司（自然堂现代货</t>
  </si>
  <si>
    <t>株洲市吉美达商贸有限公司（自然堂现代货架</t>
  </si>
  <si>
    <t>公司零售额</t>
    <phoneticPr fontId="10" type="noConversion"/>
  </si>
  <si>
    <t>营业收入</t>
    <phoneticPr fontId="10" type="noConversion"/>
  </si>
  <si>
    <t>达成额</t>
    <phoneticPr fontId="10" type="noConversion"/>
  </si>
  <si>
    <t>达成率</t>
    <phoneticPr fontId="10" type="noConversion"/>
  </si>
  <si>
    <t>指标</t>
    <phoneticPr fontId="10" type="noConversion"/>
  </si>
  <si>
    <t>2018年同期达成</t>
    <phoneticPr fontId="10" type="noConversion"/>
  </si>
  <si>
    <t>2018年达成</t>
    <phoneticPr fontId="10" type="noConversion"/>
  </si>
  <si>
    <t>原液精华系列</t>
  </si>
  <si>
    <t>男士-面膜系列</t>
  </si>
  <si>
    <t>张家港保税区焌珮贸易有限公司(春夏现代货</t>
  </si>
  <si>
    <t>丹阳市香禾洗涤化妆有限公司（春夏现代货架</t>
  </si>
  <si>
    <t>武汉市兰丹尼商贸有限公司（春夏现代货架）</t>
  </si>
  <si>
    <t>张家港保税区焌珮贸易有限公司(自然堂现代</t>
  </si>
  <si>
    <t>丹阳市香禾洗涤化妆有限公司（自然堂现代货</t>
  </si>
  <si>
    <t>锦州市尚悦商贸有限公司（自然堂现代货架）</t>
  </si>
  <si>
    <t>北京文固商贸有限公司（自然堂现代货架）</t>
  </si>
  <si>
    <t>湖南缔颜进出口贸易有限公司（自然堂现代货</t>
  </si>
  <si>
    <t>郑州盛妆贸易有限公司（自然堂现代货架）</t>
  </si>
  <si>
    <t>周口裕之泉商贸有限公司（自然堂现代货架）</t>
  </si>
  <si>
    <t>张家港保税区焌珮贸易有限公司</t>
  </si>
  <si>
    <t>丹东边境经济合作区天成祥经贸有限公司</t>
  </si>
  <si>
    <t>营口顺鑫商贸有限公司</t>
  </si>
  <si>
    <t>湖南缔颜进出口贸易有限公司</t>
  </si>
  <si>
    <t>丹阳市香禾洗涤化妆有限公司</t>
  </si>
  <si>
    <t>郑州盛妆贸易有限公司</t>
  </si>
  <si>
    <t>周口裕之泉商贸有限公司</t>
  </si>
  <si>
    <t>新乡市利德商贸有限公司</t>
  </si>
  <si>
    <t>北京文固商贸有限公司</t>
  </si>
  <si>
    <t>北京金木炎商贸有限公司</t>
  </si>
  <si>
    <t>北京云爱洁商贸有限公司</t>
  </si>
  <si>
    <t>隔离修颜系列</t>
  </si>
  <si>
    <t>雪域精粹系列</t>
  </si>
  <si>
    <t>功效性两步曲系列</t>
  </si>
  <si>
    <t>通用系列</t>
  </si>
  <si>
    <t>应收账龄分析及逾期款追踪表</t>
    <phoneticPr fontId="10" type="noConversion"/>
  </si>
  <si>
    <t>单位：万</t>
    <phoneticPr fontId="10" type="noConversion"/>
  </si>
  <si>
    <t>信用期限</t>
    <phoneticPr fontId="10" type="noConversion"/>
  </si>
  <si>
    <t>应收余额</t>
    <phoneticPr fontId="10" type="noConversion"/>
  </si>
  <si>
    <t>其中逾期</t>
    <phoneticPr fontId="6" type="noConversion"/>
  </si>
  <si>
    <t>1-30天</t>
    <phoneticPr fontId="10" type="noConversion"/>
  </si>
  <si>
    <t>31-60天</t>
    <phoneticPr fontId="10" type="noConversion"/>
  </si>
  <si>
    <t>61-180天</t>
    <phoneticPr fontId="10" type="noConversion"/>
  </si>
  <si>
    <t>180天以上</t>
    <phoneticPr fontId="10" type="noConversion"/>
  </si>
  <si>
    <t>三色标志（绿、黄、红）</t>
    <phoneticPr fontId="10" type="noConversion"/>
  </si>
  <si>
    <t>沃尔玛-春夏货架</t>
    <phoneticPr fontId="6" type="noConversion"/>
  </si>
  <si>
    <t>家乐福-春夏货架</t>
    <phoneticPr fontId="6" type="noConversion"/>
  </si>
  <si>
    <t>大润发-春货货架</t>
    <phoneticPr fontId="6" type="noConversion"/>
  </si>
  <si>
    <t>春夏货架合计</t>
    <phoneticPr fontId="6" type="noConversion"/>
  </si>
  <si>
    <t>沃尔玛-自然堂货架</t>
    <phoneticPr fontId="6" type="noConversion"/>
  </si>
  <si>
    <t>自然堂货架合计</t>
    <phoneticPr fontId="6" type="noConversion"/>
  </si>
  <si>
    <t>注：本表中超信用期的款项即逾期款需在备注中说明原因，及款项跟催情况，正常账期内不需展开说明；无色为正常，橙色代表已逾期，红色标志为逾期业务沟通后仍无果，需即日报至总裁办。</t>
    <phoneticPr fontId="10" type="noConversion"/>
  </si>
  <si>
    <t>临汾市尧都区雅轩商贸有限公司</t>
  </si>
  <si>
    <t>邢台全渠道商贸有限公司</t>
  </si>
  <si>
    <t>九江市博宇贸易有限公司</t>
  </si>
  <si>
    <t>南昌市小老毛供应链管理有限公司</t>
  </si>
  <si>
    <t>已销户-徐州宸硕商贸有限公司（春夏美妆店</t>
  </si>
  <si>
    <t>德州市大家美化妆品有限公司(春夏现代货架</t>
  </si>
  <si>
    <t>贵州姿宏商贸有限公司（春夏现代货架）</t>
  </si>
  <si>
    <t>双桥区忆慧雅化妆品商行（春夏现代货架）</t>
  </si>
  <si>
    <t>德州市大家美化妆品有限公司(自然堂现代货</t>
  </si>
  <si>
    <t>营口顺鑫商贸有限公司（自然堂现代货架）</t>
  </si>
  <si>
    <t>呼伦贝尔市佰仕洁商贸有限责任公司（自然堂</t>
  </si>
  <si>
    <t>临汾市尧都区雅轩商贸有限公司（自然堂现代</t>
  </si>
  <si>
    <t>邢台全渠道商贸有限公司（自然堂现代货架）</t>
  </si>
  <si>
    <t>新乡市利德商贸有限公司（自然堂现代货架）</t>
  </si>
  <si>
    <t>南昌市小老毛供应链管理有限公司（自然堂现</t>
  </si>
  <si>
    <t>乳酸菌面膜系列</t>
  </si>
  <si>
    <t>截至日期：2019.10.31</t>
    <phoneticPr fontId="10" type="noConversion"/>
  </si>
  <si>
    <t>客户名称</t>
    <phoneticPr fontId="10" type="noConversion"/>
  </si>
  <si>
    <t>应收货款（银行回款）</t>
    <phoneticPr fontId="6" type="noConversion"/>
  </si>
  <si>
    <t>未核销账扣发票</t>
    <phoneticPr fontId="6" type="noConversion"/>
  </si>
  <si>
    <t>每月核销进度</t>
    <phoneticPr fontId="6" type="noConversion"/>
  </si>
  <si>
    <t>61-180天</t>
    <phoneticPr fontId="10" type="noConversion"/>
  </si>
  <si>
    <t>180天以上</t>
    <phoneticPr fontId="10" type="noConversion"/>
  </si>
  <si>
    <t>截止20号已核销已上账</t>
    <phoneticPr fontId="6" type="noConversion"/>
  </si>
  <si>
    <t>截止20号已到票未核销</t>
    <phoneticPr fontId="6" type="noConversion"/>
  </si>
  <si>
    <t>屈臣氏-春夏货架</t>
    <phoneticPr fontId="6" type="noConversion"/>
  </si>
  <si>
    <t>未核销账扣费用合计</t>
    <phoneticPr fontId="6" type="noConversion"/>
  </si>
  <si>
    <t>盐城市容川贸易有限公司(春夏现代货架)</t>
  </si>
  <si>
    <t>西安达成商贸有限公司（春夏现代货架代理商</t>
  </si>
  <si>
    <t>锦州市尚悦商贸有限公司（春夏现代货架）</t>
  </si>
  <si>
    <t>北京云爱洁商贸有限公司（春夏现代货架）</t>
  </si>
  <si>
    <t>盐城市容川贸易有限公司(自然堂现代货架)</t>
  </si>
  <si>
    <t>深圳毕生生物科技有限公司（自然堂现代货架</t>
  </si>
  <si>
    <t>西安达成商贸有限公司（自然堂现代货架代理</t>
  </si>
  <si>
    <t>大庆市佳欧商贸有限公司（自然堂现代货架代</t>
  </si>
  <si>
    <t>北京云爱洁商贸有限公司（自然堂现代货架）</t>
  </si>
  <si>
    <t>秦皇岛市三丰商贸有限公司（自然堂现代货架</t>
  </si>
  <si>
    <t>承德市德丽源商贸有限公司（自然堂现代货架</t>
  </si>
  <si>
    <t>秦皇岛市三丰商贸有限公司</t>
  </si>
  <si>
    <t>宜昌富世达日用百货贸易有限公司</t>
  </si>
  <si>
    <t>汉中市同泰商贸有限责任公司</t>
  </si>
  <si>
    <t>呼伦贝尔市佰仕洁商贸有限责任公司</t>
  </si>
  <si>
    <t>沈阳澳广商贸有限公司</t>
  </si>
  <si>
    <t>盐城市容川贸易有限公司</t>
  </si>
  <si>
    <t>德州大家美化妆品有限公司</t>
  </si>
  <si>
    <t>深圳毕生生物科技有限公司</t>
  </si>
  <si>
    <t>商丘市美臣商贸有限公司</t>
  </si>
  <si>
    <t>洛阳市晏杨商贸有限公司</t>
  </si>
  <si>
    <t>上海合赫贸易商行</t>
  </si>
  <si>
    <t>郑州丽纯化妆品有限公司</t>
  </si>
  <si>
    <t>上海兆秀商贸有限公司</t>
  </si>
  <si>
    <t>西安达成商贸有限公司</t>
  </si>
  <si>
    <t>大庆市佳欧商贸有限公司</t>
  </si>
  <si>
    <t>出库原价零售额</t>
    <phoneticPr fontId="10" type="noConversion"/>
  </si>
  <si>
    <t>回款</t>
    <phoneticPr fontId="10" type="noConversion"/>
  </si>
  <si>
    <t>同比增长率</t>
    <phoneticPr fontId="10" type="noConversion"/>
  </si>
  <si>
    <t>现代货架</t>
    <phoneticPr fontId="6" type="noConversion"/>
  </si>
  <si>
    <t>其中：电商小计</t>
    <phoneticPr fontId="10" type="noConversion"/>
  </si>
  <si>
    <t>说明：回款分销为出库且开票数据，直供及货架渠道实际为应回款额（即等于实际回款额加账扣费用），应回款等于开票额（扣除前台扣点）；电商自营为实际回款额，分销同上。</t>
    <phoneticPr fontId="10" type="noConversion"/>
  </si>
  <si>
    <t>功效精华面膜系列</t>
  </si>
  <si>
    <t>泡腾水系列</t>
  </si>
  <si>
    <t>玻尿酸高保湿系列</t>
  </si>
  <si>
    <t>红石榴焕颜鲜肌系列</t>
  </si>
  <si>
    <t>功效性安瓶系列</t>
  </si>
  <si>
    <t>逾期款：账扣费用未核销</t>
  </si>
  <si>
    <t>逾期款：费用及库存挂账大于可回款金额，销售不好导致对方不付账款</t>
  </si>
  <si>
    <t>逾期款：账扣费用未核销</t>
    <phoneticPr fontId="6" type="noConversion"/>
  </si>
  <si>
    <t>互联网商务发展部</t>
  </si>
  <si>
    <t>华阳店商-春夏旗舰店</t>
  </si>
  <si>
    <t>潍坊市泰和秀经贸有限公司（自然堂现代货架</t>
  </si>
  <si>
    <t>东营市安林商贸有限公司(自然堂现代货架代</t>
  </si>
  <si>
    <t>杭州美盈商贸有限公司（自然堂现代货架代理</t>
  </si>
  <si>
    <t>湖北晶盟化妆品有限公司（自然堂现代货架）</t>
  </si>
  <si>
    <t>九江市博宇贸易有限公司（自然堂现代货架）</t>
  </si>
  <si>
    <t>郑州丽纯化妆品有限公司（自然堂现代货架代</t>
  </si>
  <si>
    <t>大区</t>
    <phoneticPr fontId="6" type="noConversion"/>
  </si>
  <si>
    <t>本年度总指标</t>
    <phoneticPr fontId="6" type="noConversion"/>
  </si>
  <si>
    <t>徐州鸿禧洗化科技有限公司</t>
  </si>
  <si>
    <t>东营市安林商贸有限公司(自然堂现代货架代理商)</t>
  </si>
  <si>
    <t>春夏及货架2019年度11月渠道代理商进货达成业绩报表</t>
  </si>
  <si>
    <t>伽蓝2019年12月份营业收入指标达成情况表</t>
    <phoneticPr fontId="6" type="noConversion"/>
  </si>
  <si>
    <t>12月指标</t>
    <phoneticPr fontId="6" type="noConversion"/>
  </si>
  <si>
    <t>12月达成</t>
    <phoneticPr fontId="6" type="noConversion"/>
  </si>
  <si>
    <t>费用池已经上账金额</t>
  </si>
  <si>
    <t>费用池未上账预计金额</t>
    <phoneticPr fontId="6" type="noConversion"/>
  </si>
  <si>
    <t>2019年12月春夏品牌经营简报</t>
    <phoneticPr fontId="6" type="noConversion"/>
  </si>
  <si>
    <t>2019年01-12月经营快报</t>
    <phoneticPr fontId="10" type="noConversion"/>
  </si>
  <si>
    <t>2019年12月货架渠道经营简报</t>
    <phoneticPr fontId="6" type="noConversion"/>
  </si>
  <si>
    <t>12月营收</t>
    <phoneticPr fontId="6" type="noConversion"/>
  </si>
  <si>
    <t>12月占比</t>
    <phoneticPr fontId="6" type="noConversion"/>
  </si>
  <si>
    <t>伽蓝2019年12月份春夏营业收入指标达成情况表</t>
    <phoneticPr fontId="6" type="noConversion"/>
  </si>
  <si>
    <t>12月达成</t>
    <phoneticPr fontId="6" type="noConversion"/>
  </si>
  <si>
    <t>自然堂华东，春夏华北，自然堂华北逾期款为暂扣货款和未核销账扣费用；其他逾期款：费用及库存挂账大于可回款金额，销售不好导致对方不付账款</t>
  </si>
  <si>
    <t>应收资金逾期：①、53.0万家乐福、苏宁交接未回款②、41.0万为退货账扣，待开具红字发票
未核销账扣费用：其中89.5万为票扣费用</t>
  </si>
  <si>
    <t>应收资金逾期：①、91.5万家乐福、苏宁交接未回款②、19.8万为退货账扣，待开具红字发票
未核销账扣费用：其中369.4万为票扣费用</t>
  </si>
  <si>
    <t>兰州汇通华盛商贸有限公司（自然堂现代货架代理商）</t>
  </si>
  <si>
    <t>西安达成商贸有限公司（自然堂现代货架代理商）</t>
  </si>
  <si>
    <t>邢台市立美商贸有限公司（自然堂现代货架代理商）</t>
  </si>
  <si>
    <t>春夏现代货架渠道</t>
    <phoneticPr fontId="6" type="noConversion"/>
  </si>
  <si>
    <t>德州市大家美化妆品有限公司</t>
  </si>
  <si>
    <t>东营市安林商贸有限公司</t>
  </si>
  <si>
    <t>西昌市恒韵商贸有限责任公司（春夏美妆店）</t>
  </si>
  <si>
    <t>东营市安林商贸有限公司(春夏现代货架代理</t>
  </si>
  <si>
    <t>兰州汇通华盛商贸有限公司（自然堂现代货架</t>
  </si>
  <si>
    <t>沈阳澳广商贸有限公司（自然堂现代货架）</t>
  </si>
  <si>
    <t>邢台市立美商贸有限公司（自然堂现代货架代</t>
  </si>
  <si>
    <t>春夏美妆店渠道</t>
    <phoneticPr fontId="6" type="noConversion"/>
  </si>
  <si>
    <t>昆明易诺商贸有限公司</t>
  </si>
  <si>
    <t>重庆渝美汇美容服务有限公司</t>
  </si>
  <si>
    <t>贵阳翔蓉化妆品有限公司</t>
  </si>
  <si>
    <t>云南伊俊生物科技有限公司</t>
  </si>
  <si>
    <t>西昌市恒韵商贸有限责任公司</t>
  </si>
  <si>
    <t>广元市丽生商贸有限公司</t>
  </si>
  <si>
    <t>山西名洋美汇商贸有限公司</t>
  </si>
  <si>
    <t>烟台通达商贸有限公司</t>
  </si>
  <si>
    <t>北京昊呈仁合商贸有限公司</t>
  </si>
  <si>
    <t>临沂美传天下化妆品有限公司</t>
  </si>
  <si>
    <t>河北晨龙化妆品销售有限公司</t>
  </si>
  <si>
    <t>唐山宏祥日化有限公司</t>
  </si>
  <si>
    <t>张家口自然堂商贸有限公司</t>
  </si>
  <si>
    <t>大同市彬丽贸易有限责任公司</t>
  </si>
  <si>
    <t>济南雨霖铃经贸有限公司</t>
  </si>
  <si>
    <t>天津市思宇浓商贸有限公司</t>
  </si>
  <si>
    <t>德州市德城区其右商贸有限公司</t>
  </si>
  <si>
    <t>聊城雅晴商贸有限公司</t>
  </si>
  <si>
    <t>通辽市科尔沁区团结路荣荣化妆品商行</t>
  </si>
  <si>
    <t>呼伦贝尔市馨美妆商贸有限公司</t>
  </si>
  <si>
    <t>吉林市昌邑区美之的化妆品经销处</t>
  </si>
  <si>
    <t>沈阳依之诺商贸有限责任公司</t>
  </si>
  <si>
    <t>呼和浩特市自然堂商贸有限责任公司</t>
  </si>
  <si>
    <t>内蒙古粉蝶商贸有限责任公司</t>
  </si>
  <si>
    <t>哈尔滨恒盖奥经贸有限公司</t>
  </si>
  <si>
    <t>哈尔滨龙昌商贸有限公司</t>
  </si>
  <si>
    <t>宜昌浩霖商贸有限公司</t>
  </si>
  <si>
    <t>洛阳市站区欣雅化妆品商行</t>
  </si>
  <si>
    <t>南阳华美达商贸有限公司</t>
  </si>
  <si>
    <t>长沙紫晶化妆品有限公司</t>
  </si>
  <si>
    <t>长沙景顺企业管理有限公司</t>
  </si>
  <si>
    <t>河南中百丽化妆品有限公司</t>
  </si>
  <si>
    <t>郑州美尚化妆品有限公司</t>
  </si>
  <si>
    <t>河南花初颜化妆品有限公司</t>
  </si>
  <si>
    <t>南昌禾润化妆品有限公司</t>
  </si>
  <si>
    <t>陕西米格文化发展有限公司</t>
  </si>
  <si>
    <t>甘肃鼎励商贸有限公司</t>
  </si>
  <si>
    <t>银川添彩行贸易有限公司</t>
  </si>
  <si>
    <t>青海创美商贸有限责任公司</t>
  </si>
  <si>
    <t>西安康创商贸有限公司</t>
  </si>
  <si>
    <t>乌鲁木齐市凯旋鑫达商贸有限公司</t>
  </si>
  <si>
    <t>无锡美鑫诚商贸有限公司</t>
  </si>
  <si>
    <t>温州弘方化妆品有限公司</t>
  </si>
  <si>
    <t>南京韩旭商贸有限公司</t>
  </si>
  <si>
    <t>杭州春蓝贸易有限公司</t>
  </si>
  <si>
    <t>淮北市丽雅名妆日化中心</t>
  </si>
  <si>
    <t>徐州聚元电子商务有限公司</t>
  </si>
  <si>
    <t>东莞市顺帆实业投资有限公司</t>
  </si>
  <si>
    <t>海口龙华汇佳美容美发用品商行</t>
  </si>
  <si>
    <t>深圳市茂华实业有限公司</t>
  </si>
  <si>
    <t>2019年12月经营快报</t>
    <phoneticPr fontId="10" type="noConversion"/>
  </si>
  <si>
    <t>出库原价零售额</t>
    <phoneticPr fontId="10" type="noConversion"/>
  </si>
  <si>
    <t>回款</t>
    <phoneticPr fontId="10" type="noConversion"/>
  </si>
  <si>
    <t>指标</t>
    <phoneticPr fontId="10" type="noConversion"/>
  </si>
  <si>
    <t>同比增长率</t>
    <phoneticPr fontId="10" type="noConversion"/>
  </si>
  <si>
    <t>达成率</t>
    <phoneticPr fontId="10" type="noConversion"/>
  </si>
  <si>
    <t>达成额</t>
    <phoneticPr fontId="10" type="noConversion"/>
  </si>
  <si>
    <t>2018年达成</t>
    <phoneticPr fontId="10" type="noConversion"/>
  </si>
  <si>
    <t>冲减营收435万</t>
    <phoneticPr fontId="6" type="noConversion"/>
  </si>
  <si>
    <t>冲减营收1511万</t>
    <phoneticPr fontId="6" type="noConversion"/>
  </si>
  <si>
    <t>现代货架</t>
    <phoneticPr fontId="6" type="noConversion"/>
  </si>
  <si>
    <t>冲减营收1395万</t>
    <phoneticPr fontId="6" type="noConversion"/>
  </si>
  <si>
    <t>达成率</t>
    <phoneticPr fontId="10" type="noConversion"/>
  </si>
  <si>
    <t>指标</t>
    <phoneticPr fontId="10" type="noConversion"/>
  </si>
  <si>
    <t>渠道发展费</t>
  </si>
  <si>
    <t>渠道建设费</t>
  </si>
  <si>
    <t>物料消耗</t>
  </si>
  <si>
    <t>折旧费</t>
  </si>
  <si>
    <t>促销费</t>
    <phoneticPr fontId="6" type="noConversion"/>
  </si>
  <si>
    <t>仓储</t>
    <phoneticPr fontId="6" type="noConversion"/>
  </si>
  <si>
    <t>渠道建设</t>
    <phoneticPr fontId="6" type="noConversion"/>
  </si>
  <si>
    <t>广告</t>
    <phoneticPr fontId="6" type="noConversion"/>
  </si>
  <si>
    <t>差异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</si>
</sst>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(* #,##0.00_);_(* \(#,##0.00\);_(* &quot;-&quot;??_);_(@_)"/>
    <numFmt numFmtId="179" formatCode="_(* #,##0_);_(* \(#,##0\);_(* &quot;-&quot;??_);_(@_)"/>
    <numFmt numFmtId="180" formatCode="_(* #,##0_);_(* \(#,##0\);_(* &quot;-&quot;_);_(@_)"/>
    <numFmt numFmtId="181" formatCode="0_ "/>
    <numFmt numFmtId="182" formatCode="0_);[Red]\(0\)"/>
    <numFmt numFmtId="183" formatCode="0.00_ "/>
    <numFmt numFmtId="184" formatCode="#,##0.0000"/>
    <numFmt numFmtId="185" formatCode="#,##0.00_);[Red]\(#,##0.00\)"/>
    <numFmt numFmtId="186" formatCode="###,000"/>
    <numFmt numFmtId="187" formatCode="0\.0,"/>
  </numFmts>
  <fonts count="6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26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22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rgb="FF000000"/>
      <name val="华文细黑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6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8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8"/>
      <color rgb="FF1F497D"/>
      <name val="Verdana"/>
      <family val="2"/>
    </font>
    <font>
      <sz val="16"/>
      <color theme="1"/>
      <name val="宋体"/>
      <family val="3"/>
      <charset val="134"/>
    </font>
    <font>
      <u/>
      <sz val="16"/>
      <color theme="1"/>
      <name val="宋体"/>
      <family val="3"/>
      <charset val="134"/>
    </font>
    <font>
      <sz val="24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0.5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华文细黑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Protection="0">
      <alignment horizontal="center" vertical="center" shrinkToFit="1"/>
    </xf>
    <xf numFmtId="43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0"/>
    <xf numFmtId="0" fontId="18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6" fillId="9" borderId="28" applyNumberFormat="0" applyAlignment="0" applyProtection="0">
      <alignment horizontal="left" vertical="center" indent="1"/>
    </xf>
    <xf numFmtId="0" fontId="47" fillId="10" borderId="28" applyNumberFormat="0" applyAlignment="0" applyProtection="0">
      <alignment horizontal="left" vertical="center" indent="1"/>
    </xf>
    <xf numFmtId="186" fontId="48" fillId="11" borderId="28" applyNumberFormat="0" applyAlignment="0" applyProtection="0">
      <alignment horizontal="left" vertical="center" indent="1"/>
    </xf>
    <xf numFmtId="186" fontId="48" fillId="0" borderId="29" applyNumberFormat="0" applyProtection="0">
      <alignment horizontal="right" vertical="center"/>
    </xf>
  </cellStyleXfs>
  <cellXfs count="514">
    <xf numFmtId="0" fontId="0" fillId="0" borderId="0" xfId="0"/>
    <xf numFmtId="0" fontId="5" fillId="2" borderId="0" xfId="0" applyFont="1" applyFill="1" applyBorder="1" applyAlignment="1">
      <alignment vertical="center"/>
    </xf>
    <xf numFmtId="9" fontId="7" fillId="2" borderId="0" xfId="2" applyFont="1" applyFill="1" applyBorder="1" applyAlignment="1">
      <alignment vertical="center"/>
    </xf>
    <xf numFmtId="177" fontId="8" fillId="2" borderId="0" xfId="2" applyNumberFormat="1" applyFont="1" applyFill="1" applyBorder="1" applyAlignment="1">
      <alignment vertical="center"/>
    </xf>
    <xf numFmtId="10" fontId="9" fillId="2" borderId="0" xfId="2" applyNumberFormat="1" applyFont="1" applyFill="1" applyBorder="1" applyAlignment="1">
      <alignment vertical="center"/>
    </xf>
    <xf numFmtId="0" fontId="11" fillId="2" borderId="4" xfId="0" applyFont="1" applyFill="1" applyBorder="1" applyAlignment="1" applyProtection="1">
      <alignment horizontal="left" vertical="center"/>
    </xf>
    <xf numFmtId="0" fontId="11" fillId="2" borderId="4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/>
    </xf>
    <xf numFmtId="0" fontId="14" fillId="2" borderId="0" xfId="0" applyFont="1" applyFill="1" applyAlignment="1"/>
    <xf numFmtId="179" fontId="14" fillId="2" borderId="0" xfId="0" applyNumberFormat="1" applyFont="1" applyFill="1" applyAlignment="1">
      <alignment horizontal="center"/>
    </xf>
    <xf numFmtId="9" fontId="14" fillId="2" borderId="0" xfId="2" applyFont="1" applyFill="1" applyAlignment="1">
      <alignment horizontal="center"/>
    </xf>
    <xf numFmtId="179" fontId="14" fillId="2" borderId="0" xfId="1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76" fontId="14" fillId="2" borderId="0" xfId="0" applyNumberFormat="1" applyFont="1" applyFill="1" applyAlignment="1">
      <alignment horizontal="center"/>
    </xf>
    <xf numFmtId="43" fontId="14" fillId="2" borderId="0" xfId="1" applyFont="1" applyFill="1" applyAlignment="1"/>
    <xf numFmtId="176" fontId="14" fillId="2" borderId="0" xfId="0" applyNumberFormat="1" applyFont="1" applyFill="1" applyAlignment="1"/>
    <xf numFmtId="10" fontId="9" fillId="2" borderId="0" xfId="2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horizontal="left" vertical="top"/>
    </xf>
    <xf numFmtId="0" fontId="19" fillId="2" borderId="0" xfId="0" applyFont="1" applyFill="1" applyAlignment="1"/>
    <xf numFmtId="0" fontId="11" fillId="0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179" fontId="14" fillId="2" borderId="0" xfId="0" applyNumberFormat="1" applyFont="1" applyFill="1" applyAlignment="1">
      <alignment horizontal="center" vertical="center"/>
    </xf>
    <xf numFmtId="9" fontId="14" fillId="2" borderId="0" xfId="2" applyFont="1" applyFill="1" applyAlignment="1">
      <alignment horizontal="center" vertical="center"/>
    </xf>
    <xf numFmtId="179" fontId="14" fillId="2" borderId="0" xfId="1" applyNumberFormat="1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43" fontId="14" fillId="2" borderId="0" xfId="0" applyNumberFormat="1" applyFont="1" applyFill="1" applyAlignment="1">
      <alignment vertical="center"/>
    </xf>
    <xf numFmtId="43" fontId="14" fillId="2" borderId="0" xfId="1" applyFont="1" applyFill="1" applyAlignment="1">
      <alignment vertical="center"/>
    </xf>
    <xf numFmtId="176" fontId="14" fillId="2" borderId="0" xfId="0" applyNumberFormat="1" applyFont="1" applyFill="1" applyAlignment="1">
      <alignment vertical="center"/>
    </xf>
    <xf numFmtId="0" fontId="11" fillId="4" borderId="4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180" fontId="11" fillId="4" borderId="7" xfId="0" applyNumberFormat="1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176" fontId="20" fillId="0" borderId="5" xfId="1" applyNumberFormat="1" applyFont="1" applyFill="1" applyBorder="1" applyAlignment="1">
      <alignment horizontal="center" vertical="center"/>
    </xf>
    <xf numFmtId="176" fontId="14" fillId="0" borderId="5" xfId="1" applyNumberFormat="1" applyFont="1" applyFill="1" applyBorder="1" applyAlignment="1">
      <alignment horizontal="center" vertical="center"/>
    </xf>
    <xf numFmtId="176" fontId="14" fillId="2" borderId="5" xfId="1" applyNumberFormat="1" applyFont="1" applyFill="1" applyBorder="1" applyAlignment="1">
      <alignment horizontal="center" vertical="center"/>
    </xf>
    <xf numFmtId="176" fontId="14" fillId="2" borderId="6" xfId="1" applyNumberFormat="1" applyFont="1" applyFill="1" applyBorder="1" applyAlignment="1">
      <alignment horizontal="center" vertical="center"/>
    </xf>
    <xf numFmtId="43" fontId="14" fillId="2" borderId="4" xfId="1" applyFont="1" applyFill="1" applyBorder="1" applyAlignment="1">
      <alignment vertical="center"/>
    </xf>
    <xf numFmtId="43" fontId="14" fillId="2" borderId="5" xfId="1" applyFont="1" applyFill="1" applyBorder="1" applyAlignment="1">
      <alignment vertical="center"/>
    </xf>
    <xf numFmtId="43" fontId="14" fillId="2" borderId="6" xfId="1" applyFont="1" applyFill="1" applyBorder="1" applyAlignment="1">
      <alignment vertical="center"/>
    </xf>
    <xf numFmtId="176" fontId="14" fillId="0" borderId="6" xfId="1" applyNumberFormat="1" applyFont="1" applyFill="1" applyBorder="1" applyAlignment="1">
      <alignment horizontal="center" vertical="center"/>
    </xf>
    <xf numFmtId="43" fontId="14" fillId="0" borderId="4" xfId="1" applyFont="1" applyFill="1" applyBorder="1" applyAlignment="1">
      <alignment vertical="center"/>
    </xf>
    <xf numFmtId="43" fontId="14" fillId="0" borderId="5" xfId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176" fontId="14" fillId="4" borderId="5" xfId="1" applyNumberFormat="1" applyFont="1" applyFill="1" applyBorder="1" applyAlignment="1">
      <alignment horizontal="center" vertical="center"/>
    </xf>
    <xf numFmtId="176" fontId="14" fillId="4" borderId="6" xfId="1" applyNumberFormat="1" applyFont="1" applyFill="1" applyBorder="1" applyAlignment="1">
      <alignment horizontal="center" vertical="center"/>
    </xf>
    <xf numFmtId="43" fontId="14" fillId="4" borderId="4" xfId="1" applyFont="1" applyFill="1" applyBorder="1" applyAlignment="1">
      <alignment vertical="center"/>
    </xf>
    <xf numFmtId="43" fontId="14" fillId="4" borderId="5" xfId="1" applyFont="1" applyFill="1" applyBorder="1" applyAlignment="1">
      <alignment vertical="center"/>
    </xf>
    <xf numFmtId="43" fontId="14" fillId="4" borderId="6" xfId="1" applyFont="1" applyFill="1" applyBorder="1" applyAlignment="1">
      <alignment vertical="center"/>
    </xf>
    <xf numFmtId="177" fontId="14" fillId="4" borderId="5" xfId="2" applyNumberFormat="1" applyFont="1" applyFill="1" applyBorder="1" applyAlignment="1">
      <alignment horizontal="center" vertical="center"/>
    </xf>
    <xf numFmtId="177" fontId="14" fillId="4" borderId="6" xfId="2" applyNumberFormat="1" applyFont="1" applyFill="1" applyBorder="1" applyAlignment="1">
      <alignment horizontal="center" vertical="center"/>
    </xf>
    <xf numFmtId="176" fontId="14" fillId="4" borderId="5" xfId="0" applyNumberFormat="1" applyFont="1" applyFill="1" applyBorder="1" applyAlignment="1">
      <alignment horizontal="center" vertical="center"/>
    </xf>
    <xf numFmtId="176" fontId="14" fillId="4" borderId="6" xfId="0" applyNumberFormat="1" applyFont="1" applyFill="1" applyBorder="1" applyAlignment="1">
      <alignment horizontal="center" vertical="center"/>
    </xf>
    <xf numFmtId="179" fontId="14" fillId="2" borderId="0" xfId="0" applyNumberFormat="1" applyFont="1" applyFill="1" applyAlignment="1">
      <alignment vertical="center"/>
    </xf>
    <xf numFmtId="176" fontId="14" fillId="4" borderId="5" xfId="0" applyNumberFormat="1" applyFont="1" applyFill="1" applyBorder="1" applyAlignment="1">
      <alignment vertical="center"/>
    </xf>
    <xf numFmtId="176" fontId="14" fillId="4" borderId="6" xfId="0" applyNumberFormat="1" applyFont="1" applyFill="1" applyBorder="1" applyAlignment="1">
      <alignment vertical="center"/>
    </xf>
    <xf numFmtId="176" fontId="14" fillId="2" borderId="5" xfId="3" applyNumberFormat="1" applyFont="1" applyFill="1" applyBorder="1" applyAlignment="1">
      <alignment horizontal="center" vertical="center"/>
    </xf>
    <xf numFmtId="176" fontId="14" fillId="2" borderId="10" xfId="3" applyNumberFormat="1" applyFont="1" applyFill="1" applyBorder="1" applyAlignment="1">
      <alignment horizontal="center" vertical="center"/>
    </xf>
    <xf numFmtId="176" fontId="14" fillId="4" borderId="8" xfId="1" applyNumberFormat="1" applyFont="1" applyFill="1" applyBorder="1" applyAlignment="1">
      <alignment horizontal="center" vertical="center"/>
    </xf>
    <xf numFmtId="176" fontId="14" fillId="4" borderId="9" xfId="1" applyNumberFormat="1" applyFont="1" applyFill="1" applyBorder="1" applyAlignment="1">
      <alignment horizontal="center" vertical="center"/>
    </xf>
    <xf numFmtId="43" fontId="14" fillId="4" borderId="7" xfId="1" applyFont="1" applyFill="1" applyBorder="1" applyAlignment="1">
      <alignment vertical="center"/>
    </xf>
    <xf numFmtId="43" fontId="14" fillId="4" borderId="8" xfId="1" applyFont="1" applyFill="1" applyBorder="1" applyAlignment="1">
      <alignment vertical="center"/>
    </xf>
    <xf numFmtId="43" fontId="14" fillId="4" borderId="9" xfId="1" applyFont="1" applyFill="1" applyBorder="1" applyAlignment="1">
      <alignment vertical="center"/>
    </xf>
    <xf numFmtId="0" fontId="15" fillId="4" borderId="12" xfId="0" applyFont="1" applyFill="1" applyBorder="1" applyAlignment="1">
      <alignment horizontal="center" vertical="center" wrapText="1"/>
    </xf>
    <xf numFmtId="43" fontId="14" fillId="2" borderId="12" xfId="1" applyFont="1" applyFill="1" applyBorder="1" applyAlignment="1">
      <alignment vertical="center"/>
    </xf>
    <xf numFmtId="176" fontId="14" fillId="2" borderId="0" xfId="1" applyNumberFormat="1" applyFont="1" applyFill="1" applyAlignment="1">
      <alignment vertical="center"/>
    </xf>
    <xf numFmtId="9" fontId="14" fillId="2" borderId="0" xfId="2" applyFont="1" applyFill="1" applyAlignment="1">
      <alignment vertical="center"/>
    </xf>
    <xf numFmtId="0" fontId="11" fillId="4" borderId="4" xfId="0" applyFont="1" applyFill="1" applyBorder="1" applyAlignment="1">
      <alignment horizontal="left" vertical="top"/>
    </xf>
    <xf numFmtId="0" fontId="14" fillId="2" borderId="0" xfId="0" applyFont="1" applyFill="1"/>
    <xf numFmtId="0" fontId="14" fillId="4" borderId="0" xfId="0" applyFont="1" applyFill="1"/>
    <xf numFmtId="0" fontId="14" fillId="4" borderId="0" xfId="0" applyFont="1" applyFill="1" applyBorder="1" applyAlignment="1">
      <alignment horizontal="center"/>
    </xf>
    <xf numFmtId="9" fontId="14" fillId="2" borderId="0" xfId="2" applyFont="1" applyFill="1" applyAlignment="1"/>
    <xf numFmtId="43" fontId="14" fillId="2" borderId="5" xfId="1" applyFont="1" applyFill="1" applyBorder="1" applyAlignment="1"/>
    <xf numFmtId="176" fontId="14" fillId="0" borderId="5" xfId="1" applyNumberFormat="1" applyFont="1" applyFill="1" applyBorder="1" applyAlignment="1">
      <alignment horizontal="center"/>
    </xf>
    <xf numFmtId="176" fontId="14" fillId="0" borderId="0" xfId="0" applyNumberFormat="1" applyFont="1" applyFill="1"/>
    <xf numFmtId="43" fontId="14" fillId="0" borderId="5" xfId="1" applyFont="1" applyFill="1" applyBorder="1" applyAlignment="1"/>
    <xf numFmtId="0" fontId="14" fillId="0" borderId="0" xfId="0" applyFont="1" applyFill="1"/>
    <xf numFmtId="176" fontId="20" fillId="2" borderId="5" xfId="1" applyNumberFormat="1" applyFont="1" applyFill="1" applyBorder="1" applyAlignment="1">
      <alignment horizontal="center"/>
    </xf>
    <xf numFmtId="176" fontId="14" fillId="2" borderId="5" xfId="1" applyNumberFormat="1" applyFont="1" applyFill="1" applyBorder="1" applyAlignment="1">
      <alignment horizontal="center"/>
    </xf>
    <xf numFmtId="176" fontId="14" fillId="2" borderId="0" xfId="0" applyNumberFormat="1" applyFont="1" applyFill="1"/>
    <xf numFmtId="176" fontId="14" fillId="4" borderId="5" xfId="1" applyNumberFormat="1" applyFont="1" applyFill="1" applyBorder="1" applyAlignment="1">
      <alignment horizontal="center"/>
    </xf>
    <xf numFmtId="176" fontId="14" fillId="4" borderId="6" xfId="1" applyNumberFormat="1" applyFont="1" applyFill="1" applyBorder="1" applyAlignment="1">
      <alignment horizontal="center"/>
    </xf>
    <xf numFmtId="176" fontId="14" fillId="4" borderId="0" xfId="0" applyNumberFormat="1" applyFont="1" applyFill="1"/>
    <xf numFmtId="43" fontId="14" fillId="4" borderId="5" xfId="1" applyFont="1" applyFill="1" applyBorder="1" applyAlignment="1">
      <alignment horizontal="center"/>
    </xf>
    <xf numFmtId="177" fontId="14" fillId="4" borderId="5" xfId="2" applyNumberFormat="1" applyFont="1" applyFill="1" applyBorder="1" applyAlignment="1">
      <alignment horizontal="center"/>
    </xf>
    <xf numFmtId="177" fontId="14" fillId="4" borderId="6" xfId="2" applyNumberFormat="1" applyFont="1" applyFill="1" applyBorder="1" applyAlignment="1">
      <alignment horizontal="center"/>
    </xf>
    <xf numFmtId="176" fontId="14" fillId="4" borderId="5" xfId="0" applyNumberFormat="1" applyFont="1" applyFill="1" applyBorder="1" applyAlignment="1">
      <alignment horizontal="center"/>
    </xf>
    <xf numFmtId="176" fontId="14" fillId="4" borderId="6" xfId="0" applyNumberFormat="1" applyFont="1" applyFill="1" applyBorder="1" applyAlignment="1">
      <alignment horizontal="center"/>
    </xf>
    <xf numFmtId="179" fontId="14" fillId="2" borderId="5" xfId="3" applyNumberFormat="1" applyFont="1" applyFill="1" applyBorder="1" applyAlignment="1">
      <alignment horizontal="center"/>
    </xf>
    <xf numFmtId="43" fontId="14" fillId="4" borderId="5" xfId="1" applyFont="1" applyFill="1" applyBorder="1" applyAlignment="1"/>
    <xf numFmtId="176" fontId="14" fillId="4" borderId="5" xfId="0" applyNumberFormat="1" applyFont="1" applyFill="1" applyBorder="1" applyAlignment="1"/>
    <xf numFmtId="176" fontId="14" fillId="4" borderId="6" xfId="0" applyNumberFormat="1" applyFont="1" applyFill="1" applyBorder="1" applyAlignment="1"/>
    <xf numFmtId="176" fontId="14" fillId="2" borderId="5" xfId="3" applyNumberFormat="1" applyFont="1" applyFill="1" applyBorder="1" applyAlignment="1">
      <alignment horizontal="center"/>
    </xf>
    <xf numFmtId="176" fontId="14" fillId="2" borderId="10" xfId="3" applyNumberFormat="1" applyFont="1" applyFill="1" applyBorder="1" applyAlignment="1">
      <alignment horizontal="center"/>
    </xf>
    <xf numFmtId="176" fontId="14" fillId="4" borderId="8" xfId="1" applyNumberFormat="1" applyFont="1" applyFill="1" applyBorder="1" applyAlignment="1">
      <alignment horizontal="center"/>
    </xf>
    <xf numFmtId="176" fontId="14" fillId="4" borderId="9" xfId="1" applyNumberFormat="1" applyFont="1" applyFill="1" applyBorder="1" applyAlignment="1">
      <alignment horizontal="center"/>
    </xf>
    <xf numFmtId="43" fontId="14" fillId="2" borderId="4" xfId="1" applyFont="1" applyFill="1" applyBorder="1" applyAlignment="1"/>
    <xf numFmtId="43" fontId="14" fillId="2" borderId="6" xfId="1" applyFont="1" applyFill="1" applyBorder="1" applyAlignment="1"/>
    <xf numFmtId="43" fontId="14" fillId="0" borderId="4" xfId="1" applyFont="1" applyFill="1" applyBorder="1" applyAlignment="1"/>
    <xf numFmtId="43" fontId="14" fillId="0" borderId="6" xfId="1" applyFont="1" applyFill="1" applyBorder="1" applyAlignment="1"/>
    <xf numFmtId="43" fontId="14" fillId="4" borderId="4" xfId="1" applyFont="1" applyFill="1" applyBorder="1" applyAlignment="1">
      <alignment horizontal="center"/>
    </xf>
    <xf numFmtId="43" fontId="14" fillId="4" borderId="6" xfId="1" applyFont="1" applyFill="1" applyBorder="1" applyAlignment="1">
      <alignment horizontal="center"/>
    </xf>
    <xf numFmtId="43" fontId="14" fillId="4" borderId="4" xfId="1" applyFont="1" applyFill="1" applyBorder="1" applyAlignment="1"/>
    <xf numFmtId="43" fontId="14" fillId="4" borderId="6" xfId="1" applyFont="1" applyFill="1" applyBorder="1" applyAlignment="1"/>
    <xf numFmtId="43" fontId="14" fillId="4" borderId="7" xfId="1" applyFont="1" applyFill="1" applyBorder="1" applyAlignment="1"/>
    <xf numFmtId="43" fontId="14" fillId="4" borderId="8" xfId="1" applyFont="1" applyFill="1" applyBorder="1" applyAlignment="1"/>
    <xf numFmtId="43" fontId="14" fillId="4" borderId="9" xfId="1" applyFont="1" applyFill="1" applyBorder="1" applyAlignme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76" fontId="26" fillId="0" borderId="5" xfId="7" applyNumberFormat="1" applyFont="1" applyBorder="1" applyAlignment="1">
      <alignment horizontal="center" vertical="center"/>
    </xf>
    <xf numFmtId="177" fontId="26" fillId="0" borderId="5" xfId="2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vertical="center"/>
    </xf>
    <xf numFmtId="176" fontId="20" fillId="0" borderId="0" xfId="0" applyNumberFormat="1" applyFont="1" applyAlignment="1">
      <alignment vertical="center"/>
    </xf>
    <xf numFmtId="9" fontId="20" fillId="0" borderId="6" xfId="2" applyFont="1" applyBorder="1" applyAlignment="1">
      <alignment horizontal="center" vertical="center"/>
    </xf>
    <xf numFmtId="9" fontId="20" fillId="5" borderId="6" xfId="2" applyFont="1" applyFill="1" applyBorder="1" applyAlignment="1">
      <alignment horizontal="center" vertical="center"/>
    </xf>
    <xf numFmtId="9" fontId="20" fillId="0" borderId="18" xfId="2" applyFont="1" applyBorder="1" applyAlignment="1">
      <alignment horizontal="center" vertical="center"/>
    </xf>
    <xf numFmtId="9" fontId="20" fillId="5" borderId="18" xfId="2" applyFont="1" applyFill="1" applyBorder="1" applyAlignment="1">
      <alignment horizontal="center" vertical="center"/>
    </xf>
    <xf numFmtId="9" fontId="20" fillId="0" borderId="18" xfId="2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84" fontId="20" fillId="0" borderId="0" xfId="0" applyNumberFormat="1" applyFont="1" applyAlignment="1">
      <alignment vertical="center"/>
    </xf>
    <xf numFmtId="3" fontId="20" fillId="0" borderId="0" xfId="0" applyNumberFormat="1" applyFont="1" applyAlignment="1">
      <alignment vertical="center"/>
    </xf>
    <xf numFmtId="178" fontId="20" fillId="0" borderId="0" xfId="0" applyNumberFormat="1" applyFont="1" applyAlignment="1">
      <alignment vertical="center"/>
    </xf>
    <xf numFmtId="178" fontId="20" fillId="0" borderId="0" xfId="7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177" fontId="26" fillId="0" borderId="12" xfId="2" applyNumberFormat="1" applyFont="1" applyBorder="1" applyAlignment="1">
      <alignment horizontal="center" vertical="center"/>
    </xf>
    <xf numFmtId="179" fontId="26" fillId="0" borderId="12" xfId="7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5" fillId="6" borderId="5" xfId="0" applyFont="1" applyFill="1" applyBorder="1" applyAlignment="1">
      <alignment horizontal="center" vertical="center"/>
    </xf>
    <xf numFmtId="176" fontId="26" fillId="6" borderId="5" xfId="7" applyNumberFormat="1" applyFont="1" applyFill="1" applyBorder="1" applyAlignment="1">
      <alignment horizontal="center" vertical="center"/>
    </xf>
    <xf numFmtId="179" fontId="26" fillId="6" borderId="5" xfId="7" applyNumberFormat="1" applyFont="1" applyFill="1" applyBorder="1" applyAlignment="1">
      <alignment horizontal="center" vertical="center"/>
    </xf>
    <xf numFmtId="176" fontId="26" fillId="6" borderId="6" xfId="7" applyNumberFormat="1" applyFont="1" applyFill="1" applyBorder="1" applyAlignment="1">
      <alignment horizontal="center" vertical="center"/>
    </xf>
    <xf numFmtId="176" fontId="26" fillId="0" borderId="5" xfId="7" applyNumberFormat="1" applyFont="1" applyFill="1" applyBorder="1" applyAlignment="1">
      <alignment horizontal="center" vertical="center"/>
    </xf>
    <xf numFmtId="43" fontId="26" fillId="0" borderId="5" xfId="7" applyNumberFormat="1" applyFont="1" applyFill="1" applyBorder="1" applyAlignment="1">
      <alignment horizontal="center" vertical="center"/>
    </xf>
    <xf numFmtId="179" fontId="25" fillId="0" borderId="5" xfId="7" applyNumberFormat="1" applyFont="1" applyBorder="1" applyAlignment="1">
      <alignment vertical="center"/>
    </xf>
    <xf numFmtId="176" fontId="27" fillId="2" borderId="5" xfId="3" applyNumberFormat="1" applyFont="1" applyFill="1" applyBorder="1" applyAlignment="1">
      <alignment horizontal="center" vertical="center"/>
    </xf>
    <xf numFmtId="177" fontId="26" fillId="0" borderId="5" xfId="2" applyNumberFormat="1" applyFont="1" applyBorder="1" applyAlignment="1">
      <alignment vertical="center"/>
    </xf>
    <xf numFmtId="176" fontId="28" fillId="5" borderId="8" xfId="7" applyNumberFormat="1" applyFont="1" applyFill="1" applyBorder="1" applyAlignment="1">
      <alignment horizontal="center" vertical="center"/>
    </xf>
    <xf numFmtId="179" fontId="28" fillId="5" borderId="8" xfId="7" applyNumberFormat="1" applyFont="1" applyFill="1" applyBorder="1" applyAlignment="1">
      <alignment horizontal="center" vertical="center"/>
    </xf>
    <xf numFmtId="176" fontId="28" fillId="5" borderId="9" xfId="7" applyNumberFormat="1" applyFont="1" applyFill="1" applyBorder="1" applyAlignment="1">
      <alignment horizontal="center" vertical="center"/>
    </xf>
    <xf numFmtId="9" fontId="26" fillId="6" borderId="5" xfId="2" applyFont="1" applyFill="1" applyBorder="1" applyAlignment="1">
      <alignment horizontal="center" vertical="center"/>
    </xf>
    <xf numFmtId="9" fontId="28" fillId="5" borderId="8" xfId="2" applyFont="1" applyFill="1" applyBorder="1" applyAlignment="1">
      <alignment horizontal="center" vertical="center"/>
    </xf>
    <xf numFmtId="0" fontId="0" fillId="2" borderId="0" xfId="0" applyFill="1"/>
    <xf numFmtId="0" fontId="31" fillId="2" borderId="5" xfId="0" applyFont="1" applyFill="1" applyBorder="1" applyAlignment="1"/>
    <xf numFmtId="0" fontId="31" fillId="2" borderId="5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left"/>
    </xf>
    <xf numFmtId="0" fontId="33" fillId="2" borderId="5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 wrapText="1"/>
    </xf>
    <xf numFmtId="0" fontId="31" fillId="2" borderId="5" xfId="0" applyFont="1" applyFill="1" applyBorder="1" applyAlignment="1">
      <alignment horizontal="left" wrapText="1"/>
    </xf>
    <xf numFmtId="0" fontId="31" fillId="2" borderId="5" xfId="0" applyFont="1" applyFill="1" applyBorder="1" applyAlignment="1">
      <alignment wrapText="1"/>
    </xf>
    <xf numFmtId="0" fontId="33" fillId="2" borderId="5" xfId="0" applyFont="1" applyFill="1" applyBorder="1" applyAlignment="1">
      <alignment wrapText="1"/>
    </xf>
    <xf numFmtId="0" fontId="31" fillId="2" borderId="5" xfId="0" applyFont="1" applyFill="1" applyBorder="1"/>
    <xf numFmtId="0" fontId="31" fillId="2" borderId="0" xfId="0" applyFont="1" applyFill="1"/>
    <xf numFmtId="176" fontId="31" fillId="2" borderId="0" xfId="0" applyNumberFormat="1" applyFont="1" applyFill="1"/>
    <xf numFmtId="176" fontId="31" fillId="2" borderId="0" xfId="0" applyNumberFormat="1" applyFont="1" applyFill="1" applyAlignment="1"/>
    <xf numFmtId="176" fontId="0" fillId="2" borderId="0" xfId="0" applyNumberFormat="1" applyFill="1"/>
    <xf numFmtId="176" fontId="0" fillId="2" borderId="0" xfId="0" applyNumberFormat="1" applyFill="1" applyAlignment="1"/>
    <xf numFmtId="0" fontId="0" fillId="2" borderId="0" xfId="0" applyFill="1" applyAlignment="1"/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43" fontId="20" fillId="0" borderId="5" xfId="1" applyFont="1" applyBorder="1" applyAlignment="1">
      <alignment vertical="center"/>
    </xf>
    <xf numFmtId="0" fontId="23" fillId="4" borderId="5" xfId="0" applyFont="1" applyFill="1" applyBorder="1" applyAlignment="1">
      <alignment horizontal="center" vertical="center"/>
    </xf>
    <xf numFmtId="9" fontId="20" fillId="4" borderId="18" xfId="2" applyFont="1" applyFill="1" applyBorder="1" applyAlignment="1">
      <alignment horizontal="center" vertical="center"/>
    </xf>
    <xf numFmtId="9" fontId="20" fillId="4" borderId="6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2" borderId="5" xfId="16" applyFont="1" applyFill="1" applyBorder="1" applyAlignment="1">
      <alignment horizontal="center" vertical="center" wrapText="1"/>
    </xf>
    <xf numFmtId="0" fontId="11" fillId="2" borderId="6" xfId="16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177" fontId="13" fillId="2" borderId="5" xfId="2" applyNumberFormat="1" applyFont="1" applyFill="1" applyBorder="1" applyAlignment="1">
      <alignment horizontal="center" vertical="center"/>
    </xf>
    <xf numFmtId="177" fontId="13" fillId="2" borderId="6" xfId="2" applyNumberFormat="1" applyFont="1" applyFill="1" applyBorder="1" applyAlignment="1">
      <alignment horizontal="center" vertical="center"/>
    </xf>
    <xf numFmtId="43" fontId="8" fillId="0" borderId="5" xfId="1" applyFont="1" applyBorder="1" applyAlignment="1">
      <alignment vertical="center"/>
    </xf>
    <xf numFmtId="43" fontId="8" fillId="0" borderId="0" xfId="1" applyFont="1" applyAlignment="1">
      <alignment vertical="center"/>
    </xf>
    <xf numFmtId="177" fontId="13" fillId="2" borderId="10" xfId="2" applyNumberFormat="1" applyFont="1" applyFill="1" applyBorder="1" applyAlignment="1">
      <alignment horizontal="center" vertical="center"/>
    </xf>
    <xf numFmtId="177" fontId="13" fillId="2" borderId="18" xfId="2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77" fontId="13" fillId="2" borderId="8" xfId="2" applyNumberFormat="1" applyFont="1" applyFill="1" applyBorder="1" applyAlignment="1">
      <alignment horizontal="center" vertical="center"/>
    </xf>
    <xf numFmtId="177" fontId="13" fillId="2" borderId="9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76" fontId="20" fillId="0" borderId="5" xfId="7" applyNumberFormat="1" applyFont="1" applyBorder="1" applyAlignment="1">
      <alignment horizontal="center" vertical="center"/>
    </xf>
    <xf numFmtId="177" fontId="20" fillId="0" borderId="5" xfId="2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left" vertical="center"/>
    </xf>
    <xf numFmtId="176" fontId="20" fillId="0" borderId="10" xfId="7" applyNumberFormat="1" applyFont="1" applyFill="1" applyBorder="1" applyAlignment="1">
      <alignment horizontal="center" vertical="center"/>
    </xf>
    <xf numFmtId="176" fontId="14" fillId="0" borderId="5" xfId="3" applyNumberFormat="1" applyFont="1" applyBorder="1" applyAlignment="1">
      <alignment horizontal="center" vertical="center"/>
    </xf>
    <xf numFmtId="9" fontId="20" fillId="0" borderId="6" xfId="2" applyFont="1" applyBorder="1" applyAlignment="1">
      <alignment horizontal="left" vertical="center"/>
    </xf>
    <xf numFmtId="176" fontId="23" fillId="4" borderId="5" xfId="7" applyNumberFormat="1" applyFont="1" applyFill="1" applyBorder="1" applyAlignment="1">
      <alignment horizontal="center" vertical="center"/>
    </xf>
    <xf numFmtId="177" fontId="23" fillId="4" borderId="5" xfId="2" applyNumberFormat="1" applyFont="1" applyFill="1" applyBorder="1" applyAlignment="1">
      <alignment horizontal="center" vertical="center"/>
    </xf>
    <xf numFmtId="176" fontId="20" fillId="0" borderId="5" xfId="3" applyNumberFormat="1" applyFont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176" fontId="23" fillId="5" borderId="5" xfId="7" applyNumberFormat="1" applyFont="1" applyFill="1" applyBorder="1" applyAlignment="1">
      <alignment horizontal="center" vertical="center"/>
    </xf>
    <xf numFmtId="177" fontId="23" fillId="5" borderId="5" xfId="2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6" fontId="20" fillId="0" borderId="10" xfId="7" applyNumberFormat="1" applyFont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176" fontId="23" fillId="5" borderId="10" xfId="7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76" fontId="23" fillId="0" borderId="10" xfId="7" applyNumberFormat="1" applyFont="1" applyFill="1" applyBorder="1" applyAlignment="1">
      <alignment horizontal="center" vertical="center"/>
    </xf>
    <xf numFmtId="177" fontId="20" fillId="0" borderId="10" xfId="2" applyNumberFormat="1" applyFont="1" applyFill="1" applyBorder="1" applyAlignment="1">
      <alignment horizontal="center" vertical="center"/>
    </xf>
    <xf numFmtId="176" fontId="23" fillId="4" borderId="10" xfId="7" applyNumberFormat="1" applyFont="1" applyFill="1" applyBorder="1" applyAlignment="1">
      <alignment horizontal="center" vertical="center"/>
    </xf>
    <xf numFmtId="177" fontId="23" fillId="4" borderId="10" xfId="2" applyNumberFormat="1" applyFont="1" applyFill="1" applyBorder="1" applyAlignment="1">
      <alignment horizontal="center" vertical="center"/>
    </xf>
    <xf numFmtId="177" fontId="20" fillId="4" borderId="10" xfId="2" applyNumberFormat="1" applyFont="1" applyFill="1" applyBorder="1" applyAlignment="1">
      <alignment horizontal="center" vertical="center"/>
    </xf>
    <xf numFmtId="176" fontId="23" fillId="0" borderId="8" xfId="7" applyNumberFormat="1" applyFont="1" applyBorder="1" applyAlignment="1">
      <alignment horizontal="center" vertical="center"/>
    </xf>
    <xf numFmtId="177" fontId="23" fillId="0" borderId="8" xfId="2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11" fillId="2" borderId="0" xfId="4" applyNumberFormat="1" applyFont="1" applyFill="1" applyBorder="1" applyAlignment="1">
      <alignment horizontal="left" vertical="center"/>
    </xf>
    <xf numFmtId="14" fontId="11" fillId="2" borderId="0" xfId="4" applyNumberFormat="1" applyFont="1" applyFill="1" applyBorder="1" applyAlignment="1">
      <alignment horizontal="center" vertical="center" shrinkToFit="1"/>
    </xf>
    <xf numFmtId="0" fontId="11" fillId="2" borderId="0" xfId="4" applyNumberFormat="1" applyFont="1" applyFill="1" applyBorder="1" applyAlignment="1">
      <alignment horizontal="right" vertical="center"/>
    </xf>
    <xf numFmtId="0" fontId="15" fillId="8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38" fillId="7" borderId="0" xfId="0" applyFont="1" applyFill="1" applyBorder="1" applyAlignment="1">
      <alignment horizontal="center" vertical="center" wrapText="1"/>
    </xf>
    <xf numFmtId="49" fontId="14" fillId="0" borderId="0" xfId="1" applyNumberFormat="1" applyFont="1" applyAlignment="1">
      <alignment horizontal="left" vertical="center"/>
    </xf>
    <xf numFmtId="177" fontId="14" fillId="0" borderId="0" xfId="2" applyNumberFormat="1" applyFont="1" applyAlignment="1">
      <alignment horizontal="center" vertical="center"/>
    </xf>
    <xf numFmtId="176" fontId="38" fillId="7" borderId="0" xfId="1" applyNumberFormat="1" applyFont="1" applyFill="1" applyBorder="1" applyAlignment="1">
      <alignment horizontal="center" vertical="center" wrapText="1"/>
    </xf>
    <xf numFmtId="9" fontId="38" fillId="7" borderId="0" xfId="2" applyFont="1" applyFill="1" applyBorder="1" applyAlignment="1">
      <alignment horizontal="center" vertical="center" wrapText="1"/>
    </xf>
    <xf numFmtId="177" fontId="20" fillId="0" borderId="0" xfId="2" applyNumberFormat="1" applyFont="1" applyAlignment="1">
      <alignment vertical="center"/>
    </xf>
    <xf numFmtId="0" fontId="14" fillId="0" borderId="0" xfId="0" applyFont="1" applyAlignment="1">
      <alignment vertical="center"/>
    </xf>
    <xf numFmtId="176" fontId="14" fillId="0" borderId="0" xfId="1" applyNumberFormat="1" applyFont="1" applyAlignment="1">
      <alignment vertical="center"/>
    </xf>
    <xf numFmtId="39" fontId="14" fillId="0" borderId="0" xfId="0" applyNumberFormat="1" applyFont="1" applyAlignment="1">
      <alignment vertical="center"/>
    </xf>
    <xf numFmtId="177" fontId="20" fillId="0" borderId="5" xfId="2" applyNumberFormat="1" applyFont="1" applyBorder="1" applyAlignment="1">
      <alignment vertical="center"/>
    </xf>
    <xf numFmtId="179" fontId="20" fillId="0" borderId="5" xfId="7" applyNumberFormat="1" applyFont="1" applyBorder="1" applyAlignment="1">
      <alignment vertical="center"/>
    </xf>
    <xf numFmtId="179" fontId="29" fillId="0" borderId="5" xfId="7" applyNumberFormat="1" applyFont="1" applyBorder="1" applyAlignment="1"/>
    <xf numFmtId="44" fontId="20" fillId="0" borderId="5" xfId="0" applyNumberFormat="1" applyFont="1" applyBorder="1" applyAlignment="1">
      <alignment vertical="center"/>
    </xf>
    <xf numFmtId="176" fontId="20" fillId="0" borderId="5" xfId="1" applyNumberFormat="1" applyFont="1" applyBorder="1" applyAlignment="1">
      <alignment vertical="center"/>
    </xf>
    <xf numFmtId="176" fontId="20" fillId="0" borderId="5" xfId="1" applyNumberFormat="1" applyFont="1" applyBorder="1" applyAlignment="1">
      <alignment horizontal="center" vertical="center"/>
    </xf>
    <xf numFmtId="176" fontId="26" fillId="0" borderId="5" xfId="1" applyNumberFormat="1" applyFont="1" applyBorder="1" applyAlignment="1">
      <alignment horizontal="center" vertical="center"/>
    </xf>
    <xf numFmtId="177" fontId="26" fillId="6" borderId="5" xfId="2" applyNumberFormat="1" applyFont="1" applyFill="1" applyBorder="1" applyAlignment="1">
      <alignment horizontal="center" vertical="center"/>
    </xf>
    <xf numFmtId="176" fontId="26" fillId="0" borderId="12" xfId="1" applyNumberFormat="1" applyFont="1" applyBorder="1" applyAlignment="1">
      <alignment horizontal="center" vertical="center"/>
    </xf>
    <xf numFmtId="176" fontId="26" fillId="6" borderId="5" xfId="1" applyNumberFormat="1" applyFont="1" applyFill="1" applyBorder="1" applyAlignment="1">
      <alignment horizontal="center" vertical="center"/>
    </xf>
    <xf numFmtId="0" fontId="17" fillId="0" borderId="5" xfId="14" applyNumberFormat="1" applyFont="1" applyFill="1" applyBorder="1" applyAlignment="1" applyProtection="1">
      <alignment horizontal="center" vertical="center" wrapText="1"/>
    </xf>
    <xf numFmtId="0" fontId="40" fillId="0" borderId="0" xfId="14" applyFont="1" applyFill="1" applyAlignment="1">
      <alignment horizontal="center" vertical="center" wrapText="1"/>
    </xf>
    <xf numFmtId="176" fontId="41" fillId="0" borderId="5" xfId="1" applyNumberFormat="1" applyFont="1" applyFill="1" applyBorder="1" applyAlignment="1" applyProtection="1">
      <alignment horizontal="center" vertical="center"/>
    </xf>
    <xf numFmtId="9" fontId="41" fillId="0" borderId="5" xfId="2" applyFont="1" applyFill="1" applyBorder="1" applyAlignment="1" applyProtection="1">
      <alignment horizontal="center" vertical="center"/>
    </xf>
    <xf numFmtId="9" fontId="40" fillId="0" borderId="5" xfId="2" applyFont="1" applyFill="1" applyBorder="1" applyAlignment="1" applyProtection="1">
      <alignment horizontal="center" vertical="center"/>
    </xf>
    <xf numFmtId="176" fontId="40" fillId="0" borderId="5" xfId="1" applyNumberFormat="1" applyFont="1" applyFill="1" applyBorder="1" applyAlignment="1" applyProtection="1">
      <alignment horizontal="center" vertical="center"/>
    </xf>
    <xf numFmtId="177" fontId="41" fillId="0" borderId="5" xfId="15" applyNumberFormat="1" applyFont="1" applyFill="1" applyBorder="1" applyAlignment="1" applyProtection="1">
      <alignment horizontal="center" vertical="center"/>
    </xf>
    <xf numFmtId="177" fontId="41" fillId="0" borderId="5" xfId="2" applyNumberFormat="1" applyFont="1" applyFill="1" applyBorder="1" applyAlignment="1" applyProtection="1">
      <alignment horizontal="center" vertical="center"/>
    </xf>
    <xf numFmtId="177" fontId="41" fillId="0" borderId="5" xfId="14" applyNumberFormat="1" applyFont="1" applyFill="1" applyBorder="1" applyAlignment="1" applyProtection="1">
      <alignment horizontal="center" vertical="center"/>
    </xf>
    <xf numFmtId="177" fontId="17" fillId="0" borderId="5" xfId="2" applyNumberFormat="1" applyFont="1" applyFill="1" applyBorder="1" applyAlignment="1" applyProtection="1">
      <alignment horizontal="center" vertical="center"/>
    </xf>
    <xf numFmtId="177" fontId="17" fillId="0" borderId="5" xfId="0" applyNumberFormat="1" applyFont="1" applyFill="1" applyBorder="1" applyAlignment="1" applyProtection="1">
      <alignment horizontal="center" vertical="center"/>
    </xf>
    <xf numFmtId="0" fontId="40" fillId="0" borderId="0" xfId="0" applyFont="1" applyFill="1" applyAlignment="1">
      <alignment vertical="center"/>
    </xf>
    <xf numFmtId="0" fontId="40" fillId="0" borderId="0" xfId="14" applyFont="1" applyFill="1" applyAlignment="1">
      <alignment vertical="center"/>
    </xf>
    <xf numFmtId="0" fontId="41" fillId="0" borderId="0" xfId="14" applyNumberFormat="1" applyFont="1" applyFill="1" applyBorder="1" applyAlignment="1" applyProtection="1">
      <alignment vertical="center"/>
    </xf>
    <xf numFmtId="181" fontId="40" fillId="0" borderId="0" xfId="14" applyNumberFormat="1" applyFont="1" applyFill="1" applyAlignment="1">
      <alignment vertical="center"/>
    </xf>
    <xf numFmtId="0" fontId="40" fillId="0" borderId="5" xfId="14" applyNumberFormat="1" applyFont="1" applyFill="1" applyBorder="1" applyAlignment="1" applyProtection="1">
      <alignment horizontal="center" vertical="center"/>
    </xf>
    <xf numFmtId="183" fontId="40" fillId="0" borderId="0" xfId="14" applyNumberFormat="1" applyFont="1" applyFill="1" applyAlignment="1">
      <alignment vertical="center"/>
    </xf>
    <xf numFmtId="176" fontId="40" fillId="0" borderId="0" xfId="14" applyNumberFormat="1" applyFont="1" applyFill="1" applyAlignment="1">
      <alignment vertical="center"/>
    </xf>
    <xf numFmtId="182" fontId="40" fillId="0" borderId="0" xfId="14" applyNumberFormat="1" applyFont="1" applyFill="1" applyAlignment="1">
      <alignment vertical="center"/>
    </xf>
    <xf numFmtId="0" fontId="45" fillId="0" borderId="19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vertical="center"/>
    </xf>
    <xf numFmtId="0" fontId="46" fillId="9" borderId="28" xfId="17" quotePrefix="1" applyNumberFormat="1" applyBorder="1" applyAlignment="1">
      <alignment vertical="center"/>
    </xf>
    <xf numFmtId="0" fontId="47" fillId="10" borderId="28" xfId="18" quotePrefix="1" applyNumberFormat="1" applyBorder="1" applyAlignment="1">
      <alignment vertical="center"/>
    </xf>
    <xf numFmtId="0" fontId="48" fillId="11" borderId="28" xfId="19" quotePrefix="1" applyNumberFormat="1" applyBorder="1" applyAlignment="1">
      <alignment vertical="center"/>
    </xf>
    <xf numFmtId="0" fontId="48" fillId="11" borderId="28" xfId="19" quotePrefix="1" applyNumberFormat="1" applyAlignment="1">
      <alignment vertical="center"/>
    </xf>
    <xf numFmtId="39" fontId="48" fillId="0" borderId="29" xfId="20" applyNumberFormat="1">
      <alignment horizontal="right" vertical="center"/>
    </xf>
    <xf numFmtId="49" fontId="48" fillId="0" borderId="29" xfId="20" applyNumberFormat="1">
      <alignment horizontal="right" vertical="center"/>
    </xf>
    <xf numFmtId="39" fontId="48" fillId="0" borderId="30" xfId="20" applyNumberFormat="1" applyBorder="1">
      <alignment horizontal="right" vertical="center"/>
    </xf>
    <xf numFmtId="49" fontId="48" fillId="0" borderId="30" xfId="20" applyNumberFormat="1" applyBorder="1">
      <alignment horizontal="right" vertical="center"/>
    </xf>
    <xf numFmtId="0" fontId="5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2" fillId="6" borderId="5" xfId="0" applyFont="1" applyFill="1" applyBorder="1" applyAlignment="1">
      <alignment horizontal="center" vertical="center" wrapText="1"/>
    </xf>
    <xf numFmtId="0" fontId="52" fillId="6" borderId="5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9" fontId="53" fillId="2" borderId="5" xfId="1" applyNumberFormat="1" applyFont="1" applyFill="1" applyBorder="1" applyAlignment="1">
      <alignment horizontal="center" vertical="center"/>
    </xf>
    <xf numFmtId="43" fontId="53" fillId="2" borderId="5" xfId="1" applyFont="1" applyFill="1" applyBorder="1" applyAlignment="1">
      <alignment horizontal="left" vertical="center"/>
    </xf>
    <xf numFmtId="43" fontId="53" fillId="2" borderId="5" xfId="1" applyFont="1" applyFill="1" applyBorder="1" applyAlignment="1">
      <alignment horizontal="left" vertical="center" wrapText="1"/>
    </xf>
    <xf numFmtId="0" fontId="53" fillId="2" borderId="5" xfId="0" applyFont="1" applyFill="1" applyBorder="1" applyAlignment="1">
      <alignment horizontal="center" vertical="center"/>
    </xf>
    <xf numFmtId="49" fontId="54" fillId="2" borderId="5" xfId="1" applyNumberFormat="1" applyFont="1" applyFill="1" applyBorder="1" applyAlignment="1">
      <alignment horizontal="center" vertical="center"/>
    </xf>
    <xf numFmtId="43" fontId="54" fillId="2" borderId="5" xfId="1" applyFont="1" applyFill="1" applyBorder="1" applyAlignment="1">
      <alignment horizontal="left" vertical="center"/>
    </xf>
    <xf numFmtId="43" fontId="54" fillId="2" borderId="5" xfId="1" applyFont="1" applyFill="1" applyBorder="1" applyAlignment="1">
      <alignment horizontal="left" vertical="center" wrapText="1"/>
    </xf>
    <xf numFmtId="0" fontId="54" fillId="2" borderId="5" xfId="0" applyFont="1" applyFill="1" applyBorder="1" applyAlignment="1">
      <alignment horizontal="center" vertical="center"/>
    </xf>
    <xf numFmtId="0" fontId="54" fillId="0" borderId="5" xfId="0" applyFont="1" applyBorder="1" applyAlignment="1">
      <alignment wrapText="1"/>
    </xf>
    <xf numFmtId="0" fontId="54" fillId="0" borderId="5" xfId="0" applyFont="1" applyBorder="1"/>
    <xf numFmtId="0" fontId="56" fillId="0" borderId="0" xfId="0" applyFont="1"/>
    <xf numFmtId="0" fontId="57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9" fillId="0" borderId="0" xfId="0" applyFont="1"/>
    <xf numFmtId="0" fontId="58" fillId="0" borderId="7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8" fillId="0" borderId="39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43" fontId="40" fillId="0" borderId="1" xfId="1" applyFont="1" applyBorder="1" applyAlignment="1">
      <alignment horizontal="center" vertical="center"/>
    </xf>
    <xf numFmtId="43" fontId="40" fillId="0" borderId="2" xfId="1" applyFont="1" applyBorder="1" applyAlignment="1">
      <alignment horizontal="center" vertical="center"/>
    </xf>
    <xf numFmtId="43" fontId="40" fillId="0" borderId="3" xfId="1" applyFont="1" applyBorder="1" applyAlignment="1">
      <alignment horizontal="center" vertical="center"/>
    </xf>
    <xf numFmtId="43" fontId="40" fillId="0" borderId="41" xfId="1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/>
    </xf>
    <xf numFmtId="43" fontId="40" fillId="0" borderId="4" xfId="1" applyFont="1" applyBorder="1" applyAlignment="1">
      <alignment horizontal="center" vertical="center"/>
    </xf>
    <xf numFmtId="43" fontId="40" fillId="0" borderId="5" xfId="1" applyFont="1" applyBorder="1" applyAlignment="1">
      <alignment horizontal="center" vertical="center"/>
    </xf>
    <xf numFmtId="43" fontId="40" fillId="0" borderId="6" xfId="1" applyFont="1" applyBorder="1" applyAlignment="1">
      <alignment horizontal="center" vertical="center"/>
    </xf>
    <xf numFmtId="43" fontId="40" fillId="0" borderId="44" xfId="1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40" fillId="0" borderId="41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 wrapText="1"/>
    </xf>
    <xf numFmtId="43" fontId="40" fillId="0" borderId="25" xfId="1" applyFont="1" applyBorder="1" applyAlignment="1">
      <alignment horizontal="center" vertical="center"/>
    </xf>
    <xf numFmtId="43" fontId="40" fillId="0" borderId="32" xfId="1" applyFont="1" applyBorder="1" applyAlignment="1">
      <alignment horizontal="center" vertical="center"/>
    </xf>
    <xf numFmtId="43" fontId="40" fillId="0" borderId="21" xfId="1" applyFont="1" applyBorder="1" applyAlignment="1">
      <alignment horizontal="center" vertical="center"/>
    </xf>
    <xf numFmtId="43" fontId="40" fillId="0" borderId="46" xfId="1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43" fontId="40" fillId="0" borderId="48" xfId="1" applyFont="1" applyBorder="1" applyAlignment="1">
      <alignment horizontal="center" vertical="center"/>
    </xf>
    <xf numFmtId="43" fontId="40" fillId="0" borderId="8" xfId="1" applyFont="1" applyBorder="1" applyAlignment="1">
      <alignment horizontal="center" vertical="center"/>
    </xf>
    <xf numFmtId="43" fontId="40" fillId="0" borderId="9" xfId="1" applyFont="1" applyBorder="1" applyAlignment="1">
      <alignment horizontal="center" vertical="center"/>
    </xf>
    <xf numFmtId="43" fontId="40" fillId="0" borderId="47" xfId="1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 wrapText="1"/>
    </xf>
    <xf numFmtId="176" fontId="8" fillId="4" borderId="5" xfId="0" applyNumberFormat="1" applyFont="1" applyFill="1" applyBorder="1" applyAlignment="1">
      <alignment horizontal="center" vertical="center"/>
    </xf>
    <xf numFmtId="176" fontId="8" fillId="2" borderId="5" xfId="1" applyNumberFormat="1" applyFont="1" applyFill="1" applyBorder="1" applyAlignment="1">
      <alignment horizontal="center" vertical="center"/>
    </xf>
    <xf numFmtId="176" fontId="8" fillId="4" borderId="5" xfId="0" applyNumberFormat="1" applyFont="1" applyFill="1" applyBorder="1" applyAlignment="1">
      <alignment vertical="center"/>
    </xf>
    <xf numFmtId="0" fontId="34" fillId="4" borderId="1" xfId="0" applyFont="1" applyFill="1" applyBorder="1" applyAlignment="1" applyProtection="1">
      <alignment vertical="center" wrapText="1"/>
    </xf>
    <xf numFmtId="0" fontId="34" fillId="4" borderId="5" xfId="0" applyFont="1" applyFill="1" applyBorder="1" applyAlignment="1" applyProtection="1">
      <alignment vertical="center" wrapText="1"/>
    </xf>
    <xf numFmtId="0" fontId="8" fillId="0" borderId="5" xfId="0" applyFont="1" applyBorder="1"/>
    <xf numFmtId="9" fontId="8" fillId="0" borderId="5" xfId="2" applyFont="1" applyBorder="1" applyAlignment="1"/>
    <xf numFmtId="43" fontId="8" fillId="0" borderId="5" xfId="1" applyFont="1" applyBorder="1" applyAlignment="1"/>
    <xf numFmtId="43" fontId="34" fillId="4" borderId="5" xfId="1" applyFont="1" applyFill="1" applyBorder="1" applyAlignment="1" applyProtection="1">
      <alignment vertical="center" wrapText="1"/>
    </xf>
    <xf numFmtId="9" fontId="8" fillId="4" borderId="5" xfId="2" applyFont="1" applyFill="1" applyBorder="1" applyAlignment="1"/>
    <xf numFmtId="0" fontId="8" fillId="4" borderId="5" xfId="0" applyFont="1" applyFill="1" applyBorder="1"/>
    <xf numFmtId="0" fontId="13" fillId="2" borderId="7" xfId="0" applyFont="1" applyFill="1" applyBorder="1" applyAlignment="1">
      <alignment horizontal="left" vertical="top"/>
    </xf>
    <xf numFmtId="0" fontId="34" fillId="4" borderId="2" xfId="0" applyFont="1" applyFill="1" applyBorder="1" applyAlignment="1">
      <alignment horizontal="center" vertical="center" wrapText="1"/>
    </xf>
    <xf numFmtId="176" fontId="8" fillId="4" borderId="5" xfId="0" applyNumberFormat="1" applyFont="1" applyFill="1" applyBorder="1" applyAlignment="1">
      <alignment horizontal="center"/>
    </xf>
    <xf numFmtId="176" fontId="8" fillId="2" borderId="8" xfId="1" applyNumberFormat="1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 applyProtection="1">
      <alignment vertical="center" wrapText="1"/>
    </xf>
    <xf numFmtId="0" fontId="34" fillId="4" borderId="2" xfId="0" applyFont="1" applyFill="1" applyBorder="1" applyAlignment="1" applyProtection="1">
      <alignment vertical="center"/>
    </xf>
    <xf numFmtId="0" fontId="34" fillId="4" borderId="3" xfId="0" applyFont="1" applyFill="1" applyBorder="1" applyAlignment="1" applyProtection="1">
      <alignment vertical="center" wrapText="1"/>
    </xf>
    <xf numFmtId="0" fontId="8" fillId="4" borderId="6" xfId="0" applyFont="1" applyFill="1" applyBorder="1"/>
    <xf numFmtId="0" fontId="8" fillId="0" borderId="6" xfId="0" applyFont="1" applyBorder="1"/>
    <xf numFmtId="43" fontId="8" fillId="0" borderId="8" xfId="1" applyFont="1" applyBorder="1" applyAlignment="1"/>
    <xf numFmtId="0" fontId="8" fillId="0" borderId="8" xfId="0" applyFont="1" applyBorder="1"/>
    <xf numFmtId="0" fontId="8" fillId="0" borderId="9" xfId="0" applyFont="1" applyBorder="1"/>
    <xf numFmtId="0" fontId="34" fillId="4" borderId="6" xfId="0" applyFont="1" applyFill="1" applyBorder="1" applyAlignment="1" applyProtection="1">
      <alignment vertical="center" wrapText="1"/>
    </xf>
    <xf numFmtId="0" fontId="8" fillId="2" borderId="7" xfId="0" applyFont="1" applyFill="1" applyBorder="1" applyAlignment="1">
      <alignment horizontal="left" vertical="center"/>
    </xf>
    <xf numFmtId="9" fontId="8" fillId="0" borderId="8" xfId="2" applyFont="1" applyBorder="1" applyAlignment="1"/>
    <xf numFmtId="0" fontId="41" fillId="0" borderId="5" xfId="0" applyNumberFormat="1" applyFont="1" applyFill="1" applyBorder="1" applyAlignment="1" applyProtection="1">
      <alignment horizontal="center" vertical="center"/>
    </xf>
    <xf numFmtId="0" fontId="42" fillId="0" borderId="0" xfId="14" applyFont="1" applyFill="1" applyAlignment="1">
      <alignment vertical="center"/>
    </xf>
    <xf numFmtId="176" fontId="40" fillId="0" borderId="0" xfId="1" applyNumberFormat="1" applyFont="1" applyFill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43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43" fontId="8" fillId="0" borderId="5" xfId="0" applyNumberFormat="1" applyFont="1" applyFill="1" applyBorder="1" applyAlignment="1">
      <alignment vertical="center"/>
    </xf>
    <xf numFmtId="9" fontId="8" fillId="0" borderId="5" xfId="2" applyFont="1" applyFill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185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7" fillId="0" borderId="5" xfId="1" applyNumberFormat="1" applyFont="1" applyFill="1" applyBorder="1" applyAlignment="1" applyProtection="1">
      <alignment horizontal="center" vertical="center"/>
    </xf>
    <xf numFmtId="9" fontId="17" fillId="0" borderId="5" xfId="2" applyFont="1" applyFill="1" applyBorder="1" applyAlignment="1" applyProtection="1">
      <alignment horizontal="center" vertical="center"/>
    </xf>
    <xf numFmtId="43" fontId="8" fillId="0" borderId="5" xfId="1" applyFont="1" applyFill="1" applyBorder="1" applyAlignment="1">
      <alignment vertical="center"/>
    </xf>
    <xf numFmtId="0" fontId="34" fillId="0" borderId="5" xfId="0" applyFont="1" applyFill="1" applyBorder="1" applyAlignment="1">
      <alignment horizontal="center" vertical="center"/>
    </xf>
    <xf numFmtId="9" fontId="34" fillId="0" borderId="5" xfId="0" applyNumberFormat="1" applyFont="1" applyFill="1" applyBorder="1" applyAlignment="1">
      <alignment horizontal="center" vertical="center"/>
    </xf>
    <xf numFmtId="176" fontId="13" fillId="0" borderId="5" xfId="7" applyNumberFormat="1" applyFont="1" applyFill="1" applyBorder="1" applyAlignment="1">
      <alignment vertical="center" wrapText="1" shrinkToFit="1"/>
    </xf>
    <xf numFmtId="178" fontId="8" fillId="0" borderId="5" xfId="7" applyFont="1" applyFill="1" applyBorder="1" applyAlignment="1">
      <alignment vertical="center"/>
    </xf>
    <xf numFmtId="187" fontId="13" fillId="0" borderId="5" xfId="7" applyNumberFormat="1" applyFont="1" applyFill="1" applyBorder="1" applyAlignment="1">
      <alignment vertical="center" wrapText="1"/>
    </xf>
    <xf numFmtId="187" fontId="13" fillId="0" borderId="5" xfId="7" applyNumberFormat="1" applyFont="1" applyFill="1" applyBorder="1" applyAlignment="1">
      <alignment vertical="center"/>
    </xf>
    <xf numFmtId="0" fontId="34" fillId="2" borderId="0" xfId="0" applyFont="1" applyFill="1" applyAlignment="1">
      <alignment vertical="center"/>
    </xf>
    <xf numFmtId="187" fontId="8" fillId="0" borderId="5" xfId="7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5" fillId="2" borderId="0" xfId="0" applyFont="1" applyFill="1" applyAlignment="1">
      <alignment vertical="center"/>
    </xf>
    <xf numFmtId="185" fontId="37" fillId="0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right" vertical="center"/>
    </xf>
    <xf numFmtId="9" fontId="8" fillId="0" borderId="0" xfId="0" applyNumberFormat="1" applyFont="1" applyFill="1" applyAlignment="1">
      <alignment vertical="center"/>
    </xf>
    <xf numFmtId="176" fontId="0" fillId="0" borderId="5" xfId="1" applyNumberFormat="1" applyFont="1" applyFill="1" applyBorder="1" applyAlignment="1">
      <alignment vertical="center"/>
    </xf>
    <xf numFmtId="178" fontId="11" fillId="0" borderId="5" xfId="7" applyFont="1" applyFill="1" applyBorder="1" applyAlignment="1">
      <alignment horizontal="center" vertical="center"/>
    </xf>
    <xf numFmtId="178" fontId="11" fillId="0" borderId="5" xfId="7" applyFont="1" applyFill="1" applyBorder="1" applyAlignment="1">
      <alignment horizontal="center" vertical="center" shrinkToFit="1"/>
    </xf>
    <xf numFmtId="178" fontId="8" fillId="0" borderId="5" xfId="7" applyFont="1" applyFill="1" applyBorder="1" applyAlignment="1">
      <alignment horizontal="center" vertical="center"/>
    </xf>
    <xf numFmtId="176" fontId="0" fillId="0" borderId="5" xfId="1" applyNumberFormat="1" applyFont="1" applyBorder="1" applyAlignment="1">
      <alignment vertical="center"/>
    </xf>
    <xf numFmtId="178" fontId="11" fillId="0" borderId="5" xfId="7" applyFont="1" applyFill="1" applyBorder="1" applyAlignment="1" applyProtection="1">
      <alignment horizontal="center" vertical="center" shrinkToFit="1"/>
      <protection locked="0"/>
    </xf>
    <xf numFmtId="178" fontId="14" fillId="2" borderId="0" xfId="0" applyNumberFormat="1" applyFont="1" applyFill="1" applyAlignment="1">
      <alignment horizontal="center" vertical="center"/>
    </xf>
    <xf numFmtId="183" fontId="14" fillId="2" borderId="0" xfId="0" applyNumberFormat="1" applyFont="1" applyFill="1" applyAlignment="1">
      <alignment horizontal="center" vertical="center"/>
    </xf>
    <xf numFmtId="10" fontId="14" fillId="2" borderId="0" xfId="2" applyNumberFormat="1" applyFont="1" applyFill="1" applyAlignment="1">
      <alignment horizontal="center" vertical="center"/>
    </xf>
    <xf numFmtId="183" fontId="14" fillId="2" borderId="0" xfId="0" applyNumberFormat="1" applyFont="1" applyFill="1" applyAlignment="1">
      <alignment horizontal="right" vertical="center"/>
    </xf>
    <xf numFmtId="10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/>
    </xf>
    <xf numFmtId="178" fontId="15" fillId="8" borderId="5" xfId="0" applyNumberFormat="1" applyFont="1" applyFill="1" applyBorder="1" applyAlignment="1">
      <alignment horizontal="center" vertical="center" wrapText="1"/>
    </xf>
    <xf numFmtId="183" fontId="15" fillId="8" borderId="5" xfId="0" applyNumberFormat="1" applyFont="1" applyFill="1" applyBorder="1" applyAlignment="1">
      <alignment horizontal="center" vertical="center" wrapText="1"/>
    </xf>
    <xf numFmtId="10" fontId="15" fillId="8" borderId="5" xfId="2" applyNumberFormat="1" applyFont="1" applyFill="1" applyBorder="1" applyAlignment="1">
      <alignment horizontal="center" vertical="center" wrapText="1"/>
    </xf>
    <xf numFmtId="183" fontId="15" fillId="8" borderId="5" xfId="0" applyNumberFormat="1" applyFont="1" applyFill="1" applyBorder="1" applyAlignment="1">
      <alignment horizontal="right" vertical="center" wrapText="1"/>
    </xf>
    <xf numFmtId="10" fontId="15" fillId="8" borderId="5" xfId="0" applyNumberFormat="1" applyFont="1" applyFill="1" applyBorder="1" applyAlignment="1">
      <alignment horizontal="center" vertical="center" wrapText="1"/>
    </xf>
    <xf numFmtId="178" fontId="14" fillId="2" borderId="5" xfId="7" applyNumberFormat="1" applyFont="1" applyFill="1" applyBorder="1" applyAlignment="1">
      <alignment horizontal="center" vertical="center"/>
    </xf>
    <xf numFmtId="183" fontId="14" fillId="2" borderId="5" xfId="7" applyNumberFormat="1" applyFont="1" applyFill="1" applyBorder="1" applyAlignment="1">
      <alignment horizontal="center" vertical="center"/>
    </xf>
    <xf numFmtId="10" fontId="14" fillId="2" borderId="5" xfId="2" applyNumberFormat="1" applyFont="1" applyFill="1" applyBorder="1" applyAlignment="1">
      <alignment horizontal="center" vertical="center"/>
    </xf>
    <xf numFmtId="178" fontId="14" fillId="2" borderId="5" xfId="0" applyNumberFormat="1" applyFont="1" applyFill="1" applyBorder="1" applyAlignment="1">
      <alignment horizontal="center" vertical="center"/>
    </xf>
    <xf numFmtId="178" fontId="14" fillId="2" borderId="5" xfId="7" applyNumberFormat="1" applyFont="1" applyFill="1" applyBorder="1" applyAlignment="1">
      <alignment horizontal="right" vertical="center"/>
    </xf>
    <xf numFmtId="43" fontId="20" fillId="0" borderId="0" xfId="1" applyFont="1" applyAlignment="1">
      <alignment vertical="center"/>
    </xf>
    <xf numFmtId="177" fontId="17" fillId="0" borderId="5" xfId="15" applyNumberFormat="1" applyFont="1" applyFill="1" applyBorder="1" applyAlignment="1" applyProtection="1">
      <alignment horizontal="center" vertical="center"/>
    </xf>
    <xf numFmtId="10" fontId="17" fillId="0" borderId="5" xfId="14" applyNumberFormat="1" applyFont="1" applyFill="1" applyBorder="1" applyAlignment="1" applyProtection="1">
      <alignment horizontal="center" vertical="center"/>
    </xf>
    <xf numFmtId="178" fontId="8" fillId="0" borderId="5" xfId="7" applyFont="1" applyFill="1" applyBorder="1" applyAlignment="1">
      <alignment vertical="center" wrapText="1"/>
    </xf>
    <xf numFmtId="49" fontId="13" fillId="12" borderId="5" xfId="1" applyNumberFormat="1" applyFont="1" applyFill="1" applyBorder="1" applyAlignment="1">
      <alignment horizontal="left" vertical="center" wrapText="1"/>
    </xf>
    <xf numFmtId="187" fontId="13" fillId="12" borderId="5" xfId="7" applyNumberFormat="1" applyFont="1" applyFill="1" applyBorder="1" applyAlignment="1">
      <alignment vertical="center" wrapText="1"/>
    </xf>
    <xf numFmtId="0" fontId="41" fillId="0" borderId="10" xfId="14" applyNumberFormat="1" applyFont="1" applyFill="1" applyBorder="1" applyAlignment="1" applyProtection="1">
      <alignment horizontal="center" vertical="center"/>
    </xf>
    <xf numFmtId="0" fontId="41" fillId="0" borderId="5" xfId="14" applyNumberFormat="1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8" fontId="14" fillId="0" borderId="5" xfId="7" applyFont="1" applyFill="1" applyBorder="1" applyAlignment="1">
      <alignment horizontal="center" vertical="center"/>
    </xf>
    <xf numFmtId="10" fontId="14" fillId="0" borderId="5" xfId="2" applyNumberFormat="1" applyFont="1" applyFill="1" applyBorder="1" applyAlignment="1">
      <alignment horizontal="center" vertical="center"/>
    </xf>
    <xf numFmtId="178" fontId="14" fillId="0" borderId="5" xfId="7" applyNumberFormat="1" applyFont="1" applyFill="1" applyBorder="1" applyAlignment="1">
      <alignment horizontal="center" vertical="center"/>
    </xf>
    <xf numFmtId="10" fontId="14" fillId="0" borderId="5" xfId="0" applyNumberFormat="1" applyFont="1" applyFill="1" applyBorder="1" applyAlignment="1">
      <alignment horizontal="center" vertical="center"/>
    </xf>
    <xf numFmtId="178" fontId="14" fillId="0" borderId="0" xfId="0" applyNumberFormat="1" applyFont="1" applyFill="1" applyAlignment="1">
      <alignment vertical="center"/>
    </xf>
    <xf numFmtId="178" fontId="14" fillId="0" borderId="5" xfId="0" applyNumberFormat="1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vertical="center"/>
    </xf>
    <xf numFmtId="43" fontId="14" fillId="0" borderId="5" xfId="1" applyFont="1" applyFill="1" applyBorder="1" applyAlignment="1">
      <alignment horizontal="center" vertical="center"/>
    </xf>
    <xf numFmtId="183" fontId="14" fillId="0" borderId="5" xfId="2" applyNumberFormat="1" applyFont="1" applyFill="1" applyBorder="1" applyAlignment="1">
      <alignment horizontal="right" vertical="center"/>
    </xf>
    <xf numFmtId="183" fontId="14" fillId="0" borderId="5" xfId="0" applyNumberFormat="1" applyFont="1" applyFill="1" applyBorder="1" applyAlignment="1">
      <alignment horizontal="right" vertical="center"/>
    </xf>
    <xf numFmtId="43" fontId="14" fillId="0" borderId="5" xfId="1" applyFont="1" applyFill="1" applyBorder="1" applyAlignment="1">
      <alignment horizontal="right" vertical="center"/>
    </xf>
    <xf numFmtId="0" fontId="30" fillId="0" borderId="19" xfId="0" applyFont="1" applyBorder="1" applyAlignment="1">
      <alignment horizontal="center"/>
    </xf>
    <xf numFmtId="0" fontId="39" fillId="0" borderId="0" xfId="14" applyNumberFormat="1" applyFont="1" applyFill="1" applyBorder="1" applyAlignment="1" applyProtection="1">
      <alignment horizontal="center" vertical="center"/>
    </xf>
    <xf numFmtId="0" fontId="41" fillId="0" borderId="5" xfId="14" applyNumberFormat="1" applyFont="1" applyFill="1" applyBorder="1" applyAlignment="1" applyProtection="1">
      <alignment horizontal="center" vertical="center"/>
    </xf>
    <xf numFmtId="0" fontId="41" fillId="0" borderId="10" xfId="14" applyNumberFormat="1" applyFont="1" applyFill="1" applyBorder="1" applyAlignment="1" applyProtection="1">
      <alignment horizontal="center" vertical="center"/>
    </xf>
    <xf numFmtId="0" fontId="41" fillId="0" borderId="13" xfId="14" applyNumberFormat="1" applyFont="1" applyFill="1" applyBorder="1" applyAlignment="1" applyProtection="1">
      <alignment horizontal="center" vertical="center"/>
    </xf>
    <xf numFmtId="0" fontId="41" fillId="0" borderId="14" xfId="14" applyNumberFormat="1" applyFont="1" applyFill="1" applyBorder="1" applyAlignment="1" applyProtection="1">
      <alignment horizontal="center" vertical="center"/>
    </xf>
    <xf numFmtId="0" fontId="17" fillId="0" borderId="5" xfId="14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178" fontId="15" fillId="4" borderId="2" xfId="0" applyNumberFormat="1" applyFont="1" applyFill="1" applyBorder="1" applyAlignment="1">
      <alignment horizontal="center" vertical="center"/>
    </xf>
    <xf numFmtId="178" fontId="15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 wrapText="1"/>
    </xf>
    <xf numFmtId="0" fontId="15" fillId="4" borderId="4" xfId="0" applyFont="1" applyFill="1" applyBorder="1" applyAlignment="1" applyProtection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178" fontId="15" fillId="4" borderId="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2" borderId="23" xfId="16" applyFont="1" applyFill="1" applyBorder="1" applyAlignment="1">
      <alignment horizontal="center" vertical="center" wrapText="1"/>
    </xf>
    <xf numFmtId="0" fontId="11" fillId="2" borderId="17" xfId="16" applyFont="1" applyFill="1" applyBorder="1" applyAlignment="1">
      <alignment horizontal="center" vertical="center" wrapText="1"/>
    </xf>
    <xf numFmtId="0" fontId="11" fillId="2" borderId="2" xfId="16" applyFont="1" applyFill="1" applyBorder="1" applyAlignment="1">
      <alignment horizontal="center" vertical="center" wrapText="1"/>
    </xf>
    <xf numFmtId="0" fontId="11" fillId="2" borderId="5" xfId="16" applyFont="1" applyFill="1" applyBorder="1" applyAlignment="1">
      <alignment horizontal="center" vertical="center" wrapText="1"/>
    </xf>
    <xf numFmtId="0" fontId="11" fillId="2" borderId="24" xfId="16" applyFont="1" applyFill="1" applyBorder="1" applyAlignment="1">
      <alignment horizontal="center" vertical="center" wrapText="1"/>
    </xf>
    <xf numFmtId="0" fontId="11" fillId="2" borderId="25" xfId="16" applyFont="1" applyFill="1" applyBorder="1" applyAlignment="1">
      <alignment horizontal="center" vertical="center" wrapText="1"/>
    </xf>
    <xf numFmtId="0" fontId="11" fillId="2" borderId="3" xfId="16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49" fontId="38" fillId="7" borderId="0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4" fillId="5" borderId="8" xfId="0" applyFont="1" applyFill="1" applyBorder="1" applyAlignment="1">
      <alignment horizontal="center"/>
    </xf>
    <xf numFmtId="178" fontId="34" fillId="0" borderId="5" xfId="7" applyFont="1" applyFill="1" applyBorder="1" applyAlignment="1">
      <alignment horizontal="center" vertical="center"/>
    </xf>
    <xf numFmtId="178" fontId="8" fillId="0" borderId="5" xfId="7" applyFont="1" applyFill="1" applyBorder="1" applyAlignment="1">
      <alignment horizontal="center" vertical="center" wrapText="1"/>
    </xf>
    <xf numFmtId="178" fontId="34" fillId="0" borderId="5" xfId="7" applyFont="1" applyFill="1" applyBorder="1" applyAlignment="1">
      <alignment horizontal="center" vertical="center" wrapText="1"/>
    </xf>
    <xf numFmtId="178" fontId="13" fillId="0" borderId="5" xfId="7" applyFont="1" applyFill="1" applyBorder="1" applyAlignment="1">
      <alignment vertical="center"/>
    </xf>
    <xf numFmtId="178" fontId="8" fillId="0" borderId="5" xfId="7" applyFont="1" applyFill="1" applyBorder="1" applyAlignment="1">
      <alignment vertical="center" wrapText="1"/>
    </xf>
    <xf numFmtId="178" fontId="11" fillId="0" borderId="5" xfId="7" applyFont="1" applyFill="1" applyBorder="1" applyAlignment="1" applyProtection="1">
      <alignment horizontal="center" vertical="center" wrapText="1"/>
      <protection locked="0"/>
    </xf>
    <xf numFmtId="178" fontId="11" fillId="0" borderId="5" xfId="7" applyFont="1" applyFill="1" applyBorder="1" applyAlignment="1" applyProtection="1">
      <alignment horizontal="center" vertical="center" shrinkToFit="1"/>
      <protection locked="0"/>
    </xf>
    <xf numFmtId="0" fontId="16" fillId="0" borderId="0" xfId="0" applyFont="1" applyFill="1" applyAlignment="1">
      <alignment horizontal="center" vertical="center"/>
    </xf>
    <xf numFmtId="185" fontId="8" fillId="0" borderId="0" xfId="0" applyNumberFormat="1" applyFont="1" applyFill="1" applyAlignment="1">
      <alignment horizontal="center" vertical="center"/>
    </xf>
    <xf numFmtId="0" fontId="0" fillId="0" borderId="27" xfId="0" applyBorder="1" applyAlignment="1">
      <alignment horizontal="left" wrapText="1"/>
    </xf>
    <xf numFmtId="0" fontId="30" fillId="0" borderId="0" xfId="0" applyFont="1" applyAlignment="1">
      <alignment horizontal="center"/>
    </xf>
    <xf numFmtId="0" fontId="49" fillId="2" borderId="0" xfId="0" applyFont="1" applyFill="1" applyAlignment="1">
      <alignment horizontal="center" vertical="center"/>
    </xf>
    <xf numFmtId="0" fontId="59" fillId="0" borderId="0" xfId="0" applyFont="1" applyAlignment="1">
      <alignment horizontal="center"/>
    </xf>
    <xf numFmtId="0" fontId="40" fillId="0" borderId="31" xfId="0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8" fillId="0" borderId="31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32" xfId="0" applyFont="1" applyBorder="1" applyAlignment="1">
      <alignment horizontal="center" vertical="center"/>
    </xf>
    <xf numFmtId="0" fontId="58" fillId="0" borderId="37" xfId="0" applyFont="1" applyBorder="1" applyAlignment="1">
      <alignment horizontal="center" vertical="center"/>
    </xf>
    <xf numFmtId="0" fontId="58" fillId="0" borderId="33" xfId="0" applyFont="1" applyBorder="1" applyAlignment="1">
      <alignment horizontal="center" vertical="center" wrapText="1"/>
    </xf>
    <xf numFmtId="0" fontId="58" fillId="0" borderId="38" xfId="0" applyFont="1" applyBorder="1" applyAlignment="1">
      <alignment horizontal="center" vertical="center" wrapText="1"/>
    </xf>
    <xf numFmtId="0" fontId="58" fillId="0" borderId="34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35" xfId="0" applyFont="1" applyBorder="1" applyAlignment="1">
      <alignment horizontal="center" vertical="center"/>
    </xf>
    <xf numFmtId="0" fontId="58" fillId="0" borderId="32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180" fontId="11" fillId="2" borderId="0" xfId="0" applyNumberFormat="1" applyFont="1" applyFill="1" applyBorder="1" applyAlignment="1">
      <alignment horizontal="left" vertical="center"/>
    </xf>
    <xf numFmtId="176" fontId="14" fillId="2" borderId="0" xfId="1" applyNumberFormat="1" applyFont="1" applyFill="1" applyBorder="1" applyAlignment="1">
      <alignment horizontal="center" vertical="center"/>
    </xf>
    <xf numFmtId="43" fontId="14" fillId="2" borderId="0" xfId="1" applyFont="1" applyFill="1" applyBorder="1" applyAlignment="1">
      <alignment vertical="center"/>
    </xf>
    <xf numFmtId="0" fontId="14" fillId="13" borderId="0" xfId="0" applyFont="1" applyFill="1" applyAlignment="1">
      <alignment vertical="center"/>
    </xf>
    <xf numFmtId="43" fontId="14" fillId="13" borderId="0" xfId="0" applyNumberFormat="1" applyFont="1" applyFill="1" applyAlignment="1">
      <alignment vertical="center"/>
    </xf>
    <xf numFmtId="179" fontId="14" fillId="13" borderId="0" xfId="0" applyNumberFormat="1" applyFont="1" applyFill="1" applyAlignment="1">
      <alignment horizontal="center" vertical="center"/>
    </xf>
    <xf numFmtId="9" fontId="14" fillId="13" borderId="0" xfId="2" applyFont="1" applyFill="1" applyAlignment="1">
      <alignment horizontal="center" vertical="center"/>
    </xf>
    <xf numFmtId="43" fontId="14" fillId="13" borderId="0" xfId="1" applyFont="1" applyFill="1" applyAlignment="1">
      <alignment vertical="center"/>
    </xf>
  </cellXfs>
  <cellStyles count="21">
    <cellStyle name="20% - 着色 4" xfId="16" builtinId="42"/>
    <cellStyle name="20% - 着色 4 2" xfId="12"/>
    <cellStyle name="SAPDataCell" xfId="20"/>
    <cellStyle name="SAPDimensionCell" xfId="17"/>
    <cellStyle name="SAPHierarchyCell0" xfId="18"/>
    <cellStyle name="SAPMemberCell" xfId="19"/>
    <cellStyle name="百分比" xfId="2" builtinId="5"/>
    <cellStyle name="百分比 3" xfId="15"/>
    <cellStyle name="常规" xfId="0" builtinId="0"/>
    <cellStyle name="常规 19" xfId="14"/>
    <cellStyle name="常规 2" xfId="6"/>
    <cellStyle name="常规 2 3" xfId="9"/>
    <cellStyle name="常规 3" xfId="8"/>
    <cellStyle name="常规 4" xfId="13"/>
    <cellStyle name="千位分隔" xfId="1" builtinId="3"/>
    <cellStyle name="千位分隔 2" xfId="3"/>
    <cellStyle name="千位分隔 3" xfId="5"/>
    <cellStyle name="千位分隔 4" xfId="7"/>
    <cellStyle name="千位分隔 4 2" xfId="10"/>
    <cellStyle name="千位分隔 4 2 2" xfId="11"/>
    <cellStyle name="字体" xfId="4"/>
  </cellStyles>
  <dxfs count="9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Medium9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nw5-02\cmuc\SANDRI\CIVGEST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0311\AppData\Local\Microsoft\Windows\Temporary%20Internet%20Files\Content.Outlook\J7GHEW2Y\Key%20Collection%20Q4%2011-11-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10%20OUTRAS%20CONTAS%20A%20RECEBER%20Combined%20Leadsheet%202006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&#25991;&#20214;\2019\2019&#24180;&#25253;&#34920;\2019&#24180;3&#26376;&#25253;&#34920;\&#26149;&#22799;&#21697;&#29260;&#20107;&#19994;&#37096;&#31649;&#29702;&#25253;&#34920;20190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&#25991;&#20214;\2019\2019&#24180;&#25253;&#34920;\2019&#24180;4&#26376;&#25253;&#34920;\&#9734;&#26149;&#22799;&#21697;&#29260;&#20107;&#19994;&#37096;&#31649;&#29702;&#25253;&#34920;201904&#973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&#25991;&#20214;\2019\2019&#24180;&#25253;&#34920;\2019&#24180;3&#26376;&#25253;&#34920;\201903&#26149;&#22799;&#20197;&#21450;&#36135;&#26550;&#33829;&#25910;&#36798;&#2510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ew068\Ufficio\Utenti%20Controllo%20Gestione\ppozzoli\FILES\REPORT%202002\AGPGIUGNO%20DEFINITIV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RETTI\DIC96\PAT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W&amp;A\2011\MAM\Rev%203\BWA_USA_REV3_August%20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unw5-02\cmuc\SANDRI\CALENDAR\CALEND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1.38\&#36130;&#21153;&#20849;&#20139;\&#39044;&#31639;\2018&#24180;&#28378;&#21160;&#39044;&#27979;\201801\2018&#24180;&#28378;&#21160;&#39044;&#27979;-2018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MAND95\ECOLO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PIANO\PIA97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finance\EXCEL\PIANO\PIA97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AT"/>
      <sheetName val="CIV-GEST"/>
      <sheetName val="FdoSval"/>
      <sheetName val="Imposte"/>
      <sheetName val="TAX3"/>
      <sheetName val="TAX1"/>
      <sheetName val="TAX2"/>
      <sheetName val="TAX4"/>
      <sheetName val="C60"/>
      <sheetName val="Articoli (2)"/>
      <sheetName val="Articoli"/>
      <sheetName val="Part"/>
      <sheetName val="RicPN"/>
      <sheetName val="PN-Civ"/>
      <sheetName val="PN-Civ (2)"/>
      <sheetName val="PN-Gest"/>
      <sheetName val="X-Y"/>
      <sheetName val="#RIF"/>
      <sheetName val="STAXCOM"/>
      <sheetName val="RENDFIN"/>
      <sheetName val="CIVGEST1"/>
      <sheetName val="VALIDACAO"/>
      <sheetName val="_x0000_"/>
      <sheetName val="ZWBP s amm "/>
      <sheetName val="Sheet2"/>
      <sheetName val="Resumo_244.K23"/>
      <sheetName val="Articoli_(2)"/>
      <sheetName val="PN-Civ_(2)"/>
      <sheetName val="IS F Y"/>
      <sheetName val="GRÁF. FGA BR+AR"/>
      <sheetName val="MAREA"/>
      <sheetName val="Marea MY"/>
      <sheetName val="Brava-o MY"/>
      <sheetName val="SEI"/>
      <sheetName val="PANDA"/>
      <sheetName val="P.TO"/>
      <sheetName val="MULTIPLA"/>
      <sheetName val="COUPE"/>
      <sheetName val="Engineers"/>
      <sheetName val="Settings"/>
      <sheetName val="Turkey PGP"/>
      <sheetName val="CIVGEST1.XLS"/>
      <sheetName val="PRINCIPALE"/>
      <sheetName val="SINCOM"/>
      <sheetName val="ZWBP_s_amm_"/>
      <sheetName val="Turkey_PGP"/>
      <sheetName val="CIVGEST1_XLS"/>
      <sheetName val="Articoli_(2)1"/>
      <sheetName val="PN-Civ_(2)1"/>
      <sheetName val="Resumo_244_K23"/>
      <sheetName val="GRÁF__FGA_BR+AR"/>
      <sheetName val="IS_F_Y"/>
      <sheetName val="Marea_MY"/>
      <sheetName val="Brava-o_MY"/>
      <sheetName val="P_TO"/>
      <sheetName val="ULYSSE"/>
      <sheetName val="MAR99"/>
      <sheetName val="Engine"/>
      <sheetName val="Raw Ratings"/>
      <sheetName val="Kontrollen"/>
      <sheetName val="Legend"/>
      <sheetName val="ORIGINE_DA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MEA"/>
      <sheetName val="USA"/>
      <sheetName val="MEX"/>
      <sheetName val="China"/>
      <sheetName val="IND"/>
      <sheetName val="LATAM"/>
      <sheetName val="ADS"/>
      <sheetName val="Sheet2"/>
      <sheetName val="Pivot build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To be invoiced</v>
          </cell>
        </row>
        <row r="4">
          <cell r="A4" t="str">
            <v>Invoiced</v>
          </cell>
        </row>
        <row r="5">
          <cell r="A5" t="str">
            <v>Approved</v>
          </cell>
        </row>
        <row r="6">
          <cell r="A6" t="str">
            <v>Set to pay</v>
          </cell>
        </row>
        <row r="7">
          <cell r="A7" t="str">
            <v>Paid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Ad. Forn 31.12"/>
      <sheetName val="Ad . Forn 31.10"/>
      <sheetName val="XREF"/>
      <sheetName val="Tickmarks"/>
    </sheetNames>
    <sheetDataSet>
      <sheetData sheetId="0">
        <row r="10">
          <cell r="F10">
            <v>19561417</v>
          </cell>
        </row>
      </sheetData>
      <sheetData sheetId="1"/>
      <sheetData sheetId="2"/>
      <sheetData sheetId="3">
        <row r="57">
          <cell r="B57">
            <v>51214</v>
          </cell>
        </row>
      </sheetData>
      <sheetData sheetId="4"/>
      <sheetData sheetId="5">
        <row r="4">
          <cell r="A4">
            <v>183232</v>
          </cell>
        </row>
        <row r="17">
          <cell r="A17">
            <v>799895</v>
          </cell>
          <cell r="B17">
            <v>799895</v>
          </cell>
          <cell r="D17" t="str">
            <v>Balanço - Dezembro</v>
          </cell>
          <cell r="E17" t="str">
            <v>!</v>
          </cell>
        </row>
        <row r="21">
          <cell r="A21">
            <v>132326</v>
          </cell>
          <cell r="B21">
            <v>132326</v>
          </cell>
          <cell r="D21" t="str">
            <v>Movimentação dos impostos a recuperar</v>
          </cell>
          <cell r="E21" t="str">
            <v>!</v>
          </cell>
        </row>
      </sheetData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经营简报"/>
      <sheetName val="春夏品牌合计"/>
      <sheetName val="美妆渠道"/>
      <sheetName val="现代渠道"/>
      <sheetName val="电商渠道"/>
      <sheetName val="职能部门"/>
      <sheetName val="2018年分摊后渠道销售利润"/>
      <sheetName val="3月费用基表"/>
      <sheetName val="营收业绩统计表"/>
      <sheetName val="应收账龄分析及逾期款追踪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1">
          <cell r="N51">
            <v>690566.0199999999</v>
          </cell>
          <cell r="P51">
            <v>0</v>
          </cell>
        </row>
        <row r="52">
          <cell r="N52">
            <v>-5605925.9199999999</v>
          </cell>
          <cell r="O52">
            <v>366996.83000000054</v>
          </cell>
          <cell r="P52">
            <v>350000</v>
          </cell>
        </row>
        <row r="60">
          <cell r="N60">
            <v>-82974.14</v>
          </cell>
          <cell r="O60">
            <v>-20129.310000000001</v>
          </cell>
        </row>
        <row r="61">
          <cell r="N61">
            <v>58775.860000000015</v>
          </cell>
          <cell r="O61">
            <v>-34448.93</v>
          </cell>
          <cell r="P61">
            <v>10763</v>
          </cell>
        </row>
        <row r="69">
          <cell r="O69">
            <v>31000</v>
          </cell>
        </row>
        <row r="72">
          <cell r="N72">
            <v>10779.05</v>
          </cell>
          <cell r="O72">
            <v>10779.06</v>
          </cell>
          <cell r="P72">
            <v>10779.05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经营简报"/>
      <sheetName val="春夏品牌合计"/>
      <sheetName val="美妆渠道"/>
      <sheetName val="现代渠道"/>
      <sheetName val="电商渠道"/>
      <sheetName val="职能部门"/>
      <sheetName val="2018年分摊后渠道销售利润"/>
      <sheetName val="3月费用基表"/>
      <sheetName val="4月费用基表"/>
      <sheetName val="营收业绩统计表"/>
      <sheetName val="应收账龄分析及逾期款追踪表"/>
    </sheetNames>
    <sheetDataSet>
      <sheetData sheetId="0">
        <row r="13">
          <cell r="E13">
            <v>43556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1">
          <cell r="Q51">
            <v>1281132.08</v>
          </cell>
        </row>
        <row r="52">
          <cell r="Q52">
            <v>835895.20000000019</v>
          </cell>
        </row>
        <row r="61">
          <cell r="Q61">
            <v>2663.42</v>
          </cell>
        </row>
        <row r="69">
          <cell r="Q69">
            <v>46486.479999999996</v>
          </cell>
        </row>
        <row r="72">
          <cell r="Q72">
            <v>10779.05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月收入达成"/>
      <sheetName val="1月春夏品类业绩"/>
      <sheetName val="2月收入达成"/>
      <sheetName val="2月春夏品类业绩"/>
      <sheetName val="3月收入达成"/>
      <sheetName val="3月春夏品类业绩"/>
    </sheetNames>
    <sheetDataSet>
      <sheetData sheetId="0"/>
      <sheetData sheetId="1"/>
      <sheetData sheetId="2">
        <row r="6">
          <cell r="G6">
            <v>2624.0848709581733</v>
          </cell>
        </row>
      </sheetData>
      <sheetData sheetId="3">
        <row r="4">
          <cell r="I4">
            <v>733.30297700000006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PGIUGNO DEFINITIVO"/>
      <sheetName val="date modif"/>
      <sheetName val="STABILIM D.R."/>
      <sheetName val="MAR99"/>
      <sheetName val="estraz.apert.2002"/>
      <sheetName val="previsliquidato202"/>
      <sheetName val="LIGHT"/>
      <sheetName val="HEAVY"/>
      <sheetName val="#RIF"/>
      <sheetName val="AMMORTAMENTI CESPITI DA TARGARE"/>
      <sheetName val="INCOME STATEMENT "/>
      <sheetName val="COMMERCIAL PERFORMANCE"/>
      <sheetName val="AGP"/>
      <sheetName val="Prodotto-ASTRA"/>
      <sheetName val="Foglio1"/>
      <sheetName val="_RIF"/>
      <sheetName val="FIAT"/>
      <sheetName val="MPL 技連"/>
      <sheetName val="342E BLOCK"/>
      <sheetName val="IS F Y"/>
      <sheetName val="OP FY"/>
      <sheetName val="AGPGIUGNO_DEFINITIVO"/>
      <sheetName val="date_modif"/>
      <sheetName val="STABILIM_D_R_"/>
      <sheetName val="estraz_apert_2002"/>
      <sheetName val="AMMORTAMENTI_CESPITI_DA_TARGARE"/>
      <sheetName val="INCOME_STATEMENT_"/>
      <sheetName val="COMMERCIAL_PERFORMANCE"/>
      <sheetName val="MPL_技連"/>
      <sheetName val="342E_BLOCK"/>
      <sheetName val="Actual &amp; Achieved"/>
      <sheetName val="Turkey PGP"/>
      <sheetName val="AGPGIUGNO%20DEFINITIVO.xls"/>
      <sheetName val="Copertina"/>
      <sheetName val="MAREA"/>
      <sheetName val="Marea MY"/>
      <sheetName val="ULYSSE"/>
      <sheetName val="Brava-o MY"/>
      <sheetName val="SEI"/>
      <sheetName val="PANDA"/>
      <sheetName val="P.TO"/>
      <sheetName val="COUPE"/>
      <sheetName val="62007İ"/>
      <sheetName val="PRINCIPALE"/>
      <sheetName val="AGPGIUGNO_DEFINITIVO1"/>
      <sheetName val="date_modif1"/>
      <sheetName val="STABILIM_D_R_1"/>
      <sheetName val="estraz_apert_20021"/>
      <sheetName val="AMMORTAMENTI_CESPITI_DA_TARGAR1"/>
      <sheetName val="INCOME_STATEMENT_1"/>
      <sheetName val="COMMERCIAL_PERFORMANCE1"/>
      <sheetName val="MPL_技連1"/>
      <sheetName val="342E_BLOCK1"/>
      <sheetName val="IS_F_Y"/>
      <sheetName val="OP_FY"/>
      <sheetName val="Turkey_PGP"/>
      <sheetName val="AGPGIUGNO%20DEFINITIVO_xls"/>
      <sheetName val="Actual_&amp;_Achie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T"/>
      <sheetName val="#RIF"/>
      <sheetName val="Foglio1"/>
      <sheetName val="Settore"/>
      <sheetName val="Lordo"/>
      <sheetName val="Netto"/>
      <sheetName val="Tavole"/>
      <sheetName val="PosFin"/>
      <sheetName val="COMAUSpA"/>
      <sheetName val="TavolaCOM"/>
      <sheetName val="COMNA"/>
      <sheetName val="USA"/>
      <sheetName val="COMFR"/>
      <sheetName val="FFR"/>
      <sheetName val="COMDE"/>
      <sheetName val="DM"/>
      <sheetName val="COMAR"/>
      <sheetName val="PESO"/>
      <sheetName val="COMBR"/>
      <sheetName val="REAL"/>
      <sheetName val="ITALT"/>
      <sheetName val="MECAN"/>
      <sheetName val="PTAS"/>
      <sheetName val="UTS"/>
      <sheetName val="INFRA"/>
      <sheetName val="PATR"/>
      <sheetName val="_RIF"/>
      <sheetName val="RENDFIN"/>
      <sheetName val="$80HONDA"/>
      <sheetName val="developer"/>
      <sheetName val="data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ORDER ACQUISITION"/>
      <sheetName val="Key Deals by Quarter"/>
      <sheetName val="3_Backlog FY"/>
      <sheetName val="BU_P&amp;L FY"/>
      <sheetName val="BU_BS FY"/>
      <sheetName val="BU_TCF FY"/>
      <sheetName val="12_HC"/>
      <sheetName val="Back-Up"/>
      <sheetName val="5_P&amp;L Q3"/>
      <sheetName val="7_BS Q3"/>
      <sheetName val="8_TCF Q3"/>
      <sheetName val="6_TP R&amp;O"/>
      <sheetName val="9_R&amp;O TCF"/>
      <sheetName val="Top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团汇总"/>
      <sheetName val="自然堂线下汇总"/>
      <sheetName val="自然堂线下-美妆"/>
      <sheetName val="自然堂线下-百货"/>
      <sheetName val="自然堂线下-现代"/>
      <sheetName val="自然堂线下-分品类"/>
      <sheetName val="美素线下-美妆"/>
      <sheetName val="美素线下-百货"/>
      <sheetName val="植物智慧线下-美妆"/>
      <sheetName val="电商全品牌"/>
      <sheetName val="电商自然堂"/>
      <sheetName val="电商美素"/>
      <sheetName val="电商植物智慧"/>
      <sheetName val="集团职能部门"/>
      <sheetName val="供应链板块"/>
      <sheetName val="研发板块"/>
      <sheetName val="科目匹配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OGIA"/>
      <sheetName val="FIAT"/>
      <sheetName val="DATI"/>
      <sheetName val="FRANCIA CIN MESE"/>
      <sheetName val="Tabella Competenze"/>
      <sheetName val="tot ovh"/>
      <sheetName val="TO5"/>
      <sheetName val="TITLE"/>
      <sheetName val="bb6"/>
      <sheetName val="Assumptions"/>
      <sheetName val="Cons_p_6m"/>
      <sheetName val="Obt_a_6m"/>
      <sheetName val="FRANCIA_CIN_MESE"/>
      <sheetName val="prod.inventory"/>
      <sheetName val="OP FY"/>
      <sheetName val="Parametri"/>
      <sheetName val="Tabella_Competenze"/>
      <sheetName val="tot_ovh"/>
      <sheetName val="cr2901"/>
      <sheetName val="Settings"/>
      <sheetName val="Resumen"/>
      <sheetName val="Macro2"/>
      <sheetName val="Macro1"/>
      <sheetName val="1996"/>
      <sheetName val="FRANCIA_CIN_MES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ECO"/>
      <sheetName val="Economico"/>
      <sheetName val="Economico (2)"/>
      <sheetName val="Note"/>
      <sheetName val="QuotaSede"/>
      <sheetName val="Piadiv1"/>
      <sheetName val="ULTRA"/>
      <sheetName val="ord"/>
      <sheetName val="fattu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ECO"/>
      <sheetName val="Economico"/>
      <sheetName val="Economico (2)"/>
      <sheetName val="Note"/>
      <sheetName val="QuotaSede"/>
      <sheetName val="Piadiv1"/>
      <sheetName val="ULTRA"/>
      <sheetName val="ord"/>
      <sheetName val="fattu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B8" sqref="B8"/>
    </sheetView>
  </sheetViews>
  <sheetFormatPr defaultColWidth="9" defaultRowHeight="13.5"/>
  <cols>
    <col min="1" max="1" width="9" style="155"/>
    <col min="2" max="2" width="29.59765625" style="155" customWidth="1"/>
    <col min="3" max="3" width="6.86328125" style="170" customWidth="1"/>
    <col min="4" max="4" width="39.1328125" style="155" customWidth="1"/>
    <col min="5" max="5" width="18.265625" style="155" customWidth="1"/>
    <col min="6" max="6" width="9.46484375" style="155" bestFit="1" customWidth="1"/>
    <col min="7" max="7" width="23.1328125" style="155" bestFit="1" customWidth="1"/>
    <col min="8" max="8" width="16.3984375" style="155" bestFit="1" customWidth="1"/>
    <col min="9" max="9" width="35.73046875" style="155" customWidth="1"/>
    <col min="10" max="16384" width="9" style="155"/>
  </cols>
  <sheetData>
    <row r="1" spans="1:9" ht="20.25">
      <c r="A1" s="425" t="s">
        <v>157</v>
      </c>
      <c r="B1" s="425"/>
      <c r="C1" s="425"/>
      <c r="D1" s="425"/>
      <c r="E1" s="425"/>
      <c r="F1" s="425"/>
      <c r="G1" s="425"/>
      <c r="H1" s="425"/>
      <c r="I1" s="425"/>
    </row>
    <row r="2" spans="1:9" ht="15.75">
      <c r="A2" s="156" t="s">
        <v>158</v>
      </c>
      <c r="B2" s="156" t="s">
        <v>159</v>
      </c>
      <c r="C2" s="156" t="s">
        <v>160</v>
      </c>
      <c r="D2" s="156" t="s">
        <v>161</v>
      </c>
      <c r="E2" s="156" t="s">
        <v>162</v>
      </c>
      <c r="F2" s="156" t="s">
        <v>163</v>
      </c>
      <c r="G2" s="156" t="s">
        <v>164</v>
      </c>
      <c r="H2" s="156" t="s">
        <v>165</v>
      </c>
      <c r="I2" s="157" t="s">
        <v>166</v>
      </c>
    </row>
    <row r="3" spans="1:9" ht="15.75">
      <c r="A3" s="157">
        <v>1</v>
      </c>
      <c r="B3" s="158" t="s">
        <v>167</v>
      </c>
      <c r="C3" s="156" t="s">
        <v>168</v>
      </c>
      <c r="D3" s="159" t="s">
        <v>169</v>
      </c>
      <c r="E3" s="160" t="s">
        <v>170</v>
      </c>
      <c r="F3" s="157">
        <v>3</v>
      </c>
      <c r="G3" s="157" t="s">
        <v>171</v>
      </c>
      <c r="H3" s="157" t="s">
        <v>172</v>
      </c>
      <c r="I3" s="157" t="s">
        <v>173</v>
      </c>
    </row>
    <row r="4" spans="1:9" ht="26.25">
      <c r="A4" s="157">
        <v>2</v>
      </c>
      <c r="B4" s="161" t="s">
        <v>174</v>
      </c>
      <c r="C4" s="162" t="s">
        <v>168</v>
      </c>
      <c r="D4" s="163" t="s">
        <v>175</v>
      </c>
      <c r="E4" s="160" t="s">
        <v>170</v>
      </c>
      <c r="F4" s="160">
        <v>5</v>
      </c>
      <c r="G4" s="160" t="s">
        <v>176</v>
      </c>
      <c r="H4" s="160" t="s">
        <v>177</v>
      </c>
      <c r="I4" s="160"/>
    </row>
    <row r="5" spans="1:9" ht="15.75">
      <c r="A5" s="157">
        <v>3</v>
      </c>
      <c r="B5" s="161" t="s">
        <v>178</v>
      </c>
      <c r="C5" s="162" t="s">
        <v>179</v>
      </c>
      <c r="D5" s="163" t="s">
        <v>180</v>
      </c>
      <c r="E5" s="160" t="s">
        <v>170</v>
      </c>
      <c r="F5" s="160">
        <v>10</v>
      </c>
      <c r="G5" s="160" t="s">
        <v>176</v>
      </c>
      <c r="H5" s="160" t="s">
        <v>177</v>
      </c>
      <c r="I5" s="160" t="s">
        <v>173</v>
      </c>
    </row>
    <row r="6" spans="1:9" ht="26.25">
      <c r="A6" s="157">
        <v>4</v>
      </c>
      <c r="B6" s="161" t="s">
        <v>181</v>
      </c>
      <c r="C6" s="162" t="s">
        <v>179</v>
      </c>
      <c r="D6" s="163" t="s">
        <v>182</v>
      </c>
      <c r="E6" s="160" t="s">
        <v>170</v>
      </c>
      <c r="F6" s="160">
        <v>10</v>
      </c>
      <c r="G6" s="160" t="s">
        <v>176</v>
      </c>
      <c r="H6" s="160" t="s">
        <v>177</v>
      </c>
      <c r="I6" s="160"/>
    </row>
    <row r="7" spans="1:9" ht="26.25">
      <c r="A7" s="157">
        <v>5</v>
      </c>
      <c r="B7" s="161" t="s">
        <v>183</v>
      </c>
      <c r="C7" s="162" t="s">
        <v>168</v>
      </c>
      <c r="D7" s="163" t="s">
        <v>184</v>
      </c>
      <c r="E7" s="160" t="s">
        <v>170</v>
      </c>
      <c r="F7" s="160">
        <v>10</v>
      </c>
      <c r="G7" s="160" t="s">
        <v>176</v>
      </c>
      <c r="H7" s="160" t="s">
        <v>177</v>
      </c>
      <c r="I7" s="160" t="s">
        <v>185</v>
      </c>
    </row>
    <row r="8" spans="1:9" ht="15.75">
      <c r="A8" s="157">
        <v>6</v>
      </c>
      <c r="B8" s="161" t="s">
        <v>186</v>
      </c>
      <c r="C8" s="162" t="s">
        <v>168</v>
      </c>
      <c r="D8" s="163" t="s">
        <v>187</v>
      </c>
      <c r="E8" s="160" t="s">
        <v>170</v>
      </c>
      <c r="F8" s="160">
        <v>10</v>
      </c>
      <c r="G8" s="160" t="s">
        <v>176</v>
      </c>
      <c r="H8" s="160" t="s">
        <v>177</v>
      </c>
      <c r="I8" s="160"/>
    </row>
    <row r="9" spans="1:9" ht="26.25">
      <c r="A9" s="157">
        <v>7</v>
      </c>
      <c r="B9" s="164" t="s">
        <v>188</v>
      </c>
      <c r="C9" s="156" t="s">
        <v>179</v>
      </c>
      <c r="D9" s="163" t="s">
        <v>189</v>
      </c>
      <c r="E9" s="160" t="s">
        <v>170</v>
      </c>
      <c r="F9" s="157">
        <v>10</v>
      </c>
      <c r="G9" s="160" t="s">
        <v>176</v>
      </c>
      <c r="H9" s="160" t="s">
        <v>177</v>
      </c>
      <c r="I9" s="160" t="s">
        <v>190</v>
      </c>
    </row>
    <row r="10" spans="1:9" ht="15.75">
      <c r="A10" s="157">
        <v>8</v>
      </c>
      <c r="B10" s="161" t="s">
        <v>191</v>
      </c>
      <c r="C10" s="162" t="s">
        <v>179</v>
      </c>
      <c r="D10" s="163" t="s">
        <v>192</v>
      </c>
      <c r="E10" s="160" t="s">
        <v>170</v>
      </c>
      <c r="F10" s="160">
        <v>10</v>
      </c>
      <c r="G10" s="160" t="s">
        <v>176</v>
      </c>
      <c r="H10" s="160" t="s">
        <v>177</v>
      </c>
      <c r="I10" s="160" t="s">
        <v>185</v>
      </c>
    </row>
    <row r="11" spans="1:9" ht="26.25">
      <c r="A11" s="157">
        <v>9</v>
      </c>
      <c r="B11" s="161" t="s">
        <v>193</v>
      </c>
      <c r="C11" s="162" t="s">
        <v>179</v>
      </c>
      <c r="D11" s="163" t="s">
        <v>194</v>
      </c>
      <c r="E11" s="160" t="s">
        <v>170</v>
      </c>
      <c r="F11" s="160">
        <v>10</v>
      </c>
      <c r="G11" s="160" t="s">
        <v>176</v>
      </c>
      <c r="H11" s="160" t="s">
        <v>177</v>
      </c>
      <c r="I11" s="160"/>
    </row>
    <row r="12" spans="1:9" ht="15.75">
      <c r="A12" s="157">
        <v>10</v>
      </c>
      <c r="B12" s="164" t="s">
        <v>195</v>
      </c>
      <c r="C12" s="156" t="s">
        <v>168</v>
      </c>
      <c r="D12" s="163" t="s">
        <v>196</v>
      </c>
      <c r="E12" s="160" t="s">
        <v>170</v>
      </c>
      <c r="F12" s="157">
        <v>10</v>
      </c>
      <c r="G12" s="160" t="s">
        <v>176</v>
      </c>
      <c r="H12" s="160" t="s">
        <v>177</v>
      </c>
      <c r="I12" s="160" t="s">
        <v>190</v>
      </c>
    </row>
    <row r="13" spans="1:9" ht="31.5">
      <c r="A13" s="157">
        <v>11</v>
      </c>
      <c r="B13" s="161" t="s">
        <v>197</v>
      </c>
      <c r="C13" s="162" t="s">
        <v>179</v>
      </c>
      <c r="D13" s="163" t="s">
        <v>198</v>
      </c>
      <c r="E13" s="160" t="s">
        <v>170</v>
      </c>
      <c r="F13" s="160">
        <v>10</v>
      </c>
      <c r="G13" s="160" t="s">
        <v>176</v>
      </c>
      <c r="H13" s="160" t="s">
        <v>177</v>
      </c>
      <c r="I13" s="160" t="s">
        <v>199</v>
      </c>
    </row>
    <row r="14" spans="1:9" ht="15.75">
      <c r="A14" s="157">
        <v>12</v>
      </c>
      <c r="B14" s="164" t="s">
        <v>200</v>
      </c>
      <c r="C14" s="156" t="s">
        <v>179</v>
      </c>
      <c r="D14" s="163" t="s">
        <v>201</v>
      </c>
      <c r="E14" s="160" t="s">
        <v>170</v>
      </c>
      <c r="F14" s="157">
        <v>10</v>
      </c>
      <c r="G14" s="160" t="s">
        <v>177</v>
      </c>
      <c r="H14" s="160" t="s">
        <v>202</v>
      </c>
      <c r="I14" s="160"/>
    </row>
    <row r="15" spans="1:9" ht="26.25">
      <c r="A15" s="157">
        <v>13</v>
      </c>
      <c r="B15" s="161" t="s">
        <v>203</v>
      </c>
      <c r="C15" s="162" t="s">
        <v>168</v>
      </c>
      <c r="D15" s="163" t="s">
        <v>204</v>
      </c>
      <c r="E15" s="160" t="s">
        <v>170</v>
      </c>
      <c r="F15" s="160">
        <v>10</v>
      </c>
      <c r="G15" s="160" t="s">
        <v>176</v>
      </c>
      <c r="H15" s="160" t="s">
        <v>177</v>
      </c>
      <c r="I15" s="160"/>
    </row>
    <row r="16" spans="1:9" ht="39">
      <c r="A16" s="157">
        <v>14</v>
      </c>
      <c r="B16" s="161" t="s">
        <v>205</v>
      </c>
      <c r="C16" s="162" t="s">
        <v>179</v>
      </c>
      <c r="D16" s="163" t="s">
        <v>206</v>
      </c>
      <c r="E16" s="160" t="s">
        <v>170</v>
      </c>
      <c r="F16" s="160">
        <v>10</v>
      </c>
      <c r="G16" s="160" t="s">
        <v>176</v>
      </c>
      <c r="H16" s="160" t="s">
        <v>177</v>
      </c>
      <c r="I16" s="160" t="s">
        <v>190</v>
      </c>
    </row>
    <row r="17" spans="1:9" ht="39">
      <c r="A17" s="157">
        <v>15</v>
      </c>
      <c r="B17" s="161" t="s">
        <v>207</v>
      </c>
      <c r="C17" s="162" t="s">
        <v>168</v>
      </c>
      <c r="D17" s="163" t="s">
        <v>208</v>
      </c>
      <c r="E17" s="160" t="s">
        <v>170</v>
      </c>
      <c r="F17" s="160">
        <v>10</v>
      </c>
      <c r="G17" s="160" t="s">
        <v>176</v>
      </c>
      <c r="H17" s="160" t="s">
        <v>177</v>
      </c>
      <c r="I17" s="160" t="s">
        <v>209</v>
      </c>
    </row>
    <row r="18" spans="1:9" ht="26.25">
      <c r="A18" s="157">
        <v>16</v>
      </c>
      <c r="B18" s="161" t="s">
        <v>210</v>
      </c>
      <c r="C18" s="162" t="s">
        <v>179</v>
      </c>
      <c r="D18" s="163" t="s">
        <v>211</v>
      </c>
      <c r="E18" s="160" t="s">
        <v>170</v>
      </c>
      <c r="F18" s="160">
        <v>20</v>
      </c>
      <c r="G18" s="160" t="s">
        <v>176</v>
      </c>
      <c r="H18" s="160" t="s">
        <v>177</v>
      </c>
      <c r="I18" s="160" t="s">
        <v>190</v>
      </c>
    </row>
    <row r="19" spans="1:9" ht="15.75">
      <c r="A19" s="165"/>
      <c r="B19" s="166" t="s">
        <v>212</v>
      </c>
      <c r="C19" s="167"/>
      <c r="D19" s="166"/>
      <c r="E19" s="166"/>
      <c r="F19" s="166"/>
      <c r="G19" s="165"/>
      <c r="H19" s="165"/>
      <c r="I19" s="165"/>
    </row>
    <row r="20" spans="1:9">
      <c r="B20" s="168"/>
      <c r="C20" s="169"/>
      <c r="D20" s="168"/>
      <c r="E20" s="168"/>
      <c r="F20" s="168"/>
    </row>
    <row r="21" spans="1:9">
      <c r="B21" s="168"/>
      <c r="C21" s="169"/>
      <c r="D21" s="168"/>
      <c r="E21" s="168"/>
      <c r="F21" s="168"/>
    </row>
    <row r="22" spans="1:9">
      <c r="B22" s="168"/>
      <c r="C22" s="169"/>
      <c r="D22" s="168"/>
      <c r="E22" s="168"/>
      <c r="F22" s="168"/>
    </row>
    <row r="23" spans="1:9">
      <c r="B23" s="168"/>
      <c r="C23" s="169"/>
      <c r="D23" s="168"/>
      <c r="E23" s="168"/>
      <c r="F23" s="168"/>
    </row>
    <row r="24" spans="1:9">
      <c r="B24" s="168"/>
      <c r="C24" s="169"/>
      <c r="D24" s="168"/>
      <c r="E24" s="168"/>
      <c r="F24" s="168"/>
    </row>
    <row r="25" spans="1:9">
      <c r="B25" s="168"/>
      <c r="C25" s="169"/>
      <c r="D25" s="168"/>
      <c r="E25" s="168"/>
      <c r="F25" s="168"/>
    </row>
    <row r="26" spans="1:9">
      <c r="B26" s="168"/>
      <c r="C26" s="169"/>
      <c r="D26" s="168"/>
      <c r="E26" s="168"/>
      <c r="F26" s="168"/>
    </row>
    <row r="27" spans="1:9">
      <c r="B27" s="168"/>
      <c r="C27" s="169"/>
      <c r="D27" s="168"/>
      <c r="E27" s="168"/>
      <c r="F27" s="168"/>
    </row>
    <row r="28" spans="1:9">
      <c r="B28" s="168"/>
      <c r="C28" s="169"/>
      <c r="D28" s="168"/>
      <c r="E28" s="168"/>
      <c r="F28" s="168"/>
    </row>
    <row r="29" spans="1:9">
      <c r="B29" s="168"/>
      <c r="C29" s="169"/>
      <c r="D29" s="168"/>
      <c r="E29" s="168"/>
      <c r="F29" s="168"/>
    </row>
    <row r="30" spans="1:9">
      <c r="B30" s="168"/>
      <c r="C30" s="169"/>
      <c r="D30" s="168"/>
      <c r="E30" s="168"/>
      <c r="F30" s="168"/>
    </row>
    <row r="31" spans="1:9">
      <c r="B31" s="168"/>
      <c r="C31" s="169"/>
      <c r="D31" s="168"/>
      <c r="E31" s="168"/>
      <c r="F31" s="168"/>
    </row>
    <row r="32" spans="1:9">
      <c r="B32" s="168"/>
      <c r="C32" s="169"/>
      <c r="D32" s="168"/>
      <c r="E32" s="168"/>
      <c r="F32" s="168"/>
    </row>
    <row r="33" spans="2:6">
      <c r="B33" s="168"/>
      <c r="C33" s="169"/>
      <c r="D33" s="168"/>
      <c r="E33" s="168"/>
      <c r="F33" s="168"/>
    </row>
    <row r="34" spans="2:6">
      <c r="B34" s="168"/>
      <c r="C34" s="169"/>
      <c r="D34" s="168"/>
      <c r="E34" s="168"/>
      <c r="F34" s="168"/>
    </row>
  </sheetData>
  <mergeCells count="1">
    <mergeCell ref="A1:I1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zoomScale="80" zoomScaleNormal="80" workbookViewId="0">
      <pane xSplit="2" ySplit="4" topLeftCell="C5" activePane="bottomRight" state="frozen"/>
      <selection activeCell="O8" sqref="A8:O10"/>
      <selection pane="topRight" activeCell="O8" sqref="A8:O10"/>
      <selection pane="bottomLeft" activeCell="O8" sqref="A8:O10"/>
      <selection pane="bottomRight" activeCell="G24" sqref="G24"/>
    </sheetView>
  </sheetViews>
  <sheetFormatPr defaultColWidth="40.1328125" defaultRowHeight="13.5"/>
  <cols>
    <col min="1" max="1" width="16.73046875" style="268" customWidth="1"/>
    <col min="2" max="2" width="8.86328125" style="268" bestFit="1" customWidth="1"/>
    <col min="3" max="3" width="11.265625" style="268" bestFit="1" customWidth="1"/>
    <col min="4" max="4" width="9.9296875" style="268" bestFit="1" customWidth="1"/>
    <col min="5" max="6" width="11.265625" style="268" bestFit="1" customWidth="1"/>
    <col min="7" max="7" width="11.06640625" style="268" bestFit="1" customWidth="1"/>
    <col min="8" max="8" width="11.59765625" style="268" bestFit="1" customWidth="1"/>
    <col min="9" max="9" width="8.6640625" style="268" customWidth="1"/>
    <col min="10" max="10" width="9.796875" style="268" customWidth="1"/>
    <col min="11" max="11" width="11" style="268" customWidth="1"/>
    <col min="12" max="13" width="11.53125" style="268" customWidth="1"/>
    <col min="14" max="14" width="34.3984375" style="268" customWidth="1"/>
    <col min="15" max="16" width="21.59765625" style="375" bestFit="1" customWidth="1"/>
    <col min="17" max="16384" width="40.1328125" style="268"/>
  </cols>
  <sheetData>
    <row r="1" spans="1:16" ht="22.9">
      <c r="A1" s="437" t="s">
        <v>972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363"/>
      <c r="P1" s="363"/>
    </row>
    <row r="2" spans="1:16" ht="14.65">
      <c r="A2" s="220" t="s">
        <v>1005</v>
      </c>
      <c r="B2" s="221"/>
      <c r="C2" s="221"/>
      <c r="D2" s="221"/>
      <c r="E2" s="373"/>
      <c r="F2" s="373"/>
      <c r="G2" s="373"/>
      <c r="H2" s="225"/>
      <c r="I2" s="225"/>
      <c r="J2" s="225"/>
      <c r="K2" s="225"/>
      <c r="L2" s="225"/>
      <c r="M2" s="225"/>
      <c r="N2" s="222" t="s">
        <v>973</v>
      </c>
      <c r="O2" s="363"/>
      <c r="P2" s="363"/>
    </row>
    <row r="3" spans="1:16" ht="14.65">
      <c r="A3" s="480" t="s">
        <v>1006</v>
      </c>
      <c r="B3" s="480" t="s">
        <v>974</v>
      </c>
      <c r="C3" s="481" t="s">
        <v>975</v>
      </c>
      <c r="D3" s="481" t="s">
        <v>976</v>
      </c>
      <c r="E3" s="475" t="s">
        <v>1007</v>
      </c>
      <c r="F3" s="475"/>
      <c r="G3" s="475"/>
      <c r="H3" s="475"/>
      <c r="I3" s="475" t="s">
        <v>1008</v>
      </c>
      <c r="J3" s="475"/>
      <c r="K3" s="475"/>
      <c r="L3" s="475"/>
      <c r="M3" s="477" t="s">
        <v>1015</v>
      </c>
      <c r="N3" s="384" t="s">
        <v>122</v>
      </c>
      <c r="O3" s="476" t="s">
        <v>1009</v>
      </c>
      <c r="P3" s="476"/>
    </row>
    <row r="4" spans="1:16" ht="14.65">
      <c r="A4" s="480"/>
      <c r="B4" s="480"/>
      <c r="C4" s="481"/>
      <c r="D4" s="481"/>
      <c r="E4" s="388" t="s">
        <v>977</v>
      </c>
      <c r="F4" s="388" t="s">
        <v>978</v>
      </c>
      <c r="G4" s="388" t="s">
        <v>1010</v>
      </c>
      <c r="H4" s="388" t="s">
        <v>980</v>
      </c>
      <c r="I4" s="388" t="s">
        <v>977</v>
      </c>
      <c r="J4" s="388" t="s">
        <v>978</v>
      </c>
      <c r="K4" s="388" t="s">
        <v>979</v>
      </c>
      <c r="L4" s="388" t="s">
        <v>1011</v>
      </c>
      <c r="M4" s="477"/>
      <c r="N4" s="385" t="s">
        <v>981</v>
      </c>
      <c r="O4" s="386" t="s">
        <v>1012</v>
      </c>
      <c r="P4" s="386" t="s">
        <v>1013</v>
      </c>
    </row>
    <row r="5" spans="1:16" s="375" customFormat="1" ht="13.9">
      <c r="A5" s="408" t="s">
        <v>982</v>
      </c>
      <c r="B5" s="369">
        <v>60</v>
      </c>
      <c r="C5" s="383">
        <f>SUM(E5:L5)</f>
        <v>319.70000000000005</v>
      </c>
      <c r="D5" s="383">
        <f>G5+H5+K5+L5</f>
        <v>226.3</v>
      </c>
      <c r="E5" s="383">
        <v>56.4</v>
      </c>
      <c r="F5" s="383">
        <v>37</v>
      </c>
      <c r="G5" s="383">
        <v>0</v>
      </c>
      <c r="H5" s="383">
        <v>0</v>
      </c>
      <c r="I5" s="383">
        <v>0</v>
      </c>
      <c r="J5" s="383">
        <v>0</v>
      </c>
      <c r="K5" s="383">
        <v>205.3</v>
      </c>
      <c r="L5" s="383">
        <v>21</v>
      </c>
      <c r="M5" s="383">
        <f>SUM(I5:L5)</f>
        <v>226.3</v>
      </c>
      <c r="N5" s="409" t="s">
        <v>1053</v>
      </c>
      <c r="O5" s="370"/>
      <c r="P5" s="374"/>
    </row>
    <row r="6" spans="1:16" s="375" customFormat="1" ht="13.9">
      <c r="A6" s="408" t="s">
        <v>1014</v>
      </c>
      <c r="B6" s="369">
        <v>60</v>
      </c>
      <c r="C6" s="383">
        <f>SUM(E6:L6)</f>
        <v>1860.7223910000002</v>
      </c>
      <c r="D6" s="383">
        <f>G6+H6+K6+L6</f>
        <v>348.14021500000001</v>
      </c>
      <c r="E6" s="383">
        <v>755.92330700000002</v>
      </c>
      <c r="F6" s="383">
        <v>750.8921630000001</v>
      </c>
      <c r="G6" s="383">
        <v>0</v>
      </c>
      <c r="H6" s="383">
        <v>0</v>
      </c>
      <c r="I6" s="383">
        <v>0</v>
      </c>
      <c r="J6" s="383">
        <v>5.7667060000000001</v>
      </c>
      <c r="K6" s="383">
        <v>348.14021500000001</v>
      </c>
      <c r="L6" s="383">
        <v>0</v>
      </c>
      <c r="M6" s="383">
        <f>SUM(I6:L6)</f>
        <v>353.90692100000001</v>
      </c>
      <c r="N6" s="371"/>
      <c r="O6" s="370"/>
      <c r="P6" s="374"/>
    </row>
    <row r="7" spans="1:16" s="375" customFormat="1" ht="55.5">
      <c r="A7" s="408" t="s">
        <v>983</v>
      </c>
      <c r="B7" s="369">
        <v>60</v>
      </c>
      <c r="C7" s="383">
        <f>SUM(E7:L7)</f>
        <v>370.82249599999994</v>
      </c>
      <c r="D7" s="383">
        <f>G7+H7+K7+L7</f>
        <v>322.276115</v>
      </c>
      <c r="E7" s="383">
        <v>26.10181</v>
      </c>
      <c r="F7" s="383">
        <v>17.078892</v>
      </c>
      <c r="G7" s="383">
        <v>94.032427999999996</v>
      </c>
      <c r="H7" s="383">
        <v>0</v>
      </c>
      <c r="I7" s="383">
        <v>0</v>
      </c>
      <c r="J7" s="383">
        <v>5.3656790000000036</v>
      </c>
      <c r="K7" s="383">
        <v>46.613298</v>
      </c>
      <c r="L7" s="383">
        <v>181.63038899999998</v>
      </c>
      <c r="M7" s="383">
        <f>SUM(I7:L7)</f>
        <v>233.60936599999997</v>
      </c>
      <c r="N7" s="410" t="s">
        <v>1082</v>
      </c>
      <c r="O7" s="370"/>
      <c r="P7" s="374"/>
    </row>
    <row r="8" spans="1:16" s="375" customFormat="1" ht="27.75">
      <c r="A8" s="408" t="s">
        <v>984</v>
      </c>
      <c r="B8" s="369">
        <v>45</v>
      </c>
      <c r="C8" s="383">
        <f>SUM(E8:L8)</f>
        <v>1140.0600000000002</v>
      </c>
      <c r="D8" s="383">
        <f>G8+H8+K8+L8</f>
        <v>1157.2500000000002</v>
      </c>
      <c r="E8" s="383">
        <v>-28.200000000000003</v>
      </c>
      <c r="F8" s="383">
        <v>11.01</v>
      </c>
      <c r="G8" s="383">
        <v>125.71000000000001</v>
      </c>
      <c r="H8" s="383">
        <v>999.6400000000001</v>
      </c>
      <c r="I8" s="383">
        <v>0</v>
      </c>
      <c r="J8" s="383">
        <v>0</v>
      </c>
      <c r="K8" s="383">
        <v>0</v>
      </c>
      <c r="L8" s="383">
        <v>31.9</v>
      </c>
      <c r="M8" s="383">
        <f>SUM(I8:L8)</f>
        <v>31.9</v>
      </c>
      <c r="N8" s="409" t="s">
        <v>1054</v>
      </c>
      <c r="O8" s="408"/>
      <c r="P8" s="374"/>
    </row>
    <row r="9" spans="1:16" s="375" customFormat="1" ht="13.9">
      <c r="A9" s="479" t="s">
        <v>985</v>
      </c>
      <c r="B9" s="479"/>
      <c r="C9" s="383">
        <f>SUM(C5:C8)</f>
        <v>3691.3048870000002</v>
      </c>
      <c r="D9" s="383">
        <f t="shared" ref="D9:M9" si="0">SUM(D5:D8)</f>
        <v>2053.9663300000002</v>
      </c>
      <c r="E9" s="383">
        <f t="shared" si="0"/>
        <v>810.22511699999995</v>
      </c>
      <c r="F9" s="383">
        <f t="shared" si="0"/>
        <v>815.98105500000008</v>
      </c>
      <c r="G9" s="383">
        <f t="shared" si="0"/>
        <v>219.74242800000002</v>
      </c>
      <c r="H9" s="383">
        <f t="shared" si="0"/>
        <v>999.6400000000001</v>
      </c>
      <c r="I9" s="383">
        <f t="shared" si="0"/>
        <v>0</v>
      </c>
      <c r="J9" s="383">
        <f t="shared" si="0"/>
        <v>11.132385000000003</v>
      </c>
      <c r="K9" s="383">
        <f t="shared" si="0"/>
        <v>600.05351300000007</v>
      </c>
      <c r="L9" s="383">
        <f t="shared" si="0"/>
        <v>234.53038899999999</v>
      </c>
      <c r="M9" s="383">
        <f t="shared" si="0"/>
        <v>845.71628699999985</v>
      </c>
      <c r="N9" s="371"/>
      <c r="O9" s="408"/>
      <c r="P9" s="374"/>
    </row>
    <row r="10" spans="1:16" s="375" customFormat="1" ht="13.9">
      <c r="A10" s="408" t="s">
        <v>986</v>
      </c>
      <c r="B10" s="369">
        <v>60</v>
      </c>
      <c r="C10" s="383">
        <f>SUM(E10:L10)</f>
        <v>2619.8000000000002</v>
      </c>
      <c r="D10" s="383">
        <f>G10+H10+K10+L10</f>
        <v>1583.6</v>
      </c>
      <c r="E10" s="383">
        <v>474.8</v>
      </c>
      <c r="F10" s="383">
        <v>561.4</v>
      </c>
      <c r="G10" s="383">
        <v>0</v>
      </c>
      <c r="H10" s="383">
        <v>0</v>
      </c>
      <c r="I10" s="383">
        <v>0</v>
      </c>
      <c r="J10" s="383">
        <v>0</v>
      </c>
      <c r="K10" s="383">
        <v>1260.7</v>
      </c>
      <c r="L10" s="383">
        <v>322.89999999999998</v>
      </c>
      <c r="M10" s="383">
        <f>SUM(I10:L10)</f>
        <v>1583.6</v>
      </c>
      <c r="N10" s="409" t="s">
        <v>1055</v>
      </c>
      <c r="O10" s="408"/>
      <c r="P10" s="374"/>
    </row>
    <row r="11" spans="1:16" s="375" customFormat="1" ht="13.9">
      <c r="A11" s="408" t="s">
        <v>254</v>
      </c>
      <c r="B11" s="369">
        <v>60</v>
      </c>
      <c r="C11" s="383">
        <f>SUM(E11:L11)</f>
        <v>2669.237091</v>
      </c>
      <c r="D11" s="383">
        <f>G11+H11+K11+L11</f>
        <v>146.43626899999998</v>
      </c>
      <c r="E11" s="383">
        <v>1249.801749</v>
      </c>
      <c r="F11" s="383">
        <v>1186.302627</v>
      </c>
      <c r="G11" s="383">
        <v>0</v>
      </c>
      <c r="H11" s="383">
        <v>0</v>
      </c>
      <c r="I11" s="383">
        <v>0</v>
      </c>
      <c r="J11" s="383">
        <v>86.696446000000009</v>
      </c>
      <c r="K11" s="383">
        <v>146.43626899999998</v>
      </c>
      <c r="L11" s="383">
        <v>0</v>
      </c>
      <c r="M11" s="383">
        <f>SUM(I11:L11)</f>
        <v>233.13271499999999</v>
      </c>
      <c r="N11" s="371"/>
      <c r="O11" s="408"/>
      <c r="P11" s="374"/>
    </row>
    <row r="12" spans="1:16" s="375" customFormat="1" ht="55.5">
      <c r="A12" s="408" t="s">
        <v>255</v>
      </c>
      <c r="B12" s="369">
        <v>60</v>
      </c>
      <c r="C12" s="383">
        <f>SUM(E12:L12)</f>
        <v>738.31766500000003</v>
      </c>
      <c r="D12" s="383">
        <f>G12+H12+K12+L12</f>
        <v>524.54018699999995</v>
      </c>
      <c r="E12" s="383">
        <v>87.346607999999989</v>
      </c>
      <c r="F12" s="383">
        <v>64.992594999999994</v>
      </c>
      <c r="G12" s="383">
        <v>111.26835600000001</v>
      </c>
      <c r="H12" s="383">
        <v>0</v>
      </c>
      <c r="I12" s="383">
        <v>0</v>
      </c>
      <c r="J12" s="383">
        <v>61.438275000000104</v>
      </c>
      <c r="K12" s="383">
        <v>111.750339</v>
      </c>
      <c r="L12" s="383">
        <v>301.52149199999997</v>
      </c>
      <c r="M12" s="383">
        <f>SUM(I12:L12)</f>
        <v>474.71010600000005</v>
      </c>
      <c r="N12" s="410" t="s">
        <v>1083</v>
      </c>
      <c r="O12" s="408"/>
      <c r="P12" s="374"/>
    </row>
    <row r="13" spans="1:16" s="375" customFormat="1" ht="55.5">
      <c r="A13" s="408" t="s">
        <v>256</v>
      </c>
      <c r="B13" s="369">
        <v>45</v>
      </c>
      <c r="C13" s="383">
        <f>SUM(E13:L13)</f>
        <v>2467.48</v>
      </c>
      <c r="D13" s="383">
        <f>G13+H13+K13+L13</f>
        <v>1740.3600000000001</v>
      </c>
      <c r="E13" s="383">
        <v>313.18</v>
      </c>
      <c r="F13" s="383">
        <v>413.94</v>
      </c>
      <c r="G13" s="383">
        <v>169.97</v>
      </c>
      <c r="H13" s="383">
        <v>1396.19</v>
      </c>
      <c r="I13" s="383">
        <v>0</v>
      </c>
      <c r="J13" s="383">
        <v>0</v>
      </c>
      <c r="K13" s="383">
        <v>75</v>
      </c>
      <c r="L13" s="383">
        <v>99.2</v>
      </c>
      <c r="M13" s="383">
        <f>SUM(I13:L13)</f>
        <v>174.2</v>
      </c>
      <c r="N13" s="409" t="s">
        <v>1081</v>
      </c>
      <c r="O13" s="408"/>
      <c r="P13" s="374"/>
    </row>
    <row r="14" spans="1:16" ht="13.9">
      <c r="A14" s="478" t="s">
        <v>987</v>
      </c>
      <c r="B14" s="478"/>
      <c r="C14" s="387">
        <f>SUM(C10:C13)</f>
        <v>8494.8347560000002</v>
      </c>
      <c r="D14" s="387">
        <f t="shared" ref="D14:M14" si="1">SUM(D10:D13)</f>
        <v>3994.9364559999999</v>
      </c>
      <c r="E14" s="387">
        <f t="shared" si="1"/>
        <v>2125.1283570000001</v>
      </c>
      <c r="F14" s="387">
        <f t="shared" si="1"/>
        <v>2226.6352219999999</v>
      </c>
      <c r="G14" s="387">
        <f t="shared" si="1"/>
        <v>281.23835600000001</v>
      </c>
      <c r="H14" s="387">
        <f t="shared" si="1"/>
        <v>1396.19</v>
      </c>
      <c r="I14" s="387">
        <f t="shared" si="1"/>
        <v>0</v>
      </c>
      <c r="J14" s="387">
        <f t="shared" si="1"/>
        <v>148.13472100000013</v>
      </c>
      <c r="K14" s="387">
        <f t="shared" si="1"/>
        <v>1593.886608</v>
      </c>
      <c r="L14" s="387">
        <f t="shared" si="1"/>
        <v>723.62149199999999</v>
      </c>
      <c r="M14" s="387">
        <f t="shared" si="1"/>
        <v>2465.6428209999999</v>
      </c>
      <c r="N14" s="372"/>
      <c r="O14" s="370"/>
      <c r="P14" s="370"/>
    </row>
    <row r="15" spans="1:16" ht="13.9">
      <c r="A15" s="225"/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363"/>
      <c r="P15" s="363"/>
    </row>
    <row r="16" spans="1:16" ht="13.9">
      <c r="A16" s="225" t="s">
        <v>988</v>
      </c>
      <c r="B16" s="225"/>
      <c r="C16" s="225"/>
      <c r="D16" s="225"/>
      <c r="E16" s="376"/>
      <c r="F16" s="225"/>
      <c r="G16" s="225"/>
      <c r="H16" s="225"/>
      <c r="I16" s="225"/>
      <c r="J16" s="225"/>
      <c r="K16" s="225"/>
      <c r="L16" s="225"/>
      <c r="M16" s="225"/>
      <c r="N16" s="225"/>
      <c r="O16" s="363"/>
      <c r="P16" s="363"/>
    </row>
    <row r="20" spans="3:3">
      <c r="C20" s="268">
        <v>10000</v>
      </c>
    </row>
  </sheetData>
  <mergeCells count="11">
    <mergeCell ref="A1:N1"/>
    <mergeCell ref="I3:L3"/>
    <mergeCell ref="O3:P3"/>
    <mergeCell ref="M3:M4"/>
    <mergeCell ref="A14:B14"/>
    <mergeCell ref="A9:B9"/>
    <mergeCell ref="A3:A4"/>
    <mergeCell ref="B3:B4"/>
    <mergeCell ref="C3:C4"/>
    <mergeCell ref="D3:D4"/>
    <mergeCell ref="E3:H3"/>
  </mergeCells>
  <phoneticPr fontId="6" type="noConversion"/>
  <conditionalFormatting sqref="B2:D2">
    <cfRule type="cellIs" dxfId="8" priority="9" stopIfTrue="1" operator="equal">
      <formula>"是"</formula>
    </cfRule>
  </conditionalFormatting>
  <conditionalFormatting sqref="A9">
    <cfRule type="cellIs" dxfId="7" priority="8" stopIfTrue="1" operator="equal">
      <formula>"是"</formula>
    </cfRule>
  </conditionalFormatting>
  <conditionalFormatting sqref="B5:B8">
    <cfRule type="cellIs" dxfId="6" priority="7" stopIfTrue="1" operator="equal">
      <formula>"是"</formula>
    </cfRule>
  </conditionalFormatting>
  <conditionalFormatting sqref="A6">
    <cfRule type="cellIs" dxfId="5" priority="6" stopIfTrue="1" operator="equal">
      <formula>"是"</formula>
    </cfRule>
  </conditionalFormatting>
  <conditionalFormatting sqref="A7">
    <cfRule type="cellIs" dxfId="4" priority="5" stopIfTrue="1" operator="equal">
      <formula>"是"</formula>
    </cfRule>
  </conditionalFormatting>
  <conditionalFormatting sqref="A5">
    <cfRule type="cellIs" dxfId="3" priority="4" stopIfTrue="1" operator="equal">
      <formula>"是"</formula>
    </cfRule>
  </conditionalFormatting>
  <conditionalFormatting sqref="A8">
    <cfRule type="cellIs" dxfId="2" priority="3" stopIfTrue="1" operator="equal">
      <formula>"是"</formula>
    </cfRule>
  </conditionalFormatting>
  <conditionalFormatting sqref="B10:B13">
    <cfRule type="cellIs" dxfId="1" priority="2" stopIfTrue="1" operator="equal">
      <formula>"是"</formula>
    </cfRule>
  </conditionalFormatting>
  <conditionalFormatting sqref="A10:A13">
    <cfRule type="cellIs" dxfId="0" priority="1" stopIfTrue="1" operator="equal">
      <formula>"是"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59"/>
  <sheetViews>
    <sheetView workbookViewId="0">
      <pane ySplit="3" topLeftCell="A13" activePane="bottomLeft" state="frozen"/>
      <selection activeCell="O8" sqref="A8:O10"/>
      <selection pane="bottomLeft" activeCell="D8" sqref="D8"/>
    </sheetView>
  </sheetViews>
  <sheetFormatPr defaultColWidth="9" defaultRowHeight="15"/>
  <cols>
    <col min="1" max="1" width="5.1328125" style="76" bestFit="1" customWidth="1"/>
    <col min="2" max="2" width="20.3984375" style="76" bestFit="1" customWidth="1"/>
    <col min="3" max="3" width="7" style="76" bestFit="1" customWidth="1"/>
    <col min="4" max="4" width="53.1328125" style="31" bestFit="1" customWidth="1"/>
    <col min="5" max="5" width="15" style="389" bestFit="1" customWidth="1"/>
    <col min="6" max="6" width="15" style="390" bestFit="1" customWidth="1"/>
    <col min="7" max="7" width="10.59765625" style="391" bestFit="1" customWidth="1"/>
    <col min="8" max="8" width="11" style="389" bestFit="1" customWidth="1"/>
    <col min="9" max="9" width="8.59765625" style="389" bestFit="1" customWidth="1"/>
    <col min="10" max="10" width="16.265625" style="389" bestFit="1" customWidth="1"/>
    <col min="11" max="11" width="16.1328125" style="392" bestFit="1" customWidth="1"/>
    <col min="12" max="12" width="24" style="393" customWidth="1"/>
    <col min="13" max="13" width="13" style="31" bestFit="1" customWidth="1"/>
    <col min="14" max="14" width="10.86328125" style="76" bestFit="1" customWidth="1"/>
    <col min="15" max="15" width="15.73046875" style="76" customWidth="1"/>
    <col min="16" max="17" width="12.73046875" style="76" bestFit="1" customWidth="1"/>
    <col min="18" max="16384" width="9" style="76"/>
  </cols>
  <sheetData>
    <row r="1" spans="1:17" ht="22.9">
      <c r="A1" s="437" t="s">
        <v>1068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</row>
    <row r="2" spans="1:17">
      <c r="N2" s="394" t="s">
        <v>49</v>
      </c>
    </row>
    <row r="3" spans="1:17" ht="31.5">
      <c r="A3" s="223" t="s">
        <v>158</v>
      </c>
      <c r="B3" s="223" t="s">
        <v>257</v>
      </c>
      <c r="C3" s="223" t="s">
        <v>1064</v>
      </c>
      <c r="D3" s="223" t="s">
        <v>470</v>
      </c>
      <c r="E3" s="395" t="s">
        <v>258</v>
      </c>
      <c r="F3" s="396" t="s">
        <v>259</v>
      </c>
      <c r="G3" s="397" t="s">
        <v>116</v>
      </c>
      <c r="H3" s="395" t="s">
        <v>260</v>
      </c>
      <c r="I3" s="395" t="s">
        <v>261</v>
      </c>
      <c r="J3" s="395" t="s">
        <v>1065</v>
      </c>
      <c r="K3" s="398" t="s">
        <v>262</v>
      </c>
      <c r="L3" s="399" t="s">
        <v>263</v>
      </c>
      <c r="M3" s="223" t="s">
        <v>264</v>
      </c>
      <c r="N3" s="223" t="s">
        <v>261</v>
      </c>
      <c r="P3" s="76">
        <v>10000</v>
      </c>
    </row>
    <row r="4" spans="1:17" s="51" customFormat="1">
      <c r="A4" s="413">
        <v>1</v>
      </c>
      <c r="B4" s="414" t="s">
        <v>883</v>
      </c>
      <c r="C4" s="414" t="s">
        <v>149</v>
      </c>
      <c r="D4" s="414" t="s">
        <v>884</v>
      </c>
      <c r="E4" s="83">
        <v>5.5</v>
      </c>
      <c r="F4" s="83">
        <v>0</v>
      </c>
      <c r="G4" s="415">
        <v>0</v>
      </c>
      <c r="H4" s="416"/>
      <c r="I4" s="416"/>
      <c r="J4" s="83">
        <v>43</v>
      </c>
      <c r="K4" s="83">
        <v>9.3340800000000019</v>
      </c>
      <c r="L4" s="415">
        <v>0.92769599999999952</v>
      </c>
      <c r="M4" s="414"/>
      <c r="N4" s="417"/>
      <c r="O4" s="418"/>
      <c r="P4" s="418"/>
      <c r="Q4" s="418"/>
    </row>
    <row r="5" spans="1:17" s="51" customFormat="1">
      <c r="A5" s="413">
        <v>2</v>
      </c>
      <c r="B5" s="414" t="s">
        <v>883</v>
      </c>
      <c r="C5" s="414" t="s">
        <v>149</v>
      </c>
      <c r="D5" s="414" t="s">
        <v>400</v>
      </c>
      <c r="E5" s="83">
        <v>17</v>
      </c>
      <c r="F5" s="83">
        <v>3.9945599999999999</v>
      </c>
      <c r="G5" s="415">
        <v>1.0164</v>
      </c>
      <c r="H5" s="416"/>
      <c r="I5" s="416"/>
      <c r="J5" s="83">
        <v>180</v>
      </c>
      <c r="K5" s="83">
        <v>141.60480000000001</v>
      </c>
      <c r="L5" s="415">
        <v>0.50224941176470617</v>
      </c>
      <c r="M5" s="414"/>
      <c r="N5" s="417"/>
      <c r="O5" s="418"/>
      <c r="Q5" s="418"/>
    </row>
    <row r="6" spans="1:17" s="51" customFormat="1">
      <c r="A6" s="413">
        <v>3</v>
      </c>
      <c r="B6" s="414" t="s">
        <v>883</v>
      </c>
      <c r="C6" s="414" t="s">
        <v>149</v>
      </c>
      <c r="D6" s="414" t="s">
        <v>401</v>
      </c>
      <c r="E6" s="83">
        <v>8.4</v>
      </c>
      <c r="F6" s="83">
        <v>0</v>
      </c>
      <c r="G6" s="415">
        <v>0</v>
      </c>
      <c r="H6" s="416"/>
      <c r="I6" s="416"/>
      <c r="J6" s="83">
        <v>105</v>
      </c>
      <c r="K6" s="83">
        <v>99.385919999999999</v>
      </c>
      <c r="L6" s="415">
        <v>0.2676917647058823</v>
      </c>
      <c r="M6" s="414"/>
      <c r="N6" s="417"/>
      <c r="O6" s="418"/>
      <c r="Q6" s="418"/>
    </row>
    <row r="7" spans="1:17" s="51" customFormat="1">
      <c r="A7" s="413">
        <v>4</v>
      </c>
      <c r="B7" s="414" t="s">
        <v>883</v>
      </c>
      <c r="C7" s="414" t="s">
        <v>149</v>
      </c>
      <c r="D7" s="414" t="s">
        <v>885</v>
      </c>
      <c r="E7" s="83">
        <v>10</v>
      </c>
      <c r="F7" s="83">
        <v>6.7958399999999992</v>
      </c>
      <c r="G7" s="415" t="e">
        <v>#DIV/0!</v>
      </c>
      <c r="H7" s="416"/>
      <c r="I7" s="416"/>
      <c r="J7" s="83">
        <v>77.699999999999989</v>
      </c>
      <c r="K7" s="83">
        <v>48.56112000000001</v>
      </c>
      <c r="L7" s="415">
        <v>0.73515692307692326</v>
      </c>
      <c r="M7" s="414"/>
      <c r="N7" s="417"/>
      <c r="O7" s="418"/>
      <c r="Q7" s="418"/>
    </row>
    <row r="8" spans="1:17" s="51" customFormat="1">
      <c r="A8" s="413">
        <v>5</v>
      </c>
      <c r="B8" s="414" t="s">
        <v>883</v>
      </c>
      <c r="C8" s="414" t="s">
        <v>149</v>
      </c>
      <c r="D8" s="414" t="s">
        <v>886</v>
      </c>
      <c r="E8" s="83">
        <v>4</v>
      </c>
      <c r="F8" s="83">
        <v>2.7638400000000001</v>
      </c>
      <c r="G8" s="415" t="e">
        <v>#DIV/0!</v>
      </c>
      <c r="H8" s="416"/>
      <c r="I8" s="416"/>
      <c r="J8" s="83">
        <v>43.999999999999993</v>
      </c>
      <c r="K8" s="83">
        <v>25.288320000000002</v>
      </c>
      <c r="L8" s="415" t="e">
        <v>#DIV/0!</v>
      </c>
      <c r="M8" s="414"/>
      <c r="N8" s="417"/>
      <c r="O8" s="418"/>
      <c r="Q8" s="418"/>
    </row>
    <row r="9" spans="1:17" s="51" customFormat="1">
      <c r="A9" s="413">
        <v>6</v>
      </c>
      <c r="B9" s="414" t="s">
        <v>883</v>
      </c>
      <c r="C9" s="414" t="s">
        <v>149</v>
      </c>
      <c r="D9" s="414" t="s">
        <v>403</v>
      </c>
      <c r="E9" s="83">
        <v>1</v>
      </c>
      <c r="F9" s="83">
        <v>0</v>
      </c>
      <c r="G9" s="415">
        <v>0</v>
      </c>
      <c r="H9" s="416"/>
      <c r="I9" s="416"/>
      <c r="J9" s="83">
        <v>21.4</v>
      </c>
      <c r="K9" s="83">
        <v>19.12032</v>
      </c>
      <c r="L9" s="415">
        <v>0.11659636363636365</v>
      </c>
      <c r="M9" s="414"/>
      <c r="N9" s="417"/>
      <c r="O9" s="418"/>
      <c r="Q9" s="418"/>
    </row>
    <row r="10" spans="1:17" s="51" customFormat="1">
      <c r="A10" s="413">
        <v>7</v>
      </c>
      <c r="B10" s="414" t="s">
        <v>883</v>
      </c>
      <c r="C10" s="414" t="s">
        <v>149</v>
      </c>
      <c r="D10" s="414" t="s">
        <v>404</v>
      </c>
      <c r="E10" s="83">
        <v>5</v>
      </c>
      <c r="F10" s="83">
        <v>0</v>
      </c>
      <c r="G10" s="415">
        <v>0</v>
      </c>
      <c r="H10" s="416"/>
      <c r="I10" s="416"/>
      <c r="J10" s="83">
        <v>27</v>
      </c>
      <c r="K10" s="83">
        <v>16.783200000000004</v>
      </c>
      <c r="L10" s="415">
        <v>0.43300266666666615</v>
      </c>
      <c r="M10" s="414"/>
      <c r="N10" s="417"/>
      <c r="O10" s="418"/>
      <c r="Q10" s="418"/>
    </row>
    <row r="11" spans="1:17" s="51" customFormat="1">
      <c r="A11" s="413">
        <v>8</v>
      </c>
      <c r="B11" s="414" t="s">
        <v>883</v>
      </c>
      <c r="C11" s="414" t="s">
        <v>149</v>
      </c>
      <c r="D11" s="414" t="s">
        <v>887</v>
      </c>
      <c r="E11" s="83">
        <v>10</v>
      </c>
      <c r="F11" s="83">
        <v>32.912639999999996</v>
      </c>
      <c r="G11" s="415">
        <v>0.24532363636363638</v>
      </c>
      <c r="H11" s="416"/>
      <c r="I11" s="416"/>
      <c r="J11" s="83">
        <v>150</v>
      </c>
      <c r="K11" s="83">
        <v>199.32446499999989</v>
      </c>
      <c r="L11" s="415">
        <v>0.47529969230769226</v>
      </c>
      <c r="M11" s="414"/>
      <c r="N11" s="417"/>
      <c r="O11" s="418"/>
      <c r="Q11" s="418"/>
    </row>
    <row r="12" spans="1:17" s="51" customFormat="1">
      <c r="A12" s="413">
        <v>9</v>
      </c>
      <c r="B12" s="414" t="s">
        <v>883</v>
      </c>
      <c r="C12" s="414" t="s">
        <v>149</v>
      </c>
      <c r="D12" s="414" t="s">
        <v>888</v>
      </c>
      <c r="E12" s="83">
        <v>0.9</v>
      </c>
      <c r="F12" s="83">
        <v>1.49472</v>
      </c>
      <c r="G12" s="415">
        <v>0</v>
      </c>
      <c r="H12" s="416"/>
      <c r="I12" s="416"/>
      <c r="J12" s="83">
        <v>9.6</v>
      </c>
      <c r="K12" s="83">
        <v>8.4268799999999988</v>
      </c>
      <c r="L12" s="415">
        <v>0.34732799999999986</v>
      </c>
      <c r="M12" s="414"/>
      <c r="N12" s="417"/>
      <c r="O12" s="418"/>
      <c r="Q12" s="418"/>
    </row>
    <row r="13" spans="1:17" s="51" customFormat="1">
      <c r="A13" s="413">
        <v>10</v>
      </c>
      <c r="B13" s="414" t="s">
        <v>883</v>
      </c>
      <c r="C13" s="414" t="s">
        <v>149</v>
      </c>
      <c r="D13" s="414" t="s">
        <v>889</v>
      </c>
      <c r="E13" s="83">
        <v>0</v>
      </c>
      <c r="F13" s="83">
        <v>0</v>
      </c>
      <c r="G13" s="415">
        <v>0.42751999999999996</v>
      </c>
      <c r="H13" s="416"/>
      <c r="I13" s="416"/>
      <c r="J13" s="83">
        <v>15</v>
      </c>
      <c r="K13" s="83">
        <v>10.730879999999999</v>
      </c>
      <c r="L13" s="415">
        <v>0.56143200000000004</v>
      </c>
      <c r="M13" s="414"/>
      <c r="N13" s="417"/>
      <c r="O13" s="418"/>
      <c r="Q13" s="418"/>
    </row>
    <row r="14" spans="1:17" s="51" customFormat="1">
      <c r="A14" s="413">
        <v>11</v>
      </c>
      <c r="B14" s="414" t="s">
        <v>883</v>
      </c>
      <c r="C14" s="414" t="s">
        <v>149</v>
      </c>
      <c r="D14" s="414" t="s">
        <v>890</v>
      </c>
      <c r="E14" s="83">
        <v>4</v>
      </c>
      <c r="F14" s="83">
        <v>6.7603200000000001</v>
      </c>
      <c r="G14" s="415">
        <v>0</v>
      </c>
      <c r="H14" s="416"/>
      <c r="I14" s="416"/>
      <c r="J14" s="83">
        <v>50</v>
      </c>
      <c r="K14" s="83">
        <v>70.33344000000001</v>
      </c>
      <c r="L14" s="415">
        <v>0.14732307692307695</v>
      </c>
      <c r="M14" s="414"/>
      <c r="N14" s="417"/>
      <c r="O14" s="418"/>
      <c r="Q14" s="418"/>
    </row>
    <row r="15" spans="1:17" s="51" customFormat="1">
      <c r="A15" s="413">
        <v>12</v>
      </c>
      <c r="B15" s="414" t="s">
        <v>883</v>
      </c>
      <c r="C15" s="414" t="s">
        <v>149</v>
      </c>
      <c r="D15" s="414" t="s">
        <v>891</v>
      </c>
      <c r="E15" s="83">
        <v>2</v>
      </c>
      <c r="F15" s="83">
        <v>0</v>
      </c>
      <c r="G15" s="415">
        <v>1.5587076923076919</v>
      </c>
      <c r="H15" s="416"/>
      <c r="I15" s="416"/>
      <c r="J15" s="83">
        <v>16</v>
      </c>
      <c r="K15" s="83">
        <v>16.52544</v>
      </c>
      <c r="L15" s="415">
        <v>0.71002938775510194</v>
      </c>
      <c r="M15" s="414"/>
      <c r="N15" s="417"/>
      <c r="O15" s="418"/>
      <c r="Q15" s="418"/>
    </row>
    <row r="16" spans="1:17" s="51" customFormat="1">
      <c r="A16" s="413">
        <v>13</v>
      </c>
      <c r="B16" s="414" t="s">
        <v>883</v>
      </c>
      <c r="C16" s="414" t="s">
        <v>149</v>
      </c>
      <c r="D16" s="414" t="s">
        <v>410</v>
      </c>
      <c r="E16" s="83">
        <v>2</v>
      </c>
      <c r="F16" s="83">
        <v>0</v>
      </c>
      <c r="G16" s="415">
        <v>0</v>
      </c>
      <c r="H16" s="416"/>
      <c r="I16" s="416"/>
      <c r="J16" s="83">
        <v>51.8</v>
      </c>
      <c r="K16" s="83">
        <v>37.160639999999994</v>
      </c>
      <c r="L16" s="415">
        <v>0.12764000000000006</v>
      </c>
      <c r="M16" s="414"/>
      <c r="N16" s="417"/>
      <c r="O16" s="418"/>
      <c r="Q16" s="418"/>
    </row>
    <row r="17" spans="1:17" s="51" customFormat="1">
      <c r="A17" s="413">
        <v>14</v>
      </c>
      <c r="B17" s="414" t="s">
        <v>883</v>
      </c>
      <c r="C17" s="414" t="s">
        <v>149</v>
      </c>
      <c r="D17" s="414" t="s">
        <v>411</v>
      </c>
      <c r="E17" s="83">
        <v>2</v>
      </c>
      <c r="F17" s="83">
        <v>0</v>
      </c>
      <c r="G17" s="415">
        <v>0</v>
      </c>
      <c r="H17" s="416"/>
      <c r="I17" s="416"/>
      <c r="J17" s="83">
        <v>18</v>
      </c>
      <c r="K17" s="83">
        <v>12.063840000000001</v>
      </c>
      <c r="L17" s="415">
        <v>0.16758000000000015</v>
      </c>
      <c r="M17" s="414"/>
      <c r="N17" s="417"/>
      <c r="O17" s="418"/>
      <c r="Q17" s="418"/>
    </row>
    <row r="18" spans="1:17" s="51" customFormat="1">
      <c r="A18" s="413">
        <v>15</v>
      </c>
      <c r="B18" s="414" t="s">
        <v>883</v>
      </c>
      <c r="C18" s="414" t="s">
        <v>149</v>
      </c>
      <c r="D18" s="414" t="s">
        <v>892</v>
      </c>
      <c r="E18" s="83">
        <v>4</v>
      </c>
      <c r="F18" s="83">
        <v>0</v>
      </c>
      <c r="G18" s="415">
        <v>1.1758628571428571</v>
      </c>
      <c r="H18" s="416"/>
      <c r="I18" s="416"/>
      <c r="J18" s="83">
        <v>60</v>
      </c>
      <c r="K18" s="83">
        <v>51.007679999999993</v>
      </c>
      <c r="L18" s="415">
        <v>0.66491999999999984</v>
      </c>
      <c r="M18" s="414"/>
      <c r="N18" s="417"/>
      <c r="O18" s="418"/>
      <c r="Q18" s="418"/>
    </row>
    <row r="19" spans="1:17" s="51" customFormat="1">
      <c r="A19" s="413">
        <v>16</v>
      </c>
      <c r="B19" s="414" t="s">
        <v>883</v>
      </c>
      <c r="C19" s="414" t="s">
        <v>149</v>
      </c>
      <c r="D19" s="414" t="s">
        <v>413</v>
      </c>
      <c r="E19" s="83">
        <v>3</v>
      </c>
      <c r="F19" s="83">
        <v>8.6083200000000009</v>
      </c>
      <c r="G19" s="415">
        <v>1.584754285714286</v>
      </c>
      <c r="H19" s="416"/>
      <c r="I19" s="416"/>
      <c r="J19" s="83">
        <v>30</v>
      </c>
      <c r="K19" s="83">
        <v>40.872960000000006</v>
      </c>
      <c r="L19" s="415">
        <v>0.17608380952380956</v>
      </c>
      <c r="M19" s="414"/>
      <c r="N19" s="417"/>
      <c r="O19" s="418"/>
      <c r="Q19" s="418"/>
    </row>
    <row r="20" spans="1:17" s="51" customFormat="1">
      <c r="A20" s="413">
        <v>17</v>
      </c>
      <c r="B20" s="414" t="s">
        <v>883</v>
      </c>
      <c r="C20" s="414" t="s">
        <v>149</v>
      </c>
      <c r="D20" s="414" t="s">
        <v>893</v>
      </c>
      <c r="E20" s="83">
        <v>1</v>
      </c>
      <c r="F20" s="83">
        <v>1.9886399999999997</v>
      </c>
      <c r="G20" s="415">
        <v>0</v>
      </c>
      <c r="H20" s="416"/>
      <c r="I20" s="416"/>
      <c r="J20" s="83">
        <v>10</v>
      </c>
      <c r="K20" s="83">
        <v>16.150560000000002</v>
      </c>
      <c r="L20" s="415">
        <v>0.26417866666666673</v>
      </c>
      <c r="M20" s="414"/>
      <c r="N20" s="417"/>
      <c r="O20" s="418"/>
      <c r="Q20" s="418"/>
    </row>
    <row r="21" spans="1:17" s="51" customFormat="1">
      <c r="A21" s="413">
        <v>18</v>
      </c>
      <c r="B21" s="414" t="s">
        <v>883</v>
      </c>
      <c r="C21" s="414" t="s">
        <v>149</v>
      </c>
      <c r="D21" s="414" t="s">
        <v>416</v>
      </c>
      <c r="E21" s="83">
        <v>1</v>
      </c>
      <c r="F21" s="83">
        <v>0</v>
      </c>
      <c r="G21" s="415">
        <v>0</v>
      </c>
      <c r="H21" s="416"/>
      <c r="I21" s="416"/>
      <c r="J21" s="83">
        <v>15</v>
      </c>
      <c r="K21" s="83">
        <v>17.71584</v>
      </c>
      <c r="L21" s="415">
        <v>0.36634666666666682</v>
      </c>
      <c r="M21" s="414"/>
      <c r="N21" s="417"/>
      <c r="O21" s="418"/>
      <c r="Q21" s="418"/>
    </row>
    <row r="22" spans="1:17" s="51" customFormat="1">
      <c r="A22" s="413">
        <v>19</v>
      </c>
      <c r="B22" s="414" t="s">
        <v>883</v>
      </c>
      <c r="C22" s="414" t="s">
        <v>149</v>
      </c>
      <c r="D22" s="414" t="s">
        <v>894</v>
      </c>
      <c r="E22" s="83">
        <v>1</v>
      </c>
      <c r="F22" s="83">
        <v>0</v>
      </c>
      <c r="G22" s="415">
        <v>0</v>
      </c>
      <c r="H22" s="416"/>
      <c r="I22" s="416"/>
      <c r="J22" s="83">
        <v>11</v>
      </c>
      <c r="K22" s="83">
        <v>14.479680000000002</v>
      </c>
      <c r="L22" s="415">
        <v>0.57448899999999992</v>
      </c>
      <c r="M22" s="414"/>
      <c r="N22" s="417"/>
      <c r="O22" s="418"/>
      <c r="Q22" s="418"/>
    </row>
    <row r="23" spans="1:17" s="51" customFormat="1">
      <c r="A23" s="413">
        <v>20</v>
      </c>
      <c r="B23" s="414" t="s">
        <v>883</v>
      </c>
      <c r="C23" s="414" t="s">
        <v>149</v>
      </c>
      <c r="D23" s="414" t="s">
        <v>418</v>
      </c>
      <c r="E23" s="83">
        <v>5</v>
      </c>
      <c r="F23" s="83">
        <v>0.79775999999999991</v>
      </c>
      <c r="G23" s="415">
        <v>0.99026399999999959</v>
      </c>
      <c r="H23" s="416"/>
      <c r="I23" s="416"/>
      <c r="J23" s="83">
        <v>15</v>
      </c>
      <c r="K23" s="83">
        <v>6.235199999999999</v>
      </c>
      <c r="L23" s="415">
        <v>0.47575139999999977</v>
      </c>
      <c r="M23" s="414"/>
      <c r="N23" s="417"/>
      <c r="O23" s="418"/>
      <c r="Q23" s="418"/>
    </row>
    <row r="24" spans="1:17" s="51" customFormat="1">
      <c r="A24" s="413">
        <v>21</v>
      </c>
      <c r="B24" s="414" t="s">
        <v>883</v>
      </c>
      <c r="C24" s="414" t="s">
        <v>149</v>
      </c>
      <c r="D24" s="414" t="s">
        <v>419</v>
      </c>
      <c r="E24" s="83">
        <v>0</v>
      </c>
      <c r="F24" s="83">
        <v>0</v>
      </c>
      <c r="G24" s="415">
        <v>0</v>
      </c>
      <c r="H24" s="416"/>
      <c r="I24" s="416"/>
      <c r="J24" s="83">
        <v>18</v>
      </c>
      <c r="K24" s="83">
        <v>9.4319999999999986</v>
      </c>
      <c r="L24" s="415">
        <v>0.25382400000000016</v>
      </c>
      <c r="M24" s="414"/>
      <c r="N24" s="417"/>
      <c r="O24" s="418"/>
      <c r="Q24" s="418"/>
    </row>
    <row r="25" spans="1:17" s="51" customFormat="1">
      <c r="A25" s="413">
        <v>22</v>
      </c>
      <c r="B25" s="414" t="s">
        <v>883</v>
      </c>
      <c r="C25" s="414" t="s">
        <v>149</v>
      </c>
      <c r="D25" s="414" t="s">
        <v>420</v>
      </c>
      <c r="E25" s="83">
        <v>2.5</v>
      </c>
      <c r="F25" s="83">
        <v>4.7039999999999998E-2</v>
      </c>
      <c r="G25" s="415">
        <v>0.62875826086956521</v>
      </c>
      <c r="H25" s="416"/>
      <c r="I25" s="416"/>
      <c r="J25" s="83">
        <v>15.01</v>
      </c>
      <c r="K25" s="83">
        <v>3.5759999999999992</v>
      </c>
      <c r="L25" s="415">
        <v>0.72499512195121996</v>
      </c>
      <c r="M25" s="414"/>
      <c r="N25" s="417"/>
      <c r="O25" s="418"/>
      <c r="Q25" s="418"/>
    </row>
    <row r="26" spans="1:17" s="51" customFormat="1">
      <c r="A26" s="413">
        <v>23</v>
      </c>
      <c r="B26" s="414" t="s">
        <v>883</v>
      </c>
      <c r="C26" s="414" t="s">
        <v>149</v>
      </c>
      <c r="D26" s="414" t="s">
        <v>895</v>
      </c>
      <c r="E26" s="83">
        <v>2</v>
      </c>
      <c r="F26" s="83">
        <v>0</v>
      </c>
      <c r="G26" s="415" t="e">
        <v>#DIV/0!</v>
      </c>
      <c r="H26" s="416"/>
      <c r="I26" s="416"/>
      <c r="J26" s="83">
        <v>30</v>
      </c>
      <c r="K26" s="83">
        <v>9.8419199999999982</v>
      </c>
      <c r="L26" s="415">
        <v>0.60938399999999993</v>
      </c>
      <c r="M26" s="414"/>
      <c r="N26" s="417"/>
      <c r="O26" s="418"/>
      <c r="Q26" s="418"/>
    </row>
    <row r="27" spans="1:17" s="51" customFormat="1">
      <c r="A27" s="413">
        <v>24</v>
      </c>
      <c r="B27" s="414" t="s">
        <v>883</v>
      </c>
      <c r="C27" s="414" t="s">
        <v>149</v>
      </c>
      <c r="D27" s="414" t="s">
        <v>422</v>
      </c>
      <c r="E27" s="83">
        <v>0</v>
      </c>
      <c r="F27" s="83">
        <v>0</v>
      </c>
      <c r="G27" s="415">
        <v>0.10688000000000002</v>
      </c>
      <c r="H27" s="416"/>
      <c r="I27" s="416"/>
      <c r="J27" s="83">
        <v>20</v>
      </c>
      <c r="K27" s="83">
        <v>4.1327999999999996</v>
      </c>
      <c r="L27" s="415">
        <v>0.38599073684210555</v>
      </c>
      <c r="M27" s="414"/>
      <c r="N27" s="417"/>
      <c r="O27" s="418"/>
      <c r="Q27" s="418"/>
    </row>
    <row r="28" spans="1:17" s="51" customFormat="1">
      <c r="A28" s="413">
        <v>25</v>
      </c>
      <c r="B28" s="414" t="s">
        <v>883</v>
      </c>
      <c r="C28" s="414" t="s">
        <v>149</v>
      </c>
      <c r="D28" s="414" t="s">
        <v>423</v>
      </c>
      <c r="E28" s="83">
        <v>5</v>
      </c>
      <c r="F28" s="83">
        <v>3.6768000000000001</v>
      </c>
      <c r="G28" s="415">
        <v>0.13958399999999999</v>
      </c>
      <c r="H28" s="416"/>
      <c r="I28" s="416"/>
      <c r="J28" s="83">
        <v>60</v>
      </c>
      <c r="K28" s="83">
        <v>37.974720000000012</v>
      </c>
      <c r="L28" s="415">
        <v>0.77325120000000069</v>
      </c>
      <c r="M28" s="414"/>
      <c r="N28" s="417"/>
      <c r="O28" s="418"/>
      <c r="Q28" s="418"/>
    </row>
    <row r="29" spans="1:17" s="51" customFormat="1">
      <c r="A29" s="413">
        <v>26</v>
      </c>
      <c r="B29" s="414" t="s">
        <v>883</v>
      </c>
      <c r="C29" s="414" t="s">
        <v>149</v>
      </c>
      <c r="D29" s="414" t="s">
        <v>896</v>
      </c>
      <c r="E29" s="83">
        <v>5</v>
      </c>
      <c r="F29" s="83">
        <v>0</v>
      </c>
      <c r="G29" s="415">
        <v>0</v>
      </c>
      <c r="H29" s="416"/>
      <c r="I29" s="416"/>
      <c r="J29" s="83">
        <v>70</v>
      </c>
      <c r="K29" s="83">
        <v>15.214080000000001</v>
      </c>
      <c r="L29" s="415">
        <v>0.3572660869565219</v>
      </c>
      <c r="M29" s="414"/>
      <c r="N29" s="417"/>
      <c r="O29" s="418"/>
      <c r="Q29" s="418"/>
    </row>
    <row r="30" spans="1:17" s="51" customFormat="1">
      <c r="A30" s="413">
        <v>27</v>
      </c>
      <c r="B30" s="414" t="s">
        <v>883</v>
      </c>
      <c r="C30" s="414" t="s">
        <v>149</v>
      </c>
      <c r="D30" s="414" t="s">
        <v>425</v>
      </c>
      <c r="E30" s="83">
        <v>5</v>
      </c>
      <c r="F30" s="83">
        <v>0</v>
      </c>
      <c r="G30" s="415">
        <v>0.81753600000000015</v>
      </c>
      <c r="H30" s="416"/>
      <c r="I30" s="416"/>
      <c r="J30" s="83">
        <v>10</v>
      </c>
      <c r="K30" s="83">
        <v>14.574720000000001</v>
      </c>
      <c r="L30" s="415">
        <v>1.1748313043478249</v>
      </c>
      <c r="M30" s="414"/>
      <c r="N30" s="417"/>
      <c r="O30" s="418"/>
      <c r="Q30" s="418"/>
    </row>
    <row r="31" spans="1:17" s="51" customFormat="1">
      <c r="A31" s="413">
        <v>28</v>
      </c>
      <c r="B31" s="414" t="s">
        <v>883</v>
      </c>
      <c r="C31" s="414" t="s">
        <v>149</v>
      </c>
      <c r="D31" s="414" t="s">
        <v>897</v>
      </c>
      <c r="E31" s="83">
        <v>5</v>
      </c>
      <c r="F31" s="83">
        <v>0</v>
      </c>
      <c r="G31" s="415">
        <v>0.73041857142857169</v>
      </c>
      <c r="H31" s="416"/>
      <c r="I31" s="416"/>
      <c r="J31" s="83">
        <v>20</v>
      </c>
      <c r="K31" s="83">
        <v>29.239680000000003</v>
      </c>
      <c r="L31" s="415">
        <v>0.59574800000000061</v>
      </c>
      <c r="M31" s="414"/>
      <c r="N31" s="417"/>
      <c r="O31" s="418"/>
      <c r="Q31" s="418"/>
    </row>
    <row r="32" spans="1:17" s="51" customFormat="1">
      <c r="A32" s="413">
        <v>29</v>
      </c>
      <c r="B32" s="414" t="s">
        <v>883</v>
      </c>
      <c r="C32" s="414" t="s">
        <v>149</v>
      </c>
      <c r="D32" s="414" t="s">
        <v>898</v>
      </c>
      <c r="E32" s="83">
        <v>0</v>
      </c>
      <c r="F32" s="83">
        <v>0</v>
      </c>
      <c r="G32" s="415">
        <v>0</v>
      </c>
      <c r="H32" s="416"/>
      <c r="I32" s="416"/>
      <c r="J32" s="83">
        <v>10</v>
      </c>
      <c r="K32" s="83">
        <v>6.5726399999999998</v>
      </c>
      <c r="L32" s="415">
        <v>0.86191999999999946</v>
      </c>
      <c r="M32" s="414"/>
      <c r="N32" s="417"/>
      <c r="O32" s="418"/>
      <c r="Q32" s="418"/>
    </row>
    <row r="33" spans="1:17" s="51" customFormat="1">
      <c r="A33" s="413">
        <v>30</v>
      </c>
      <c r="B33" s="414" t="s">
        <v>883</v>
      </c>
      <c r="C33" s="414" t="s">
        <v>149</v>
      </c>
      <c r="D33" s="414" t="s">
        <v>899</v>
      </c>
      <c r="E33" s="83">
        <v>1</v>
      </c>
      <c r="F33" s="83">
        <v>0</v>
      </c>
      <c r="G33" s="415">
        <v>0</v>
      </c>
      <c r="H33" s="416"/>
      <c r="I33" s="416"/>
      <c r="J33" s="83">
        <v>11</v>
      </c>
      <c r="K33" s="83">
        <v>24.363744000000008</v>
      </c>
      <c r="L33" s="415">
        <v>0.70378473479948289</v>
      </c>
      <c r="M33" s="414"/>
      <c r="N33" s="417"/>
      <c r="O33" s="418"/>
      <c r="Q33" s="418"/>
    </row>
    <row r="34" spans="1:17" s="51" customFormat="1">
      <c r="A34" s="413">
        <v>31</v>
      </c>
      <c r="B34" s="414" t="s">
        <v>883</v>
      </c>
      <c r="C34" s="414" t="s">
        <v>149</v>
      </c>
      <c r="D34" s="414" t="s">
        <v>429</v>
      </c>
      <c r="E34" s="83">
        <v>1</v>
      </c>
      <c r="F34" s="83">
        <v>0</v>
      </c>
      <c r="G34" s="415">
        <v>1.6382399999999997</v>
      </c>
      <c r="H34" s="416"/>
      <c r="I34" s="416"/>
      <c r="J34" s="83">
        <v>15</v>
      </c>
      <c r="K34" s="83">
        <v>9.1857599999999984</v>
      </c>
      <c r="L34" s="415">
        <v>0.57746399999999987</v>
      </c>
      <c r="M34" s="414"/>
      <c r="N34" s="417"/>
      <c r="O34" s="418"/>
      <c r="Q34" s="418"/>
    </row>
    <row r="35" spans="1:17" s="51" customFormat="1">
      <c r="A35" s="413">
        <v>32</v>
      </c>
      <c r="B35" s="414" t="s">
        <v>883</v>
      </c>
      <c r="C35" s="414" t="s">
        <v>149</v>
      </c>
      <c r="D35" s="414" t="s">
        <v>430</v>
      </c>
      <c r="E35" s="83">
        <v>2.5</v>
      </c>
      <c r="F35" s="83">
        <v>1.224</v>
      </c>
      <c r="G35" s="415">
        <v>1.5865714285714283</v>
      </c>
      <c r="H35" s="416"/>
      <c r="I35" s="416"/>
      <c r="J35" s="83">
        <v>7.5</v>
      </c>
      <c r="K35" s="83">
        <v>12.1488</v>
      </c>
      <c r="L35" s="415">
        <v>0.52324597701149467</v>
      </c>
      <c r="M35" s="414"/>
      <c r="N35" s="417"/>
      <c r="O35" s="418"/>
      <c r="Q35" s="418"/>
    </row>
    <row r="36" spans="1:17" s="51" customFormat="1">
      <c r="A36" s="413">
        <v>33</v>
      </c>
      <c r="B36" s="414" t="s">
        <v>883</v>
      </c>
      <c r="C36" s="414" t="s">
        <v>149</v>
      </c>
      <c r="D36" s="414" t="s">
        <v>431</v>
      </c>
      <c r="E36" s="83">
        <v>2.2999999999999998</v>
      </c>
      <c r="F36" s="83">
        <v>0</v>
      </c>
      <c r="G36" s="415">
        <v>0</v>
      </c>
      <c r="H36" s="416"/>
      <c r="I36" s="416"/>
      <c r="J36" s="83">
        <v>24.199999999999996</v>
      </c>
      <c r="K36" s="83">
        <v>5.0390399999999991</v>
      </c>
      <c r="L36" s="415">
        <v>0.49768027422873157</v>
      </c>
      <c r="M36" s="414"/>
      <c r="N36" s="417"/>
      <c r="O36" s="418"/>
      <c r="Q36" s="418"/>
    </row>
    <row r="37" spans="1:17" s="51" customFormat="1">
      <c r="A37" s="413">
        <v>34</v>
      </c>
      <c r="B37" s="414" t="s">
        <v>883</v>
      </c>
      <c r="C37" s="414" t="s">
        <v>149</v>
      </c>
      <c r="D37" s="414" t="s">
        <v>900</v>
      </c>
      <c r="E37" s="83">
        <v>7</v>
      </c>
      <c r="F37" s="83">
        <v>0</v>
      </c>
      <c r="G37" s="415">
        <v>0</v>
      </c>
      <c r="H37" s="416"/>
      <c r="I37" s="416"/>
      <c r="J37" s="83">
        <v>91</v>
      </c>
      <c r="K37" s="83">
        <v>7.4265599999999994</v>
      </c>
      <c r="L37" s="415">
        <v>0.4745472</v>
      </c>
      <c r="M37" s="414"/>
      <c r="N37" s="417"/>
      <c r="O37" s="418"/>
      <c r="Q37" s="418"/>
    </row>
    <row r="38" spans="1:17" s="51" customFormat="1">
      <c r="A38" s="413">
        <v>35</v>
      </c>
      <c r="B38" s="414" t="s">
        <v>883</v>
      </c>
      <c r="C38" s="414" t="s">
        <v>149</v>
      </c>
      <c r="D38" s="414" t="s">
        <v>433</v>
      </c>
      <c r="E38" s="83">
        <v>4</v>
      </c>
      <c r="F38" s="83">
        <v>0</v>
      </c>
      <c r="G38" s="415">
        <v>0</v>
      </c>
      <c r="H38" s="416"/>
      <c r="I38" s="416"/>
      <c r="J38" s="83">
        <v>22</v>
      </c>
      <c r="K38" s="83">
        <v>7.7524800000000003</v>
      </c>
      <c r="L38" s="415">
        <v>0.27633599999999997</v>
      </c>
      <c r="M38" s="414"/>
      <c r="N38" s="417"/>
      <c r="O38" s="418"/>
      <c r="Q38" s="418"/>
    </row>
    <row r="39" spans="1:17" s="51" customFormat="1">
      <c r="A39" s="413">
        <v>36</v>
      </c>
      <c r="B39" s="414" t="s">
        <v>883</v>
      </c>
      <c r="C39" s="414" t="s">
        <v>149</v>
      </c>
      <c r="D39" s="414" t="s">
        <v>901</v>
      </c>
      <c r="E39" s="83">
        <v>0</v>
      </c>
      <c r="F39" s="83">
        <v>0</v>
      </c>
      <c r="G39" s="415">
        <v>0.30508800000000003</v>
      </c>
      <c r="H39" s="416"/>
      <c r="I39" s="416"/>
      <c r="J39" s="83">
        <v>10</v>
      </c>
      <c r="K39" s="83">
        <v>5.7590399999999997</v>
      </c>
      <c r="L39" s="415">
        <v>0.64148299999999903</v>
      </c>
      <c r="M39" s="414"/>
      <c r="N39" s="417"/>
      <c r="O39" s="418"/>
      <c r="Q39" s="418"/>
    </row>
    <row r="40" spans="1:17" s="51" customFormat="1">
      <c r="A40" s="413">
        <v>37</v>
      </c>
      <c r="B40" s="414" t="s">
        <v>883</v>
      </c>
      <c r="C40" s="414" t="s">
        <v>149</v>
      </c>
      <c r="D40" s="414" t="s">
        <v>490</v>
      </c>
      <c r="E40" s="83">
        <v>0</v>
      </c>
      <c r="F40" s="83">
        <v>0</v>
      </c>
      <c r="G40" s="415">
        <v>0</v>
      </c>
      <c r="H40" s="416"/>
      <c r="I40" s="416"/>
      <c r="J40" s="83">
        <v>5</v>
      </c>
      <c r="K40" s="83">
        <v>6.3974399999999996</v>
      </c>
      <c r="L40" s="415">
        <v>0.86453999999999998</v>
      </c>
      <c r="M40" s="414"/>
      <c r="N40" s="417"/>
      <c r="O40" s="418"/>
      <c r="Q40" s="418"/>
    </row>
    <row r="41" spans="1:17" s="51" customFormat="1">
      <c r="A41" s="413">
        <v>38</v>
      </c>
      <c r="B41" s="414" t="s">
        <v>883</v>
      </c>
      <c r="C41" s="414" t="s">
        <v>149</v>
      </c>
      <c r="D41" s="414" t="s">
        <v>435</v>
      </c>
      <c r="E41" s="83">
        <v>3</v>
      </c>
      <c r="F41" s="83">
        <v>0</v>
      </c>
      <c r="G41" s="415">
        <v>1.9092240000000003</v>
      </c>
      <c r="H41" s="416"/>
      <c r="I41" s="416"/>
      <c r="J41" s="83">
        <v>28</v>
      </c>
      <c r="K41" s="83">
        <v>12.98784</v>
      </c>
      <c r="L41" s="415">
        <v>0.52558199999999988</v>
      </c>
      <c r="M41" s="414"/>
      <c r="N41" s="417"/>
      <c r="O41" s="418"/>
      <c r="Q41" s="418"/>
    </row>
    <row r="42" spans="1:17" s="51" customFormat="1">
      <c r="A42" s="413">
        <v>39</v>
      </c>
      <c r="B42" s="414" t="s">
        <v>883</v>
      </c>
      <c r="C42" s="414" t="s">
        <v>149</v>
      </c>
      <c r="D42" s="414" t="s">
        <v>436</v>
      </c>
      <c r="E42" s="83">
        <v>3</v>
      </c>
      <c r="F42" s="83">
        <v>4.1807999999999996</v>
      </c>
      <c r="G42" s="415">
        <v>0</v>
      </c>
      <c r="H42" s="416"/>
      <c r="I42" s="416"/>
      <c r="J42" s="83">
        <v>40</v>
      </c>
      <c r="K42" s="83">
        <v>27.576959999999996</v>
      </c>
      <c r="L42" s="415">
        <v>1.0816748936170197</v>
      </c>
      <c r="M42" s="414"/>
      <c r="N42" s="417"/>
      <c r="O42" s="418"/>
      <c r="Q42" s="418"/>
    </row>
    <row r="43" spans="1:17" s="51" customFormat="1">
      <c r="A43" s="413">
        <v>40</v>
      </c>
      <c r="B43" s="414" t="s">
        <v>883</v>
      </c>
      <c r="C43" s="414" t="s">
        <v>149</v>
      </c>
      <c r="D43" s="414" t="s">
        <v>862</v>
      </c>
      <c r="E43" s="83">
        <v>5</v>
      </c>
      <c r="F43" s="83">
        <v>0</v>
      </c>
      <c r="G43" s="415">
        <v>0</v>
      </c>
      <c r="H43" s="416"/>
      <c r="I43" s="416"/>
      <c r="J43" s="83">
        <v>43</v>
      </c>
      <c r="K43" s="83">
        <v>10.075200000000001</v>
      </c>
      <c r="L43" s="415">
        <v>1.0686079999999998</v>
      </c>
      <c r="M43" s="414"/>
      <c r="N43" s="417"/>
      <c r="O43" s="418"/>
      <c r="Q43" s="418"/>
    </row>
    <row r="44" spans="1:17" s="51" customFormat="1">
      <c r="A44" s="413">
        <v>41</v>
      </c>
      <c r="B44" s="414" t="s">
        <v>883</v>
      </c>
      <c r="C44" s="414" t="s">
        <v>149</v>
      </c>
      <c r="D44" s="414" t="s">
        <v>902</v>
      </c>
      <c r="E44" s="83">
        <v>0</v>
      </c>
      <c r="F44" s="83">
        <v>0.77280000000000004</v>
      </c>
      <c r="G44" s="415">
        <v>0.58054400000000006</v>
      </c>
      <c r="H44" s="416"/>
      <c r="I44" s="416"/>
      <c r="J44" s="83">
        <v>65</v>
      </c>
      <c r="K44" s="83">
        <v>22.560479999999995</v>
      </c>
      <c r="L44" s="415">
        <v>0.43150523076923131</v>
      </c>
      <c r="M44" s="414"/>
      <c r="N44" s="417"/>
      <c r="O44" s="418"/>
      <c r="Q44" s="418"/>
    </row>
    <row r="45" spans="1:17" s="51" customFormat="1">
      <c r="A45" s="413">
        <v>42</v>
      </c>
      <c r="B45" s="414" t="s">
        <v>883</v>
      </c>
      <c r="C45" s="414" t="s">
        <v>149</v>
      </c>
      <c r="D45" s="414" t="s">
        <v>903</v>
      </c>
      <c r="E45" s="83">
        <v>0</v>
      </c>
      <c r="F45" s="83">
        <v>0</v>
      </c>
      <c r="G45" s="415" t="e">
        <v>#DIV/0!</v>
      </c>
      <c r="H45" s="416"/>
      <c r="I45" s="416"/>
      <c r="J45" s="83">
        <v>9.5</v>
      </c>
      <c r="K45" s="83">
        <v>9.9484799999999982</v>
      </c>
      <c r="L45" s="415" t="e">
        <v>#DIV/0!</v>
      </c>
      <c r="M45" s="414"/>
      <c r="N45" s="417"/>
      <c r="O45" s="418"/>
      <c r="Q45" s="418"/>
    </row>
    <row r="46" spans="1:17" s="51" customFormat="1">
      <c r="A46" s="413">
        <v>43</v>
      </c>
      <c r="B46" s="414" t="s">
        <v>883</v>
      </c>
      <c r="C46" s="414" t="s">
        <v>149</v>
      </c>
      <c r="D46" s="414" t="s">
        <v>439</v>
      </c>
      <c r="E46" s="83">
        <v>1</v>
      </c>
      <c r="F46" s="83">
        <v>0.51839999999999997</v>
      </c>
      <c r="G46" s="415">
        <v>0.33839999999999998</v>
      </c>
      <c r="H46" s="416"/>
      <c r="I46" s="416"/>
      <c r="J46" s="83">
        <v>6.5</v>
      </c>
      <c r="K46" s="83">
        <v>12.746880000000001</v>
      </c>
      <c r="L46" s="415">
        <v>0.57213214285714309</v>
      </c>
      <c r="M46" s="414"/>
      <c r="N46" s="417"/>
      <c r="O46" s="418"/>
      <c r="Q46" s="418"/>
    </row>
    <row r="47" spans="1:17" s="51" customFormat="1">
      <c r="A47" s="413">
        <v>44</v>
      </c>
      <c r="B47" s="414" t="s">
        <v>883</v>
      </c>
      <c r="C47" s="414" t="s">
        <v>149</v>
      </c>
      <c r="D47" s="414" t="s">
        <v>440</v>
      </c>
      <c r="E47" s="83">
        <v>1</v>
      </c>
      <c r="F47" s="83">
        <v>0</v>
      </c>
      <c r="G47" s="415" t="e">
        <v>#DIV/0!</v>
      </c>
      <c r="H47" s="416"/>
      <c r="I47" s="416"/>
      <c r="J47" s="83">
        <v>9</v>
      </c>
      <c r="K47" s="83">
        <v>8.4071999999999978</v>
      </c>
      <c r="L47" s="415" t="e">
        <v>#DIV/0!</v>
      </c>
      <c r="M47" s="414"/>
      <c r="N47" s="417"/>
      <c r="O47" s="418"/>
      <c r="Q47" s="418"/>
    </row>
    <row r="48" spans="1:17" s="51" customFormat="1">
      <c r="A48" s="413">
        <v>45</v>
      </c>
      <c r="B48" s="414" t="s">
        <v>883</v>
      </c>
      <c r="C48" s="414" t="s">
        <v>149</v>
      </c>
      <c r="D48" s="414" t="s">
        <v>493</v>
      </c>
      <c r="E48" s="83">
        <v>0</v>
      </c>
      <c r="F48" s="83">
        <v>0</v>
      </c>
      <c r="G48" s="415">
        <v>0.86738823529411779</v>
      </c>
      <c r="H48" s="416"/>
      <c r="I48" s="416"/>
      <c r="J48" s="83">
        <v>7</v>
      </c>
      <c r="K48" s="83">
        <v>2.8070400000000006</v>
      </c>
      <c r="L48" s="415">
        <v>0.71352175182481736</v>
      </c>
      <c r="M48" s="414"/>
      <c r="N48" s="417"/>
      <c r="O48" s="418"/>
      <c r="Q48" s="418"/>
    </row>
    <row r="49" spans="1:17" s="51" customFormat="1">
      <c r="A49" s="413">
        <v>46</v>
      </c>
      <c r="B49" s="414" t="s">
        <v>883</v>
      </c>
      <c r="C49" s="414" t="s">
        <v>149</v>
      </c>
      <c r="D49" s="414" t="s">
        <v>904</v>
      </c>
      <c r="E49" s="83">
        <v>1</v>
      </c>
      <c r="F49" s="83">
        <v>0</v>
      </c>
      <c r="G49" s="415">
        <v>0</v>
      </c>
      <c r="H49" s="416"/>
      <c r="I49" s="416"/>
      <c r="J49" s="83">
        <v>7</v>
      </c>
      <c r="K49" s="83">
        <v>10.555199999999999</v>
      </c>
      <c r="L49" s="415">
        <v>0.40884000000000026</v>
      </c>
      <c r="M49" s="414"/>
      <c r="N49" s="417"/>
      <c r="O49" s="418"/>
      <c r="Q49" s="418"/>
    </row>
    <row r="50" spans="1:17" s="51" customFormat="1">
      <c r="A50" s="413">
        <v>47</v>
      </c>
      <c r="B50" s="414" t="s">
        <v>883</v>
      </c>
      <c r="C50" s="414" t="s">
        <v>149</v>
      </c>
      <c r="D50" s="414" t="s">
        <v>905</v>
      </c>
      <c r="E50" s="83">
        <v>1</v>
      </c>
      <c r="F50" s="83">
        <v>3.0182399999999996</v>
      </c>
      <c r="G50" s="415">
        <v>0</v>
      </c>
      <c r="H50" s="416"/>
      <c r="I50" s="416"/>
      <c r="J50" s="83">
        <v>10</v>
      </c>
      <c r="K50" s="83">
        <v>10.095359999999999</v>
      </c>
      <c r="L50" s="415">
        <v>0.45030400000000004</v>
      </c>
      <c r="M50" s="414"/>
      <c r="N50" s="417"/>
      <c r="O50" s="418"/>
      <c r="Q50" s="418"/>
    </row>
    <row r="51" spans="1:17" s="51" customFormat="1">
      <c r="A51" s="413">
        <v>48</v>
      </c>
      <c r="B51" s="414" t="s">
        <v>883</v>
      </c>
      <c r="C51" s="414" t="s">
        <v>149</v>
      </c>
      <c r="D51" s="414" t="s">
        <v>442</v>
      </c>
      <c r="E51" s="83">
        <v>1</v>
      </c>
      <c r="F51" s="83">
        <v>0</v>
      </c>
      <c r="G51" s="415">
        <v>0</v>
      </c>
      <c r="H51" s="416"/>
      <c r="I51" s="416"/>
      <c r="J51" s="83">
        <v>10</v>
      </c>
      <c r="K51" s="83">
        <v>13.8528</v>
      </c>
      <c r="L51" s="415">
        <v>0.74862545454545459</v>
      </c>
      <c r="M51" s="414"/>
      <c r="N51" s="417"/>
      <c r="O51" s="418"/>
      <c r="Q51" s="418"/>
    </row>
    <row r="52" spans="1:17" s="51" customFormat="1">
      <c r="A52" s="413">
        <v>49</v>
      </c>
      <c r="B52" s="414" t="s">
        <v>883</v>
      </c>
      <c r="C52" s="414" t="s">
        <v>149</v>
      </c>
      <c r="D52" s="414" t="s">
        <v>906</v>
      </c>
      <c r="E52" s="83">
        <v>0.2</v>
      </c>
      <c r="F52" s="83">
        <v>0</v>
      </c>
      <c r="G52" s="415" t="e">
        <v>#DIV/0!</v>
      </c>
      <c r="H52" s="416"/>
      <c r="I52" s="416"/>
      <c r="J52" s="83">
        <v>3.2</v>
      </c>
      <c r="K52" s="83">
        <v>5.4825599999999994</v>
      </c>
      <c r="L52" s="415">
        <v>1.510638000000001</v>
      </c>
      <c r="M52" s="414"/>
      <c r="N52" s="417"/>
      <c r="O52" s="418"/>
      <c r="Q52" s="418"/>
    </row>
    <row r="53" spans="1:17" s="51" customFormat="1">
      <c r="A53" s="413">
        <v>50</v>
      </c>
      <c r="B53" s="414" t="s">
        <v>883</v>
      </c>
      <c r="C53" s="414" t="s">
        <v>149</v>
      </c>
      <c r="D53" s="414" t="s">
        <v>492</v>
      </c>
      <c r="E53" s="83">
        <v>1</v>
      </c>
      <c r="F53" s="83">
        <v>0.52368000000000015</v>
      </c>
      <c r="G53" s="415">
        <v>0</v>
      </c>
      <c r="H53" s="416"/>
      <c r="I53" s="416"/>
      <c r="J53" s="83">
        <v>6</v>
      </c>
      <c r="K53" s="83">
        <v>3.48</v>
      </c>
      <c r="L53" s="415">
        <v>0.21478723404255323</v>
      </c>
      <c r="M53" s="414"/>
      <c r="N53" s="417"/>
      <c r="O53" s="418"/>
      <c r="Q53" s="418"/>
    </row>
    <row r="54" spans="1:17" s="51" customFormat="1">
      <c r="A54" s="413">
        <v>51</v>
      </c>
      <c r="B54" s="414" t="s">
        <v>883</v>
      </c>
      <c r="C54" s="414" t="s">
        <v>149</v>
      </c>
      <c r="D54" s="414" t="s">
        <v>907</v>
      </c>
      <c r="E54" s="83">
        <v>0</v>
      </c>
      <c r="F54" s="83">
        <v>2.4811200000000007</v>
      </c>
      <c r="G54" s="415">
        <v>0.20800999999999994</v>
      </c>
      <c r="H54" s="416"/>
      <c r="I54" s="416"/>
      <c r="J54" s="83">
        <v>10</v>
      </c>
      <c r="K54" s="83">
        <v>10.026720000000001</v>
      </c>
      <c r="L54" s="415">
        <v>0.46721292682926807</v>
      </c>
      <c r="M54" s="414"/>
      <c r="N54" s="417"/>
      <c r="O54" s="418"/>
      <c r="Q54" s="418"/>
    </row>
    <row r="55" spans="1:17" s="51" customFormat="1">
      <c r="A55" s="413">
        <v>52</v>
      </c>
      <c r="B55" s="414" t="s">
        <v>883</v>
      </c>
      <c r="C55" s="414" t="s">
        <v>149</v>
      </c>
      <c r="D55" s="414" t="s">
        <v>874</v>
      </c>
      <c r="E55" s="83">
        <v>0</v>
      </c>
      <c r="F55" s="83">
        <v>0</v>
      </c>
      <c r="G55" s="415" t="e">
        <v>#DIV/0!</v>
      </c>
      <c r="H55" s="416"/>
      <c r="I55" s="416"/>
      <c r="J55" s="83">
        <v>9</v>
      </c>
      <c r="K55" s="83">
        <v>5.9001599999999987</v>
      </c>
      <c r="L55" s="415">
        <v>0.82663111111111098</v>
      </c>
      <c r="M55" s="414"/>
      <c r="N55" s="417"/>
      <c r="O55" s="418"/>
      <c r="Q55" s="418"/>
    </row>
    <row r="56" spans="1:17" s="51" customFormat="1">
      <c r="A56" s="413">
        <v>53</v>
      </c>
      <c r="B56" s="414" t="s">
        <v>883</v>
      </c>
      <c r="C56" s="414" t="s">
        <v>149</v>
      </c>
      <c r="D56" s="414" t="s">
        <v>875</v>
      </c>
      <c r="E56" s="83">
        <v>0.3</v>
      </c>
      <c r="F56" s="83">
        <v>0</v>
      </c>
      <c r="G56" s="415">
        <v>0</v>
      </c>
      <c r="H56" s="416"/>
      <c r="I56" s="416"/>
      <c r="J56" s="83">
        <v>4.0999999999999996</v>
      </c>
      <c r="K56" s="83">
        <v>4.152000000000001</v>
      </c>
      <c r="L56" s="415">
        <v>0.19361999999999996</v>
      </c>
      <c r="M56" s="414"/>
      <c r="N56" s="417"/>
      <c r="O56" s="418"/>
      <c r="Q56" s="418"/>
    </row>
    <row r="57" spans="1:17" s="51" customFormat="1">
      <c r="A57" s="413">
        <v>54</v>
      </c>
      <c r="B57" s="414" t="s">
        <v>883</v>
      </c>
      <c r="C57" s="413" t="s">
        <v>149</v>
      </c>
      <c r="D57" s="413" t="s">
        <v>876</v>
      </c>
      <c r="E57" s="83">
        <v>0.3</v>
      </c>
      <c r="F57" s="83">
        <v>0.47327999999999992</v>
      </c>
      <c r="G57" s="415">
        <v>4.9828799999999998</v>
      </c>
      <c r="H57" s="416"/>
      <c r="I57" s="419"/>
      <c r="J57" s="83">
        <v>3.6</v>
      </c>
      <c r="K57" s="83">
        <v>6.3302400000000008</v>
      </c>
      <c r="L57" s="415">
        <v>1.0741247999999992</v>
      </c>
      <c r="M57" s="414"/>
      <c r="N57" s="417"/>
      <c r="O57" s="418"/>
      <c r="Q57" s="418"/>
    </row>
    <row r="58" spans="1:17" s="51" customFormat="1">
      <c r="A58" s="413">
        <v>55</v>
      </c>
      <c r="B58" s="414" t="s">
        <v>883</v>
      </c>
      <c r="C58" s="413" t="s">
        <v>149</v>
      </c>
      <c r="D58" s="413" t="s">
        <v>877</v>
      </c>
      <c r="E58" s="83">
        <v>2</v>
      </c>
      <c r="F58" s="83">
        <v>7.3526399999999992</v>
      </c>
      <c r="G58" s="415">
        <v>0</v>
      </c>
      <c r="H58" s="416"/>
      <c r="I58" s="419"/>
      <c r="J58" s="83">
        <v>15</v>
      </c>
      <c r="K58" s="83">
        <v>20.417279999999998</v>
      </c>
      <c r="L58" s="415">
        <v>0.85046999999999984</v>
      </c>
      <c r="M58" s="414"/>
      <c r="N58" s="417"/>
      <c r="O58" s="418"/>
      <c r="Q58" s="418"/>
    </row>
    <row r="59" spans="1:17" s="51" customFormat="1">
      <c r="A59" s="413">
        <v>56</v>
      </c>
      <c r="B59" s="414" t="s">
        <v>883</v>
      </c>
      <c r="C59" s="413" t="s">
        <v>149</v>
      </c>
      <c r="D59" s="416" t="s">
        <v>878</v>
      </c>
      <c r="E59" s="83">
        <v>0</v>
      </c>
      <c r="F59" s="83">
        <v>1.25952</v>
      </c>
      <c r="G59" s="415">
        <v>0.63167999999999991</v>
      </c>
      <c r="H59" s="416"/>
      <c r="I59" s="416"/>
      <c r="J59" s="83">
        <v>10</v>
      </c>
      <c r="K59" s="83">
        <v>11.32704</v>
      </c>
      <c r="L59" s="415">
        <v>0.45103944444444483</v>
      </c>
      <c r="M59" s="420"/>
      <c r="N59" s="417"/>
      <c r="O59" s="418"/>
    </row>
    <row r="60" spans="1:17" s="51" customFormat="1">
      <c r="A60" s="413">
        <v>57</v>
      </c>
      <c r="B60" s="414" t="s">
        <v>883</v>
      </c>
      <c r="C60" s="413" t="s">
        <v>149</v>
      </c>
      <c r="D60" s="416" t="s">
        <v>870</v>
      </c>
      <c r="E60" s="83">
        <v>0</v>
      </c>
      <c r="F60" s="83">
        <v>0</v>
      </c>
      <c r="G60" s="415">
        <v>0</v>
      </c>
      <c r="H60" s="416"/>
      <c r="I60" s="416"/>
      <c r="J60" s="83">
        <v>5</v>
      </c>
      <c r="K60" s="83">
        <v>4.5398399999999999</v>
      </c>
      <c r="L60" s="415">
        <v>0.2794430188679245</v>
      </c>
      <c r="M60" s="420"/>
      <c r="N60" s="417"/>
      <c r="O60" s="418"/>
    </row>
    <row r="61" spans="1:17" s="51" customFormat="1">
      <c r="A61" s="413">
        <v>58</v>
      </c>
      <c r="B61" s="414" t="s">
        <v>883</v>
      </c>
      <c r="C61" s="413" t="s">
        <v>149</v>
      </c>
      <c r="D61" s="416" t="s">
        <v>879</v>
      </c>
      <c r="E61" s="83">
        <v>3</v>
      </c>
      <c r="F61" s="83">
        <v>14.213760000000001</v>
      </c>
      <c r="G61" s="415">
        <v>3.8699999999999998E-2</v>
      </c>
      <c r="H61" s="416"/>
      <c r="I61" s="416"/>
      <c r="J61" s="83">
        <v>33</v>
      </c>
      <c r="K61" s="83">
        <v>33.001440000000002</v>
      </c>
      <c r="L61" s="415">
        <v>0.35566999999999993</v>
      </c>
      <c r="M61" s="420"/>
      <c r="N61" s="417"/>
      <c r="O61" s="418"/>
    </row>
    <row r="62" spans="1:17" s="51" customFormat="1">
      <c r="A62" s="413">
        <v>59</v>
      </c>
      <c r="B62" s="414" t="s">
        <v>883</v>
      </c>
      <c r="C62" s="413" t="s">
        <v>149</v>
      </c>
      <c r="D62" s="416" t="s">
        <v>924</v>
      </c>
      <c r="E62" s="83">
        <v>5</v>
      </c>
      <c r="F62" s="83">
        <v>0</v>
      </c>
      <c r="G62" s="415">
        <v>0</v>
      </c>
      <c r="H62" s="416"/>
      <c r="I62" s="416"/>
      <c r="J62" s="83">
        <v>45</v>
      </c>
      <c r="K62" s="83">
        <v>4.4255999999999993</v>
      </c>
      <c r="L62" s="415">
        <v>0.80018250000000013</v>
      </c>
      <c r="M62" s="420"/>
      <c r="N62" s="417"/>
      <c r="O62" s="418"/>
    </row>
    <row r="63" spans="1:17" s="51" customFormat="1">
      <c r="A63" s="413">
        <v>60</v>
      </c>
      <c r="B63" s="414" t="s">
        <v>883</v>
      </c>
      <c r="C63" s="413" t="s">
        <v>149</v>
      </c>
      <c r="D63" s="416" t="s">
        <v>925</v>
      </c>
      <c r="E63" s="83">
        <v>2.5</v>
      </c>
      <c r="F63" s="83">
        <v>0</v>
      </c>
      <c r="G63" s="415">
        <v>0.45197249999999994</v>
      </c>
      <c r="H63" s="416"/>
      <c r="I63" s="416"/>
      <c r="J63" s="83">
        <v>22.5</v>
      </c>
      <c r="K63" s="83">
        <v>10.409280000000001</v>
      </c>
      <c r="L63" s="415">
        <v>0.73455488372093003</v>
      </c>
      <c r="M63" s="420"/>
      <c r="N63" s="417"/>
      <c r="O63" s="418"/>
    </row>
    <row r="64" spans="1:17" s="51" customFormat="1">
      <c r="A64" s="413">
        <v>61</v>
      </c>
      <c r="B64" s="414" t="s">
        <v>883</v>
      </c>
      <c r="C64" s="413" t="s">
        <v>149</v>
      </c>
      <c r="D64" s="416" t="s">
        <v>926</v>
      </c>
      <c r="E64" s="83">
        <v>0</v>
      </c>
      <c r="F64" s="83">
        <v>0</v>
      </c>
      <c r="G64" s="415">
        <v>0.42453333333333337</v>
      </c>
      <c r="H64" s="416"/>
      <c r="I64" s="416"/>
      <c r="J64" s="83">
        <v>10</v>
      </c>
      <c r="K64" s="83">
        <v>10.260479999999999</v>
      </c>
      <c r="L64" s="415">
        <v>0.51462260869565235</v>
      </c>
      <c r="M64" s="420"/>
      <c r="N64" s="417"/>
      <c r="O64" s="418"/>
    </row>
    <row r="65" spans="1:15" s="51" customFormat="1">
      <c r="A65" s="413">
        <v>62</v>
      </c>
      <c r="B65" s="414" t="s">
        <v>883</v>
      </c>
      <c r="C65" s="413" t="s">
        <v>149</v>
      </c>
      <c r="D65" s="416" t="s">
        <v>927</v>
      </c>
      <c r="E65" s="83">
        <v>1</v>
      </c>
      <c r="F65" s="83">
        <v>0</v>
      </c>
      <c r="G65" s="415">
        <v>0</v>
      </c>
      <c r="H65" s="416"/>
      <c r="I65" s="416"/>
      <c r="J65" s="83">
        <v>8</v>
      </c>
      <c r="K65" s="83">
        <v>9.7123200000000018</v>
      </c>
      <c r="L65" s="415">
        <v>0.62870431372549007</v>
      </c>
      <c r="M65" s="420"/>
      <c r="N65" s="417"/>
      <c r="O65" s="418"/>
    </row>
    <row r="66" spans="1:15" s="51" customFormat="1">
      <c r="A66" s="413">
        <v>63</v>
      </c>
      <c r="B66" s="414" t="s">
        <v>883</v>
      </c>
      <c r="C66" s="413" t="s">
        <v>149</v>
      </c>
      <c r="D66" s="416" t="s">
        <v>928</v>
      </c>
      <c r="E66" s="83">
        <v>0.3</v>
      </c>
      <c r="F66" s="83">
        <v>2.2156799999999999</v>
      </c>
      <c r="G66" s="415" t="e">
        <v>#DIV/0!</v>
      </c>
      <c r="H66" s="416"/>
      <c r="I66" s="416"/>
      <c r="J66" s="83">
        <v>2.9999999999999996</v>
      </c>
      <c r="K66" s="83">
        <v>6.9753600000000002</v>
      </c>
      <c r="L66" s="415" t="e">
        <v>#DIV/0!</v>
      </c>
      <c r="M66" s="420"/>
      <c r="N66" s="417"/>
      <c r="O66" s="418"/>
    </row>
    <row r="67" spans="1:15" s="51" customFormat="1">
      <c r="A67" s="413">
        <v>64</v>
      </c>
      <c r="B67" s="414" t="s">
        <v>883</v>
      </c>
      <c r="C67" s="413" t="s">
        <v>149</v>
      </c>
      <c r="D67" s="416" t="s">
        <v>1066</v>
      </c>
      <c r="E67" s="83">
        <v>0</v>
      </c>
      <c r="F67" s="83">
        <v>0</v>
      </c>
      <c r="G67" s="415">
        <v>0</v>
      </c>
      <c r="H67" s="416"/>
      <c r="I67" s="416"/>
      <c r="J67" s="83">
        <v>0</v>
      </c>
      <c r="K67" s="83">
        <v>0</v>
      </c>
      <c r="L67" s="415">
        <v>0.95640000000000036</v>
      </c>
      <c r="M67" s="420"/>
      <c r="N67" s="417"/>
      <c r="O67" s="418"/>
    </row>
    <row r="68" spans="1:15" s="51" customFormat="1">
      <c r="A68" s="413">
        <v>65</v>
      </c>
      <c r="B68" s="414" t="s">
        <v>883</v>
      </c>
      <c r="C68" s="413" t="s">
        <v>149</v>
      </c>
      <c r="D68" s="416" t="s">
        <v>836</v>
      </c>
      <c r="E68" s="83">
        <v>3</v>
      </c>
      <c r="F68" s="83">
        <v>3.3926400000000001</v>
      </c>
      <c r="G68" s="415">
        <v>0</v>
      </c>
      <c r="H68" s="416"/>
      <c r="I68" s="416"/>
      <c r="J68" s="83">
        <v>33</v>
      </c>
      <c r="K68" s="83">
        <v>9.5740799999999986</v>
      </c>
      <c r="L68" s="415">
        <v>0</v>
      </c>
      <c r="M68" s="420"/>
      <c r="N68" s="417"/>
      <c r="O68" s="418"/>
    </row>
    <row r="69" spans="1:15" s="51" customFormat="1">
      <c r="A69" s="413">
        <v>66</v>
      </c>
      <c r="B69" s="414" t="s">
        <v>883</v>
      </c>
      <c r="C69" s="413" t="s">
        <v>149</v>
      </c>
      <c r="D69" s="416" t="s">
        <v>913</v>
      </c>
      <c r="E69" s="83">
        <v>3</v>
      </c>
      <c r="F69" s="83">
        <v>0</v>
      </c>
      <c r="G69" s="415">
        <v>0.67693714285714279</v>
      </c>
      <c r="H69" s="416"/>
      <c r="I69" s="416"/>
      <c r="J69" s="83">
        <v>9</v>
      </c>
      <c r="K69" s="83">
        <v>0</v>
      </c>
      <c r="L69" s="415">
        <v>0.56408799999999992</v>
      </c>
      <c r="M69" s="420"/>
      <c r="N69" s="417"/>
      <c r="O69" s="418"/>
    </row>
    <row r="70" spans="1:15" s="51" customFormat="1">
      <c r="A70" s="413">
        <v>67</v>
      </c>
      <c r="B70" s="414" t="s">
        <v>883</v>
      </c>
      <c r="C70" s="413" t="s">
        <v>149</v>
      </c>
      <c r="D70" s="416" t="s">
        <v>957</v>
      </c>
      <c r="E70" s="83">
        <v>0</v>
      </c>
      <c r="F70" s="83">
        <v>10.178879999999999</v>
      </c>
      <c r="G70" s="415">
        <v>0.3261257142857143</v>
      </c>
      <c r="H70" s="416"/>
      <c r="I70" s="416"/>
      <c r="J70" s="83">
        <v>10</v>
      </c>
      <c r="K70" s="83">
        <v>30.118079999999999</v>
      </c>
      <c r="L70" s="415">
        <v>0.44378938775510202</v>
      </c>
      <c r="M70" s="420"/>
      <c r="N70" s="417"/>
      <c r="O70" s="418"/>
    </row>
    <row r="71" spans="1:15" s="51" customFormat="1">
      <c r="A71" s="413">
        <v>68</v>
      </c>
      <c r="B71" s="414" t="s">
        <v>883</v>
      </c>
      <c r="C71" s="413" t="s">
        <v>149</v>
      </c>
      <c r="D71" s="416" t="s">
        <v>808</v>
      </c>
      <c r="E71" s="83">
        <v>1</v>
      </c>
      <c r="F71" s="83">
        <v>0</v>
      </c>
      <c r="G71" s="415" t="e">
        <v>#DIV/0!</v>
      </c>
      <c r="H71" s="416"/>
      <c r="I71" s="416"/>
      <c r="J71" s="83">
        <v>10</v>
      </c>
      <c r="K71" s="83">
        <v>0</v>
      </c>
      <c r="L71" s="415">
        <v>0</v>
      </c>
      <c r="M71" s="420"/>
      <c r="N71" s="417"/>
      <c r="O71" s="418"/>
    </row>
    <row r="72" spans="1:15" s="51" customFormat="1">
      <c r="A72" s="413">
        <v>69</v>
      </c>
      <c r="B72" s="414" t="s">
        <v>883</v>
      </c>
      <c r="C72" s="413" t="s">
        <v>149</v>
      </c>
      <c r="D72" s="416" t="s">
        <v>958</v>
      </c>
      <c r="E72" s="83">
        <v>1</v>
      </c>
      <c r="F72" s="83">
        <v>0</v>
      </c>
      <c r="G72" s="415">
        <v>0</v>
      </c>
      <c r="H72" s="416"/>
      <c r="I72" s="416"/>
      <c r="J72" s="83">
        <v>10</v>
      </c>
      <c r="K72" s="83">
        <v>0</v>
      </c>
      <c r="L72" s="415">
        <v>0.43044923076923081</v>
      </c>
      <c r="M72" s="420"/>
      <c r="N72" s="417"/>
      <c r="O72" s="418"/>
    </row>
    <row r="73" spans="1:15" s="51" customFormat="1">
      <c r="A73" s="413">
        <v>70</v>
      </c>
      <c r="B73" s="414" t="s">
        <v>883</v>
      </c>
      <c r="C73" s="413" t="s">
        <v>149</v>
      </c>
      <c r="D73" s="416" t="s">
        <v>912</v>
      </c>
      <c r="E73" s="83">
        <v>0.3</v>
      </c>
      <c r="F73" s="83">
        <v>0</v>
      </c>
      <c r="G73" s="415" t="e">
        <v>#DIV/0!</v>
      </c>
      <c r="H73" s="416"/>
      <c r="I73" s="416"/>
      <c r="J73" s="83">
        <v>2.5</v>
      </c>
      <c r="K73" s="83">
        <v>0</v>
      </c>
      <c r="L73" s="415">
        <v>1.334979310344828</v>
      </c>
      <c r="M73" s="420"/>
      <c r="N73" s="417"/>
      <c r="O73" s="418"/>
    </row>
    <row r="74" spans="1:15" s="51" customFormat="1">
      <c r="A74" s="413">
        <v>71</v>
      </c>
      <c r="B74" s="414" t="s">
        <v>883</v>
      </c>
      <c r="C74" s="413" t="s">
        <v>149</v>
      </c>
      <c r="D74" s="416" t="s">
        <v>959</v>
      </c>
      <c r="E74" s="83">
        <v>1</v>
      </c>
      <c r="F74" s="83">
        <v>0</v>
      </c>
      <c r="G74" s="415">
        <v>0.42026666666666668</v>
      </c>
      <c r="H74" s="416"/>
      <c r="I74" s="416"/>
      <c r="J74" s="83">
        <v>8</v>
      </c>
      <c r="K74" s="83">
        <v>1.64832</v>
      </c>
      <c r="L74" s="415">
        <v>0.92586268656716475</v>
      </c>
      <c r="M74" s="420"/>
      <c r="N74" s="417"/>
      <c r="O74" s="418"/>
    </row>
    <row r="75" spans="1:15" s="51" customFormat="1">
      <c r="A75" s="413">
        <v>72</v>
      </c>
      <c r="B75" s="414" t="s">
        <v>883</v>
      </c>
      <c r="C75" s="413" t="s">
        <v>149</v>
      </c>
      <c r="D75" s="416" t="s">
        <v>960</v>
      </c>
      <c r="E75" s="83">
        <v>0.5</v>
      </c>
      <c r="F75" s="83">
        <v>0</v>
      </c>
      <c r="G75" s="415" t="e">
        <v>#DIV/0!</v>
      </c>
      <c r="H75" s="416"/>
      <c r="I75" s="416"/>
      <c r="J75" s="83">
        <v>10</v>
      </c>
      <c r="K75" s="83">
        <v>1.0483200000000001</v>
      </c>
      <c r="L75" s="415">
        <v>1.4450340000000002</v>
      </c>
      <c r="M75" s="420"/>
      <c r="N75" s="417"/>
      <c r="O75" s="418"/>
    </row>
    <row r="76" spans="1:15" s="51" customFormat="1">
      <c r="A76" s="413">
        <v>73</v>
      </c>
      <c r="B76" s="414" t="s">
        <v>883</v>
      </c>
      <c r="C76" s="413" t="s">
        <v>149</v>
      </c>
      <c r="D76" s="416" t="s">
        <v>961</v>
      </c>
      <c r="E76" s="83">
        <v>0</v>
      </c>
      <c r="F76" s="83">
        <v>0</v>
      </c>
      <c r="G76" s="415">
        <v>0.35204999999999997</v>
      </c>
      <c r="H76" s="416"/>
      <c r="I76" s="416"/>
      <c r="J76" s="83">
        <v>15</v>
      </c>
      <c r="K76" s="83">
        <v>2.1436800000000003</v>
      </c>
      <c r="L76" s="415">
        <v>0.69523033333333362</v>
      </c>
      <c r="M76" s="420"/>
      <c r="N76" s="417"/>
      <c r="O76" s="418"/>
    </row>
    <row r="77" spans="1:15" s="51" customFormat="1">
      <c r="A77" s="413">
        <v>74</v>
      </c>
      <c r="B77" s="414" t="s">
        <v>883</v>
      </c>
      <c r="C77" s="413" t="s">
        <v>149</v>
      </c>
      <c r="D77" s="416" t="s">
        <v>922</v>
      </c>
      <c r="E77" s="83">
        <v>1.5</v>
      </c>
      <c r="F77" s="83">
        <v>0</v>
      </c>
      <c r="G77" s="415">
        <v>5.1830400000000001</v>
      </c>
      <c r="H77" s="416"/>
      <c r="I77" s="416"/>
      <c r="J77" s="83">
        <v>11.299999999999999</v>
      </c>
      <c r="K77" s="83">
        <v>0</v>
      </c>
      <c r="L77" s="415">
        <v>0.98664000000000018</v>
      </c>
      <c r="M77" s="420"/>
      <c r="N77" s="417"/>
      <c r="O77" s="418"/>
    </row>
    <row r="78" spans="1:15" s="51" customFormat="1">
      <c r="A78" s="413">
        <v>75</v>
      </c>
      <c r="B78" s="414" t="s">
        <v>883</v>
      </c>
      <c r="C78" s="413" t="s">
        <v>149</v>
      </c>
      <c r="D78" s="416" t="s">
        <v>923</v>
      </c>
      <c r="E78" s="83">
        <v>0.3</v>
      </c>
      <c r="F78" s="83">
        <v>0</v>
      </c>
      <c r="G78" s="415">
        <v>2.75712</v>
      </c>
      <c r="H78" s="416"/>
      <c r="I78" s="416"/>
      <c r="J78" s="83">
        <v>3.1999999999999993</v>
      </c>
      <c r="K78" s="83">
        <v>0</v>
      </c>
      <c r="L78" s="415">
        <v>1.058676</v>
      </c>
      <c r="M78" s="420"/>
      <c r="N78" s="417"/>
      <c r="O78" s="418"/>
    </row>
    <row r="79" spans="1:15" s="51" customFormat="1">
      <c r="A79" s="413">
        <v>76</v>
      </c>
      <c r="B79" s="414" t="s">
        <v>883</v>
      </c>
      <c r="C79" s="413" t="s">
        <v>149</v>
      </c>
      <c r="D79" s="416" t="s">
        <v>962</v>
      </c>
      <c r="E79" s="83">
        <v>5</v>
      </c>
      <c r="F79" s="83">
        <v>0</v>
      </c>
      <c r="G79" s="415" t="e">
        <v>#DIV/0!</v>
      </c>
      <c r="H79" s="416"/>
      <c r="I79" s="416"/>
      <c r="J79" s="83">
        <v>20</v>
      </c>
      <c r="K79" s="83">
        <v>20.064480000000003</v>
      </c>
      <c r="L79" s="415">
        <v>1.559066000000001</v>
      </c>
      <c r="M79" s="420"/>
      <c r="N79" s="417"/>
      <c r="O79" s="418"/>
    </row>
    <row r="80" spans="1:15" s="51" customFormat="1">
      <c r="A80" s="413">
        <v>77</v>
      </c>
      <c r="B80" s="414" t="s">
        <v>883</v>
      </c>
      <c r="C80" s="413" t="s">
        <v>149</v>
      </c>
      <c r="D80" s="416" t="s">
        <v>963</v>
      </c>
      <c r="E80" s="83">
        <v>5</v>
      </c>
      <c r="F80" s="83">
        <v>0</v>
      </c>
      <c r="G80" s="415">
        <v>0</v>
      </c>
      <c r="H80" s="416"/>
      <c r="I80" s="416"/>
      <c r="J80" s="83">
        <v>30</v>
      </c>
      <c r="K80" s="83">
        <v>12.543359999999998</v>
      </c>
      <c r="L80" s="415">
        <v>0</v>
      </c>
      <c r="M80" s="420"/>
      <c r="N80" s="417"/>
      <c r="O80" s="418"/>
    </row>
    <row r="81" spans="1:15" s="51" customFormat="1">
      <c r="A81" s="413">
        <v>78</v>
      </c>
      <c r="B81" s="414" t="s">
        <v>883</v>
      </c>
      <c r="C81" s="413" t="s">
        <v>149</v>
      </c>
      <c r="D81" s="416" t="s">
        <v>964</v>
      </c>
      <c r="E81" s="83">
        <v>2</v>
      </c>
      <c r="F81" s="83">
        <v>0</v>
      </c>
      <c r="G81" s="415">
        <v>0.4224</v>
      </c>
      <c r="H81" s="416"/>
      <c r="I81" s="416"/>
      <c r="J81" s="83">
        <v>5</v>
      </c>
      <c r="K81" s="83">
        <v>3.0662400000000005</v>
      </c>
      <c r="L81" s="415">
        <v>5.4503225806451609E-2</v>
      </c>
      <c r="M81" s="420"/>
      <c r="N81" s="417"/>
      <c r="O81" s="418"/>
    </row>
    <row r="82" spans="1:15" s="51" customFormat="1">
      <c r="A82" s="413">
        <v>79</v>
      </c>
      <c r="B82" s="414" t="s">
        <v>883</v>
      </c>
      <c r="C82" s="413" t="s">
        <v>149</v>
      </c>
      <c r="D82" s="416" t="s">
        <v>966</v>
      </c>
      <c r="E82" s="83">
        <v>0</v>
      </c>
      <c r="F82" s="83">
        <v>0</v>
      </c>
      <c r="G82" s="415">
        <v>0</v>
      </c>
      <c r="H82" s="416"/>
      <c r="I82" s="416"/>
      <c r="J82" s="83">
        <v>6</v>
      </c>
      <c r="K82" s="83">
        <v>0</v>
      </c>
      <c r="L82" s="415">
        <v>0.89024516129032238</v>
      </c>
      <c r="M82" s="420"/>
      <c r="N82" s="417"/>
      <c r="O82" s="418"/>
    </row>
    <row r="83" spans="1:15" s="51" customFormat="1">
      <c r="A83" s="413">
        <v>80</v>
      </c>
      <c r="B83" s="414" t="s">
        <v>883</v>
      </c>
      <c r="C83" s="413" t="s">
        <v>149</v>
      </c>
      <c r="D83" s="416" t="s">
        <v>967</v>
      </c>
      <c r="E83" s="83">
        <v>0</v>
      </c>
      <c r="F83" s="83">
        <v>0</v>
      </c>
      <c r="G83" s="415">
        <v>0</v>
      </c>
      <c r="H83" s="416"/>
      <c r="I83" s="416"/>
      <c r="J83" s="83">
        <v>5</v>
      </c>
      <c r="K83" s="83">
        <v>2.9356799999999996</v>
      </c>
      <c r="L83" s="415">
        <v>0.2946959999999999</v>
      </c>
      <c r="M83" s="420"/>
      <c r="N83" s="417"/>
      <c r="O83" s="418"/>
    </row>
    <row r="84" spans="1:15" s="51" customFormat="1">
      <c r="A84" s="413">
        <v>81</v>
      </c>
      <c r="B84" s="414" t="s">
        <v>883</v>
      </c>
      <c r="C84" s="413" t="s">
        <v>149</v>
      </c>
      <c r="D84" s="416" t="s">
        <v>834</v>
      </c>
      <c r="E84" s="83">
        <v>5</v>
      </c>
      <c r="F84" s="83">
        <v>0</v>
      </c>
      <c r="G84" s="415" t="e">
        <v>#DIV/0!</v>
      </c>
      <c r="H84" s="416"/>
      <c r="I84" s="416"/>
      <c r="J84" s="83">
        <v>130</v>
      </c>
      <c r="K84" s="83">
        <v>1E-4</v>
      </c>
      <c r="L84" s="415">
        <v>0</v>
      </c>
      <c r="M84" s="420"/>
      <c r="N84" s="417"/>
      <c r="O84" s="418"/>
    </row>
    <row r="85" spans="1:15" s="51" customFormat="1">
      <c r="A85" s="413">
        <v>82</v>
      </c>
      <c r="B85" s="414" t="s">
        <v>883</v>
      </c>
      <c r="C85" s="413" t="s">
        <v>149</v>
      </c>
      <c r="D85" s="416" t="s">
        <v>811</v>
      </c>
      <c r="E85" s="83">
        <v>10</v>
      </c>
      <c r="F85" s="83">
        <v>0</v>
      </c>
      <c r="G85" s="415" t="e">
        <v>#DIV/0!</v>
      </c>
      <c r="H85" s="416"/>
      <c r="I85" s="416"/>
      <c r="J85" s="83">
        <v>84</v>
      </c>
      <c r="K85" s="83">
        <v>2.0000000000000001E-4</v>
      </c>
      <c r="L85" s="415" t="e">
        <v>#DIV/0!</v>
      </c>
      <c r="M85" s="420"/>
      <c r="N85" s="417"/>
      <c r="O85" s="418"/>
    </row>
    <row r="86" spans="1:15" s="51" customFormat="1">
      <c r="A86" s="413">
        <v>83</v>
      </c>
      <c r="B86" s="414" t="s">
        <v>883</v>
      </c>
      <c r="C86" s="413" t="s">
        <v>149</v>
      </c>
      <c r="D86" s="416" t="s">
        <v>842</v>
      </c>
      <c r="E86" s="83">
        <v>0.5</v>
      </c>
      <c r="F86" s="83">
        <v>2.6083199999999995</v>
      </c>
      <c r="G86" s="415">
        <v>0</v>
      </c>
      <c r="H86" s="416"/>
      <c r="I86" s="416"/>
      <c r="J86" s="83">
        <v>7.4</v>
      </c>
      <c r="K86" s="83">
        <v>5.8658999999999999</v>
      </c>
      <c r="L86" s="415">
        <v>0.23856000000000016</v>
      </c>
      <c r="M86" s="420"/>
      <c r="N86" s="417"/>
      <c r="O86" s="418"/>
    </row>
    <row r="87" spans="1:15" s="51" customFormat="1">
      <c r="A87" s="413">
        <v>84</v>
      </c>
      <c r="B87" s="414" t="s">
        <v>883</v>
      </c>
      <c r="C87" s="413" t="s">
        <v>149</v>
      </c>
      <c r="D87" s="416" t="s">
        <v>989</v>
      </c>
      <c r="E87" s="83">
        <v>0</v>
      </c>
      <c r="F87" s="83">
        <v>0</v>
      </c>
      <c r="G87" s="415" t="e">
        <v>#DIV/0!</v>
      </c>
      <c r="H87" s="416"/>
      <c r="I87" s="416"/>
      <c r="J87" s="83">
        <v>10</v>
      </c>
      <c r="K87" s="83">
        <v>10.049780000000002</v>
      </c>
      <c r="L87" s="415">
        <v>0</v>
      </c>
      <c r="M87" s="420"/>
      <c r="N87" s="417"/>
      <c r="O87" s="418"/>
    </row>
    <row r="88" spans="1:15" s="51" customFormat="1">
      <c r="A88" s="413">
        <v>85</v>
      </c>
      <c r="B88" s="414" t="s">
        <v>883</v>
      </c>
      <c r="C88" s="413" t="s">
        <v>149</v>
      </c>
      <c r="D88" s="416" t="s">
        <v>990</v>
      </c>
      <c r="E88" s="83">
        <v>1</v>
      </c>
      <c r="F88" s="83">
        <v>0</v>
      </c>
      <c r="G88" s="415">
        <v>3.3115199999999998</v>
      </c>
      <c r="H88" s="416"/>
      <c r="I88" s="416"/>
      <c r="J88" s="83">
        <v>6</v>
      </c>
      <c r="K88" s="83">
        <v>2.9046000000000003</v>
      </c>
      <c r="L88" s="415">
        <v>1.324608</v>
      </c>
      <c r="M88" s="420"/>
      <c r="N88" s="417"/>
      <c r="O88" s="418"/>
    </row>
    <row r="89" spans="1:15" s="51" customFormat="1">
      <c r="A89" s="413">
        <v>86</v>
      </c>
      <c r="B89" s="413" t="s">
        <v>883</v>
      </c>
      <c r="C89" s="413" t="s">
        <v>149</v>
      </c>
      <c r="D89" s="416" t="s">
        <v>991</v>
      </c>
      <c r="E89" s="83">
        <v>2.5</v>
      </c>
      <c r="F89" s="83">
        <v>0</v>
      </c>
      <c r="G89" s="415">
        <v>0.47808000000000006</v>
      </c>
      <c r="H89" s="416"/>
      <c r="I89" s="416"/>
      <c r="J89" s="83">
        <v>10</v>
      </c>
      <c r="K89" s="83">
        <v>3.7600599999999997</v>
      </c>
      <c r="L89" s="415">
        <v>0.21707162790697679</v>
      </c>
      <c r="M89" s="420"/>
      <c r="N89" s="417"/>
      <c r="O89" s="418"/>
    </row>
    <row r="90" spans="1:15" s="51" customFormat="1">
      <c r="A90" s="413">
        <v>87</v>
      </c>
      <c r="B90" s="413" t="s">
        <v>883</v>
      </c>
      <c r="C90" s="413" t="s">
        <v>149</v>
      </c>
      <c r="D90" s="416" t="s">
        <v>992</v>
      </c>
      <c r="E90" s="83">
        <v>1.5</v>
      </c>
      <c r="F90" s="83">
        <v>0</v>
      </c>
      <c r="G90" s="415">
        <v>0.23719999999999999</v>
      </c>
      <c r="H90" s="416"/>
      <c r="I90" s="416"/>
      <c r="J90" s="83">
        <v>6</v>
      </c>
      <c r="K90" s="83">
        <v>4.1633600000000008</v>
      </c>
      <c r="L90" s="415">
        <v>0.76450133333333337</v>
      </c>
      <c r="M90" s="420"/>
      <c r="N90" s="417"/>
      <c r="O90" s="418"/>
    </row>
    <row r="91" spans="1:15" s="51" customFormat="1">
      <c r="A91" s="413">
        <v>88</v>
      </c>
      <c r="B91" s="413" t="s">
        <v>883</v>
      </c>
      <c r="C91" s="413" t="s">
        <v>149</v>
      </c>
      <c r="D91" s="416" t="s">
        <v>1027</v>
      </c>
      <c r="E91" s="83">
        <v>1</v>
      </c>
      <c r="F91" s="83">
        <v>0.60480000000000012</v>
      </c>
      <c r="G91" s="415">
        <v>1.1962482758620689</v>
      </c>
      <c r="H91" s="416"/>
      <c r="I91" s="416"/>
      <c r="J91" s="83">
        <v>4</v>
      </c>
      <c r="K91" s="83">
        <v>1.8873600000000001</v>
      </c>
      <c r="L91" s="415">
        <v>0.94653257142857139</v>
      </c>
      <c r="M91" s="420"/>
      <c r="N91" s="417"/>
      <c r="O91" s="418"/>
    </row>
    <row r="92" spans="1:15" s="51" customFormat="1">
      <c r="A92" s="413">
        <v>89</v>
      </c>
      <c r="B92" s="413" t="s">
        <v>883</v>
      </c>
      <c r="C92" s="413" t="s">
        <v>149</v>
      </c>
      <c r="D92" s="416" t="s">
        <v>797</v>
      </c>
      <c r="E92" s="83">
        <v>0</v>
      </c>
      <c r="F92" s="83">
        <v>0</v>
      </c>
      <c r="G92" s="415">
        <v>0</v>
      </c>
      <c r="H92" s="416"/>
      <c r="I92" s="416"/>
      <c r="J92" s="83">
        <v>2</v>
      </c>
      <c r="K92" s="83">
        <v>0</v>
      </c>
      <c r="L92" s="415">
        <v>0.53751969111969122</v>
      </c>
      <c r="M92" s="420"/>
      <c r="N92" s="417"/>
      <c r="O92" s="418"/>
    </row>
    <row r="93" spans="1:15" s="51" customFormat="1">
      <c r="A93" s="413">
        <v>90</v>
      </c>
      <c r="B93" s="413" t="s">
        <v>883</v>
      </c>
      <c r="C93" s="413" t="s">
        <v>149</v>
      </c>
      <c r="D93" s="416" t="s">
        <v>1028</v>
      </c>
      <c r="E93" s="83">
        <v>1</v>
      </c>
      <c r="F93" s="83">
        <v>0</v>
      </c>
      <c r="G93" s="415">
        <v>6.0299999999999992E-2</v>
      </c>
      <c r="H93" s="416"/>
      <c r="I93" s="416"/>
      <c r="J93" s="83">
        <v>11</v>
      </c>
      <c r="K93" s="83">
        <v>0</v>
      </c>
      <c r="L93" s="415">
        <v>0.51192000000000015</v>
      </c>
      <c r="M93" s="420"/>
      <c r="N93" s="417"/>
      <c r="O93" s="418"/>
    </row>
    <row r="94" spans="1:15" s="51" customFormat="1">
      <c r="A94" s="413">
        <v>91</v>
      </c>
      <c r="B94" s="413" t="s">
        <v>883</v>
      </c>
      <c r="C94" s="413" t="s">
        <v>149</v>
      </c>
      <c r="D94" s="416" t="s">
        <v>1029</v>
      </c>
      <c r="E94" s="83">
        <v>3</v>
      </c>
      <c r="F94" s="83">
        <v>0</v>
      </c>
      <c r="G94" s="415">
        <v>1.9008</v>
      </c>
      <c r="H94" s="416"/>
      <c r="I94" s="416"/>
      <c r="J94" s="83">
        <v>15</v>
      </c>
      <c r="K94" s="83">
        <v>0</v>
      </c>
      <c r="L94" s="415">
        <v>0.89347289719626177</v>
      </c>
      <c r="M94" s="420"/>
      <c r="N94" s="417"/>
      <c r="O94" s="418"/>
    </row>
    <row r="95" spans="1:15" s="51" customFormat="1">
      <c r="A95" s="413">
        <v>92</v>
      </c>
      <c r="B95" s="413" t="s">
        <v>883</v>
      </c>
      <c r="C95" s="413" t="s">
        <v>149</v>
      </c>
      <c r="D95" s="416" t="s">
        <v>1030</v>
      </c>
      <c r="E95" s="83">
        <v>1</v>
      </c>
      <c r="F95" s="83">
        <v>0</v>
      </c>
      <c r="G95" s="415" t="e">
        <v>#DIV/0!</v>
      </c>
      <c r="H95" s="416"/>
      <c r="I95" s="416"/>
      <c r="J95" s="83">
        <v>6</v>
      </c>
      <c r="K95" s="83">
        <v>1.2787199999999996</v>
      </c>
      <c r="L95" s="415">
        <v>0.62160000000000015</v>
      </c>
      <c r="M95" s="420"/>
      <c r="N95" s="417"/>
      <c r="O95" s="418"/>
    </row>
    <row r="96" spans="1:15" s="51" customFormat="1">
      <c r="A96" s="413">
        <v>93</v>
      </c>
      <c r="B96" s="413" t="s">
        <v>883</v>
      </c>
      <c r="C96" s="413" t="s">
        <v>149</v>
      </c>
      <c r="D96" s="416" t="s">
        <v>1031</v>
      </c>
      <c r="E96" s="83">
        <v>1</v>
      </c>
      <c r="F96" s="83">
        <v>2.7455999999999996</v>
      </c>
      <c r="G96" s="415">
        <v>3.4696319999999994</v>
      </c>
      <c r="H96" s="416"/>
      <c r="I96" s="416"/>
      <c r="J96" s="83">
        <v>9</v>
      </c>
      <c r="K96" s="83">
        <v>2.7455999999999996</v>
      </c>
      <c r="L96" s="415">
        <v>1.1094121666666661</v>
      </c>
      <c r="M96" s="420"/>
      <c r="N96" s="417"/>
      <c r="O96" s="418"/>
    </row>
    <row r="97" spans="1:15" s="51" customFormat="1">
      <c r="A97" s="413">
        <v>94</v>
      </c>
      <c r="B97" s="413" t="s">
        <v>883</v>
      </c>
      <c r="C97" s="413" t="s">
        <v>149</v>
      </c>
      <c r="D97" s="416" t="s">
        <v>1032</v>
      </c>
      <c r="E97" s="83">
        <v>0</v>
      </c>
      <c r="F97" s="83">
        <v>0</v>
      </c>
      <c r="G97" s="415">
        <v>0</v>
      </c>
      <c r="H97" s="416"/>
      <c r="I97" s="416"/>
      <c r="J97" s="83">
        <v>4</v>
      </c>
      <c r="K97" s="83">
        <v>2.0774400000000002</v>
      </c>
      <c r="L97" s="415">
        <v>0.72209999999999985</v>
      </c>
      <c r="M97" s="420"/>
      <c r="N97" s="417"/>
      <c r="O97" s="418"/>
    </row>
    <row r="98" spans="1:15" s="51" customFormat="1">
      <c r="A98" s="413">
        <v>95</v>
      </c>
      <c r="B98" s="413" t="s">
        <v>883</v>
      </c>
      <c r="C98" s="413" t="s">
        <v>149</v>
      </c>
      <c r="D98" s="416" t="s">
        <v>1033</v>
      </c>
      <c r="E98" s="83">
        <v>1</v>
      </c>
      <c r="F98" s="83">
        <v>0</v>
      </c>
      <c r="G98" s="415">
        <v>0.85152000000000005</v>
      </c>
      <c r="H98" s="416"/>
      <c r="I98" s="416"/>
      <c r="J98" s="83">
        <v>5</v>
      </c>
      <c r="K98" s="83">
        <v>2.6390400000000001</v>
      </c>
      <c r="L98" s="415">
        <v>0.71539199999999992</v>
      </c>
      <c r="M98" s="420"/>
      <c r="N98" s="417"/>
      <c r="O98" s="418"/>
    </row>
    <row r="99" spans="1:15" s="51" customFormat="1">
      <c r="A99" s="413">
        <v>96</v>
      </c>
      <c r="B99" s="413" t="s">
        <v>883</v>
      </c>
      <c r="C99" s="413" t="s">
        <v>149</v>
      </c>
      <c r="D99" s="416" t="s">
        <v>1034</v>
      </c>
      <c r="E99" s="83">
        <v>2</v>
      </c>
      <c r="F99" s="83">
        <v>2.7196799999999994</v>
      </c>
      <c r="G99" s="415">
        <v>4.0756800000000002</v>
      </c>
      <c r="H99" s="416"/>
      <c r="I99" s="416"/>
      <c r="J99" s="83">
        <v>24</v>
      </c>
      <c r="K99" s="83">
        <v>10.020479999999999</v>
      </c>
      <c r="L99" s="415">
        <v>1.2714624000000003</v>
      </c>
      <c r="M99" s="420"/>
      <c r="N99" s="417"/>
      <c r="O99" s="418"/>
    </row>
    <row r="100" spans="1:15" s="51" customFormat="1">
      <c r="A100" s="413">
        <v>97</v>
      </c>
      <c r="B100" s="413" t="s">
        <v>883</v>
      </c>
      <c r="C100" s="413" t="s">
        <v>149</v>
      </c>
      <c r="D100" s="416" t="s">
        <v>1035</v>
      </c>
      <c r="E100" s="83">
        <v>3</v>
      </c>
      <c r="F100" s="83">
        <v>0</v>
      </c>
      <c r="G100" s="415">
        <v>0</v>
      </c>
      <c r="H100" s="416"/>
      <c r="I100" s="416"/>
      <c r="J100" s="83">
        <v>12</v>
      </c>
      <c r="K100" s="83">
        <v>0</v>
      </c>
      <c r="L100" s="415">
        <v>1.03284</v>
      </c>
      <c r="M100" s="420"/>
      <c r="N100" s="417"/>
      <c r="O100" s="418"/>
    </row>
    <row r="101" spans="1:15" s="51" customFormat="1">
      <c r="A101" s="413">
        <v>98</v>
      </c>
      <c r="B101" s="413" t="s">
        <v>883</v>
      </c>
      <c r="C101" s="413" t="s">
        <v>149</v>
      </c>
      <c r="D101" s="416" t="s">
        <v>1036</v>
      </c>
      <c r="E101" s="83">
        <v>5</v>
      </c>
      <c r="F101" s="83">
        <v>0</v>
      </c>
      <c r="G101" s="415">
        <v>0</v>
      </c>
      <c r="H101" s="416"/>
      <c r="I101" s="416"/>
      <c r="J101" s="83">
        <v>15</v>
      </c>
      <c r="K101" s="83">
        <v>0</v>
      </c>
      <c r="L101" s="415">
        <v>0.7173868725868725</v>
      </c>
      <c r="M101" s="420"/>
      <c r="N101" s="417"/>
      <c r="O101" s="418"/>
    </row>
    <row r="102" spans="1:15" s="51" customFormat="1">
      <c r="A102" s="413">
        <v>99</v>
      </c>
      <c r="B102" s="413" t="s">
        <v>883</v>
      </c>
      <c r="C102" s="413" t="s">
        <v>149</v>
      </c>
      <c r="D102" s="416" t="s">
        <v>1037</v>
      </c>
      <c r="E102" s="83">
        <v>2</v>
      </c>
      <c r="F102" s="83">
        <v>0</v>
      </c>
      <c r="G102" s="415">
        <v>0</v>
      </c>
      <c r="H102" s="416"/>
      <c r="I102" s="416"/>
      <c r="J102" s="83">
        <v>6</v>
      </c>
      <c r="K102" s="83">
        <v>0</v>
      </c>
      <c r="L102" s="415">
        <v>0.67021333333333333</v>
      </c>
      <c r="M102" s="420"/>
      <c r="N102" s="417"/>
      <c r="O102" s="418"/>
    </row>
    <row r="103" spans="1:15" s="51" customFormat="1">
      <c r="A103" s="413">
        <v>100</v>
      </c>
      <c r="B103" s="413" t="s">
        <v>883</v>
      </c>
      <c r="C103" s="413" t="s">
        <v>149</v>
      </c>
      <c r="D103" s="416" t="s">
        <v>1038</v>
      </c>
      <c r="E103" s="83">
        <v>6</v>
      </c>
      <c r="F103" s="83">
        <v>0</v>
      </c>
      <c r="G103" s="415">
        <v>0.62807999999999997</v>
      </c>
      <c r="H103" s="416"/>
      <c r="I103" s="416"/>
      <c r="J103" s="83">
        <v>18</v>
      </c>
      <c r="K103" s="83">
        <v>4.9891200000000007</v>
      </c>
      <c r="L103" s="415">
        <v>0.85012799999999988</v>
      </c>
      <c r="M103" s="420"/>
      <c r="N103" s="417"/>
      <c r="O103" s="418"/>
    </row>
    <row r="104" spans="1:15" s="51" customFormat="1">
      <c r="A104" s="413">
        <v>101</v>
      </c>
      <c r="B104" s="413" t="s">
        <v>883</v>
      </c>
      <c r="C104" s="413" t="s">
        <v>149</v>
      </c>
      <c r="D104" s="416" t="s">
        <v>1040</v>
      </c>
      <c r="E104" s="83">
        <v>3</v>
      </c>
      <c r="F104" s="83">
        <v>0</v>
      </c>
      <c r="G104" s="415">
        <v>0.73631999999999997</v>
      </c>
      <c r="H104" s="416"/>
      <c r="I104" s="416"/>
      <c r="J104" s="83">
        <v>7</v>
      </c>
      <c r="K104" s="83">
        <v>0</v>
      </c>
      <c r="L104" s="415">
        <v>1.075488</v>
      </c>
      <c r="M104" s="420"/>
      <c r="N104" s="417"/>
      <c r="O104" s="418"/>
    </row>
    <row r="105" spans="1:15" s="51" customFormat="1">
      <c r="A105" s="413">
        <v>102</v>
      </c>
      <c r="B105" s="413" t="s">
        <v>883</v>
      </c>
      <c r="C105" s="413" t="s">
        <v>149</v>
      </c>
      <c r="D105" s="416" t="s">
        <v>1041</v>
      </c>
      <c r="E105" s="83">
        <v>0.3</v>
      </c>
      <c r="F105" s="83">
        <v>0.33024000000000003</v>
      </c>
      <c r="G105" s="415" t="e">
        <v>#DIV/0!</v>
      </c>
      <c r="H105" s="416"/>
      <c r="I105" s="416"/>
      <c r="J105" s="83">
        <v>1.5000000000000002</v>
      </c>
      <c r="K105" s="83">
        <v>1.32576</v>
      </c>
      <c r="L105" s="415">
        <v>1.4161920000000001</v>
      </c>
      <c r="M105" s="420"/>
      <c r="N105" s="417"/>
      <c r="O105" s="418"/>
    </row>
    <row r="106" spans="1:15" s="51" customFormat="1">
      <c r="A106" s="413">
        <v>103</v>
      </c>
      <c r="B106" s="413" t="s">
        <v>883</v>
      </c>
      <c r="C106" s="413" t="s">
        <v>149</v>
      </c>
      <c r="D106" s="416" t="s">
        <v>1061</v>
      </c>
      <c r="E106" s="83">
        <v>13</v>
      </c>
      <c r="F106" s="83">
        <v>5.2723200000000006</v>
      </c>
      <c r="G106" s="415">
        <v>0</v>
      </c>
      <c r="H106" s="416"/>
      <c r="I106" s="416"/>
      <c r="J106" s="83">
        <v>200</v>
      </c>
      <c r="K106" s="83">
        <v>23.628480000000003</v>
      </c>
      <c r="L106" s="415">
        <v>1.1810560000000001</v>
      </c>
      <c r="M106" s="420"/>
      <c r="N106" s="417"/>
      <c r="O106" s="418"/>
    </row>
    <row r="107" spans="1:15" s="51" customFormat="1">
      <c r="A107" s="413">
        <v>104</v>
      </c>
      <c r="B107" s="413" t="s">
        <v>883</v>
      </c>
      <c r="C107" s="413" t="s">
        <v>149</v>
      </c>
      <c r="D107" s="416" t="s">
        <v>1067</v>
      </c>
      <c r="E107" s="83">
        <v>4</v>
      </c>
      <c r="F107" s="83">
        <v>2.1335999999999999</v>
      </c>
      <c r="G107" s="415">
        <v>0</v>
      </c>
      <c r="H107" s="416"/>
      <c r="I107" s="416"/>
      <c r="J107" s="83">
        <v>4</v>
      </c>
      <c r="K107" s="83">
        <v>4.1241599999999998</v>
      </c>
      <c r="L107" s="415">
        <v>1.3163345454545456</v>
      </c>
      <c r="M107" s="420"/>
      <c r="N107" s="417"/>
      <c r="O107" s="418"/>
    </row>
    <row r="108" spans="1:15" s="51" customFormat="1">
      <c r="A108" s="413">
        <v>105</v>
      </c>
      <c r="B108" s="413" t="s">
        <v>883</v>
      </c>
      <c r="C108" s="413" t="s">
        <v>149</v>
      </c>
      <c r="D108" s="416" t="s">
        <v>1084</v>
      </c>
      <c r="E108" s="83">
        <v>2</v>
      </c>
      <c r="F108" s="83">
        <v>1.9219200000000005</v>
      </c>
      <c r="G108" s="415" t="e">
        <v>#DIV/0!</v>
      </c>
      <c r="H108" s="416"/>
      <c r="I108" s="416"/>
      <c r="J108" s="83">
        <v>8</v>
      </c>
      <c r="K108" s="83">
        <v>1.9219200000000005</v>
      </c>
      <c r="L108" s="415">
        <v>0.36249599999999998</v>
      </c>
      <c r="M108" s="420"/>
      <c r="N108" s="417"/>
      <c r="O108" s="418"/>
    </row>
    <row r="109" spans="1:15" s="51" customFormat="1">
      <c r="A109" s="413">
        <v>106</v>
      </c>
      <c r="B109" s="413" t="s">
        <v>883</v>
      </c>
      <c r="C109" s="413" t="s">
        <v>149</v>
      </c>
      <c r="D109" s="416" t="s">
        <v>1085</v>
      </c>
      <c r="E109" s="83">
        <v>3</v>
      </c>
      <c r="F109" s="83">
        <v>0.72095999999999993</v>
      </c>
      <c r="G109" s="415">
        <v>0</v>
      </c>
      <c r="H109" s="416"/>
      <c r="I109" s="416"/>
      <c r="J109" s="83">
        <v>7</v>
      </c>
      <c r="K109" s="83">
        <v>0.72095999999999993</v>
      </c>
      <c r="L109" s="415">
        <v>0.52399999999999991</v>
      </c>
      <c r="M109" s="420"/>
      <c r="N109" s="417"/>
      <c r="O109" s="418"/>
    </row>
    <row r="110" spans="1:15" s="51" customFormat="1">
      <c r="A110" s="413">
        <v>107</v>
      </c>
      <c r="B110" s="413" t="s">
        <v>883</v>
      </c>
      <c r="C110" s="413" t="s">
        <v>149</v>
      </c>
      <c r="D110" s="416" t="s">
        <v>1086</v>
      </c>
      <c r="E110" s="83">
        <v>0</v>
      </c>
      <c r="F110" s="83">
        <v>3.7497600000000006</v>
      </c>
      <c r="G110" s="415">
        <v>0</v>
      </c>
      <c r="H110" s="416"/>
      <c r="I110" s="416"/>
      <c r="J110" s="83">
        <v>2</v>
      </c>
      <c r="K110" s="83">
        <v>3.7497600000000006</v>
      </c>
      <c r="L110" s="415">
        <v>0.23510726182544964</v>
      </c>
      <c r="M110" s="420"/>
      <c r="N110" s="417"/>
      <c r="O110" s="418"/>
    </row>
    <row r="111" spans="1:15" s="51" customFormat="1">
      <c r="A111" s="413">
        <v>108</v>
      </c>
      <c r="B111" s="413" t="s">
        <v>883</v>
      </c>
      <c r="C111" s="413" t="s">
        <v>148</v>
      </c>
      <c r="D111" s="416" t="s">
        <v>884</v>
      </c>
      <c r="E111" s="83">
        <v>8.1</v>
      </c>
      <c r="F111" s="83">
        <v>11.675520000000001</v>
      </c>
      <c r="G111" s="415">
        <v>0</v>
      </c>
      <c r="H111" s="416"/>
      <c r="I111" s="416"/>
      <c r="J111" s="83">
        <v>122.5</v>
      </c>
      <c r="K111" s="83">
        <v>149.0592</v>
      </c>
      <c r="L111" s="415">
        <v>0.32806399999999997</v>
      </c>
      <c r="M111" s="420"/>
      <c r="N111" s="417"/>
      <c r="O111" s="418"/>
    </row>
    <row r="112" spans="1:15" s="51" customFormat="1">
      <c r="A112" s="413">
        <v>109</v>
      </c>
      <c r="B112" s="413" t="s">
        <v>883</v>
      </c>
      <c r="C112" s="413" t="s">
        <v>148</v>
      </c>
      <c r="D112" s="416" t="s">
        <v>400</v>
      </c>
      <c r="E112" s="83">
        <v>13</v>
      </c>
      <c r="F112" s="83">
        <v>0</v>
      </c>
      <c r="G112" s="415">
        <v>0</v>
      </c>
      <c r="H112" s="416"/>
      <c r="I112" s="416"/>
      <c r="J112" s="83">
        <v>120</v>
      </c>
      <c r="K112" s="83">
        <v>125.74728000000003</v>
      </c>
      <c r="L112" s="415">
        <v>0.20663999999999999</v>
      </c>
      <c r="M112" s="420"/>
      <c r="N112" s="417"/>
      <c r="O112" s="418"/>
    </row>
    <row r="113" spans="1:15" s="51" customFormat="1">
      <c r="A113" s="413">
        <v>110</v>
      </c>
      <c r="B113" s="413" t="s">
        <v>883</v>
      </c>
      <c r="C113" s="413" t="s">
        <v>148</v>
      </c>
      <c r="D113" s="416" t="s">
        <v>401</v>
      </c>
      <c r="E113" s="83">
        <v>14</v>
      </c>
      <c r="F113" s="83">
        <v>0</v>
      </c>
      <c r="G113" s="415">
        <v>1.0087680000000001</v>
      </c>
      <c r="H113" s="416"/>
      <c r="I113" s="416"/>
      <c r="J113" s="83">
        <v>168</v>
      </c>
      <c r="K113" s="83">
        <v>111.74112</v>
      </c>
      <c r="L113" s="415">
        <v>0.57163200000000025</v>
      </c>
      <c r="M113" s="420"/>
      <c r="N113" s="417"/>
      <c r="O113" s="418"/>
    </row>
    <row r="114" spans="1:15" s="51" customFormat="1">
      <c r="A114" s="413">
        <v>111</v>
      </c>
      <c r="B114" s="413" t="s">
        <v>883</v>
      </c>
      <c r="C114" s="413" t="s">
        <v>148</v>
      </c>
      <c r="D114" s="416" t="s">
        <v>885</v>
      </c>
      <c r="E114" s="83">
        <v>15</v>
      </c>
      <c r="F114" s="83">
        <v>6.1459199999999994</v>
      </c>
      <c r="G114" s="415">
        <v>0</v>
      </c>
      <c r="H114" s="416"/>
      <c r="I114" s="416"/>
      <c r="J114" s="83">
        <v>208.3</v>
      </c>
      <c r="K114" s="83">
        <v>197.39543999999998</v>
      </c>
      <c r="L114" s="415">
        <v>0.21734400000000001</v>
      </c>
      <c r="M114" s="420"/>
      <c r="N114" s="417"/>
      <c r="O114" s="418"/>
    </row>
    <row r="115" spans="1:15" s="51" customFormat="1">
      <c r="A115" s="413">
        <v>112</v>
      </c>
      <c r="B115" s="413" t="s">
        <v>883</v>
      </c>
      <c r="C115" s="413" t="s">
        <v>148</v>
      </c>
      <c r="D115" s="416" t="s">
        <v>886</v>
      </c>
      <c r="E115" s="83">
        <v>2.8</v>
      </c>
      <c r="F115" s="83">
        <v>3.6863999999999999</v>
      </c>
      <c r="G115" s="415" t="e">
        <v>#DIV/0!</v>
      </c>
      <c r="H115" s="416"/>
      <c r="I115" s="416"/>
      <c r="J115" s="83">
        <v>72</v>
      </c>
      <c r="K115" s="83">
        <v>25.411200000000001</v>
      </c>
      <c r="L115" s="415">
        <v>1.4574720000000001</v>
      </c>
      <c r="M115" s="420"/>
      <c r="N115" s="417"/>
      <c r="O115" s="418"/>
    </row>
    <row r="116" spans="1:15" s="51" customFormat="1">
      <c r="A116" s="413">
        <v>113</v>
      </c>
      <c r="B116" s="413" t="s">
        <v>883</v>
      </c>
      <c r="C116" s="413" t="s">
        <v>148</v>
      </c>
      <c r="D116" s="416" t="s">
        <v>403</v>
      </c>
      <c r="E116" s="83">
        <v>1</v>
      </c>
      <c r="F116" s="83">
        <v>0</v>
      </c>
      <c r="G116" s="415" t="e">
        <v>#DIV/0!</v>
      </c>
      <c r="H116" s="416"/>
      <c r="I116" s="416"/>
      <c r="J116" s="83">
        <v>21.3</v>
      </c>
      <c r="K116" s="83">
        <v>21.686400000000003</v>
      </c>
      <c r="L116" s="415">
        <v>1.4619840000000002</v>
      </c>
      <c r="M116" s="420"/>
      <c r="N116" s="417"/>
      <c r="O116" s="418"/>
    </row>
    <row r="117" spans="1:15" s="51" customFormat="1">
      <c r="A117" s="413">
        <v>114</v>
      </c>
      <c r="B117" s="413" t="s">
        <v>883</v>
      </c>
      <c r="C117" s="413" t="s">
        <v>148</v>
      </c>
      <c r="D117" s="416" t="s">
        <v>404</v>
      </c>
      <c r="E117" s="83">
        <v>5</v>
      </c>
      <c r="F117" s="83">
        <v>0</v>
      </c>
      <c r="G117" s="415" t="e">
        <v>#DIV/0!</v>
      </c>
      <c r="H117" s="416"/>
      <c r="I117" s="416"/>
      <c r="J117" s="83">
        <v>27</v>
      </c>
      <c r="K117" s="83">
        <v>18.59808</v>
      </c>
      <c r="L117" s="415">
        <v>0.65726399999999996</v>
      </c>
      <c r="M117" s="420"/>
      <c r="N117" s="417"/>
      <c r="O117" s="418"/>
    </row>
    <row r="118" spans="1:15" s="51" customFormat="1">
      <c r="A118" s="413">
        <v>115</v>
      </c>
      <c r="B118" s="413" t="s">
        <v>883</v>
      </c>
      <c r="C118" s="413" t="s">
        <v>148</v>
      </c>
      <c r="D118" s="416" t="s">
        <v>887</v>
      </c>
      <c r="E118" s="83">
        <v>10</v>
      </c>
      <c r="F118" s="83">
        <v>15.551999999999994</v>
      </c>
      <c r="G118" s="415">
        <v>1.48512</v>
      </c>
      <c r="H118" s="416"/>
      <c r="I118" s="416"/>
      <c r="J118" s="83">
        <v>170</v>
      </c>
      <c r="K118" s="83">
        <v>286.69968000000006</v>
      </c>
      <c r="L118" s="415">
        <v>2.214885818181819</v>
      </c>
      <c r="M118" s="420"/>
      <c r="N118" s="417"/>
      <c r="O118" s="418"/>
    </row>
    <row r="119" spans="1:15" s="51" customFormat="1">
      <c r="A119" s="413">
        <v>116</v>
      </c>
      <c r="B119" s="413" t="s">
        <v>883</v>
      </c>
      <c r="C119" s="413" t="s">
        <v>148</v>
      </c>
      <c r="D119" s="416" t="s">
        <v>888</v>
      </c>
      <c r="E119" s="83">
        <v>1.4</v>
      </c>
      <c r="F119" s="83">
        <v>2.3039999999999998</v>
      </c>
      <c r="G119" s="415">
        <v>0</v>
      </c>
      <c r="H119" s="416"/>
      <c r="I119" s="416"/>
      <c r="J119" s="83">
        <v>14.3</v>
      </c>
      <c r="K119" s="83">
        <v>15.801600000000001</v>
      </c>
      <c r="L119" s="415">
        <v>0.61238399999999993</v>
      </c>
      <c r="M119" s="420"/>
      <c r="N119" s="417"/>
      <c r="O119" s="418"/>
    </row>
    <row r="120" spans="1:15" s="51" customFormat="1">
      <c r="A120" s="413">
        <v>117</v>
      </c>
      <c r="B120" s="413" t="s">
        <v>883</v>
      </c>
      <c r="C120" s="413" t="s">
        <v>148</v>
      </c>
      <c r="D120" s="416" t="s">
        <v>889</v>
      </c>
      <c r="E120" s="83">
        <v>0</v>
      </c>
      <c r="F120" s="83">
        <v>0</v>
      </c>
      <c r="G120" s="415" t="e">
        <v>#DIV/0!</v>
      </c>
      <c r="H120" s="416"/>
      <c r="I120" s="416"/>
      <c r="J120" s="83">
        <v>25</v>
      </c>
      <c r="K120" s="83">
        <v>27.0336</v>
      </c>
      <c r="L120" s="415">
        <v>1.4566399999999999</v>
      </c>
      <c r="M120" s="420"/>
      <c r="N120" s="417"/>
      <c r="O120" s="418"/>
    </row>
    <row r="121" spans="1:15" s="51" customFormat="1">
      <c r="A121" s="413">
        <v>118</v>
      </c>
      <c r="B121" s="413" t="s">
        <v>883</v>
      </c>
      <c r="C121" s="413" t="s">
        <v>148</v>
      </c>
      <c r="D121" s="416" t="s">
        <v>890</v>
      </c>
      <c r="E121" s="83">
        <v>15</v>
      </c>
      <c r="F121" s="83">
        <v>20.851199999999999</v>
      </c>
      <c r="G121" s="415">
        <v>0</v>
      </c>
      <c r="H121" s="416"/>
      <c r="I121" s="416"/>
      <c r="J121" s="83">
        <v>153</v>
      </c>
      <c r="K121" s="83">
        <v>197.328</v>
      </c>
      <c r="L121" s="415">
        <v>0.20822479338842975</v>
      </c>
      <c r="M121" s="420"/>
      <c r="N121" s="417"/>
      <c r="O121" s="418"/>
    </row>
    <row r="122" spans="1:15" s="51" customFormat="1">
      <c r="A122" s="413">
        <v>119</v>
      </c>
      <c r="B122" s="413" t="s">
        <v>883</v>
      </c>
      <c r="C122" s="413" t="s">
        <v>148</v>
      </c>
      <c r="D122" s="416" t="s">
        <v>891</v>
      </c>
      <c r="E122" s="83">
        <v>1.2</v>
      </c>
      <c r="F122" s="83">
        <v>0</v>
      </c>
      <c r="G122" s="415">
        <v>0</v>
      </c>
      <c r="H122" s="416"/>
      <c r="I122" s="416"/>
      <c r="J122" s="83">
        <v>20</v>
      </c>
      <c r="K122" s="83">
        <v>2.3961600000000001</v>
      </c>
      <c r="L122" s="415">
        <v>8.1610549450549449E-2</v>
      </c>
      <c r="M122" s="420"/>
      <c r="N122" s="417"/>
      <c r="O122" s="418"/>
    </row>
    <row r="123" spans="1:15" s="51" customFormat="1">
      <c r="A123" s="413">
        <v>120</v>
      </c>
      <c r="B123" s="413" t="s">
        <v>883</v>
      </c>
      <c r="C123" s="413" t="s">
        <v>148</v>
      </c>
      <c r="D123" s="416" t="s">
        <v>410</v>
      </c>
      <c r="E123" s="83">
        <v>3</v>
      </c>
      <c r="F123" s="83">
        <v>0</v>
      </c>
      <c r="G123" s="415">
        <v>0</v>
      </c>
      <c r="H123" s="416"/>
      <c r="I123" s="416"/>
      <c r="J123" s="83">
        <v>88.2</v>
      </c>
      <c r="K123" s="83">
        <v>38.920320000000004</v>
      </c>
      <c r="L123" s="415">
        <v>0.35238545454545456</v>
      </c>
      <c r="M123" s="420"/>
      <c r="N123" s="417"/>
      <c r="O123" s="418"/>
    </row>
    <row r="124" spans="1:15" s="51" customFormat="1">
      <c r="A124" s="413">
        <v>121</v>
      </c>
      <c r="B124" s="413" t="s">
        <v>883</v>
      </c>
      <c r="C124" s="413" t="s">
        <v>148</v>
      </c>
      <c r="D124" s="416" t="s">
        <v>411</v>
      </c>
      <c r="E124" s="83">
        <v>3</v>
      </c>
      <c r="F124" s="83">
        <v>0</v>
      </c>
      <c r="G124" s="415">
        <v>0</v>
      </c>
      <c r="H124" s="416"/>
      <c r="I124" s="416"/>
      <c r="J124" s="83">
        <v>42</v>
      </c>
      <c r="K124" s="83">
        <v>11.224319999999999</v>
      </c>
      <c r="L124" s="415">
        <v>0.57590399999999997</v>
      </c>
      <c r="M124" s="420"/>
      <c r="N124" s="417"/>
      <c r="O124" s="418"/>
    </row>
    <row r="125" spans="1:15" s="51" customFormat="1">
      <c r="A125" s="413">
        <v>122</v>
      </c>
      <c r="B125" s="413" t="s">
        <v>883</v>
      </c>
      <c r="C125" s="413" t="s">
        <v>148</v>
      </c>
      <c r="D125" s="416" t="s">
        <v>892</v>
      </c>
      <c r="E125" s="83">
        <v>8</v>
      </c>
      <c r="F125" s="83">
        <v>0</v>
      </c>
      <c r="G125" s="415" t="e">
        <v>#DIV/0!</v>
      </c>
      <c r="H125" s="416"/>
      <c r="I125" s="416"/>
      <c r="J125" s="83">
        <v>90</v>
      </c>
      <c r="K125" s="83">
        <v>37.094880000000003</v>
      </c>
      <c r="L125" s="415">
        <v>1.279488</v>
      </c>
      <c r="M125" s="420"/>
      <c r="N125" s="417"/>
      <c r="O125" s="418"/>
    </row>
    <row r="126" spans="1:15" s="51" customFormat="1">
      <c r="A126" s="413">
        <v>123</v>
      </c>
      <c r="B126" s="413" t="s">
        <v>883</v>
      </c>
      <c r="C126" s="413" t="s">
        <v>148</v>
      </c>
      <c r="D126" s="416" t="s">
        <v>413</v>
      </c>
      <c r="E126" s="83">
        <v>6</v>
      </c>
      <c r="F126" s="83">
        <v>2.64384</v>
      </c>
      <c r="G126" s="415">
        <v>0</v>
      </c>
      <c r="H126" s="416"/>
      <c r="I126" s="416"/>
      <c r="J126" s="83">
        <v>45</v>
      </c>
      <c r="K126" s="83">
        <v>34.391040000000004</v>
      </c>
      <c r="L126" s="415">
        <v>0.46385142857142858</v>
      </c>
      <c r="M126" s="420"/>
      <c r="N126" s="417"/>
      <c r="O126" s="418"/>
    </row>
    <row r="127" spans="1:15" s="51" customFormat="1">
      <c r="A127" s="413">
        <v>124</v>
      </c>
      <c r="B127" s="413" t="s">
        <v>883</v>
      </c>
      <c r="C127" s="413" t="s">
        <v>148</v>
      </c>
      <c r="D127" s="416" t="s">
        <v>893</v>
      </c>
      <c r="E127" s="83">
        <v>3</v>
      </c>
      <c r="F127" s="83">
        <v>0.46079999999999999</v>
      </c>
      <c r="G127" s="415">
        <v>0.42959999999999998</v>
      </c>
      <c r="H127" s="416"/>
      <c r="I127" s="416"/>
      <c r="J127" s="83">
        <v>30</v>
      </c>
      <c r="K127" s="83">
        <v>18.846720000000001</v>
      </c>
      <c r="L127" s="415">
        <v>0.58490400000000009</v>
      </c>
      <c r="M127" s="420"/>
      <c r="N127" s="417"/>
      <c r="O127" s="418"/>
    </row>
    <row r="128" spans="1:15" s="51" customFormat="1">
      <c r="A128" s="413">
        <v>125</v>
      </c>
      <c r="B128" s="413" t="s">
        <v>883</v>
      </c>
      <c r="C128" s="413" t="s">
        <v>148</v>
      </c>
      <c r="D128" s="416" t="s">
        <v>415</v>
      </c>
      <c r="E128" s="83">
        <v>15</v>
      </c>
      <c r="F128" s="83">
        <v>30.961920000000003</v>
      </c>
      <c r="G128" s="415">
        <v>0.21168000000000001</v>
      </c>
      <c r="H128" s="416"/>
      <c r="I128" s="416"/>
      <c r="J128" s="83">
        <v>260</v>
      </c>
      <c r="K128" s="83">
        <v>130.884096</v>
      </c>
      <c r="L128" s="415">
        <v>0.23430697674418607</v>
      </c>
      <c r="M128" s="420"/>
      <c r="N128" s="417"/>
      <c r="O128" s="418"/>
    </row>
    <row r="129" spans="1:16" s="51" customFormat="1">
      <c r="A129" s="413">
        <v>126</v>
      </c>
      <c r="B129" s="413" t="s">
        <v>883</v>
      </c>
      <c r="C129" s="413" t="s">
        <v>148</v>
      </c>
      <c r="D129" s="416" t="s">
        <v>416</v>
      </c>
      <c r="E129" s="83">
        <v>3</v>
      </c>
      <c r="F129" s="83">
        <v>0</v>
      </c>
      <c r="G129" s="415" t="e">
        <v>#DIV/0!</v>
      </c>
      <c r="H129" s="416"/>
      <c r="I129" s="416"/>
      <c r="J129" s="83">
        <v>55</v>
      </c>
      <c r="K129" s="83">
        <v>16.1568</v>
      </c>
      <c r="L129" s="415">
        <v>0.33519507692307682</v>
      </c>
      <c r="M129" s="420"/>
      <c r="N129" s="417"/>
      <c r="O129" s="418"/>
    </row>
    <row r="130" spans="1:16" s="51" customFormat="1">
      <c r="A130" s="413">
        <v>127</v>
      </c>
      <c r="B130" s="413" t="s">
        <v>883</v>
      </c>
      <c r="C130" s="413" t="s">
        <v>148</v>
      </c>
      <c r="D130" s="416" t="s">
        <v>894</v>
      </c>
      <c r="E130" s="83">
        <v>5</v>
      </c>
      <c r="F130" s="83">
        <v>5.0688000000000004</v>
      </c>
      <c r="G130" s="415" t="e">
        <v>#DIV/0!</v>
      </c>
      <c r="H130" s="416"/>
      <c r="I130" s="416"/>
      <c r="J130" s="83">
        <v>49</v>
      </c>
      <c r="K130" s="83">
        <v>67.168320000000008</v>
      </c>
      <c r="L130" s="415">
        <v>1.0472084210526313</v>
      </c>
      <c r="M130" s="420"/>
      <c r="N130" s="417"/>
      <c r="O130" s="418"/>
    </row>
    <row r="131" spans="1:16" s="51" customFormat="1">
      <c r="A131" s="413">
        <v>128</v>
      </c>
      <c r="B131" s="413" t="s">
        <v>883</v>
      </c>
      <c r="C131" s="413" t="s">
        <v>148</v>
      </c>
      <c r="D131" s="416" t="s">
        <v>418</v>
      </c>
      <c r="E131" s="83">
        <v>5</v>
      </c>
      <c r="F131" s="83">
        <v>16.819199999999999</v>
      </c>
      <c r="G131" s="415">
        <v>0</v>
      </c>
      <c r="H131" s="416"/>
      <c r="I131" s="416"/>
      <c r="J131" s="83">
        <v>60</v>
      </c>
      <c r="K131" s="83">
        <v>59.258880000000005</v>
      </c>
      <c r="L131" s="415">
        <v>1.8813046153846156</v>
      </c>
      <c r="M131" s="420"/>
      <c r="N131" s="417"/>
      <c r="O131" s="418"/>
    </row>
    <row r="132" spans="1:16" s="51" customFormat="1">
      <c r="A132" s="413">
        <v>129</v>
      </c>
      <c r="B132" s="413" t="s">
        <v>883</v>
      </c>
      <c r="C132" s="413" t="s">
        <v>148</v>
      </c>
      <c r="D132" s="416" t="s">
        <v>419</v>
      </c>
      <c r="E132" s="83">
        <v>5</v>
      </c>
      <c r="F132" s="83">
        <v>0</v>
      </c>
      <c r="G132" s="415">
        <v>0.47039999999999998</v>
      </c>
      <c r="H132" s="416"/>
      <c r="I132" s="416"/>
      <c r="J132" s="83">
        <v>50</v>
      </c>
      <c r="K132" s="83">
        <v>10.565759999999997</v>
      </c>
      <c r="L132" s="415">
        <v>0.93413333333333304</v>
      </c>
      <c r="M132" s="420"/>
      <c r="N132" s="417"/>
      <c r="O132" s="418"/>
    </row>
    <row r="133" spans="1:16" s="51" customFormat="1">
      <c r="A133" s="413">
        <v>130</v>
      </c>
      <c r="B133" s="413" t="s">
        <v>883</v>
      </c>
      <c r="C133" s="413" t="s">
        <v>148</v>
      </c>
      <c r="D133" s="416" t="s">
        <v>420</v>
      </c>
      <c r="E133" s="83">
        <v>3.8</v>
      </c>
      <c r="F133" s="83">
        <v>4.80192</v>
      </c>
      <c r="G133" s="415" t="e">
        <v>#DIV/0!</v>
      </c>
      <c r="H133" s="416"/>
      <c r="I133" s="416"/>
      <c r="J133" s="83">
        <v>20.860000000000003</v>
      </c>
      <c r="K133" s="83">
        <v>19.862400000000001</v>
      </c>
      <c r="L133" s="415">
        <v>0.40100571428571435</v>
      </c>
      <c r="M133" s="420"/>
      <c r="N133" s="417"/>
      <c r="O133" s="418"/>
    </row>
    <row r="134" spans="1:16" s="51" customFormat="1">
      <c r="A134" s="413">
        <v>131</v>
      </c>
      <c r="B134" s="414" t="s">
        <v>883</v>
      </c>
      <c r="C134" s="414" t="s">
        <v>148</v>
      </c>
      <c r="D134" s="416" t="s">
        <v>895</v>
      </c>
      <c r="E134" s="83">
        <v>6</v>
      </c>
      <c r="F134" s="83">
        <v>0</v>
      </c>
      <c r="G134" s="415" t="e">
        <v>#DIV/0!</v>
      </c>
      <c r="H134" s="416"/>
      <c r="I134" s="416"/>
      <c r="J134" s="83">
        <v>50</v>
      </c>
      <c r="K134" s="83">
        <v>22.45824</v>
      </c>
      <c r="L134" s="415">
        <v>1.5078857142857143</v>
      </c>
      <c r="M134" s="420"/>
      <c r="N134" s="417"/>
      <c r="O134" s="418"/>
    </row>
    <row r="135" spans="1:16" s="51" customFormat="1">
      <c r="A135" s="413">
        <v>132</v>
      </c>
      <c r="B135" s="414" t="s">
        <v>883</v>
      </c>
      <c r="C135" s="414" t="s">
        <v>148</v>
      </c>
      <c r="D135" s="416" t="s">
        <v>422</v>
      </c>
      <c r="E135" s="83">
        <v>0</v>
      </c>
      <c r="F135" s="83">
        <v>0</v>
      </c>
      <c r="G135" s="415">
        <v>0</v>
      </c>
      <c r="H135" s="416"/>
      <c r="I135" s="416"/>
      <c r="J135" s="83">
        <v>8</v>
      </c>
      <c r="K135" s="83">
        <v>4.8249599999999999</v>
      </c>
      <c r="L135" s="415">
        <v>0.70771200000000001</v>
      </c>
      <c r="M135" s="420"/>
      <c r="N135" s="417"/>
      <c r="O135" s="418"/>
    </row>
    <row r="136" spans="1:16" s="51" customFormat="1">
      <c r="A136" s="413">
        <v>133</v>
      </c>
      <c r="B136" s="414" t="s">
        <v>883</v>
      </c>
      <c r="C136" s="414" t="s">
        <v>148</v>
      </c>
      <c r="D136" s="416" t="s">
        <v>896</v>
      </c>
      <c r="E136" s="83">
        <v>10</v>
      </c>
      <c r="F136" s="83">
        <v>0</v>
      </c>
      <c r="G136" s="415" t="e">
        <v>#DIV/0!</v>
      </c>
      <c r="H136" s="416"/>
      <c r="I136" s="416"/>
      <c r="J136" s="83">
        <v>110</v>
      </c>
      <c r="K136" s="83">
        <v>15.045120000000001</v>
      </c>
      <c r="L136" s="415">
        <v>1.3852800000000001</v>
      </c>
      <c r="M136" s="420"/>
      <c r="N136" s="417"/>
      <c r="O136" s="418"/>
    </row>
    <row r="137" spans="1:16" s="51" customFormat="1">
      <c r="A137" s="413">
        <v>134</v>
      </c>
      <c r="B137" s="414" t="s">
        <v>883</v>
      </c>
      <c r="C137" s="414" t="s">
        <v>148</v>
      </c>
      <c r="D137" s="416" t="s">
        <v>425</v>
      </c>
      <c r="E137" s="83">
        <v>0</v>
      </c>
      <c r="F137" s="83">
        <v>0</v>
      </c>
      <c r="G137" s="415">
        <v>2.0768</v>
      </c>
      <c r="H137" s="416"/>
      <c r="I137" s="416"/>
      <c r="J137" s="83">
        <v>6</v>
      </c>
      <c r="K137" s="83">
        <v>0.72</v>
      </c>
      <c r="L137" s="415">
        <v>1.7132999999999998</v>
      </c>
      <c r="M137" s="420"/>
      <c r="N137" s="417"/>
      <c r="O137" s="418"/>
    </row>
    <row r="138" spans="1:16" s="51" customFormat="1">
      <c r="A138" s="413">
        <v>135</v>
      </c>
      <c r="B138" s="414" t="s">
        <v>883</v>
      </c>
      <c r="C138" s="414" t="s">
        <v>148</v>
      </c>
      <c r="D138" s="416" t="s">
        <v>897</v>
      </c>
      <c r="E138" s="83">
        <v>10</v>
      </c>
      <c r="F138" s="83">
        <v>0</v>
      </c>
      <c r="G138" s="415">
        <v>0</v>
      </c>
      <c r="H138" s="416"/>
      <c r="I138" s="416"/>
      <c r="J138" s="83">
        <v>40</v>
      </c>
      <c r="K138" s="83">
        <v>92.49311999999999</v>
      </c>
      <c r="L138" s="415">
        <v>0.49271999999999999</v>
      </c>
      <c r="M138" s="420"/>
      <c r="N138" s="417"/>
      <c r="O138" s="418"/>
    </row>
    <row r="139" spans="1:16" s="51" customFormat="1">
      <c r="A139" s="413">
        <v>136</v>
      </c>
      <c r="B139" s="414" t="s">
        <v>883</v>
      </c>
      <c r="C139" s="414" t="s">
        <v>148</v>
      </c>
      <c r="D139" s="416" t="s">
        <v>898</v>
      </c>
      <c r="E139" s="83">
        <v>0</v>
      </c>
      <c r="F139" s="83">
        <v>0</v>
      </c>
      <c r="G139" s="415">
        <v>0.47856000000000004</v>
      </c>
      <c r="H139" s="416"/>
      <c r="I139" s="416"/>
      <c r="J139" s="83">
        <v>27</v>
      </c>
      <c r="K139" s="83">
        <v>16.1784</v>
      </c>
      <c r="L139" s="415">
        <v>0.75456000000000001</v>
      </c>
      <c r="M139" s="419"/>
      <c r="N139" s="417"/>
      <c r="O139" s="418"/>
    </row>
    <row r="140" spans="1:16" s="51" customFormat="1">
      <c r="A140" s="413">
        <v>137</v>
      </c>
      <c r="B140" s="414" t="s">
        <v>883</v>
      </c>
      <c r="C140" s="414" t="s">
        <v>148</v>
      </c>
      <c r="D140" s="416" t="s">
        <v>899</v>
      </c>
      <c r="E140" s="83">
        <v>2</v>
      </c>
      <c r="F140" s="83">
        <v>0</v>
      </c>
      <c r="G140" s="415" t="e">
        <v>#DIV/0!</v>
      </c>
      <c r="H140" s="416"/>
      <c r="I140" s="416"/>
      <c r="J140" s="83">
        <v>16</v>
      </c>
      <c r="K140" s="83">
        <v>19.411199999999997</v>
      </c>
      <c r="L140" s="415">
        <v>0.65557333333333323</v>
      </c>
      <c r="M140" s="419"/>
      <c r="N140" s="417"/>
      <c r="O140" s="418"/>
    </row>
    <row r="141" spans="1:16" s="51" customFormat="1">
      <c r="A141" s="413">
        <v>138</v>
      </c>
      <c r="B141" s="414" t="s">
        <v>883</v>
      </c>
      <c r="C141" s="414" t="s">
        <v>148</v>
      </c>
      <c r="D141" s="416" t="s">
        <v>908</v>
      </c>
      <c r="E141" s="83">
        <v>1.5</v>
      </c>
      <c r="F141" s="83">
        <v>4.0031999999999996</v>
      </c>
      <c r="G141" s="415">
        <v>1.3536000000000001</v>
      </c>
      <c r="H141" s="416"/>
      <c r="I141" s="416"/>
      <c r="J141" s="83">
        <v>15</v>
      </c>
      <c r="K141" s="83">
        <v>10.876799999999999</v>
      </c>
      <c r="L141" s="415">
        <v>1.0126829268292685</v>
      </c>
      <c r="M141" s="419"/>
      <c r="N141" s="417"/>
      <c r="O141" s="418"/>
    </row>
    <row r="142" spans="1:16" s="51" customFormat="1">
      <c r="A142" s="413">
        <v>139</v>
      </c>
      <c r="B142" s="414" t="s">
        <v>883</v>
      </c>
      <c r="C142" s="414" t="s">
        <v>148</v>
      </c>
      <c r="D142" s="416" t="s">
        <v>429</v>
      </c>
      <c r="E142" s="83">
        <v>0</v>
      </c>
      <c r="F142" s="83">
        <v>0</v>
      </c>
      <c r="G142" s="415">
        <v>3.0271999999999997</v>
      </c>
      <c r="H142" s="416"/>
      <c r="I142" s="416"/>
      <c r="J142" s="83">
        <v>23</v>
      </c>
      <c r="K142" s="83">
        <v>5.37216</v>
      </c>
      <c r="L142" s="415">
        <v>1.6269333333333336</v>
      </c>
      <c r="M142" s="419"/>
      <c r="N142" s="417"/>
      <c r="O142" s="418"/>
    </row>
    <row r="143" spans="1:16" s="51" customFormat="1">
      <c r="A143" s="413">
        <v>140</v>
      </c>
      <c r="B143" s="414" t="s">
        <v>883</v>
      </c>
      <c r="C143" s="414" t="s">
        <v>148</v>
      </c>
      <c r="D143" s="416" t="s">
        <v>430</v>
      </c>
      <c r="E143" s="83">
        <v>5</v>
      </c>
      <c r="F143" s="83">
        <v>1.8431999999999999</v>
      </c>
      <c r="G143" s="415">
        <v>0</v>
      </c>
      <c r="H143" s="416"/>
      <c r="I143" s="416"/>
      <c r="J143" s="83">
        <v>17</v>
      </c>
      <c r="K143" s="83">
        <v>17.668320000000001</v>
      </c>
      <c r="L143" s="415">
        <v>0.87097600000000008</v>
      </c>
      <c r="M143" s="419"/>
      <c r="N143" s="417"/>
      <c r="O143" s="418"/>
    </row>
    <row r="144" spans="1:16" s="51" customFormat="1">
      <c r="A144" s="413">
        <v>141</v>
      </c>
      <c r="B144" s="414" t="s">
        <v>883</v>
      </c>
      <c r="C144" s="414" t="s">
        <v>148</v>
      </c>
      <c r="D144" s="414" t="s">
        <v>431</v>
      </c>
      <c r="E144" s="83">
        <v>3.5</v>
      </c>
      <c r="F144" s="83">
        <v>5.5296000000000003</v>
      </c>
      <c r="G144" s="415">
        <v>0</v>
      </c>
      <c r="H144" s="419"/>
      <c r="I144" s="416"/>
      <c r="J144" s="83">
        <v>36.799999999999997</v>
      </c>
      <c r="K144" s="83">
        <v>36.502079999999999</v>
      </c>
      <c r="L144" s="415">
        <v>1.0067520000000001</v>
      </c>
      <c r="M144" s="419"/>
      <c r="N144" s="417"/>
      <c r="P144" s="418"/>
    </row>
    <row r="145" spans="1:16" s="51" customFormat="1">
      <c r="A145" s="413">
        <v>142</v>
      </c>
      <c r="B145" s="414" t="s">
        <v>883</v>
      </c>
      <c r="C145" s="414" t="s">
        <v>148</v>
      </c>
      <c r="D145" s="414" t="s">
        <v>900</v>
      </c>
      <c r="E145" s="83">
        <v>5</v>
      </c>
      <c r="F145" s="83">
        <v>0</v>
      </c>
      <c r="G145" s="415">
        <v>0</v>
      </c>
      <c r="H145" s="419"/>
      <c r="I145" s="416"/>
      <c r="J145" s="83">
        <v>65</v>
      </c>
      <c r="K145" s="83">
        <v>8.4403199999999998</v>
      </c>
      <c r="L145" s="415">
        <v>0.907968</v>
      </c>
      <c r="M145" s="419"/>
      <c r="N145" s="417"/>
      <c r="P145" s="418"/>
    </row>
    <row r="146" spans="1:16" s="51" customFormat="1">
      <c r="A146" s="413">
        <v>143</v>
      </c>
      <c r="B146" s="414" t="s">
        <v>883</v>
      </c>
      <c r="C146" s="414" t="s">
        <v>148</v>
      </c>
      <c r="D146" s="414" t="s">
        <v>433</v>
      </c>
      <c r="E146" s="83">
        <v>6</v>
      </c>
      <c r="F146" s="83">
        <v>0</v>
      </c>
      <c r="G146" s="415">
        <v>0</v>
      </c>
      <c r="H146" s="419"/>
      <c r="I146" s="416"/>
      <c r="J146" s="83">
        <v>32</v>
      </c>
      <c r="K146" s="83">
        <v>24.392640000000004</v>
      </c>
      <c r="L146" s="415">
        <v>0.56932363636363625</v>
      </c>
      <c r="M146" s="419"/>
      <c r="N146" s="417"/>
      <c r="P146" s="418"/>
    </row>
    <row r="147" spans="1:16" s="51" customFormat="1">
      <c r="A147" s="413">
        <v>144</v>
      </c>
      <c r="B147" s="414" t="s">
        <v>883</v>
      </c>
      <c r="C147" s="414" t="s">
        <v>148</v>
      </c>
      <c r="D147" s="414" t="s">
        <v>901</v>
      </c>
      <c r="E147" s="83">
        <v>3</v>
      </c>
      <c r="F147" s="83">
        <v>0</v>
      </c>
      <c r="G147" s="415">
        <v>0</v>
      </c>
      <c r="H147" s="419"/>
      <c r="I147" s="416"/>
      <c r="J147" s="83">
        <v>16</v>
      </c>
      <c r="K147" s="83">
        <v>11.508479999999999</v>
      </c>
      <c r="L147" s="415">
        <v>9.8346666666666652E-2</v>
      </c>
      <c r="M147" s="419"/>
      <c r="N147" s="417"/>
      <c r="P147" s="418"/>
    </row>
    <row r="148" spans="1:16" s="51" customFormat="1">
      <c r="A148" s="413">
        <v>145</v>
      </c>
      <c r="B148" s="414" t="s">
        <v>883</v>
      </c>
      <c r="C148" s="414" t="s">
        <v>148</v>
      </c>
      <c r="D148" s="414" t="s">
        <v>490</v>
      </c>
      <c r="E148" s="83">
        <v>0</v>
      </c>
      <c r="F148" s="83">
        <v>0</v>
      </c>
      <c r="G148" s="415">
        <v>0</v>
      </c>
      <c r="H148" s="419"/>
      <c r="I148" s="416"/>
      <c r="J148" s="83">
        <v>12</v>
      </c>
      <c r="K148" s="83">
        <v>4.4927999999999999</v>
      </c>
      <c r="L148" s="415">
        <v>0.46263466666666669</v>
      </c>
      <c r="M148" s="419"/>
      <c r="N148" s="417"/>
      <c r="P148" s="418"/>
    </row>
    <row r="149" spans="1:16" s="51" customFormat="1">
      <c r="A149" s="413">
        <v>146</v>
      </c>
      <c r="B149" s="414" t="s">
        <v>883</v>
      </c>
      <c r="C149" s="414" t="s">
        <v>148</v>
      </c>
      <c r="D149" s="414" t="s">
        <v>435</v>
      </c>
      <c r="E149" s="83">
        <v>2</v>
      </c>
      <c r="F149" s="83">
        <v>0</v>
      </c>
      <c r="G149" s="415">
        <v>0</v>
      </c>
      <c r="H149" s="419"/>
      <c r="I149" s="416"/>
      <c r="J149" s="83">
        <v>36</v>
      </c>
      <c r="K149" s="83">
        <v>11.514240000000001</v>
      </c>
      <c r="L149" s="415">
        <v>1.0260479999999998</v>
      </c>
      <c r="M149" s="419"/>
      <c r="N149" s="417"/>
      <c r="P149" s="418"/>
    </row>
    <row r="150" spans="1:16" s="51" customFormat="1">
      <c r="A150" s="413">
        <v>147</v>
      </c>
      <c r="B150" s="414" t="s">
        <v>883</v>
      </c>
      <c r="C150" s="414" t="s">
        <v>148</v>
      </c>
      <c r="D150" s="414" t="s">
        <v>862</v>
      </c>
      <c r="E150" s="83">
        <v>0</v>
      </c>
      <c r="F150" s="83">
        <v>0</v>
      </c>
      <c r="G150" s="415">
        <v>3.4713599999999998</v>
      </c>
      <c r="H150" s="419"/>
      <c r="I150" s="416"/>
      <c r="J150" s="83">
        <v>54</v>
      </c>
      <c r="K150" s="83">
        <v>23.410559999999997</v>
      </c>
      <c r="L150" s="415">
        <v>1.2140400000000002</v>
      </c>
      <c r="M150" s="419"/>
      <c r="N150" s="417"/>
      <c r="P150" s="418"/>
    </row>
    <row r="151" spans="1:16" s="51" customFormat="1">
      <c r="A151" s="413">
        <v>148</v>
      </c>
      <c r="B151" s="414" t="s">
        <v>883</v>
      </c>
      <c r="C151" s="414" t="s">
        <v>148</v>
      </c>
      <c r="D151" s="414" t="s">
        <v>387</v>
      </c>
      <c r="E151" s="83">
        <v>4</v>
      </c>
      <c r="F151" s="83">
        <v>0</v>
      </c>
      <c r="G151" s="415">
        <v>0</v>
      </c>
      <c r="H151" s="419"/>
      <c r="I151" s="416"/>
      <c r="J151" s="83">
        <v>30</v>
      </c>
      <c r="K151" s="83">
        <v>76.788480000000007</v>
      </c>
      <c r="L151" s="415">
        <v>1.5865600000000004</v>
      </c>
      <c r="M151" s="419"/>
      <c r="N151" s="417"/>
      <c r="P151" s="418"/>
    </row>
    <row r="152" spans="1:16" s="51" customFormat="1">
      <c r="A152" s="413">
        <v>149</v>
      </c>
      <c r="B152" s="414" t="s">
        <v>883</v>
      </c>
      <c r="C152" s="414" t="s">
        <v>148</v>
      </c>
      <c r="D152" s="414" t="s">
        <v>902</v>
      </c>
      <c r="E152" s="83">
        <v>0</v>
      </c>
      <c r="F152" s="83">
        <v>0.46079999999999999</v>
      </c>
      <c r="G152" s="415" t="e">
        <v>#DIV/0!</v>
      </c>
      <c r="H152" s="419"/>
      <c r="I152" s="416"/>
      <c r="J152" s="83">
        <v>115</v>
      </c>
      <c r="K152" s="83">
        <v>31.848959999999998</v>
      </c>
      <c r="L152" s="415" t="e">
        <v>#DIV/0!</v>
      </c>
      <c r="M152" s="419"/>
      <c r="N152" s="417"/>
      <c r="P152" s="418"/>
    </row>
    <row r="153" spans="1:16" s="51" customFormat="1">
      <c r="A153" s="413">
        <v>150</v>
      </c>
      <c r="B153" s="414" t="s">
        <v>883</v>
      </c>
      <c r="C153" s="414" t="s">
        <v>148</v>
      </c>
      <c r="D153" s="414" t="s">
        <v>903</v>
      </c>
      <c r="E153" s="83">
        <v>0</v>
      </c>
      <c r="F153" s="83">
        <v>0</v>
      </c>
      <c r="G153" s="415" t="e">
        <v>#DIV/0!</v>
      </c>
      <c r="H153" s="419"/>
      <c r="I153" s="416"/>
      <c r="J153" s="83">
        <v>18.5</v>
      </c>
      <c r="K153" s="83">
        <v>18.78528</v>
      </c>
      <c r="L153" s="415" t="e">
        <v>#DIV/0!</v>
      </c>
      <c r="M153" s="419"/>
      <c r="N153" s="417"/>
      <c r="P153" s="418"/>
    </row>
    <row r="154" spans="1:16" s="51" customFormat="1">
      <c r="A154" s="413">
        <v>151</v>
      </c>
      <c r="B154" s="414" t="s">
        <v>883</v>
      </c>
      <c r="C154" s="414" t="s">
        <v>148</v>
      </c>
      <c r="D154" s="414" t="s">
        <v>439</v>
      </c>
      <c r="E154" s="83">
        <v>3</v>
      </c>
      <c r="F154" s="83">
        <v>13.547519999999999</v>
      </c>
      <c r="G154" s="415">
        <v>0.7712</v>
      </c>
      <c r="H154" s="419"/>
      <c r="I154" s="416"/>
      <c r="J154" s="83">
        <v>16.5</v>
      </c>
      <c r="K154" s="83">
        <v>30.926400000000001</v>
      </c>
      <c r="L154" s="415">
        <v>0.18731636363636361</v>
      </c>
      <c r="M154" s="419"/>
      <c r="N154" s="417"/>
      <c r="P154" s="418"/>
    </row>
    <row r="155" spans="1:16" s="51" customFormat="1">
      <c r="A155" s="413">
        <v>152</v>
      </c>
      <c r="B155" s="414" t="s">
        <v>883</v>
      </c>
      <c r="C155" s="414" t="s">
        <v>148</v>
      </c>
      <c r="D155" s="414" t="s">
        <v>440</v>
      </c>
      <c r="E155" s="83">
        <v>2</v>
      </c>
      <c r="F155" s="83">
        <v>0</v>
      </c>
      <c r="G155" s="415" t="e">
        <v>#DIV/0!</v>
      </c>
      <c r="H155" s="419"/>
      <c r="I155" s="416"/>
      <c r="J155" s="83">
        <v>18</v>
      </c>
      <c r="K155" s="83">
        <v>10.805760000000001</v>
      </c>
      <c r="L155" s="415">
        <v>0</v>
      </c>
      <c r="M155" s="419"/>
      <c r="N155" s="417"/>
      <c r="P155" s="418"/>
    </row>
    <row r="156" spans="1:16" s="51" customFormat="1">
      <c r="A156" s="413">
        <v>153</v>
      </c>
      <c r="B156" s="414" t="s">
        <v>883</v>
      </c>
      <c r="C156" s="414" t="s">
        <v>148</v>
      </c>
      <c r="D156" s="414" t="s">
        <v>493</v>
      </c>
      <c r="E156" s="83">
        <v>0</v>
      </c>
      <c r="F156" s="83">
        <v>0</v>
      </c>
      <c r="G156" s="415" t="e">
        <v>#DIV/0!</v>
      </c>
      <c r="H156" s="419"/>
      <c r="I156" s="416"/>
      <c r="J156" s="83">
        <v>20</v>
      </c>
      <c r="K156" s="83">
        <v>16.614720000000002</v>
      </c>
      <c r="L156" s="415">
        <v>1.9939199999999997</v>
      </c>
      <c r="M156" s="419"/>
      <c r="N156" s="417"/>
      <c r="P156" s="418"/>
    </row>
    <row r="157" spans="1:16" s="51" customFormat="1">
      <c r="A157" s="413">
        <v>154</v>
      </c>
      <c r="B157" s="414" t="s">
        <v>883</v>
      </c>
      <c r="C157" s="414" t="s">
        <v>148</v>
      </c>
      <c r="D157" s="414" t="s">
        <v>904</v>
      </c>
      <c r="E157" s="83">
        <v>2</v>
      </c>
      <c r="F157" s="83">
        <v>0</v>
      </c>
      <c r="G157" s="415">
        <v>0</v>
      </c>
      <c r="H157" s="419"/>
      <c r="I157" s="416"/>
      <c r="J157" s="83">
        <v>12</v>
      </c>
      <c r="K157" s="83">
        <v>17.789280000000002</v>
      </c>
      <c r="L157" s="415">
        <v>0</v>
      </c>
      <c r="M157" s="419"/>
      <c r="N157" s="417"/>
      <c r="P157" s="418"/>
    </row>
    <row r="158" spans="1:16" s="51" customFormat="1">
      <c r="A158" s="413">
        <v>155</v>
      </c>
      <c r="B158" s="414" t="s">
        <v>883</v>
      </c>
      <c r="C158" s="414" t="s">
        <v>148</v>
      </c>
      <c r="D158" s="414" t="s">
        <v>905</v>
      </c>
      <c r="E158" s="83">
        <v>1</v>
      </c>
      <c r="F158" s="83">
        <v>2.3519999999999999</v>
      </c>
      <c r="G158" s="415">
        <v>0</v>
      </c>
      <c r="H158" s="419"/>
      <c r="I158" s="416"/>
      <c r="J158" s="83">
        <v>20</v>
      </c>
      <c r="K158" s="83">
        <v>6.8505600000000006</v>
      </c>
      <c r="L158" s="415">
        <v>0</v>
      </c>
      <c r="M158" s="419"/>
      <c r="N158" s="417"/>
      <c r="P158" s="418"/>
    </row>
    <row r="159" spans="1:16" s="51" customFormat="1">
      <c r="A159" s="413">
        <v>156</v>
      </c>
      <c r="B159" s="414" t="s">
        <v>883</v>
      </c>
      <c r="C159" s="414" t="s">
        <v>148</v>
      </c>
      <c r="D159" s="414" t="s">
        <v>442</v>
      </c>
      <c r="E159" s="83">
        <v>2</v>
      </c>
      <c r="F159" s="83">
        <v>0</v>
      </c>
      <c r="G159" s="415">
        <v>0</v>
      </c>
      <c r="H159" s="419"/>
      <c r="I159" s="416"/>
      <c r="J159" s="83">
        <v>20</v>
      </c>
      <c r="K159" s="83">
        <v>8.6937600000000028</v>
      </c>
      <c r="L159" s="415">
        <v>0</v>
      </c>
      <c r="M159" s="419"/>
      <c r="N159" s="417"/>
      <c r="P159" s="418"/>
    </row>
    <row r="160" spans="1:16" s="51" customFormat="1">
      <c r="A160" s="413">
        <v>157</v>
      </c>
      <c r="B160" s="414" t="s">
        <v>883</v>
      </c>
      <c r="C160" s="414" t="s">
        <v>148</v>
      </c>
      <c r="D160" s="414" t="s">
        <v>906</v>
      </c>
      <c r="E160" s="83">
        <v>1</v>
      </c>
      <c r="F160" s="83">
        <v>0</v>
      </c>
      <c r="G160" s="415">
        <v>0.66239999999999999</v>
      </c>
      <c r="H160" s="419"/>
      <c r="I160" s="416"/>
      <c r="J160" s="83">
        <v>9.5500000000000007</v>
      </c>
      <c r="K160" s="83">
        <v>3.8764800000000004</v>
      </c>
      <c r="L160" s="415">
        <v>0.20604</v>
      </c>
      <c r="M160" s="419"/>
      <c r="N160" s="417"/>
      <c r="P160" s="418"/>
    </row>
    <row r="161" spans="1:16" s="51" customFormat="1">
      <c r="A161" s="413">
        <v>158</v>
      </c>
      <c r="B161" s="414" t="s">
        <v>883</v>
      </c>
      <c r="C161" s="414" t="s">
        <v>148</v>
      </c>
      <c r="D161" s="414" t="s">
        <v>492</v>
      </c>
      <c r="E161" s="83">
        <v>1.5</v>
      </c>
      <c r="F161" s="83">
        <v>0.73728000000000005</v>
      </c>
      <c r="G161" s="415">
        <v>0</v>
      </c>
      <c r="H161" s="419"/>
      <c r="I161" s="416"/>
      <c r="J161" s="83">
        <v>14</v>
      </c>
      <c r="K161" s="83">
        <v>7.62432</v>
      </c>
      <c r="L161" s="415">
        <v>0.10483200000000001</v>
      </c>
      <c r="M161" s="419"/>
      <c r="N161" s="417"/>
      <c r="P161" s="418"/>
    </row>
    <row r="162" spans="1:16" s="51" customFormat="1">
      <c r="A162" s="413">
        <v>159</v>
      </c>
      <c r="B162" s="414" t="s">
        <v>883</v>
      </c>
      <c r="C162" s="414" t="s">
        <v>148</v>
      </c>
      <c r="D162" s="414" t="s">
        <v>907</v>
      </c>
      <c r="E162" s="83">
        <v>2</v>
      </c>
      <c r="F162" s="83">
        <v>0</v>
      </c>
      <c r="G162" s="415" t="e">
        <v>#DIV/0!</v>
      </c>
      <c r="H162" s="419"/>
      <c r="I162" s="416"/>
      <c r="J162" s="83">
        <v>41</v>
      </c>
      <c r="K162" s="83">
        <v>22.32816</v>
      </c>
      <c r="L162" s="415">
        <v>0.14291200000000001</v>
      </c>
      <c r="M162" s="419"/>
      <c r="N162" s="417"/>
      <c r="P162" s="418"/>
    </row>
    <row r="163" spans="1:16" s="51" customFormat="1">
      <c r="A163" s="413">
        <v>160</v>
      </c>
      <c r="B163" s="414" t="s">
        <v>883</v>
      </c>
      <c r="C163" s="414" t="s">
        <v>148</v>
      </c>
      <c r="D163" s="414" t="s">
        <v>909</v>
      </c>
      <c r="E163" s="83">
        <v>10</v>
      </c>
      <c r="F163" s="83">
        <v>3.2256</v>
      </c>
      <c r="G163" s="415" t="e">
        <v>#DIV/0!</v>
      </c>
      <c r="H163" s="419"/>
      <c r="I163" s="416"/>
      <c r="J163" s="83">
        <v>105</v>
      </c>
      <c r="K163" s="83">
        <v>112.53312</v>
      </c>
      <c r="L163" s="415">
        <v>0</v>
      </c>
      <c r="M163" s="419"/>
      <c r="N163" s="417"/>
      <c r="P163" s="418"/>
    </row>
    <row r="164" spans="1:16" s="51" customFormat="1">
      <c r="A164" s="413">
        <v>161</v>
      </c>
      <c r="B164" s="414" t="s">
        <v>883</v>
      </c>
      <c r="C164" s="414" t="s">
        <v>148</v>
      </c>
      <c r="D164" s="414" t="s">
        <v>874</v>
      </c>
      <c r="E164" s="83">
        <v>2</v>
      </c>
      <c r="F164" s="83">
        <v>0</v>
      </c>
      <c r="G164" s="415">
        <v>0</v>
      </c>
      <c r="H164" s="419"/>
      <c r="I164" s="416"/>
      <c r="J164" s="83">
        <v>32</v>
      </c>
      <c r="K164" s="83">
        <v>13.544639999999999</v>
      </c>
      <c r="L164" s="415">
        <v>0</v>
      </c>
      <c r="M164" s="419"/>
      <c r="N164" s="417"/>
      <c r="P164" s="418"/>
    </row>
    <row r="165" spans="1:16" s="51" customFormat="1">
      <c r="A165" s="413">
        <v>162</v>
      </c>
      <c r="B165" s="414" t="s">
        <v>883</v>
      </c>
      <c r="C165" s="414" t="s">
        <v>148</v>
      </c>
      <c r="D165" s="414" t="s">
        <v>875</v>
      </c>
      <c r="E165" s="83">
        <v>2.4</v>
      </c>
      <c r="F165" s="83">
        <v>0</v>
      </c>
      <c r="G165" s="415" t="e">
        <v>#DIV/0!</v>
      </c>
      <c r="H165" s="419"/>
      <c r="I165" s="416"/>
      <c r="J165" s="83">
        <v>17.2</v>
      </c>
      <c r="K165" s="83">
        <v>17.580479999999998</v>
      </c>
      <c r="L165" s="415">
        <v>1.0032240000000001</v>
      </c>
      <c r="M165" s="419"/>
      <c r="N165" s="417"/>
      <c r="P165" s="418"/>
    </row>
    <row r="166" spans="1:16" s="51" customFormat="1">
      <c r="A166" s="413">
        <v>163</v>
      </c>
      <c r="B166" s="414" t="s">
        <v>883</v>
      </c>
      <c r="C166" s="414" t="s">
        <v>148</v>
      </c>
      <c r="D166" s="414" t="s">
        <v>876</v>
      </c>
      <c r="E166" s="83">
        <v>2.4</v>
      </c>
      <c r="F166" s="83">
        <v>20.275200000000002</v>
      </c>
      <c r="G166" s="415">
        <v>2.0313600000000003</v>
      </c>
      <c r="H166" s="419"/>
      <c r="I166" s="416"/>
      <c r="J166" s="83">
        <v>18</v>
      </c>
      <c r="K166" s="83">
        <v>66.414719999999988</v>
      </c>
      <c r="L166" s="415">
        <v>0.41811199999999993</v>
      </c>
      <c r="M166" s="419"/>
      <c r="N166" s="417"/>
      <c r="P166" s="418"/>
    </row>
    <row r="167" spans="1:16" s="51" customFormat="1">
      <c r="A167" s="413">
        <v>164</v>
      </c>
      <c r="B167" s="414" t="s">
        <v>883</v>
      </c>
      <c r="C167" s="414" t="s">
        <v>148</v>
      </c>
      <c r="D167" s="414" t="s">
        <v>877</v>
      </c>
      <c r="E167" s="83">
        <v>2</v>
      </c>
      <c r="F167" s="83">
        <v>5.5948799999999999</v>
      </c>
      <c r="G167" s="415" t="e">
        <v>#DIV/0!</v>
      </c>
      <c r="H167" s="419"/>
      <c r="I167" s="416"/>
      <c r="J167" s="83">
        <v>15</v>
      </c>
      <c r="K167" s="83">
        <v>17.7</v>
      </c>
      <c r="L167" s="415">
        <v>0.61324800000000013</v>
      </c>
      <c r="M167" s="419"/>
      <c r="N167" s="417"/>
      <c r="P167" s="418"/>
    </row>
    <row r="168" spans="1:16" s="51" customFormat="1">
      <c r="A168" s="413">
        <v>165</v>
      </c>
      <c r="B168" s="414" t="s">
        <v>883</v>
      </c>
      <c r="C168" s="414" t="s">
        <v>148</v>
      </c>
      <c r="D168" s="414" t="s">
        <v>878</v>
      </c>
      <c r="E168" s="83">
        <v>0</v>
      </c>
      <c r="F168" s="83">
        <v>2.8531200000000001</v>
      </c>
      <c r="G168" s="415" t="e">
        <v>#DIV/0!</v>
      </c>
      <c r="H168" s="419"/>
      <c r="I168" s="416"/>
      <c r="J168" s="83">
        <v>10</v>
      </c>
      <c r="K168" s="83">
        <v>10.17216</v>
      </c>
      <c r="L168" s="415" t="e">
        <v>#DIV/0!</v>
      </c>
      <c r="M168" s="419"/>
      <c r="N168" s="417"/>
      <c r="P168" s="418"/>
    </row>
    <row r="169" spans="1:16" s="51" customFormat="1">
      <c r="A169" s="413">
        <v>166</v>
      </c>
      <c r="B169" s="414" t="s">
        <v>883</v>
      </c>
      <c r="C169" s="414" t="s">
        <v>148</v>
      </c>
      <c r="D169" s="414" t="s">
        <v>870</v>
      </c>
      <c r="E169" s="83">
        <v>0</v>
      </c>
      <c r="F169" s="83">
        <v>0</v>
      </c>
      <c r="G169" s="415">
        <v>0</v>
      </c>
      <c r="H169" s="419"/>
      <c r="I169" s="416"/>
      <c r="J169" s="83">
        <v>25</v>
      </c>
      <c r="K169" s="83">
        <v>11.97504</v>
      </c>
      <c r="L169" s="415">
        <v>0</v>
      </c>
      <c r="M169" s="419"/>
      <c r="N169" s="417"/>
      <c r="P169" s="418"/>
    </row>
    <row r="170" spans="1:16" s="51" customFormat="1">
      <c r="A170" s="413">
        <v>167</v>
      </c>
      <c r="B170" s="414" t="s">
        <v>883</v>
      </c>
      <c r="C170" s="414" t="s">
        <v>148</v>
      </c>
      <c r="D170" s="414" t="s">
        <v>879</v>
      </c>
      <c r="E170" s="83">
        <v>3</v>
      </c>
      <c r="F170" s="83">
        <v>5.6275199999999996</v>
      </c>
      <c r="G170" s="415">
        <v>0</v>
      </c>
      <c r="H170" s="419"/>
      <c r="I170" s="416"/>
      <c r="J170" s="83">
        <v>24</v>
      </c>
      <c r="K170" s="83">
        <v>24.051840000000002</v>
      </c>
      <c r="L170" s="415">
        <v>0.58713599999999988</v>
      </c>
      <c r="M170" s="419"/>
      <c r="N170" s="417"/>
      <c r="P170" s="418"/>
    </row>
    <row r="171" spans="1:16" s="51" customFormat="1">
      <c r="A171" s="413">
        <v>168</v>
      </c>
      <c r="B171" s="414" t="s">
        <v>883</v>
      </c>
      <c r="C171" s="414" t="s">
        <v>148</v>
      </c>
      <c r="D171" s="414" t="s">
        <v>924</v>
      </c>
      <c r="E171" s="83">
        <v>5</v>
      </c>
      <c r="F171" s="83">
        <v>4.6079999999999997</v>
      </c>
      <c r="G171" s="415">
        <v>0</v>
      </c>
      <c r="H171" s="419"/>
      <c r="I171" s="416"/>
      <c r="J171" s="83">
        <v>45</v>
      </c>
      <c r="K171" s="83">
        <v>19.242239999999999</v>
      </c>
      <c r="L171" s="415">
        <v>7.6923076923076925E-7</v>
      </c>
      <c r="M171" s="419"/>
      <c r="N171" s="417"/>
      <c r="P171" s="418"/>
    </row>
    <row r="172" spans="1:16" s="51" customFormat="1">
      <c r="A172" s="413">
        <v>169</v>
      </c>
      <c r="B172" s="414" t="s">
        <v>883</v>
      </c>
      <c r="C172" s="414" t="s">
        <v>148</v>
      </c>
      <c r="D172" s="414" t="s">
        <v>925</v>
      </c>
      <c r="E172" s="83">
        <v>4</v>
      </c>
      <c r="F172" s="83">
        <v>4.6079999999999997</v>
      </c>
      <c r="G172" s="415">
        <v>0</v>
      </c>
      <c r="H172" s="419"/>
      <c r="I172" s="416"/>
      <c r="J172" s="83">
        <v>36</v>
      </c>
      <c r="K172" s="83">
        <v>45.413759999999996</v>
      </c>
      <c r="L172" s="415">
        <v>2.3809523809523812E-6</v>
      </c>
      <c r="M172" s="419"/>
      <c r="N172" s="417"/>
      <c r="P172" s="418"/>
    </row>
    <row r="173" spans="1:16" s="51" customFormat="1">
      <c r="A173" s="413">
        <v>170</v>
      </c>
      <c r="B173" s="414" t="s">
        <v>883</v>
      </c>
      <c r="C173" s="414" t="s">
        <v>148</v>
      </c>
      <c r="D173" s="414" t="s">
        <v>926</v>
      </c>
      <c r="E173" s="83">
        <v>0</v>
      </c>
      <c r="F173" s="83">
        <v>0</v>
      </c>
      <c r="G173" s="415">
        <v>1.1577600000000001</v>
      </c>
      <c r="H173" s="419"/>
      <c r="I173" s="416"/>
      <c r="J173" s="83">
        <v>10</v>
      </c>
      <c r="K173" s="83">
        <v>10.091519999999999</v>
      </c>
      <c r="L173" s="415">
        <v>0.44021351351351362</v>
      </c>
      <c r="M173" s="419"/>
      <c r="N173" s="417"/>
      <c r="P173" s="418"/>
    </row>
    <row r="174" spans="1:16" s="51" customFormat="1">
      <c r="A174" s="413">
        <v>171</v>
      </c>
      <c r="B174" s="414" t="s">
        <v>883</v>
      </c>
      <c r="C174" s="414" t="s">
        <v>148</v>
      </c>
      <c r="D174" s="414" t="s">
        <v>929</v>
      </c>
      <c r="E174" s="83">
        <v>4</v>
      </c>
      <c r="F174" s="83">
        <v>5.9904000000000002</v>
      </c>
      <c r="G174" s="415" t="e">
        <v>#DIV/0!</v>
      </c>
      <c r="H174" s="419"/>
      <c r="I174" s="416"/>
      <c r="J174" s="83">
        <v>23</v>
      </c>
      <c r="K174" s="83">
        <v>17.2896</v>
      </c>
      <c r="L174" s="415" t="e">
        <v>#DIV/0!</v>
      </c>
      <c r="M174" s="419"/>
      <c r="N174" s="417"/>
      <c r="P174" s="418"/>
    </row>
    <row r="175" spans="1:16" s="51" customFormat="1">
      <c r="A175" s="413">
        <v>172</v>
      </c>
      <c r="B175" s="414" t="s">
        <v>883</v>
      </c>
      <c r="C175" s="414" t="s">
        <v>148</v>
      </c>
      <c r="D175" s="414" t="s">
        <v>927</v>
      </c>
      <c r="E175" s="83">
        <v>1.5</v>
      </c>
      <c r="F175" s="83">
        <v>0</v>
      </c>
      <c r="G175" s="415">
        <v>0.47510400000000008</v>
      </c>
      <c r="H175" s="419"/>
      <c r="I175" s="416"/>
      <c r="J175" s="83">
        <v>12</v>
      </c>
      <c r="K175" s="83">
        <v>15.852479999999998</v>
      </c>
      <c r="L175" s="415">
        <v>1.0049780000000001</v>
      </c>
      <c r="M175" s="419"/>
      <c r="N175" s="417"/>
      <c r="P175" s="418"/>
    </row>
    <row r="176" spans="1:16" s="51" customFormat="1">
      <c r="A176" s="413">
        <v>173</v>
      </c>
      <c r="B176" s="414" t="s">
        <v>883</v>
      </c>
      <c r="C176" s="414" t="s">
        <v>148</v>
      </c>
      <c r="D176" s="414" t="s">
        <v>928</v>
      </c>
      <c r="E176" s="83">
        <v>1.2</v>
      </c>
      <c r="F176" s="83">
        <v>1.5379200000000002</v>
      </c>
      <c r="G176" s="415">
        <v>0</v>
      </c>
      <c r="H176" s="419"/>
      <c r="I176" s="416"/>
      <c r="J176" s="83">
        <v>10.799999999999999</v>
      </c>
      <c r="K176" s="83">
        <v>5.4336000000000002</v>
      </c>
      <c r="L176" s="415">
        <v>0.48410000000000003</v>
      </c>
      <c r="M176" s="419"/>
      <c r="N176" s="417"/>
      <c r="P176" s="418"/>
    </row>
    <row r="177" spans="1:16" s="51" customFormat="1">
      <c r="A177" s="413">
        <v>174</v>
      </c>
      <c r="B177" s="414" t="s">
        <v>883</v>
      </c>
      <c r="C177" s="414" t="s">
        <v>148</v>
      </c>
      <c r="D177" s="414" t="s">
        <v>1066</v>
      </c>
      <c r="E177" s="83">
        <v>0</v>
      </c>
      <c r="F177" s="83">
        <v>0</v>
      </c>
      <c r="G177" s="415">
        <v>1.503744</v>
      </c>
      <c r="H177" s="419"/>
      <c r="I177" s="416"/>
      <c r="J177" s="83">
        <v>0</v>
      </c>
      <c r="K177" s="83">
        <v>0</v>
      </c>
      <c r="L177" s="415">
        <v>0.37600599999999995</v>
      </c>
      <c r="M177" s="419"/>
      <c r="N177" s="417"/>
      <c r="P177" s="418"/>
    </row>
    <row r="178" spans="1:16" s="51" customFormat="1">
      <c r="A178" s="413">
        <v>175</v>
      </c>
      <c r="B178" s="414" t="s">
        <v>883</v>
      </c>
      <c r="C178" s="414" t="s">
        <v>148</v>
      </c>
      <c r="D178" s="414" t="s">
        <v>836</v>
      </c>
      <c r="E178" s="83">
        <v>5</v>
      </c>
      <c r="F178" s="83">
        <v>0.88319999999999999</v>
      </c>
      <c r="G178" s="415">
        <v>1.0284800000000001</v>
      </c>
      <c r="H178" s="419"/>
      <c r="I178" s="416"/>
      <c r="J178" s="83">
        <v>67</v>
      </c>
      <c r="K178" s="83">
        <v>6.048</v>
      </c>
      <c r="L178" s="415">
        <v>0.69389333333333347</v>
      </c>
      <c r="M178" s="419"/>
      <c r="N178" s="417"/>
      <c r="P178" s="418"/>
    </row>
    <row r="179" spans="1:16" s="51" customFormat="1">
      <c r="A179" s="413">
        <v>176</v>
      </c>
      <c r="B179" s="414" t="s">
        <v>883</v>
      </c>
      <c r="C179" s="414" t="s">
        <v>148</v>
      </c>
      <c r="D179" s="414" t="s">
        <v>913</v>
      </c>
      <c r="E179" s="83">
        <v>3</v>
      </c>
      <c r="F179" s="83">
        <v>0</v>
      </c>
      <c r="G179" s="415">
        <v>0</v>
      </c>
      <c r="H179" s="419"/>
      <c r="I179" s="416"/>
      <c r="J179" s="83">
        <v>9</v>
      </c>
      <c r="K179" s="83">
        <v>0</v>
      </c>
      <c r="L179" s="415">
        <v>0.32064000000000004</v>
      </c>
      <c r="M179" s="419"/>
      <c r="N179" s="417"/>
      <c r="P179" s="418"/>
    </row>
    <row r="180" spans="1:16" s="51" customFormat="1">
      <c r="A180" s="413">
        <v>177</v>
      </c>
      <c r="B180" s="414" t="s">
        <v>883</v>
      </c>
      <c r="C180" s="414" t="s">
        <v>148</v>
      </c>
      <c r="D180" s="414" t="s">
        <v>957</v>
      </c>
      <c r="E180" s="83">
        <v>0</v>
      </c>
      <c r="F180" s="83">
        <v>6.4819199999999997</v>
      </c>
      <c r="G180" s="415" t="e">
        <v>#DIV/0!</v>
      </c>
      <c r="H180" s="419"/>
      <c r="I180" s="416"/>
      <c r="J180" s="83">
        <v>80</v>
      </c>
      <c r="K180" s="83">
        <v>60.016319999999993</v>
      </c>
      <c r="L180" s="415">
        <v>0</v>
      </c>
      <c r="M180" s="419"/>
      <c r="N180" s="417"/>
      <c r="P180" s="418"/>
    </row>
    <row r="181" spans="1:16" s="51" customFormat="1">
      <c r="A181" s="413">
        <v>178</v>
      </c>
      <c r="B181" s="414" t="s">
        <v>883</v>
      </c>
      <c r="C181" s="414" t="s">
        <v>148</v>
      </c>
      <c r="D181" s="414" t="s">
        <v>808</v>
      </c>
      <c r="E181" s="83">
        <v>2</v>
      </c>
      <c r="F181" s="83">
        <v>0</v>
      </c>
      <c r="G181" s="415">
        <v>0</v>
      </c>
      <c r="H181" s="419"/>
      <c r="I181" s="416"/>
      <c r="J181" s="83">
        <v>20</v>
      </c>
      <c r="K181" s="83">
        <v>0</v>
      </c>
      <c r="L181" s="415">
        <v>0</v>
      </c>
      <c r="M181" s="419"/>
      <c r="N181" s="417"/>
      <c r="P181" s="418"/>
    </row>
    <row r="182" spans="1:16" s="51" customFormat="1">
      <c r="A182" s="413">
        <v>179</v>
      </c>
      <c r="B182" s="414" t="s">
        <v>883</v>
      </c>
      <c r="C182" s="414" t="s">
        <v>148</v>
      </c>
      <c r="D182" s="414" t="s">
        <v>958</v>
      </c>
      <c r="E182" s="83">
        <v>2</v>
      </c>
      <c r="F182" s="83">
        <v>0</v>
      </c>
      <c r="G182" s="415">
        <v>0</v>
      </c>
      <c r="H182" s="419"/>
      <c r="I182" s="416"/>
      <c r="J182" s="83">
        <v>15</v>
      </c>
      <c r="K182" s="83">
        <v>0</v>
      </c>
      <c r="L182" s="415">
        <v>0</v>
      </c>
      <c r="M182" s="419"/>
      <c r="N182" s="417"/>
      <c r="P182" s="418"/>
    </row>
    <row r="183" spans="1:16" s="51" customFormat="1">
      <c r="A183" s="413">
        <v>180</v>
      </c>
      <c r="B183" s="414" t="s">
        <v>883</v>
      </c>
      <c r="C183" s="414" t="s">
        <v>148</v>
      </c>
      <c r="D183" s="414" t="s">
        <v>912</v>
      </c>
      <c r="E183" s="83">
        <v>0.4</v>
      </c>
      <c r="F183" s="83">
        <v>10.137600000000001</v>
      </c>
      <c r="G183" s="415">
        <v>0.99359999999999982</v>
      </c>
      <c r="H183" s="419"/>
      <c r="I183" s="416"/>
      <c r="J183" s="83">
        <v>3.9</v>
      </c>
      <c r="K183" s="83">
        <v>18.712320000000002</v>
      </c>
      <c r="L183" s="415">
        <v>0.21311999999999995</v>
      </c>
      <c r="M183" s="419"/>
      <c r="N183" s="417"/>
      <c r="P183" s="418"/>
    </row>
    <row r="184" spans="1:16" s="51" customFormat="1">
      <c r="A184" s="413">
        <v>181</v>
      </c>
      <c r="B184" s="414" t="s">
        <v>883</v>
      </c>
      <c r="C184" s="414" t="s">
        <v>148</v>
      </c>
      <c r="D184" s="414" t="s">
        <v>959</v>
      </c>
      <c r="E184" s="83">
        <v>2</v>
      </c>
      <c r="F184" s="83">
        <v>0</v>
      </c>
      <c r="G184" s="415">
        <v>0</v>
      </c>
      <c r="H184" s="419"/>
      <c r="I184" s="416"/>
      <c r="J184" s="83">
        <v>12</v>
      </c>
      <c r="K184" s="83">
        <v>1.2672000000000001</v>
      </c>
      <c r="L184" s="415">
        <v>0</v>
      </c>
      <c r="M184" s="419"/>
      <c r="N184" s="417"/>
      <c r="P184" s="418"/>
    </row>
    <row r="185" spans="1:16" s="51" customFormat="1">
      <c r="A185" s="413">
        <v>182</v>
      </c>
      <c r="B185" s="414" t="s">
        <v>883</v>
      </c>
      <c r="C185" s="414" t="s">
        <v>148</v>
      </c>
      <c r="D185" s="414" t="s">
        <v>960</v>
      </c>
      <c r="E185" s="83">
        <v>5</v>
      </c>
      <c r="F185" s="83">
        <v>4.6079999999999997</v>
      </c>
      <c r="G185" s="415" t="e">
        <v>#DIV/0!</v>
      </c>
      <c r="H185" s="419"/>
      <c r="I185" s="416"/>
      <c r="J185" s="83">
        <v>30</v>
      </c>
      <c r="K185" s="83">
        <v>135.4752</v>
      </c>
      <c r="L185" s="415">
        <v>0.51936000000000004</v>
      </c>
      <c r="M185" s="419"/>
      <c r="N185" s="417"/>
      <c r="P185" s="418"/>
    </row>
    <row r="186" spans="1:16" s="51" customFormat="1">
      <c r="A186" s="413">
        <v>183</v>
      </c>
      <c r="B186" s="414" t="s">
        <v>883</v>
      </c>
      <c r="C186" s="414" t="s">
        <v>148</v>
      </c>
      <c r="D186" s="414" t="s">
        <v>961</v>
      </c>
      <c r="E186" s="83">
        <v>0</v>
      </c>
      <c r="F186" s="83">
        <v>0</v>
      </c>
      <c r="G186" s="415" t="e">
        <v>#DIV/0!</v>
      </c>
      <c r="H186" s="419"/>
      <c r="I186" s="416"/>
      <c r="J186" s="83">
        <v>25</v>
      </c>
      <c r="K186" s="83">
        <v>4.7808000000000002</v>
      </c>
      <c r="L186" s="415">
        <v>0.52780800000000005</v>
      </c>
      <c r="M186" s="419"/>
      <c r="N186" s="417"/>
      <c r="P186" s="418"/>
    </row>
    <row r="187" spans="1:16" s="51" customFormat="1">
      <c r="A187" s="413">
        <v>184</v>
      </c>
      <c r="B187" s="414" t="s">
        <v>883</v>
      </c>
      <c r="C187" s="414" t="s">
        <v>148</v>
      </c>
      <c r="D187" s="414" t="s">
        <v>922</v>
      </c>
      <c r="E187" s="83">
        <v>9.6</v>
      </c>
      <c r="F187" s="83">
        <v>0</v>
      </c>
      <c r="G187" s="415">
        <v>0</v>
      </c>
      <c r="H187" s="419"/>
      <c r="I187" s="416"/>
      <c r="J187" s="83">
        <v>78.399999999999991</v>
      </c>
      <c r="K187" s="83">
        <v>0</v>
      </c>
      <c r="L187" s="415">
        <v>0.30419999999999997</v>
      </c>
      <c r="M187" s="419"/>
      <c r="N187" s="417"/>
      <c r="P187" s="418"/>
    </row>
    <row r="188" spans="1:16" s="51" customFormat="1">
      <c r="A188" s="413">
        <v>185</v>
      </c>
      <c r="B188" s="414" t="s">
        <v>883</v>
      </c>
      <c r="C188" s="414" t="s">
        <v>148</v>
      </c>
      <c r="D188" s="414" t="s">
        <v>923</v>
      </c>
      <c r="E188" s="83">
        <v>2.4</v>
      </c>
      <c r="F188" s="83">
        <v>0</v>
      </c>
      <c r="G188" s="415">
        <v>0</v>
      </c>
      <c r="H188" s="419"/>
      <c r="I188" s="416"/>
      <c r="J188" s="83">
        <v>16.8</v>
      </c>
      <c r="K188" s="83">
        <v>0</v>
      </c>
      <c r="L188" s="415">
        <v>0</v>
      </c>
      <c r="M188" s="419"/>
      <c r="N188" s="417"/>
      <c r="P188" s="418"/>
    </row>
    <row r="189" spans="1:16" s="51" customFormat="1">
      <c r="A189" s="413">
        <v>186</v>
      </c>
      <c r="B189" s="414" t="s">
        <v>883</v>
      </c>
      <c r="C189" s="414" t="s">
        <v>148</v>
      </c>
      <c r="D189" s="414" t="s">
        <v>962</v>
      </c>
      <c r="E189" s="83">
        <v>5</v>
      </c>
      <c r="F189" s="83">
        <v>0</v>
      </c>
      <c r="G189" s="415">
        <v>0</v>
      </c>
      <c r="H189" s="419"/>
      <c r="I189" s="416"/>
      <c r="J189" s="83">
        <v>40</v>
      </c>
      <c r="K189" s="83">
        <v>20.01024</v>
      </c>
      <c r="L189" s="415">
        <v>0</v>
      </c>
      <c r="M189" s="419"/>
      <c r="N189" s="417"/>
      <c r="P189" s="418"/>
    </row>
    <row r="190" spans="1:16" s="51" customFormat="1">
      <c r="A190" s="413">
        <v>187</v>
      </c>
      <c r="B190" s="414" t="s">
        <v>883</v>
      </c>
      <c r="C190" s="414" t="s">
        <v>148</v>
      </c>
      <c r="D190" s="414" t="s">
        <v>963</v>
      </c>
      <c r="E190" s="83">
        <v>3</v>
      </c>
      <c r="F190" s="83">
        <v>4.6079999999999997</v>
      </c>
      <c r="G190" s="415">
        <v>0</v>
      </c>
      <c r="H190" s="419"/>
      <c r="I190" s="416"/>
      <c r="J190" s="83">
        <v>20</v>
      </c>
      <c r="K190" s="83">
        <v>20.309760000000001</v>
      </c>
      <c r="L190" s="415">
        <v>0</v>
      </c>
      <c r="M190" s="419"/>
      <c r="N190" s="417"/>
      <c r="P190" s="418"/>
    </row>
    <row r="191" spans="1:16" s="51" customFormat="1">
      <c r="A191" s="413">
        <v>188</v>
      </c>
      <c r="B191" s="414" t="s">
        <v>883</v>
      </c>
      <c r="C191" s="414" t="s">
        <v>148</v>
      </c>
      <c r="D191" s="414" t="s">
        <v>964</v>
      </c>
      <c r="E191" s="83">
        <v>4</v>
      </c>
      <c r="F191" s="83">
        <v>0</v>
      </c>
      <c r="G191" s="415">
        <v>0.83152000000000015</v>
      </c>
      <c r="H191" s="419"/>
      <c r="I191" s="416"/>
      <c r="J191" s="83">
        <v>25</v>
      </c>
      <c r="K191" s="83">
        <v>15.08736</v>
      </c>
      <c r="L191" s="415">
        <v>0.27717333333333338</v>
      </c>
      <c r="M191" s="419"/>
      <c r="N191" s="417"/>
      <c r="P191" s="418"/>
    </row>
    <row r="192" spans="1:16" s="51" customFormat="1">
      <c r="A192" s="413">
        <v>189</v>
      </c>
      <c r="B192" s="414" t="s">
        <v>883</v>
      </c>
      <c r="C192" s="414" t="s">
        <v>148</v>
      </c>
      <c r="D192" s="414" t="s">
        <v>965</v>
      </c>
      <c r="E192" s="83">
        <v>10</v>
      </c>
      <c r="F192" s="83">
        <v>0</v>
      </c>
      <c r="G192" s="415" t="e">
        <v>#DIV/0!</v>
      </c>
      <c r="H192" s="419"/>
      <c r="I192" s="416"/>
      <c r="J192" s="83">
        <v>60</v>
      </c>
      <c r="K192" s="83">
        <v>84.493440000000007</v>
      </c>
      <c r="L192" s="415" t="e">
        <v>#DIV/0!</v>
      </c>
      <c r="M192" s="419"/>
      <c r="N192" s="417"/>
      <c r="P192" s="418"/>
    </row>
    <row r="193" spans="1:16" s="51" customFormat="1">
      <c r="A193" s="413">
        <v>190</v>
      </c>
      <c r="B193" s="414" t="s">
        <v>883</v>
      </c>
      <c r="C193" s="414" t="s">
        <v>148</v>
      </c>
      <c r="D193" s="414" t="s">
        <v>966</v>
      </c>
      <c r="E193" s="83">
        <v>0</v>
      </c>
      <c r="F193" s="83">
        <v>0</v>
      </c>
      <c r="G193" s="415">
        <v>0</v>
      </c>
      <c r="H193" s="419"/>
      <c r="I193" s="416"/>
      <c r="J193" s="83">
        <v>13</v>
      </c>
      <c r="K193" s="83">
        <v>0</v>
      </c>
      <c r="L193" s="415">
        <v>0</v>
      </c>
      <c r="M193" s="419"/>
      <c r="N193" s="417"/>
      <c r="P193" s="418"/>
    </row>
    <row r="194" spans="1:16" s="51" customFormat="1">
      <c r="A194" s="413">
        <v>191</v>
      </c>
      <c r="B194" s="414" t="s">
        <v>883</v>
      </c>
      <c r="C194" s="414" t="s">
        <v>148</v>
      </c>
      <c r="D194" s="414" t="s">
        <v>967</v>
      </c>
      <c r="E194" s="83">
        <v>0</v>
      </c>
      <c r="F194" s="83">
        <v>0</v>
      </c>
      <c r="G194" s="415">
        <v>0</v>
      </c>
      <c r="H194" s="419"/>
      <c r="I194" s="416"/>
      <c r="J194" s="83">
        <v>10</v>
      </c>
      <c r="K194" s="83">
        <v>1.3824000000000001</v>
      </c>
      <c r="L194" s="415">
        <v>0.66367999999999994</v>
      </c>
      <c r="M194" s="419"/>
      <c r="N194" s="417"/>
      <c r="P194" s="418"/>
    </row>
    <row r="195" spans="1:16" s="51" customFormat="1">
      <c r="A195" s="413">
        <v>192</v>
      </c>
      <c r="B195" s="414" t="s">
        <v>883</v>
      </c>
      <c r="C195" s="414" t="s">
        <v>148</v>
      </c>
      <c r="D195" s="414" t="s">
        <v>817</v>
      </c>
      <c r="E195" s="83">
        <v>6</v>
      </c>
      <c r="F195" s="83">
        <v>0</v>
      </c>
      <c r="G195" s="415">
        <v>1.5296800000000002</v>
      </c>
      <c r="H195" s="419"/>
      <c r="I195" s="416"/>
      <c r="J195" s="83">
        <v>80</v>
      </c>
      <c r="K195" s="83">
        <v>6.2689000000000004</v>
      </c>
      <c r="L195" s="415">
        <v>9.178080000000001E-2</v>
      </c>
      <c r="M195" s="419"/>
      <c r="N195" s="417"/>
      <c r="P195" s="418"/>
    </row>
    <row r="196" spans="1:16" s="51" customFormat="1">
      <c r="A196" s="413">
        <v>193</v>
      </c>
      <c r="B196" s="414" t="s">
        <v>883</v>
      </c>
      <c r="C196" s="414" t="s">
        <v>148</v>
      </c>
      <c r="D196" s="414" t="s">
        <v>989</v>
      </c>
      <c r="E196" s="83">
        <v>0</v>
      </c>
      <c r="F196" s="83">
        <v>0</v>
      </c>
      <c r="G196" s="415" t="e">
        <v>#DIV/0!</v>
      </c>
      <c r="H196" s="419"/>
      <c r="I196" s="416"/>
      <c r="J196" s="83">
        <v>25</v>
      </c>
      <c r="K196" s="83">
        <v>13.342379999999999</v>
      </c>
      <c r="L196" s="415">
        <v>0.49763999999999997</v>
      </c>
      <c r="M196" s="419"/>
      <c r="N196" s="417"/>
      <c r="P196" s="418"/>
    </row>
    <row r="197" spans="1:16" s="51" customFormat="1">
      <c r="A197" s="413">
        <v>194</v>
      </c>
      <c r="B197" s="414" t="s">
        <v>883</v>
      </c>
      <c r="C197" s="414" t="s">
        <v>148</v>
      </c>
      <c r="D197" s="414" t="s">
        <v>990</v>
      </c>
      <c r="E197" s="83">
        <v>8</v>
      </c>
      <c r="F197" s="83">
        <v>0</v>
      </c>
      <c r="G197" s="415">
        <v>1.8695314285714282</v>
      </c>
      <c r="H197" s="419"/>
      <c r="I197" s="416"/>
      <c r="J197" s="83">
        <v>34</v>
      </c>
      <c r="K197" s="83">
        <v>7.1082400000000012</v>
      </c>
      <c r="L197" s="415">
        <v>1.1214994285714286</v>
      </c>
      <c r="M197" s="419"/>
      <c r="N197" s="417"/>
      <c r="P197" s="418"/>
    </row>
    <row r="198" spans="1:16" s="51" customFormat="1">
      <c r="A198" s="413">
        <v>195</v>
      </c>
      <c r="B198" s="414" t="s">
        <v>883</v>
      </c>
      <c r="C198" s="414" t="s">
        <v>148</v>
      </c>
      <c r="D198" s="414" t="s">
        <v>991</v>
      </c>
      <c r="E198" s="83">
        <v>5</v>
      </c>
      <c r="F198" s="83">
        <v>0</v>
      </c>
      <c r="G198" s="415">
        <v>0.34560000000000002</v>
      </c>
      <c r="H198" s="419"/>
      <c r="I198" s="416"/>
      <c r="J198" s="83">
        <v>20</v>
      </c>
      <c r="K198" s="83">
        <v>9.5813000000000006</v>
      </c>
      <c r="L198" s="415">
        <v>1.0478940000000003</v>
      </c>
      <c r="M198" s="419"/>
      <c r="N198" s="417"/>
      <c r="P198" s="418"/>
    </row>
    <row r="199" spans="1:16" s="51" customFormat="1">
      <c r="A199" s="413">
        <v>196</v>
      </c>
      <c r="B199" s="414" t="s">
        <v>883</v>
      </c>
      <c r="C199" s="414" t="s">
        <v>148</v>
      </c>
      <c r="D199" s="414" t="s">
        <v>992</v>
      </c>
      <c r="E199" s="83">
        <v>3.5</v>
      </c>
      <c r="F199" s="83">
        <v>0</v>
      </c>
      <c r="G199" s="415">
        <v>0.49549714285714291</v>
      </c>
      <c r="H199" s="419"/>
      <c r="I199" s="416"/>
      <c r="J199" s="83">
        <v>14</v>
      </c>
      <c r="K199" s="83">
        <v>5.1807600000000003</v>
      </c>
      <c r="L199" s="415">
        <v>0.66512571428571421</v>
      </c>
      <c r="M199" s="419"/>
      <c r="N199" s="417"/>
      <c r="P199" s="418"/>
    </row>
    <row r="200" spans="1:16" s="51" customFormat="1">
      <c r="A200" s="413">
        <v>197</v>
      </c>
      <c r="B200" s="414" t="s">
        <v>883</v>
      </c>
      <c r="C200" s="414" t="s">
        <v>148</v>
      </c>
      <c r="D200" s="414" t="s">
        <v>1027</v>
      </c>
      <c r="E200" s="83">
        <v>4</v>
      </c>
      <c r="F200" s="83">
        <v>3.6863999999999999</v>
      </c>
      <c r="G200" s="415">
        <v>0</v>
      </c>
      <c r="H200" s="419"/>
      <c r="I200" s="416"/>
      <c r="J200" s="83">
        <v>21</v>
      </c>
      <c r="K200" s="83">
        <v>12.441599999999999</v>
      </c>
      <c r="L200" s="415">
        <v>0.91814459913586166</v>
      </c>
      <c r="M200" s="419"/>
      <c r="N200" s="417"/>
      <c r="P200" s="418"/>
    </row>
    <row r="201" spans="1:16" s="51" customFormat="1">
      <c r="A201" s="413">
        <v>198</v>
      </c>
      <c r="B201" s="414" t="s">
        <v>883</v>
      </c>
      <c r="C201" s="414" t="s">
        <v>148</v>
      </c>
      <c r="D201" s="414" t="s">
        <v>797</v>
      </c>
      <c r="E201" s="83">
        <v>0</v>
      </c>
      <c r="F201" s="83">
        <v>0</v>
      </c>
      <c r="G201" s="415">
        <v>0.16457142857142859</v>
      </c>
      <c r="H201" s="419"/>
      <c r="I201" s="416"/>
      <c r="J201" s="83">
        <v>10</v>
      </c>
      <c r="K201" s="83">
        <v>5.0975999999999999</v>
      </c>
      <c r="L201" s="415">
        <v>0.3017333333333333</v>
      </c>
      <c r="M201" s="419"/>
      <c r="N201" s="417"/>
      <c r="P201" s="418"/>
    </row>
    <row r="202" spans="1:16" s="51" customFormat="1">
      <c r="A202" s="413">
        <v>199</v>
      </c>
      <c r="B202" s="414" t="s">
        <v>883</v>
      </c>
      <c r="C202" s="414" t="s">
        <v>148</v>
      </c>
      <c r="D202" s="414" t="s">
        <v>1028</v>
      </c>
      <c r="E202" s="83">
        <v>5</v>
      </c>
      <c r="F202" s="83">
        <v>0</v>
      </c>
      <c r="G202" s="415">
        <v>1.536</v>
      </c>
      <c r="H202" s="419"/>
      <c r="I202" s="416"/>
      <c r="J202" s="83">
        <v>29</v>
      </c>
      <c r="K202" s="83">
        <v>0</v>
      </c>
      <c r="L202" s="415">
        <v>1.0181408450704226</v>
      </c>
      <c r="M202" s="419"/>
      <c r="N202" s="417"/>
      <c r="P202" s="418"/>
    </row>
    <row r="203" spans="1:16" s="51" customFormat="1">
      <c r="A203" s="413">
        <v>200</v>
      </c>
      <c r="B203" s="414" t="s">
        <v>883</v>
      </c>
      <c r="C203" s="414" t="s">
        <v>148</v>
      </c>
      <c r="D203" s="414" t="s">
        <v>1029</v>
      </c>
      <c r="E203" s="83">
        <v>3</v>
      </c>
      <c r="F203" s="83">
        <v>0</v>
      </c>
      <c r="G203" s="415" t="e">
        <v>#DIV/0!</v>
      </c>
      <c r="H203" s="419"/>
      <c r="I203" s="416"/>
      <c r="J203" s="83">
        <v>15</v>
      </c>
      <c r="K203" s="83">
        <v>0</v>
      </c>
      <c r="L203" s="415">
        <v>0.68881777777777775</v>
      </c>
      <c r="M203" s="419"/>
      <c r="N203" s="417"/>
      <c r="P203" s="418"/>
    </row>
    <row r="204" spans="1:16" s="51" customFormat="1">
      <c r="A204" s="413">
        <v>201</v>
      </c>
      <c r="B204" s="414" t="s">
        <v>883</v>
      </c>
      <c r="C204" s="414" t="s">
        <v>148</v>
      </c>
      <c r="D204" s="414" t="s">
        <v>1030</v>
      </c>
      <c r="E204" s="83">
        <v>2</v>
      </c>
      <c r="F204" s="83">
        <v>0</v>
      </c>
      <c r="G204" s="415">
        <v>2.7559680000000002</v>
      </c>
      <c r="H204" s="419"/>
      <c r="I204" s="416"/>
      <c r="J204" s="83">
        <v>14</v>
      </c>
      <c r="K204" s="83">
        <v>5.2377600000000006</v>
      </c>
      <c r="L204" s="415">
        <v>1.594986352941177</v>
      </c>
      <c r="M204" s="419"/>
      <c r="N204" s="417"/>
      <c r="P204" s="418"/>
    </row>
    <row r="205" spans="1:16" s="51" customFormat="1">
      <c r="A205" s="413">
        <v>202</v>
      </c>
      <c r="B205" s="414" t="s">
        <v>883</v>
      </c>
      <c r="C205" s="414" t="s">
        <v>148</v>
      </c>
      <c r="D205" s="414" t="s">
        <v>1031</v>
      </c>
      <c r="E205" s="83">
        <v>2</v>
      </c>
      <c r="F205" s="83">
        <v>1.2902400000000001</v>
      </c>
      <c r="G205" s="415">
        <v>0</v>
      </c>
      <c r="H205" s="419"/>
      <c r="I205" s="416"/>
      <c r="J205" s="83">
        <v>13</v>
      </c>
      <c r="K205" s="83">
        <v>1.2902400000000001</v>
      </c>
      <c r="L205" s="415">
        <v>0.94388811188811184</v>
      </c>
      <c r="M205" s="419"/>
      <c r="N205" s="417"/>
      <c r="P205" s="418"/>
    </row>
    <row r="206" spans="1:16" s="51" customFormat="1">
      <c r="A206" s="413">
        <v>203</v>
      </c>
      <c r="B206" s="414" t="s">
        <v>883</v>
      </c>
      <c r="C206" s="414" t="s">
        <v>148</v>
      </c>
      <c r="D206" s="414" t="s">
        <v>1032</v>
      </c>
      <c r="E206" s="83">
        <v>10</v>
      </c>
      <c r="F206" s="83">
        <v>0</v>
      </c>
      <c r="G206" s="415">
        <v>0.30719999999999997</v>
      </c>
      <c r="H206" s="419"/>
      <c r="I206" s="416"/>
      <c r="J206" s="83">
        <v>40</v>
      </c>
      <c r="K206" s="83">
        <v>8.5055999999999994</v>
      </c>
      <c r="L206" s="415">
        <v>1.0813440000000001</v>
      </c>
      <c r="M206" s="419"/>
      <c r="N206" s="417"/>
      <c r="P206" s="418"/>
    </row>
    <row r="207" spans="1:16" s="51" customFormat="1">
      <c r="A207" s="413">
        <v>204</v>
      </c>
      <c r="B207" s="414" t="s">
        <v>883</v>
      </c>
      <c r="C207" s="414" t="s">
        <v>148</v>
      </c>
      <c r="D207" s="414" t="s">
        <v>1033</v>
      </c>
      <c r="E207" s="83">
        <v>3</v>
      </c>
      <c r="F207" s="83">
        <v>0.18432000000000001</v>
      </c>
      <c r="G207" s="415">
        <v>0.93657599999999996</v>
      </c>
      <c r="H207" s="419"/>
      <c r="I207" s="416"/>
      <c r="J207" s="83">
        <v>18</v>
      </c>
      <c r="K207" s="83">
        <v>10.0824</v>
      </c>
      <c r="L207" s="415">
        <v>1.1534431372549019</v>
      </c>
      <c r="M207" s="419"/>
      <c r="N207" s="417"/>
      <c r="P207" s="418"/>
    </row>
    <row r="208" spans="1:16" s="51" customFormat="1">
      <c r="A208" s="413">
        <v>205</v>
      </c>
      <c r="B208" s="414" t="s">
        <v>883</v>
      </c>
      <c r="C208" s="414" t="s">
        <v>148</v>
      </c>
      <c r="D208" s="414" t="s">
        <v>1034</v>
      </c>
      <c r="E208" s="83">
        <v>3</v>
      </c>
      <c r="F208" s="83">
        <v>1.3824000000000001</v>
      </c>
      <c r="G208" s="415">
        <v>0</v>
      </c>
      <c r="H208" s="419"/>
      <c r="I208" s="416"/>
      <c r="J208" s="83">
        <v>31</v>
      </c>
      <c r="K208" s="83">
        <v>10.62528</v>
      </c>
      <c r="L208" s="415">
        <v>0.119808</v>
      </c>
      <c r="M208" s="419"/>
      <c r="N208" s="417"/>
      <c r="P208" s="418"/>
    </row>
    <row r="209" spans="1:16" s="51" customFormat="1">
      <c r="A209" s="413">
        <v>206</v>
      </c>
      <c r="B209" s="414" t="s">
        <v>883</v>
      </c>
      <c r="C209" s="414" t="s">
        <v>148</v>
      </c>
      <c r="D209" s="414" t="s">
        <v>1035</v>
      </c>
      <c r="E209" s="83">
        <v>4</v>
      </c>
      <c r="F209" s="83">
        <v>0</v>
      </c>
      <c r="G209" s="415">
        <v>0</v>
      </c>
      <c r="H209" s="419"/>
      <c r="I209" s="416"/>
      <c r="J209" s="83">
        <v>18</v>
      </c>
      <c r="K209" s="83">
        <v>0</v>
      </c>
      <c r="L209" s="415">
        <v>0.44127346938775514</v>
      </c>
      <c r="M209" s="419"/>
      <c r="N209" s="417"/>
      <c r="P209" s="418"/>
    </row>
    <row r="210" spans="1:16" s="51" customFormat="1">
      <c r="A210" s="413">
        <v>207</v>
      </c>
      <c r="B210" s="414" t="s">
        <v>883</v>
      </c>
      <c r="C210" s="414" t="s">
        <v>148</v>
      </c>
      <c r="D210" s="414" t="s">
        <v>1036</v>
      </c>
      <c r="E210" s="83">
        <v>5</v>
      </c>
      <c r="F210" s="83">
        <v>0</v>
      </c>
      <c r="G210" s="415">
        <v>0</v>
      </c>
      <c r="H210" s="419"/>
      <c r="I210" s="416"/>
      <c r="J210" s="83">
        <v>15</v>
      </c>
      <c r="K210" s="83">
        <v>0</v>
      </c>
      <c r="L210" s="415">
        <v>0.26724571428571425</v>
      </c>
      <c r="M210" s="419"/>
      <c r="N210" s="417"/>
      <c r="P210" s="418"/>
    </row>
    <row r="211" spans="1:16" s="51" customFormat="1">
      <c r="A211" s="413">
        <v>208</v>
      </c>
      <c r="B211" s="414" t="s">
        <v>883</v>
      </c>
      <c r="C211" s="414" t="s">
        <v>148</v>
      </c>
      <c r="D211" s="414" t="s">
        <v>1037</v>
      </c>
      <c r="E211" s="83">
        <v>3</v>
      </c>
      <c r="F211" s="83">
        <v>0</v>
      </c>
      <c r="G211" s="415">
        <v>0.52895999999999999</v>
      </c>
      <c r="H211" s="419"/>
      <c r="I211" s="416"/>
      <c r="J211" s="83">
        <v>9</v>
      </c>
      <c r="K211" s="83">
        <v>0</v>
      </c>
      <c r="L211" s="415">
        <v>0.41216533333333338</v>
      </c>
      <c r="M211" s="419"/>
      <c r="N211" s="417"/>
      <c r="P211" s="418"/>
    </row>
    <row r="212" spans="1:16" s="51" customFormat="1">
      <c r="A212" s="413">
        <v>209</v>
      </c>
      <c r="B212" s="414" t="s">
        <v>883</v>
      </c>
      <c r="C212" s="414" t="s">
        <v>148</v>
      </c>
      <c r="D212" s="414" t="s">
        <v>1038</v>
      </c>
      <c r="E212" s="83">
        <v>4</v>
      </c>
      <c r="F212" s="83">
        <v>0</v>
      </c>
      <c r="G212" s="415">
        <v>0.46079999999999999</v>
      </c>
      <c r="H212" s="419"/>
      <c r="I212" s="416"/>
      <c r="J212" s="83">
        <v>12</v>
      </c>
      <c r="K212" s="83">
        <v>1.3824000000000001</v>
      </c>
      <c r="L212" s="415">
        <v>0.70549333333333331</v>
      </c>
      <c r="M212" s="419"/>
      <c r="N212" s="417"/>
      <c r="P212" s="418"/>
    </row>
    <row r="213" spans="1:16" s="51" customFormat="1">
      <c r="A213" s="413">
        <v>210</v>
      </c>
      <c r="B213" s="414" t="s">
        <v>883</v>
      </c>
      <c r="C213" s="414" t="s">
        <v>148</v>
      </c>
      <c r="D213" s="414" t="s">
        <v>1039</v>
      </c>
      <c r="E213" s="83">
        <v>5</v>
      </c>
      <c r="F213" s="83">
        <v>0</v>
      </c>
      <c r="G213" s="415">
        <v>2.64384</v>
      </c>
      <c r="H213" s="419"/>
      <c r="I213" s="416"/>
      <c r="J213" s="83">
        <v>15</v>
      </c>
      <c r="K213" s="83">
        <v>0</v>
      </c>
      <c r="L213" s="415">
        <v>0.61286400000000008</v>
      </c>
      <c r="M213" s="419"/>
      <c r="N213" s="417"/>
      <c r="P213" s="418"/>
    </row>
    <row r="214" spans="1:16" s="51" customFormat="1">
      <c r="A214" s="413">
        <v>211</v>
      </c>
      <c r="B214" s="414" t="s">
        <v>883</v>
      </c>
      <c r="C214" s="414" t="s">
        <v>148</v>
      </c>
      <c r="D214" s="414" t="s">
        <v>1040</v>
      </c>
      <c r="E214" s="83">
        <v>3</v>
      </c>
      <c r="F214" s="83">
        <v>0</v>
      </c>
      <c r="G214" s="415">
        <v>1.300224</v>
      </c>
      <c r="H214" s="419"/>
      <c r="I214" s="416"/>
      <c r="J214" s="83">
        <v>7</v>
      </c>
      <c r="K214" s="83">
        <v>0</v>
      </c>
      <c r="L214" s="415">
        <v>0.38431606153846154</v>
      </c>
      <c r="M214" s="419"/>
      <c r="N214" s="417"/>
      <c r="P214" s="418"/>
    </row>
    <row r="215" spans="1:16" s="51" customFormat="1">
      <c r="A215" s="413">
        <v>212</v>
      </c>
      <c r="B215" s="414" t="s">
        <v>883</v>
      </c>
      <c r="C215" s="414" t="s">
        <v>148</v>
      </c>
      <c r="D215" s="414" t="s">
        <v>1041</v>
      </c>
      <c r="E215" s="83">
        <v>1.1000000000000001</v>
      </c>
      <c r="F215" s="83">
        <v>2.3039999999999998</v>
      </c>
      <c r="G215" s="415">
        <v>0</v>
      </c>
      <c r="H215" s="419"/>
      <c r="I215" s="416"/>
      <c r="J215" s="83">
        <v>5.5</v>
      </c>
      <c r="K215" s="83">
        <v>5.7446399999999995</v>
      </c>
      <c r="L215" s="415">
        <v>0.29376000000000002</v>
      </c>
      <c r="M215" s="419"/>
      <c r="N215" s="417"/>
      <c r="P215" s="418"/>
    </row>
    <row r="216" spans="1:16" s="51" customFormat="1">
      <c r="A216" s="413">
        <v>213</v>
      </c>
      <c r="B216" s="414" t="s">
        <v>883</v>
      </c>
      <c r="C216" s="414" t="s">
        <v>148</v>
      </c>
      <c r="D216" s="414" t="s">
        <v>1067</v>
      </c>
      <c r="E216" s="83">
        <v>10.5</v>
      </c>
      <c r="F216" s="83">
        <v>2.06976</v>
      </c>
      <c r="G216" s="415">
        <v>1.01376</v>
      </c>
      <c r="H216" s="419"/>
      <c r="I216" s="416"/>
      <c r="J216" s="83">
        <v>10.5</v>
      </c>
      <c r="K216" s="83">
        <v>10.085760000000001</v>
      </c>
      <c r="L216" s="415">
        <v>1.2673371428571429</v>
      </c>
      <c r="M216" s="419"/>
      <c r="N216" s="417"/>
      <c r="P216" s="418"/>
    </row>
    <row r="217" spans="1:16" s="51" customFormat="1">
      <c r="A217" s="413">
        <v>214</v>
      </c>
      <c r="B217" s="414" t="s">
        <v>883</v>
      </c>
      <c r="C217" s="414" t="s">
        <v>148</v>
      </c>
      <c r="D217" s="414" t="s">
        <v>1084</v>
      </c>
      <c r="E217" s="83">
        <v>3</v>
      </c>
      <c r="F217" s="83">
        <v>4.1184000000000003</v>
      </c>
      <c r="G217" s="415" t="e">
        <v>#DIV/0!</v>
      </c>
      <c r="H217" s="419"/>
      <c r="I217" s="416"/>
      <c r="J217" s="83">
        <v>12</v>
      </c>
      <c r="K217" s="83">
        <v>4.1184000000000003</v>
      </c>
      <c r="L217" s="415">
        <v>0.70732799999999996</v>
      </c>
      <c r="M217" s="419"/>
      <c r="N217" s="417"/>
      <c r="P217" s="418"/>
    </row>
    <row r="218" spans="1:16" s="51" customFormat="1">
      <c r="A218" s="413">
        <v>215</v>
      </c>
      <c r="B218" s="414" t="s">
        <v>883</v>
      </c>
      <c r="C218" s="414" t="s">
        <v>148</v>
      </c>
      <c r="D218" s="414" t="s">
        <v>1085</v>
      </c>
      <c r="E218" s="83">
        <v>3</v>
      </c>
      <c r="F218" s="83">
        <v>0</v>
      </c>
      <c r="G218" s="415">
        <v>0</v>
      </c>
      <c r="H218" s="419"/>
      <c r="I218" s="416"/>
      <c r="J218" s="83">
        <v>7</v>
      </c>
      <c r="K218" s="83">
        <v>0</v>
      </c>
      <c r="L218" s="415">
        <v>0.21131519999999995</v>
      </c>
      <c r="M218" s="419"/>
      <c r="N218" s="417"/>
      <c r="P218" s="418"/>
    </row>
    <row r="219" spans="1:16" s="51" customFormat="1">
      <c r="A219" s="413">
        <v>216</v>
      </c>
      <c r="B219" s="414" t="s">
        <v>883</v>
      </c>
      <c r="C219" s="414" t="s">
        <v>148</v>
      </c>
      <c r="D219" s="414" t="s">
        <v>1086</v>
      </c>
      <c r="E219" s="83">
        <v>5</v>
      </c>
      <c r="F219" s="83">
        <v>23.2896</v>
      </c>
      <c r="G219" s="415">
        <v>0.59621052631578941</v>
      </c>
      <c r="H219" s="419"/>
      <c r="I219" s="416"/>
      <c r="J219" s="83">
        <v>13</v>
      </c>
      <c r="K219" s="83">
        <v>23.2896</v>
      </c>
      <c r="L219" s="415">
        <v>0.72197890699904099</v>
      </c>
      <c r="M219" s="419"/>
      <c r="N219" s="417"/>
      <c r="P219" s="418"/>
    </row>
    <row r="220" spans="1:16" s="51" customFormat="1">
      <c r="A220" s="413">
        <v>217</v>
      </c>
      <c r="B220" s="414" t="s">
        <v>1087</v>
      </c>
      <c r="C220" s="414" t="s">
        <v>477</v>
      </c>
      <c r="D220" s="414" t="s">
        <v>795</v>
      </c>
      <c r="E220" s="421">
        <v>4</v>
      </c>
      <c r="F220" s="421">
        <v>0</v>
      </c>
      <c r="G220" s="415">
        <v>0</v>
      </c>
      <c r="H220" s="419"/>
      <c r="I220" s="416"/>
      <c r="J220" s="416">
        <v>30</v>
      </c>
      <c r="K220" s="422">
        <v>20.13</v>
      </c>
      <c r="L220" s="415">
        <v>0.44916479999999998</v>
      </c>
      <c r="M220" s="419"/>
      <c r="N220" s="417"/>
      <c r="P220" s="418"/>
    </row>
    <row r="221" spans="1:16" s="51" customFormat="1">
      <c r="A221" s="413">
        <v>218</v>
      </c>
      <c r="B221" s="414" t="s">
        <v>1087</v>
      </c>
      <c r="C221" s="414" t="s">
        <v>477</v>
      </c>
      <c r="D221" s="414" t="s">
        <v>796</v>
      </c>
      <c r="E221" s="421">
        <v>6</v>
      </c>
      <c r="F221" s="421">
        <v>0</v>
      </c>
      <c r="G221" s="415">
        <v>0</v>
      </c>
      <c r="H221" s="419"/>
      <c r="I221" s="416"/>
      <c r="J221" s="416">
        <v>34</v>
      </c>
      <c r="K221" s="422">
        <v>15.65</v>
      </c>
      <c r="L221" s="415">
        <v>0.60311999999999999</v>
      </c>
      <c r="M221" s="419"/>
      <c r="N221" s="417"/>
      <c r="P221" s="418"/>
    </row>
    <row r="222" spans="1:16" s="51" customFormat="1">
      <c r="A222" s="413">
        <v>219</v>
      </c>
      <c r="B222" s="414" t="s">
        <v>1087</v>
      </c>
      <c r="C222" s="414" t="s">
        <v>477</v>
      </c>
      <c r="D222" s="414" t="s">
        <v>797</v>
      </c>
      <c r="E222" s="421">
        <v>9</v>
      </c>
      <c r="F222" s="421">
        <v>0</v>
      </c>
      <c r="G222" s="415">
        <v>0</v>
      </c>
      <c r="H222" s="419"/>
      <c r="I222" s="416"/>
      <c r="J222" s="416">
        <v>68</v>
      </c>
      <c r="K222" s="422">
        <v>18.2</v>
      </c>
      <c r="L222" s="415">
        <v>0.13677381818181819</v>
      </c>
      <c r="M222" s="419"/>
      <c r="N222" s="417"/>
      <c r="P222" s="418"/>
    </row>
    <row r="223" spans="1:16" s="51" customFormat="1">
      <c r="A223" s="413">
        <v>220</v>
      </c>
      <c r="B223" s="414" t="s">
        <v>1087</v>
      </c>
      <c r="C223" s="414" t="s">
        <v>477</v>
      </c>
      <c r="D223" s="414" t="s">
        <v>798</v>
      </c>
      <c r="E223" s="421">
        <v>3</v>
      </c>
      <c r="F223" s="421">
        <v>0</v>
      </c>
      <c r="G223" s="415">
        <v>0</v>
      </c>
      <c r="H223" s="419"/>
      <c r="I223" s="416"/>
      <c r="J223" s="416">
        <v>26</v>
      </c>
      <c r="K223" s="422">
        <v>19.11</v>
      </c>
      <c r="L223" s="415">
        <v>0.12</v>
      </c>
      <c r="M223" s="419"/>
      <c r="N223" s="417"/>
      <c r="P223" s="418"/>
    </row>
    <row r="224" spans="1:16" s="51" customFormat="1">
      <c r="A224" s="413">
        <v>221</v>
      </c>
      <c r="B224" s="414" t="s">
        <v>1087</v>
      </c>
      <c r="C224" s="414" t="s">
        <v>477</v>
      </c>
      <c r="D224" s="414" t="s">
        <v>799</v>
      </c>
      <c r="E224" s="421">
        <v>6</v>
      </c>
      <c r="F224" s="421">
        <v>0</v>
      </c>
      <c r="G224" s="415" t="e">
        <v>#DIV/0!</v>
      </c>
      <c r="H224" s="419"/>
      <c r="I224" s="416"/>
      <c r="J224" s="416">
        <v>33</v>
      </c>
      <c r="K224" s="422">
        <v>3.85</v>
      </c>
      <c r="L224" s="415">
        <v>2.3123279999999999</v>
      </c>
      <c r="M224" s="419"/>
      <c r="N224" s="417"/>
      <c r="P224" s="418"/>
    </row>
    <row r="225" spans="1:16" s="51" customFormat="1">
      <c r="A225" s="413">
        <v>222</v>
      </c>
      <c r="B225" s="414" t="s">
        <v>1087</v>
      </c>
      <c r="C225" s="414" t="s">
        <v>473</v>
      </c>
      <c r="D225" s="414" t="s">
        <v>800</v>
      </c>
      <c r="E225" s="421">
        <v>10</v>
      </c>
      <c r="F225" s="421">
        <v>0.28000000000000003</v>
      </c>
      <c r="G225" s="415" t="e">
        <v>#DIV/0!</v>
      </c>
      <c r="H225" s="419"/>
      <c r="I225" s="416"/>
      <c r="J225" s="416">
        <v>90</v>
      </c>
      <c r="K225" s="422">
        <v>39.78</v>
      </c>
      <c r="L225" s="415">
        <v>0.59919999999999995</v>
      </c>
      <c r="M225" s="419"/>
      <c r="N225" s="417"/>
      <c r="P225" s="418"/>
    </row>
    <row r="226" spans="1:16" s="51" customFormat="1">
      <c r="A226" s="413">
        <v>223</v>
      </c>
      <c r="B226" s="414" t="s">
        <v>1087</v>
      </c>
      <c r="C226" s="414" t="s">
        <v>473</v>
      </c>
      <c r="D226" s="414" t="s">
        <v>801</v>
      </c>
      <c r="E226" s="421">
        <v>17</v>
      </c>
      <c r="F226" s="421">
        <v>12.9</v>
      </c>
      <c r="G226" s="415">
        <v>2.06976</v>
      </c>
      <c r="H226" s="419"/>
      <c r="I226" s="416"/>
      <c r="J226" s="416">
        <v>130</v>
      </c>
      <c r="K226" s="422">
        <v>66.2</v>
      </c>
      <c r="L226" s="415">
        <v>1.2131999999999998</v>
      </c>
      <c r="M226" s="419"/>
      <c r="N226" s="417"/>
      <c r="P226" s="418"/>
    </row>
    <row r="227" spans="1:16" s="51" customFormat="1">
      <c r="A227" s="413">
        <v>224</v>
      </c>
      <c r="B227" s="414" t="s">
        <v>1087</v>
      </c>
      <c r="C227" s="414" t="s">
        <v>476</v>
      </c>
      <c r="D227" s="414" t="s">
        <v>802</v>
      </c>
      <c r="E227" s="421">
        <v>6</v>
      </c>
      <c r="F227" s="421">
        <v>3.42</v>
      </c>
      <c r="G227" s="415">
        <v>1.2096</v>
      </c>
      <c r="H227" s="419"/>
      <c r="I227" s="416"/>
      <c r="J227" s="416">
        <v>60</v>
      </c>
      <c r="K227" s="422">
        <v>25.49</v>
      </c>
      <c r="L227" s="415">
        <v>0.45823999999999998</v>
      </c>
      <c r="M227" s="419"/>
      <c r="N227" s="417"/>
      <c r="P227" s="418"/>
    </row>
    <row r="228" spans="1:16" s="51" customFormat="1">
      <c r="A228" s="413">
        <v>225</v>
      </c>
      <c r="B228" s="414" t="s">
        <v>1087</v>
      </c>
      <c r="C228" s="414" t="s">
        <v>473</v>
      </c>
      <c r="D228" s="414" t="s">
        <v>803</v>
      </c>
      <c r="E228" s="421">
        <v>0</v>
      </c>
      <c r="F228" s="421">
        <v>0</v>
      </c>
      <c r="G228" s="415" t="e">
        <v>#DIV/0!</v>
      </c>
      <c r="H228" s="419"/>
      <c r="I228" s="416"/>
      <c r="J228" s="416">
        <v>80</v>
      </c>
      <c r="K228" s="422">
        <v>40.4</v>
      </c>
      <c r="L228" s="415">
        <v>0.23357217391304347</v>
      </c>
      <c r="M228" s="419"/>
      <c r="N228" s="417"/>
      <c r="P228" s="418"/>
    </row>
    <row r="229" spans="1:16" s="51" customFormat="1">
      <c r="A229" s="413">
        <v>226</v>
      </c>
      <c r="B229" s="414" t="s">
        <v>1087</v>
      </c>
      <c r="C229" s="414" t="s">
        <v>472</v>
      </c>
      <c r="D229" s="414" t="s">
        <v>804</v>
      </c>
      <c r="E229" s="421">
        <v>3.8</v>
      </c>
      <c r="F229" s="421">
        <v>1.67</v>
      </c>
      <c r="G229" s="415" t="e">
        <v>#DIV/0!</v>
      </c>
      <c r="H229" s="419"/>
      <c r="I229" s="416"/>
      <c r="J229" s="416">
        <v>39</v>
      </c>
      <c r="K229" s="422">
        <v>7.42</v>
      </c>
      <c r="L229" s="415">
        <v>0.93088941176470597</v>
      </c>
      <c r="M229" s="419"/>
      <c r="N229" s="417"/>
      <c r="P229" s="418"/>
    </row>
    <row r="230" spans="1:16" s="51" customFormat="1">
      <c r="A230" s="413">
        <v>227</v>
      </c>
      <c r="B230" s="414" t="s">
        <v>1087</v>
      </c>
      <c r="C230" s="414" t="s">
        <v>472</v>
      </c>
      <c r="D230" s="414" t="s">
        <v>805</v>
      </c>
      <c r="E230" s="421">
        <v>13</v>
      </c>
      <c r="F230" s="421">
        <v>0</v>
      </c>
      <c r="G230" s="415">
        <v>0</v>
      </c>
      <c r="H230" s="419"/>
      <c r="I230" s="416"/>
      <c r="J230" s="416">
        <v>147</v>
      </c>
      <c r="K230" s="422">
        <v>75.37</v>
      </c>
      <c r="L230" s="415">
        <v>0.8416434782608696</v>
      </c>
      <c r="M230" s="419"/>
      <c r="N230" s="417"/>
      <c r="P230" s="418"/>
    </row>
    <row r="231" spans="1:16" s="51" customFormat="1">
      <c r="A231" s="413">
        <v>228</v>
      </c>
      <c r="B231" s="414" t="s">
        <v>1087</v>
      </c>
      <c r="C231" s="414" t="s">
        <v>476</v>
      </c>
      <c r="D231" s="414" t="s">
        <v>806</v>
      </c>
      <c r="E231" s="421">
        <v>6.5</v>
      </c>
      <c r="F231" s="421">
        <v>0</v>
      </c>
      <c r="G231" s="415">
        <v>0</v>
      </c>
      <c r="H231" s="419"/>
      <c r="I231" s="416"/>
      <c r="J231" s="416">
        <v>60</v>
      </c>
      <c r="K231" s="422">
        <v>7.66</v>
      </c>
      <c r="L231" s="415">
        <v>0.12985107692307693</v>
      </c>
      <c r="M231" s="419"/>
      <c r="N231" s="417"/>
      <c r="P231" s="418"/>
    </row>
    <row r="232" spans="1:16" s="51" customFormat="1">
      <c r="A232" s="413">
        <v>229</v>
      </c>
      <c r="B232" s="414" t="s">
        <v>1087</v>
      </c>
      <c r="C232" s="414" t="s">
        <v>472</v>
      </c>
      <c r="D232" s="414" t="s">
        <v>807</v>
      </c>
      <c r="E232" s="421">
        <v>5</v>
      </c>
      <c r="F232" s="421">
        <v>0</v>
      </c>
      <c r="G232" s="415">
        <v>0</v>
      </c>
      <c r="H232" s="419"/>
      <c r="I232" s="416"/>
      <c r="J232" s="416">
        <v>64</v>
      </c>
      <c r="K232" s="422">
        <v>12.15</v>
      </c>
      <c r="L232" s="415">
        <v>0.76227000000000011</v>
      </c>
      <c r="M232" s="419"/>
      <c r="N232" s="417"/>
      <c r="P232" s="418"/>
    </row>
    <row r="233" spans="1:16" s="51" customFormat="1">
      <c r="A233" s="413">
        <v>230</v>
      </c>
      <c r="B233" s="414" t="s">
        <v>1087</v>
      </c>
      <c r="C233" s="414" t="s">
        <v>476</v>
      </c>
      <c r="D233" s="414" t="s">
        <v>808</v>
      </c>
      <c r="E233" s="421">
        <v>7</v>
      </c>
      <c r="F233" s="421">
        <v>0</v>
      </c>
      <c r="G233" s="415" t="e">
        <v>#DIV/0!</v>
      </c>
      <c r="H233" s="419"/>
      <c r="I233" s="416"/>
      <c r="J233" s="416">
        <v>80</v>
      </c>
      <c r="K233" s="422">
        <v>24.14</v>
      </c>
      <c r="L233" s="415">
        <v>0.71927999999999992</v>
      </c>
      <c r="M233" s="419"/>
      <c r="N233" s="417"/>
      <c r="P233" s="418"/>
    </row>
    <row r="234" spans="1:16" s="51" customFormat="1">
      <c r="A234" s="413">
        <v>231</v>
      </c>
      <c r="B234" s="414" t="s">
        <v>1087</v>
      </c>
      <c r="C234" s="414" t="s">
        <v>478</v>
      </c>
      <c r="D234" s="414" t="s">
        <v>809</v>
      </c>
      <c r="E234" s="421">
        <v>3.5</v>
      </c>
      <c r="F234" s="421">
        <v>0</v>
      </c>
      <c r="G234" s="415" t="e">
        <v>#DIV/0!</v>
      </c>
      <c r="H234" s="419"/>
      <c r="I234" s="416"/>
      <c r="J234" s="416">
        <v>31.5</v>
      </c>
      <c r="K234" s="422">
        <v>5.55</v>
      </c>
      <c r="L234" s="415">
        <v>0.37440000000000001</v>
      </c>
      <c r="M234" s="419"/>
      <c r="N234" s="417"/>
      <c r="P234" s="418"/>
    </row>
    <row r="235" spans="1:16" s="51" customFormat="1">
      <c r="A235" s="413">
        <v>232</v>
      </c>
      <c r="B235" s="414" t="s">
        <v>1087</v>
      </c>
      <c r="C235" s="414" t="s">
        <v>476</v>
      </c>
      <c r="D235" s="414" t="s">
        <v>810</v>
      </c>
      <c r="E235" s="421">
        <v>40</v>
      </c>
      <c r="F235" s="421">
        <v>0</v>
      </c>
      <c r="G235" s="415">
        <v>0</v>
      </c>
      <c r="H235" s="419"/>
      <c r="I235" s="416"/>
      <c r="J235" s="416">
        <v>450</v>
      </c>
      <c r="K235" s="422">
        <v>118.88</v>
      </c>
      <c r="L235" s="415">
        <v>0.31984000000000001</v>
      </c>
      <c r="M235" s="419"/>
      <c r="N235" s="417"/>
      <c r="P235" s="418"/>
    </row>
    <row r="236" spans="1:16" s="51" customFormat="1">
      <c r="A236" s="413">
        <v>233</v>
      </c>
      <c r="B236" s="414" t="s">
        <v>1087</v>
      </c>
      <c r="C236" s="414" t="s">
        <v>478</v>
      </c>
      <c r="D236" s="414" t="s">
        <v>811</v>
      </c>
      <c r="E236" s="421">
        <v>6</v>
      </c>
      <c r="F236" s="421">
        <v>21.01</v>
      </c>
      <c r="G236" s="415">
        <v>0.54739199999999999</v>
      </c>
      <c r="H236" s="419"/>
      <c r="I236" s="416"/>
      <c r="J236" s="416">
        <v>111</v>
      </c>
      <c r="K236" s="422">
        <v>61.63</v>
      </c>
      <c r="L236" s="415">
        <v>0.43352888888888885</v>
      </c>
      <c r="M236" s="419"/>
      <c r="N236" s="417"/>
      <c r="P236" s="418"/>
    </row>
    <row r="237" spans="1:16" s="51" customFormat="1">
      <c r="A237" s="413">
        <v>234</v>
      </c>
      <c r="B237" s="414" t="s">
        <v>1087</v>
      </c>
      <c r="C237" s="414" t="s">
        <v>477</v>
      </c>
      <c r="D237" s="414" t="s">
        <v>812</v>
      </c>
      <c r="E237" s="421">
        <v>6</v>
      </c>
      <c r="F237" s="421">
        <v>1.02</v>
      </c>
      <c r="G237" s="415">
        <v>1.8892800000000001</v>
      </c>
      <c r="H237" s="419"/>
      <c r="I237" s="416"/>
      <c r="J237" s="416">
        <v>40</v>
      </c>
      <c r="K237" s="422">
        <v>24</v>
      </c>
      <c r="L237" s="415">
        <v>2.5596160000000001</v>
      </c>
      <c r="M237" s="419"/>
      <c r="N237" s="417"/>
      <c r="P237" s="418"/>
    </row>
    <row r="238" spans="1:16" s="51" customFormat="1">
      <c r="A238" s="413">
        <v>235</v>
      </c>
      <c r="B238" s="414" t="s">
        <v>1087</v>
      </c>
      <c r="C238" s="414" t="s">
        <v>475</v>
      </c>
      <c r="D238" s="414" t="s">
        <v>813</v>
      </c>
      <c r="E238" s="421">
        <v>20</v>
      </c>
      <c r="F238" s="421">
        <v>5.09</v>
      </c>
      <c r="G238" s="415" t="e">
        <v>#DIV/0!</v>
      </c>
      <c r="H238" s="419"/>
      <c r="I238" s="416"/>
      <c r="J238" s="416">
        <v>200</v>
      </c>
      <c r="K238" s="422">
        <v>90.34</v>
      </c>
      <c r="L238" s="415">
        <v>0.27294052173913042</v>
      </c>
      <c r="M238" s="419"/>
      <c r="N238" s="417"/>
      <c r="P238" s="418"/>
    </row>
    <row r="239" spans="1:16" s="51" customFormat="1">
      <c r="A239" s="413">
        <v>236</v>
      </c>
      <c r="B239" s="414" t="s">
        <v>1087</v>
      </c>
      <c r="C239" s="414" t="s">
        <v>476</v>
      </c>
      <c r="D239" s="414" t="s">
        <v>814</v>
      </c>
      <c r="E239" s="421">
        <v>1.8</v>
      </c>
      <c r="F239" s="421">
        <v>0.55000000000000004</v>
      </c>
      <c r="G239" s="415" t="e">
        <v>#DIV/0!</v>
      </c>
      <c r="H239" s="419"/>
      <c r="I239" s="416"/>
      <c r="J239" s="416">
        <v>20</v>
      </c>
      <c r="K239" s="422">
        <v>5.62</v>
      </c>
      <c r="L239" s="415">
        <v>1.0154205405405405</v>
      </c>
      <c r="M239" s="419"/>
      <c r="N239" s="417"/>
      <c r="P239" s="418"/>
    </row>
    <row r="240" spans="1:16" s="51" customFormat="1">
      <c r="A240" s="413">
        <v>237</v>
      </c>
      <c r="B240" s="414" t="s">
        <v>1087</v>
      </c>
      <c r="C240" s="414" t="s">
        <v>474</v>
      </c>
      <c r="D240" s="414" t="s">
        <v>815</v>
      </c>
      <c r="E240" s="421">
        <v>36.9</v>
      </c>
      <c r="F240" s="421">
        <v>9.19</v>
      </c>
      <c r="G240" s="415">
        <v>0.50688</v>
      </c>
      <c r="H240" s="419"/>
      <c r="I240" s="416"/>
      <c r="J240" s="416">
        <v>184.5</v>
      </c>
      <c r="K240" s="422">
        <v>92.62</v>
      </c>
      <c r="L240" s="415">
        <v>1.0532654545454545</v>
      </c>
      <c r="M240" s="419"/>
      <c r="N240" s="417"/>
      <c r="P240" s="418"/>
    </row>
    <row r="241" spans="1:16" s="51" customFormat="1">
      <c r="A241" s="413">
        <v>238</v>
      </c>
      <c r="B241" s="414" t="s">
        <v>1087</v>
      </c>
      <c r="C241" s="414" t="s">
        <v>473</v>
      </c>
      <c r="D241" s="414" t="s">
        <v>816</v>
      </c>
      <c r="E241" s="421">
        <v>24</v>
      </c>
      <c r="F241" s="421">
        <v>0</v>
      </c>
      <c r="G241" s="415">
        <v>1.488</v>
      </c>
      <c r="H241" s="419"/>
      <c r="I241" s="416"/>
      <c r="J241" s="416">
        <v>60</v>
      </c>
      <c r="K241" s="422">
        <v>34.65</v>
      </c>
      <c r="L241" s="415">
        <v>0.60032000000000008</v>
      </c>
      <c r="M241" s="419"/>
      <c r="N241" s="417"/>
      <c r="P241" s="418"/>
    </row>
    <row r="242" spans="1:16" s="51" customFormat="1">
      <c r="A242" s="413">
        <v>239</v>
      </c>
      <c r="B242" s="414" t="s">
        <v>1087</v>
      </c>
      <c r="C242" s="414" t="s">
        <v>473</v>
      </c>
      <c r="D242" s="414" t="s">
        <v>817</v>
      </c>
      <c r="E242" s="421">
        <v>23</v>
      </c>
      <c r="F242" s="421">
        <v>0</v>
      </c>
      <c r="G242" s="415" t="e">
        <v>#DIV/0!</v>
      </c>
      <c r="H242" s="419"/>
      <c r="I242" s="416"/>
      <c r="J242" s="416">
        <v>190</v>
      </c>
      <c r="K242" s="422">
        <v>52.47</v>
      </c>
      <c r="L242" s="415">
        <v>0.83073600000000014</v>
      </c>
      <c r="M242" s="419"/>
      <c r="N242" s="417"/>
      <c r="P242" s="418"/>
    </row>
    <row r="243" spans="1:16" s="51" customFormat="1">
      <c r="A243" s="413">
        <v>240</v>
      </c>
      <c r="B243" s="414" t="s">
        <v>1087</v>
      </c>
      <c r="C243" s="414" t="s">
        <v>473</v>
      </c>
      <c r="D243" s="414" t="s">
        <v>818</v>
      </c>
      <c r="E243" s="421">
        <v>20</v>
      </c>
      <c r="F243" s="421">
        <v>3.94</v>
      </c>
      <c r="G243" s="415" t="e">
        <v>#DIV/0!</v>
      </c>
      <c r="H243" s="419"/>
      <c r="I243" s="416"/>
      <c r="J243" s="416">
        <v>300</v>
      </c>
      <c r="K243" s="422">
        <v>231.32</v>
      </c>
      <c r="L243" s="415">
        <v>1.4824400000000002</v>
      </c>
      <c r="M243" s="419"/>
      <c r="N243" s="417"/>
      <c r="P243" s="418"/>
    </row>
    <row r="244" spans="1:16" s="51" customFormat="1">
      <c r="A244" s="413">
        <v>241</v>
      </c>
      <c r="B244" s="414" t="s">
        <v>1087</v>
      </c>
      <c r="C244" s="414" t="s">
        <v>475</v>
      </c>
      <c r="D244" s="414" t="s">
        <v>819</v>
      </c>
      <c r="E244" s="421">
        <v>2.5</v>
      </c>
      <c r="F244" s="421">
        <v>0</v>
      </c>
      <c r="G244" s="415">
        <v>0</v>
      </c>
      <c r="H244" s="419"/>
      <c r="I244" s="416"/>
      <c r="J244" s="416">
        <v>46</v>
      </c>
      <c r="K244" s="422">
        <v>16.43</v>
      </c>
      <c r="L244" s="415">
        <v>0.22492799999999996</v>
      </c>
      <c r="M244" s="419"/>
      <c r="N244" s="417"/>
      <c r="P244" s="418"/>
    </row>
    <row r="245" spans="1:16" s="51" customFormat="1">
      <c r="A245" s="413">
        <v>242</v>
      </c>
      <c r="B245" s="414" t="s">
        <v>1087</v>
      </c>
      <c r="C245" s="414" t="s">
        <v>474</v>
      </c>
      <c r="D245" s="414" t="s">
        <v>820</v>
      </c>
      <c r="E245" s="421">
        <v>2.5</v>
      </c>
      <c r="F245" s="421">
        <v>9.76</v>
      </c>
      <c r="G245" s="415">
        <v>0</v>
      </c>
      <c r="H245" s="419"/>
      <c r="I245" s="416"/>
      <c r="J245" s="416">
        <v>46</v>
      </c>
      <c r="K245" s="422">
        <v>56.88</v>
      </c>
      <c r="L245" s="415">
        <v>0.43468800000000013</v>
      </c>
      <c r="M245" s="419"/>
      <c r="N245" s="417"/>
      <c r="P245" s="418"/>
    </row>
    <row r="246" spans="1:16" s="51" customFormat="1">
      <c r="A246" s="413">
        <v>243</v>
      </c>
      <c r="B246" s="414" t="s">
        <v>1087</v>
      </c>
      <c r="C246" s="414" t="s">
        <v>474</v>
      </c>
      <c r="D246" s="414" t="s">
        <v>821</v>
      </c>
      <c r="E246" s="421">
        <v>12</v>
      </c>
      <c r="F246" s="421">
        <v>0</v>
      </c>
      <c r="G246" s="415">
        <v>0.57599999999999996</v>
      </c>
      <c r="H246" s="419"/>
      <c r="I246" s="416"/>
      <c r="J246" s="416">
        <v>150</v>
      </c>
      <c r="K246" s="422">
        <v>85.9</v>
      </c>
      <c r="L246" s="415">
        <v>0.40591413612565447</v>
      </c>
      <c r="M246" s="419"/>
      <c r="N246" s="417"/>
      <c r="P246" s="418"/>
    </row>
    <row r="247" spans="1:16" s="51" customFormat="1">
      <c r="A247" s="413">
        <v>244</v>
      </c>
      <c r="B247" s="414" t="s">
        <v>1087</v>
      </c>
      <c r="C247" s="414" t="s">
        <v>475</v>
      </c>
      <c r="D247" s="414" t="s">
        <v>822</v>
      </c>
      <c r="E247" s="421">
        <v>10</v>
      </c>
      <c r="F247" s="421">
        <v>0</v>
      </c>
      <c r="G247" s="415">
        <v>0</v>
      </c>
      <c r="H247" s="419"/>
      <c r="I247" s="416"/>
      <c r="J247" s="416">
        <v>84</v>
      </c>
      <c r="K247" s="422">
        <v>71.05</v>
      </c>
      <c r="L247" s="415">
        <v>0.49193142857142858</v>
      </c>
      <c r="M247" s="419"/>
      <c r="N247" s="417"/>
      <c r="P247" s="418"/>
    </row>
    <row r="248" spans="1:16" s="51" customFormat="1">
      <c r="A248" s="413">
        <v>245</v>
      </c>
      <c r="B248" s="414" t="s">
        <v>1087</v>
      </c>
      <c r="C248" s="414" t="s">
        <v>477</v>
      </c>
      <c r="D248" s="414" t="s">
        <v>823</v>
      </c>
      <c r="E248" s="421">
        <v>2</v>
      </c>
      <c r="F248" s="421">
        <v>0</v>
      </c>
      <c r="G248" s="415">
        <v>1.5547199999999999</v>
      </c>
      <c r="H248" s="419"/>
      <c r="I248" s="416"/>
      <c r="J248" s="416">
        <v>77.3</v>
      </c>
      <c r="K248" s="422">
        <v>44.26</v>
      </c>
      <c r="L248" s="415">
        <v>0.54458926829268295</v>
      </c>
      <c r="M248" s="419"/>
      <c r="N248" s="417"/>
      <c r="P248" s="418"/>
    </row>
    <row r="249" spans="1:16" s="51" customFormat="1">
      <c r="A249" s="413">
        <v>246</v>
      </c>
      <c r="B249" s="414" t="s">
        <v>1087</v>
      </c>
      <c r="C249" s="414" t="s">
        <v>477</v>
      </c>
      <c r="D249" s="414" t="s">
        <v>824</v>
      </c>
      <c r="E249" s="421">
        <v>4</v>
      </c>
      <c r="F249" s="421">
        <v>0</v>
      </c>
      <c r="G249" s="415">
        <v>4.8660480000000002</v>
      </c>
      <c r="H249" s="419"/>
      <c r="I249" s="416"/>
      <c r="J249" s="416">
        <v>40</v>
      </c>
      <c r="K249" s="422">
        <v>23.1</v>
      </c>
      <c r="L249" s="415">
        <v>1.0410239999999999</v>
      </c>
      <c r="M249" s="419"/>
      <c r="N249" s="417"/>
      <c r="P249" s="418"/>
    </row>
    <row r="250" spans="1:16" s="51" customFormat="1">
      <c r="A250" s="413">
        <v>247</v>
      </c>
      <c r="B250" s="414" t="s">
        <v>1087</v>
      </c>
      <c r="C250" s="414" t="s">
        <v>477</v>
      </c>
      <c r="D250" s="414" t="s">
        <v>825</v>
      </c>
      <c r="E250" s="421">
        <v>1.3</v>
      </c>
      <c r="F250" s="421">
        <v>0</v>
      </c>
      <c r="G250" s="415">
        <v>0</v>
      </c>
      <c r="H250" s="419"/>
      <c r="I250" s="416"/>
      <c r="J250" s="416">
        <v>26.1</v>
      </c>
      <c r="K250" s="422">
        <v>13.66</v>
      </c>
      <c r="L250" s="415">
        <v>0.42326999999999998</v>
      </c>
      <c r="M250" s="419"/>
      <c r="N250" s="417"/>
      <c r="P250" s="418"/>
    </row>
    <row r="251" spans="1:16" s="51" customFormat="1">
      <c r="A251" s="413">
        <v>248</v>
      </c>
      <c r="B251" s="414" t="s">
        <v>1087</v>
      </c>
      <c r="C251" s="414" t="s">
        <v>472</v>
      </c>
      <c r="D251" s="414" t="s">
        <v>826</v>
      </c>
      <c r="E251" s="421">
        <v>3.71</v>
      </c>
      <c r="F251" s="421">
        <v>5.69</v>
      </c>
      <c r="G251" s="415">
        <v>1.2672000000000001</v>
      </c>
      <c r="H251" s="419"/>
      <c r="I251" s="416"/>
      <c r="J251" s="416">
        <v>64.180000000000007</v>
      </c>
      <c r="K251" s="422">
        <v>37.630000000000003</v>
      </c>
      <c r="L251" s="415">
        <v>1.022120930232558</v>
      </c>
      <c r="M251" s="419"/>
      <c r="N251" s="417"/>
      <c r="P251" s="418"/>
    </row>
    <row r="252" spans="1:16" s="51" customFormat="1">
      <c r="A252" s="413">
        <v>249</v>
      </c>
      <c r="B252" s="414" t="s">
        <v>1087</v>
      </c>
      <c r="C252" s="414" t="s">
        <v>477</v>
      </c>
      <c r="D252" s="414" t="s">
        <v>827</v>
      </c>
      <c r="E252" s="421">
        <v>6</v>
      </c>
      <c r="F252" s="421">
        <v>0</v>
      </c>
      <c r="G252" s="415">
        <v>6.5864000000000003</v>
      </c>
      <c r="H252" s="419"/>
      <c r="I252" s="416"/>
      <c r="J252" s="416">
        <v>75</v>
      </c>
      <c r="K252" s="422">
        <v>35.590000000000003</v>
      </c>
      <c r="L252" s="415">
        <v>2.5633066666666666</v>
      </c>
      <c r="M252" s="419"/>
      <c r="N252" s="417"/>
      <c r="P252" s="418"/>
    </row>
    <row r="253" spans="1:16" s="51" customFormat="1">
      <c r="A253" s="413">
        <v>250</v>
      </c>
      <c r="B253" s="414" t="s">
        <v>1087</v>
      </c>
      <c r="C253" s="414" t="s">
        <v>475</v>
      </c>
      <c r="D253" s="414" t="s">
        <v>828</v>
      </c>
      <c r="E253" s="421">
        <v>7</v>
      </c>
      <c r="F253" s="421">
        <v>0</v>
      </c>
      <c r="G253" s="415">
        <v>0</v>
      </c>
      <c r="H253" s="419"/>
      <c r="I253" s="416"/>
      <c r="J253" s="416">
        <v>60</v>
      </c>
      <c r="K253" s="422">
        <v>21.03</v>
      </c>
      <c r="L253" s="415">
        <v>0.80700800000000006</v>
      </c>
      <c r="M253" s="419"/>
      <c r="N253" s="417"/>
      <c r="P253" s="418"/>
    </row>
    <row r="254" spans="1:16" s="51" customFormat="1">
      <c r="A254" s="413">
        <v>251</v>
      </c>
      <c r="B254" s="414" t="s">
        <v>1087</v>
      </c>
      <c r="C254" s="414" t="s">
        <v>478</v>
      </c>
      <c r="D254" s="414" t="s">
        <v>829</v>
      </c>
      <c r="E254" s="421">
        <v>14</v>
      </c>
      <c r="F254" s="421">
        <v>0</v>
      </c>
      <c r="G254" s="415">
        <v>0</v>
      </c>
      <c r="H254" s="419"/>
      <c r="I254" s="416"/>
      <c r="J254" s="416">
        <v>120</v>
      </c>
      <c r="K254" s="422">
        <v>69.849999999999994</v>
      </c>
      <c r="L254" s="415">
        <v>0.73190399999999989</v>
      </c>
      <c r="M254" s="419"/>
      <c r="N254" s="417"/>
      <c r="P254" s="418"/>
    </row>
    <row r="255" spans="1:16" s="51" customFormat="1">
      <c r="A255" s="413">
        <v>252</v>
      </c>
      <c r="B255" s="414" t="s">
        <v>1087</v>
      </c>
      <c r="C255" s="414" t="s">
        <v>475</v>
      </c>
      <c r="D255" s="414" t="s">
        <v>830</v>
      </c>
      <c r="E255" s="421">
        <v>1.2</v>
      </c>
      <c r="F255" s="421">
        <v>0</v>
      </c>
      <c r="G255" s="415">
        <v>0</v>
      </c>
      <c r="H255" s="419"/>
      <c r="I255" s="416"/>
      <c r="J255" s="416">
        <v>32</v>
      </c>
      <c r="K255" s="422">
        <v>25.9</v>
      </c>
      <c r="L255" s="415">
        <v>0.47900159999999997</v>
      </c>
      <c r="M255" s="419"/>
      <c r="N255" s="417"/>
      <c r="P255" s="418"/>
    </row>
    <row r="256" spans="1:16" s="51" customFormat="1">
      <c r="A256" s="413">
        <v>253</v>
      </c>
      <c r="B256" s="414" t="s">
        <v>1087</v>
      </c>
      <c r="C256" s="414" t="s">
        <v>476</v>
      </c>
      <c r="D256" s="414" t="s">
        <v>831</v>
      </c>
      <c r="E256" s="421">
        <v>7</v>
      </c>
      <c r="F256" s="421">
        <v>0</v>
      </c>
      <c r="G256" s="415">
        <v>0</v>
      </c>
      <c r="H256" s="419"/>
      <c r="I256" s="416"/>
      <c r="J256" s="416">
        <v>90</v>
      </c>
      <c r="K256" s="422">
        <v>40.840000000000003</v>
      </c>
      <c r="L256" s="415">
        <v>0.76768000000000003</v>
      </c>
      <c r="M256" s="419"/>
      <c r="N256" s="417"/>
      <c r="P256" s="418"/>
    </row>
    <row r="257" spans="1:16" s="51" customFormat="1">
      <c r="A257" s="413">
        <v>254</v>
      </c>
      <c r="B257" s="414" t="s">
        <v>1087</v>
      </c>
      <c r="C257" s="414" t="s">
        <v>478</v>
      </c>
      <c r="D257" s="414" t="s">
        <v>832</v>
      </c>
      <c r="E257" s="421">
        <v>6</v>
      </c>
      <c r="F257" s="421">
        <v>0.76</v>
      </c>
      <c r="G257" s="415">
        <v>0</v>
      </c>
      <c r="H257" s="419"/>
      <c r="I257" s="416"/>
      <c r="J257" s="416">
        <v>47</v>
      </c>
      <c r="K257" s="422">
        <v>45.24</v>
      </c>
      <c r="L257" s="415">
        <v>0.32520533333333335</v>
      </c>
      <c r="M257" s="419"/>
      <c r="N257" s="417"/>
      <c r="P257" s="418"/>
    </row>
    <row r="258" spans="1:16" s="51" customFormat="1">
      <c r="A258" s="413">
        <v>255</v>
      </c>
      <c r="B258" s="414" t="s">
        <v>1087</v>
      </c>
      <c r="C258" s="414" t="s">
        <v>474</v>
      </c>
      <c r="D258" s="414" t="s">
        <v>833</v>
      </c>
      <c r="E258" s="421">
        <v>2</v>
      </c>
      <c r="F258" s="421">
        <v>0.64</v>
      </c>
      <c r="G258" s="415">
        <v>2.4758400000000003</v>
      </c>
      <c r="H258" s="419"/>
      <c r="I258" s="416"/>
      <c r="J258" s="416">
        <v>30</v>
      </c>
      <c r="K258" s="422">
        <v>28.77</v>
      </c>
      <c r="L258" s="415">
        <v>1.1334933333333332</v>
      </c>
      <c r="M258" s="419"/>
      <c r="N258" s="417"/>
      <c r="P258" s="418"/>
    </row>
    <row r="259" spans="1:16" s="51" customFormat="1">
      <c r="A259" s="413">
        <v>256</v>
      </c>
      <c r="B259" s="414" t="s">
        <v>1087</v>
      </c>
      <c r="C259" s="414" t="s">
        <v>476</v>
      </c>
      <c r="D259" s="414" t="s">
        <v>834</v>
      </c>
      <c r="E259" s="421">
        <v>7</v>
      </c>
      <c r="F259" s="421">
        <v>2.2999999999999998</v>
      </c>
      <c r="G259" s="415" t="e">
        <v>#DIV/0!</v>
      </c>
      <c r="H259" s="419"/>
      <c r="I259" s="416"/>
      <c r="J259" s="416">
        <v>260</v>
      </c>
      <c r="K259" s="422">
        <v>94.99</v>
      </c>
      <c r="L259" s="415">
        <v>1.0091519999999998</v>
      </c>
      <c r="M259" s="419"/>
      <c r="N259" s="417"/>
      <c r="P259" s="418"/>
    </row>
    <row r="260" spans="1:16" s="51" customFormat="1">
      <c r="A260" s="413">
        <v>257</v>
      </c>
      <c r="B260" s="414" t="s">
        <v>1087</v>
      </c>
      <c r="C260" s="414" t="s">
        <v>473</v>
      </c>
      <c r="D260" s="414" t="s">
        <v>835</v>
      </c>
      <c r="E260" s="421">
        <v>10</v>
      </c>
      <c r="F260" s="421">
        <v>0</v>
      </c>
      <c r="G260" s="415">
        <v>1.3355999999999999</v>
      </c>
      <c r="H260" s="419"/>
      <c r="I260" s="416"/>
      <c r="J260" s="416">
        <v>112</v>
      </c>
      <c r="K260" s="422">
        <v>64.08</v>
      </c>
      <c r="L260" s="415">
        <v>0.49126956521739135</v>
      </c>
      <c r="M260" s="419"/>
      <c r="N260" s="417"/>
      <c r="P260" s="418"/>
    </row>
    <row r="261" spans="1:16" s="51" customFormat="1">
      <c r="A261" s="413">
        <v>258</v>
      </c>
      <c r="B261" s="414" t="s">
        <v>1087</v>
      </c>
      <c r="C261" s="414" t="s">
        <v>473</v>
      </c>
      <c r="D261" s="414" t="s">
        <v>837</v>
      </c>
      <c r="E261" s="421">
        <v>12</v>
      </c>
      <c r="F261" s="421">
        <v>0</v>
      </c>
      <c r="G261" s="415">
        <v>0</v>
      </c>
      <c r="H261" s="419"/>
      <c r="I261" s="416"/>
      <c r="J261" s="416">
        <v>137</v>
      </c>
      <c r="K261" s="422">
        <v>78.44</v>
      </c>
      <c r="L261" s="415">
        <v>1.3210399999999998</v>
      </c>
      <c r="M261" s="419"/>
      <c r="N261" s="417"/>
      <c r="P261" s="418"/>
    </row>
    <row r="262" spans="1:16" s="51" customFormat="1">
      <c r="A262" s="413">
        <v>259</v>
      </c>
      <c r="B262" s="414" t="s">
        <v>1087</v>
      </c>
      <c r="C262" s="414" t="s">
        <v>477</v>
      </c>
      <c r="D262" s="414" t="s">
        <v>838</v>
      </c>
      <c r="E262" s="421">
        <v>5</v>
      </c>
      <c r="F262" s="421">
        <v>0</v>
      </c>
      <c r="G262" s="415">
        <v>0</v>
      </c>
      <c r="H262" s="419"/>
      <c r="I262" s="416"/>
      <c r="J262" s="416">
        <v>42</v>
      </c>
      <c r="K262" s="422">
        <v>14.94</v>
      </c>
      <c r="L262" s="415">
        <v>0.36071111111111109</v>
      </c>
      <c r="M262" s="419"/>
      <c r="N262" s="417"/>
      <c r="P262" s="418"/>
    </row>
    <row r="263" spans="1:16" s="51" customFormat="1">
      <c r="A263" s="413">
        <v>260</v>
      </c>
      <c r="B263" s="414" t="s">
        <v>1087</v>
      </c>
      <c r="C263" s="414" t="s">
        <v>473</v>
      </c>
      <c r="D263" s="414" t="s">
        <v>839</v>
      </c>
      <c r="E263" s="421">
        <v>6</v>
      </c>
      <c r="F263" s="421">
        <v>0</v>
      </c>
      <c r="G263" s="415" t="e">
        <v>#DIV/0!</v>
      </c>
      <c r="H263" s="419"/>
      <c r="I263" s="416"/>
      <c r="J263" s="416">
        <v>120</v>
      </c>
      <c r="K263" s="422">
        <v>54.04</v>
      </c>
      <c r="L263" s="415" t="e">
        <v>#DIV/0!</v>
      </c>
      <c r="M263" s="419"/>
      <c r="N263" s="417"/>
      <c r="P263" s="418"/>
    </row>
    <row r="264" spans="1:16" s="51" customFormat="1">
      <c r="A264" s="413">
        <v>261</v>
      </c>
      <c r="B264" s="414" t="s">
        <v>1087</v>
      </c>
      <c r="C264" s="414" t="s">
        <v>473</v>
      </c>
      <c r="D264" s="414" t="s">
        <v>840</v>
      </c>
      <c r="E264" s="421">
        <v>0</v>
      </c>
      <c r="F264" s="421">
        <v>0</v>
      </c>
      <c r="G264" s="415">
        <v>0.26880000000000004</v>
      </c>
      <c r="H264" s="419"/>
      <c r="I264" s="416"/>
      <c r="J264" s="416">
        <v>33</v>
      </c>
      <c r="K264" s="422">
        <v>28.93</v>
      </c>
      <c r="L264" s="415">
        <v>7.7086567164179096E-2</v>
      </c>
      <c r="M264" s="419"/>
      <c r="N264" s="417"/>
      <c r="P264" s="418"/>
    </row>
    <row r="265" spans="1:16" s="51" customFormat="1">
      <c r="A265" s="413">
        <v>262</v>
      </c>
      <c r="B265" s="414" t="s">
        <v>1087</v>
      </c>
      <c r="C265" s="414" t="s">
        <v>478</v>
      </c>
      <c r="D265" s="414" t="s">
        <v>841</v>
      </c>
      <c r="E265" s="421">
        <v>10</v>
      </c>
      <c r="F265" s="421">
        <v>2.25</v>
      </c>
      <c r="G265" s="415" t="e">
        <v>#DIV/0!</v>
      </c>
      <c r="H265" s="419"/>
      <c r="I265" s="416"/>
      <c r="J265" s="416">
        <v>40</v>
      </c>
      <c r="K265" s="422">
        <v>49.63</v>
      </c>
      <c r="L265" s="415">
        <v>0</v>
      </c>
      <c r="M265" s="419"/>
      <c r="N265" s="417"/>
      <c r="P265" s="418"/>
    </row>
    <row r="266" spans="1:16" s="51" customFormat="1">
      <c r="A266" s="413">
        <v>263</v>
      </c>
      <c r="B266" s="414" t="s">
        <v>1087</v>
      </c>
      <c r="C266" s="414" t="s">
        <v>475</v>
      </c>
      <c r="D266" s="414" t="s">
        <v>842</v>
      </c>
      <c r="E266" s="421">
        <v>8</v>
      </c>
      <c r="F266" s="421">
        <v>0.45</v>
      </c>
      <c r="G266" s="415">
        <v>0.180864</v>
      </c>
      <c r="H266" s="419"/>
      <c r="I266" s="416"/>
      <c r="J266" s="416">
        <v>37.6</v>
      </c>
      <c r="K266" s="422">
        <v>10.83</v>
      </c>
      <c r="L266" s="415">
        <v>0.66918</v>
      </c>
      <c r="M266" s="419"/>
      <c r="N266" s="417"/>
      <c r="P266" s="418"/>
    </row>
    <row r="267" spans="1:16" s="51" customFormat="1">
      <c r="A267" s="413">
        <v>264</v>
      </c>
      <c r="B267" s="414" t="s">
        <v>1087</v>
      </c>
      <c r="C267" s="414" t="s">
        <v>476</v>
      </c>
      <c r="D267" s="414" t="s">
        <v>843</v>
      </c>
      <c r="E267" s="421">
        <v>10</v>
      </c>
      <c r="F267" s="421">
        <v>0</v>
      </c>
      <c r="G267" s="415">
        <v>0</v>
      </c>
      <c r="H267" s="419"/>
      <c r="I267" s="416"/>
      <c r="J267" s="416">
        <v>82</v>
      </c>
      <c r="K267" s="422">
        <v>34.19</v>
      </c>
      <c r="L267" s="415">
        <v>0</v>
      </c>
      <c r="M267" s="419"/>
      <c r="N267" s="417"/>
      <c r="P267" s="418"/>
    </row>
    <row r="268" spans="1:16" s="51" customFormat="1">
      <c r="A268" s="413">
        <v>265</v>
      </c>
      <c r="B268" s="414" t="s">
        <v>1087</v>
      </c>
      <c r="C268" s="414" t="s">
        <v>472</v>
      </c>
      <c r="D268" s="414" t="s">
        <v>844</v>
      </c>
      <c r="E268" s="421">
        <v>12.5</v>
      </c>
      <c r="F268" s="421">
        <v>2.98</v>
      </c>
      <c r="G268" s="415">
        <v>0</v>
      </c>
      <c r="H268" s="419"/>
      <c r="I268" s="416"/>
      <c r="J268" s="416">
        <v>40.5</v>
      </c>
      <c r="K268" s="422">
        <v>27.29</v>
      </c>
      <c r="L268" s="415">
        <v>0</v>
      </c>
      <c r="M268" s="419"/>
      <c r="N268" s="417"/>
      <c r="P268" s="418"/>
    </row>
    <row r="269" spans="1:16" s="51" customFormat="1">
      <c r="A269" s="413">
        <v>266</v>
      </c>
      <c r="B269" s="414" t="s">
        <v>1087</v>
      </c>
      <c r="C269" s="414" t="s">
        <v>478</v>
      </c>
      <c r="D269" s="414" t="s">
        <v>845</v>
      </c>
      <c r="E269" s="421">
        <v>8</v>
      </c>
      <c r="F269" s="421">
        <v>0</v>
      </c>
      <c r="G269" s="415">
        <v>0</v>
      </c>
      <c r="H269" s="419"/>
      <c r="I269" s="416"/>
      <c r="J269" s="416">
        <v>104</v>
      </c>
      <c r="K269" s="423">
        <v>20.14</v>
      </c>
      <c r="L269" s="415">
        <v>2.1986461538461537</v>
      </c>
      <c r="M269" s="419"/>
      <c r="N269" s="417"/>
      <c r="P269" s="418"/>
    </row>
    <row r="270" spans="1:16" s="51" customFormat="1">
      <c r="A270" s="413">
        <v>267</v>
      </c>
      <c r="B270" s="414" t="s">
        <v>1087</v>
      </c>
      <c r="C270" s="414" t="s">
        <v>478</v>
      </c>
      <c r="D270" s="414" t="s">
        <v>846</v>
      </c>
      <c r="E270" s="421">
        <v>4</v>
      </c>
      <c r="F270" s="421">
        <v>0.86</v>
      </c>
      <c r="G270" s="415">
        <v>0.7142400000000001</v>
      </c>
      <c r="H270" s="419"/>
      <c r="I270" s="416"/>
      <c r="J270" s="416">
        <v>25</v>
      </c>
      <c r="K270" s="423">
        <v>21.93</v>
      </c>
      <c r="L270" s="415">
        <v>0.10560000000000001</v>
      </c>
      <c r="M270" s="419"/>
      <c r="N270" s="417"/>
      <c r="P270" s="418"/>
    </row>
    <row r="271" spans="1:16" s="51" customFormat="1">
      <c r="A271" s="413">
        <v>268</v>
      </c>
      <c r="B271" s="414" t="s">
        <v>1087</v>
      </c>
      <c r="C271" s="414" t="s">
        <v>477</v>
      </c>
      <c r="D271" s="414" t="s">
        <v>847</v>
      </c>
      <c r="E271" s="421">
        <v>0</v>
      </c>
      <c r="F271" s="421">
        <v>0</v>
      </c>
      <c r="G271" s="415">
        <v>3.2256</v>
      </c>
      <c r="H271" s="419"/>
      <c r="I271" s="416"/>
      <c r="J271" s="416">
        <v>8</v>
      </c>
      <c r="K271" s="423">
        <v>6.8</v>
      </c>
      <c r="L271" s="415">
        <v>4.3622399999999999</v>
      </c>
      <c r="M271" s="419"/>
      <c r="N271" s="417"/>
      <c r="P271" s="418"/>
    </row>
    <row r="272" spans="1:16" s="51" customFormat="1">
      <c r="A272" s="413">
        <v>269</v>
      </c>
      <c r="B272" s="414" t="s">
        <v>1087</v>
      </c>
      <c r="C272" s="414" t="s">
        <v>472</v>
      </c>
      <c r="D272" s="414" t="s">
        <v>848</v>
      </c>
      <c r="E272" s="421">
        <v>2</v>
      </c>
      <c r="F272" s="421">
        <v>0</v>
      </c>
      <c r="G272" s="415">
        <v>0</v>
      </c>
      <c r="H272" s="419"/>
      <c r="I272" s="416"/>
      <c r="J272" s="416">
        <v>36</v>
      </c>
      <c r="K272" s="423">
        <v>16.239999999999998</v>
      </c>
      <c r="L272" s="415">
        <v>0.19123200000000001</v>
      </c>
      <c r="M272" s="419"/>
      <c r="N272" s="417"/>
      <c r="P272" s="418"/>
    </row>
    <row r="273" spans="1:16" s="51" customFormat="1">
      <c r="A273" s="413">
        <v>270</v>
      </c>
      <c r="B273" s="414" t="s">
        <v>1087</v>
      </c>
      <c r="C273" s="414" t="s">
        <v>478</v>
      </c>
      <c r="D273" s="414" t="s">
        <v>849</v>
      </c>
      <c r="E273" s="421">
        <v>5</v>
      </c>
      <c r="F273" s="421">
        <v>0</v>
      </c>
      <c r="G273" s="415">
        <v>0</v>
      </c>
      <c r="H273" s="419"/>
      <c r="I273" s="416"/>
      <c r="J273" s="416">
        <v>53</v>
      </c>
      <c r="K273" s="423">
        <v>19.3</v>
      </c>
      <c r="L273" s="415">
        <v>0</v>
      </c>
      <c r="M273" s="419"/>
      <c r="N273" s="417"/>
      <c r="P273" s="418"/>
    </row>
    <row r="274" spans="1:16" s="51" customFormat="1">
      <c r="A274" s="413">
        <v>271</v>
      </c>
      <c r="B274" s="414" t="s">
        <v>1087</v>
      </c>
      <c r="C274" s="414" t="s">
        <v>476</v>
      </c>
      <c r="D274" s="414" t="s">
        <v>850</v>
      </c>
      <c r="E274" s="421">
        <v>0</v>
      </c>
      <c r="F274" s="421">
        <v>6.06</v>
      </c>
      <c r="G274" s="415">
        <v>0</v>
      </c>
      <c r="H274" s="419"/>
      <c r="I274" s="416"/>
      <c r="J274" s="416">
        <v>120</v>
      </c>
      <c r="K274" s="423">
        <v>50.97</v>
      </c>
      <c r="L274" s="415">
        <v>0</v>
      </c>
      <c r="M274" s="419"/>
      <c r="N274" s="417"/>
      <c r="P274" s="418"/>
    </row>
    <row r="275" spans="1:16" s="51" customFormat="1">
      <c r="A275" s="413">
        <v>272</v>
      </c>
      <c r="B275" s="414" t="s">
        <v>1087</v>
      </c>
      <c r="C275" s="414" t="s">
        <v>477</v>
      </c>
      <c r="D275" s="414" t="s">
        <v>851</v>
      </c>
      <c r="E275" s="421">
        <v>0</v>
      </c>
      <c r="F275" s="421">
        <v>0</v>
      </c>
      <c r="G275" s="415">
        <v>0</v>
      </c>
      <c r="H275" s="419"/>
      <c r="I275" s="416"/>
      <c r="J275" s="416">
        <v>32</v>
      </c>
      <c r="K275" s="423">
        <v>32.64</v>
      </c>
      <c r="L275" s="415">
        <v>0.50025600000000003</v>
      </c>
      <c r="M275" s="419"/>
      <c r="N275" s="417"/>
      <c r="P275" s="418"/>
    </row>
    <row r="276" spans="1:16" s="51" customFormat="1">
      <c r="A276" s="413">
        <v>273</v>
      </c>
      <c r="B276" s="414" t="s">
        <v>1087</v>
      </c>
      <c r="C276" s="414" t="s">
        <v>477</v>
      </c>
      <c r="D276" s="414" t="s">
        <v>852</v>
      </c>
      <c r="E276" s="421">
        <v>4</v>
      </c>
      <c r="F276" s="421">
        <v>0</v>
      </c>
      <c r="G276" s="415">
        <v>1.8431999999999999</v>
      </c>
      <c r="H276" s="419"/>
      <c r="I276" s="416"/>
      <c r="J276" s="416">
        <v>43</v>
      </c>
      <c r="K276" s="423">
        <v>27.38</v>
      </c>
      <c r="L276" s="415">
        <v>0.78508800000000001</v>
      </c>
      <c r="M276" s="419"/>
      <c r="N276" s="417"/>
      <c r="P276" s="418"/>
    </row>
    <row r="277" spans="1:16" s="51" customFormat="1">
      <c r="A277" s="413">
        <v>274</v>
      </c>
      <c r="B277" s="414" t="s">
        <v>1087</v>
      </c>
      <c r="C277" s="414" t="s">
        <v>472</v>
      </c>
      <c r="D277" s="414" t="s">
        <v>853</v>
      </c>
      <c r="E277" s="421">
        <v>0</v>
      </c>
      <c r="F277" s="421">
        <v>0</v>
      </c>
      <c r="G277" s="415">
        <v>0</v>
      </c>
      <c r="H277" s="419"/>
      <c r="I277" s="416"/>
      <c r="J277" s="416">
        <v>23</v>
      </c>
      <c r="K277" s="423">
        <v>11.84</v>
      </c>
      <c r="L277" s="415">
        <v>0.60349439999999999</v>
      </c>
      <c r="M277" s="419"/>
      <c r="N277" s="417"/>
      <c r="P277" s="418"/>
    </row>
    <row r="278" spans="1:16" s="51" customFormat="1">
      <c r="A278" s="413">
        <v>275</v>
      </c>
      <c r="B278" s="414" t="s">
        <v>1087</v>
      </c>
      <c r="C278" s="414" t="s">
        <v>472</v>
      </c>
      <c r="D278" s="414" t="s">
        <v>854</v>
      </c>
      <c r="E278" s="421">
        <v>5</v>
      </c>
      <c r="F278" s="421">
        <v>0</v>
      </c>
      <c r="G278" s="415">
        <v>0</v>
      </c>
      <c r="H278" s="419"/>
      <c r="I278" s="416"/>
      <c r="J278" s="416">
        <v>51</v>
      </c>
      <c r="K278" s="423">
        <v>32.06</v>
      </c>
      <c r="L278" s="415">
        <v>1.4082240000000001</v>
      </c>
      <c r="M278" s="419"/>
      <c r="N278" s="417"/>
      <c r="P278" s="418"/>
    </row>
    <row r="279" spans="1:16" s="51" customFormat="1">
      <c r="A279" s="413">
        <v>276</v>
      </c>
      <c r="B279" s="414" t="s">
        <v>1087</v>
      </c>
      <c r="C279" s="414" t="s">
        <v>478</v>
      </c>
      <c r="D279" s="414" t="s">
        <v>855</v>
      </c>
      <c r="E279" s="421">
        <v>2</v>
      </c>
      <c r="F279" s="421">
        <v>2.2400000000000002</v>
      </c>
      <c r="G279" s="415">
        <v>0</v>
      </c>
      <c r="H279" s="419"/>
      <c r="I279" s="416"/>
      <c r="J279" s="416">
        <v>20</v>
      </c>
      <c r="K279" s="423">
        <v>20.239999999999998</v>
      </c>
      <c r="L279" s="415">
        <v>0</v>
      </c>
      <c r="M279" s="419"/>
      <c r="N279" s="417"/>
      <c r="P279" s="418"/>
    </row>
    <row r="280" spans="1:16" s="51" customFormat="1">
      <c r="A280" s="413">
        <v>277</v>
      </c>
      <c r="B280" s="414" t="s">
        <v>1087</v>
      </c>
      <c r="C280" s="414" t="s">
        <v>472</v>
      </c>
      <c r="D280" s="414" t="s">
        <v>856</v>
      </c>
      <c r="E280" s="421">
        <v>4</v>
      </c>
      <c r="F280" s="421">
        <v>2.2200000000000002</v>
      </c>
      <c r="G280" s="415">
        <v>0</v>
      </c>
      <c r="H280" s="419"/>
      <c r="I280" s="416"/>
      <c r="J280" s="416">
        <v>30</v>
      </c>
      <c r="K280" s="423">
        <v>19.14</v>
      </c>
      <c r="L280" s="415">
        <v>0.13824</v>
      </c>
      <c r="M280" s="419"/>
      <c r="N280" s="417"/>
      <c r="P280" s="418"/>
    </row>
    <row r="281" spans="1:16" s="51" customFormat="1">
      <c r="A281" s="413">
        <v>278</v>
      </c>
      <c r="B281" s="414" t="s">
        <v>1087</v>
      </c>
      <c r="C281" s="414" t="s">
        <v>477</v>
      </c>
      <c r="D281" s="414" t="s">
        <v>857</v>
      </c>
      <c r="E281" s="421">
        <v>5</v>
      </c>
      <c r="F281" s="421">
        <v>0</v>
      </c>
      <c r="G281" s="415">
        <v>0</v>
      </c>
      <c r="H281" s="419"/>
      <c r="I281" s="416"/>
      <c r="J281" s="416">
        <v>49</v>
      </c>
      <c r="K281" s="423">
        <v>21.75</v>
      </c>
      <c r="L281" s="415">
        <v>7.8361250000000007E-2</v>
      </c>
      <c r="M281" s="419"/>
      <c r="N281" s="417"/>
      <c r="P281" s="418"/>
    </row>
    <row r="282" spans="1:16" s="51" customFormat="1">
      <c r="A282" s="413">
        <v>279</v>
      </c>
      <c r="B282" s="414" t="s">
        <v>1087</v>
      </c>
      <c r="C282" s="414" t="s">
        <v>476</v>
      </c>
      <c r="D282" s="414" t="s">
        <v>914</v>
      </c>
      <c r="E282" s="421">
        <v>5</v>
      </c>
      <c r="F282" s="421">
        <v>0</v>
      </c>
      <c r="G282" s="415" t="e">
        <v>#DIV/0!</v>
      </c>
      <c r="H282" s="419"/>
      <c r="I282" s="416"/>
      <c r="J282" s="416">
        <v>39</v>
      </c>
      <c r="K282" s="423">
        <v>16.79</v>
      </c>
      <c r="L282" s="415" t="e">
        <v>#DIV/0!</v>
      </c>
      <c r="M282" s="419"/>
      <c r="N282" s="417"/>
      <c r="P282" s="418"/>
    </row>
    <row r="283" spans="1:16" s="51" customFormat="1">
      <c r="A283" s="413">
        <v>280</v>
      </c>
      <c r="B283" s="414" t="s">
        <v>1087</v>
      </c>
      <c r="C283" s="414" t="s">
        <v>476</v>
      </c>
      <c r="D283" s="414" t="s">
        <v>915</v>
      </c>
      <c r="E283" s="421">
        <v>0</v>
      </c>
      <c r="F283" s="421">
        <v>0</v>
      </c>
      <c r="G283" s="415">
        <v>0.22220799999999999</v>
      </c>
      <c r="H283" s="419"/>
      <c r="I283" s="416"/>
      <c r="J283" s="416">
        <v>8.6999999999999993</v>
      </c>
      <c r="K283" s="423">
        <v>11.8</v>
      </c>
      <c r="L283" s="415">
        <v>0.53369519999999993</v>
      </c>
      <c r="M283" s="419"/>
      <c r="N283" s="417"/>
      <c r="P283" s="418"/>
    </row>
    <row r="284" spans="1:16" s="51" customFormat="1">
      <c r="A284" s="413">
        <v>281</v>
      </c>
      <c r="B284" s="414" t="s">
        <v>1087</v>
      </c>
      <c r="C284" s="414" t="s">
        <v>474</v>
      </c>
      <c r="D284" s="414" t="s">
        <v>916</v>
      </c>
      <c r="E284" s="421">
        <v>0</v>
      </c>
      <c r="F284" s="421">
        <v>0.28999999999999998</v>
      </c>
      <c r="G284" s="415">
        <v>0</v>
      </c>
      <c r="H284" s="419"/>
      <c r="I284" s="416"/>
      <c r="J284" s="416">
        <v>13.4</v>
      </c>
      <c r="K284" s="423">
        <v>14.21</v>
      </c>
      <c r="L284" s="415">
        <v>0.20906588235294121</v>
      </c>
      <c r="M284" s="419"/>
      <c r="N284" s="417"/>
      <c r="P284" s="418"/>
    </row>
    <row r="285" spans="1:16" s="51" customFormat="1">
      <c r="A285" s="413">
        <v>282</v>
      </c>
      <c r="B285" s="414" t="s">
        <v>1087</v>
      </c>
      <c r="C285" s="414" t="s">
        <v>474</v>
      </c>
      <c r="D285" s="414" t="s">
        <v>957</v>
      </c>
      <c r="E285" s="421">
        <v>0</v>
      </c>
      <c r="F285" s="421">
        <v>0</v>
      </c>
      <c r="G285" s="415">
        <v>1.9161600000000001</v>
      </c>
      <c r="H285" s="419"/>
      <c r="I285" s="416"/>
      <c r="J285" s="416">
        <v>10</v>
      </c>
      <c r="K285" s="423">
        <v>14.45</v>
      </c>
      <c r="L285" s="415">
        <v>0.47906500000000002</v>
      </c>
      <c r="M285" s="419"/>
      <c r="N285" s="417"/>
      <c r="P285" s="418"/>
    </row>
    <row r="286" spans="1:16" s="51" customFormat="1">
      <c r="A286" s="413">
        <v>283</v>
      </c>
      <c r="B286" s="414" t="s">
        <v>1087</v>
      </c>
      <c r="C286" s="414" t="s">
        <v>477</v>
      </c>
      <c r="D286" s="414" t="s">
        <v>917</v>
      </c>
      <c r="E286" s="421">
        <v>4</v>
      </c>
      <c r="F286" s="421">
        <v>1.1100000000000001</v>
      </c>
      <c r="G286" s="415">
        <v>0.61275428571428581</v>
      </c>
      <c r="H286" s="419"/>
      <c r="I286" s="416"/>
      <c r="J286" s="416">
        <v>30</v>
      </c>
      <c r="K286" s="423">
        <v>21.97</v>
      </c>
      <c r="L286" s="415">
        <v>0.37005428571428572</v>
      </c>
      <c r="M286" s="419"/>
      <c r="N286" s="417"/>
      <c r="P286" s="418"/>
    </row>
    <row r="287" spans="1:16" s="51" customFormat="1">
      <c r="A287" s="413">
        <v>284</v>
      </c>
      <c r="B287" s="414" t="s">
        <v>1087</v>
      </c>
      <c r="C287" s="414" t="s">
        <v>476</v>
      </c>
      <c r="D287" s="414" t="s">
        <v>918</v>
      </c>
      <c r="E287" s="421">
        <v>0</v>
      </c>
      <c r="F287" s="421">
        <v>1.1100000000000001</v>
      </c>
      <c r="G287" s="415">
        <v>0</v>
      </c>
      <c r="H287" s="419"/>
      <c r="I287" s="416"/>
      <c r="J287" s="416">
        <v>20</v>
      </c>
      <c r="K287" s="423">
        <v>20.85</v>
      </c>
      <c r="L287" s="415">
        <v>0.41691428571428574</v>
      </c>
      <c r="M287" s="419"/>
      <c r="N287" s="417"/>
      <c r="P287" s="418"/>
    </row>
    <row r="288" spans="1:16" s="51" customFormat="1">
      <c r="A288" s="413">
        <v>285</v>
      </c>
      <c r="B288" s="414" t="s">
        <v>1087</v>
      </c>
      <c r="C288" s="414" t="s">
        <v>477</v>
      </c>
      <c r="D288" s="414" t="s">
        <v>919</v>
      </c>
      <c r="E288" s="421">
        <v>0</v>
      </c>
      <c r="F288" s="421">
        <v>0</v>
      </c>
      <c r="G288" s="415" t="e">
        <v>#DIV/0!</v>
      </c>
      <c r="H288" s="419"/>
      <c r="I288" s="416"/>
      <c r="J288" s="416">
        <v>20</v>
      </c>
      <c r="K288" s="423">
        <v>21.17</v>
      </c>
      <c r="L288" s="415">
        <v>0.50975999999999999</v>
      </c>
      <c r="M288" s="419"/>
      <c r="N288" s="419"/>
      <c r="P288" s="418"/>
    </row>
    <row r="289" spans="1:16" s="51" customFormat="1">
      <c r="A289" s="413">
        <v>286</v>
      </c>
      <c r="B289" s="414" t="s">
        <v>1087</v>
      </c>
      <c r="C289" s="414" t="s">
        <v>473</v>
      </c>
      <c r="D289" s="414" t="s">
        <v>920</v>
      </c>
      <c r="E289" s="421">
        <v>0</v>
      </c>
      <c r="F289" s="421">
        <v>0</v>
      </c>
      <c r="G289" s="415">
        <v>0</v>
      </c>
      <c r="H289" s="419"/>
      <c r="I289" s="416"/>
      <c r="J289" s="416">
        <v>10</v>
      </c>
      <c r="K289" s="423">
        <v>15.59</v>
      </c>
      <c r="L289" s="415">
        <v>0</v>
      </c>
      <c r="M289" s="419"/>
      <c r="N289" s="419"/>
      <c r="P289" s="418"/>
    </row>
    <row r="290" spans="1:16" s="51" customFormat="1">
      <c r="A290" s="413">
        <v>287</v>
      </c>
      <c r="B290" s="414" t="s">
        <v>1087</v>
      </c>
      <c r="C290" s="414" t="s">
        <v>473</v>
      </c>
      <c r="D290" s="414" t="s">
        <v>912</v>
      </c>
      <c r="E290" s="421">
        <v>1.7</v>
      </c>
      <c r="F290" s="421">
        <v>0</v>
      </c>
      <c r="G290" s="415">
        <v>0</v>
      </c>
      <c r="H290" s="419"/>
      <c r="I290" s="416"/>
      <c r="J290" s="416">
        <v>18.600000000000001</v>
      </c>
      <c r="K290" s="423">
        <v>1.01</v>
      </c>
      <c r="L290" s="415">
        <v>0</v>
      </c>
      <c r="M290" s="419"/>
      <c r="N290" s="419"/>
      <c r="P290" s="418"/>
    </row>
    <row r="291" spans="1:16" s="51" customFormat="1">
      <c r="A291" s="413">
        <v>288</v>
      </c>
      <c r="B291" s="414" t="s">
        <v>1087</v>
      </c>
      <c r="C291" s="414" t="s">
        <v>475</v>
      </c>
      <c r="D291" s="414" t="s">
        <v>921</v>
      </c>
      <c r="E291" s="421">
        <v>0</v>
      </c>
      <c r="F291" s="421">
        <v>0</v>
      </c>
      <c r="G291" s="415">
        <v>1.0700800000000001</v>
      </c>
      <c r="H291" s="419"/>
      <c r="I291" s="416"/>
      <c r="J291" s="416">
        <v>6.2</v>
      </c>
      <c r="K291" s="423">
        <v>5.52</v>
      </c>
      <c r="L291" s="415">
        <v>0.37412571428571434</v>
      </c>
      <c r="M291" s="419"/>
      <c r="N291" s="419"/>
      <c r="P291" s="418"/>
    </row>
    <row r="292" spans="1:16" s="51" customFormat="1">
      <c r="A292" s="413">
        <v>289</v>
      </c>
      <c r="B292" s="414" t="s">
        <v>1087</v>
      </c>
      <c r="C292" s="414" t="s">
        <v>475</v>
      </c>
      <c r="D292" s="414" t="s">
        <v>961</v>
      </c>
      <c r="E292" s="421">
        <v>3</v>
      </c>
      <c r="F292" s="421">
        <v>0</v>
      </c>
      <c r="G292" s="415">
        <v>0</v>
      </c>
      <c r="H292" s="419"/>
      <c r="I292" s="416"/>
      <c r="J292" s="416">
        <v>10</v>
      </c>
      <c r="K292" s="423">
        <v>2.95</v>
      </c>
      <c r="L292" s="415">
        <v>0</v>
      </c>
      <c r="M292" s="419"/>
      <c r="N292" s="419"/>
      <c r="P292" s="418"/>
    </row>
    <row r="293" spans="1:16" s="51" customFormat="1">
      <c r="A293" s="413">
        <v>290</v>
      </c>
      <c r="B293" s="414" t="s">
        <v>1087</v>
      </c>
      <c r="C293" s="414" t="s">
        <v>475</v>
      </c>
      <c r="D293" s="414" t="s">
        <v>911</v>
      </c>
      <c r="E293" s="421">
        <v>5</v>
      </c>
      <c r="F293" s="421">
        <v>0</v>
      </c>
      <c r="G293" s="415">
        <v>0.18431999999999998</v>
      </c>
      <c r="H293" s="419"/>
      <c r="I293" s="416"/>
      <c r="J293" s="416">
        <v>40</v>
      </c>
      <c r="K293" s="423">
        <v>9.5399999999999991</v>
      </c>
      <c r="L293" s="415">
        <v>0.21264</v>
      </c>
      <c r="M293" s="419"/>
      <c r="N293" s="419"/>
      <c r="P293" s="418"/>
    </row>
    <row r="294" spans="1:16" s="51" customFormat="1">
      <c r="A294" s="413">
        <v>291</v>
      </c>
      <c r="B294" s="414" t="s">
        <v>1087</v>
      </c>
      <c r="C294" s="414" t="s">
        <v>477</v>
      </c>
      <c r="D294" s="414" t="s">
        <v>1032</v>
      </c>
      <c r="E294" s="421">
        <v>0</v>
      </c>
      <c r="F294" s="421">
        <v>0</v>
      </c>
      <c r="G294" s="415">
        <v>1.3225200000000001</v>
      </c>
      <c r="H294" s="419"/>
      <c r="I294" s="416"/>
      <c r="J294" s="416">
        <v>6</v>
      </c>
      <c r="K294" s="423">
        <v>8.85</v>
      </c>
      <c r="L294" s="415">
        <v>0.54989333333333335</v>
      </c>
      <c r="M294" s="419"/>
      <c r="N294" s="419"/>
      <c r="P294" s="418"/>
    </row>
    <row r="295" spans="1:16" s="51" customFormat="1">
      <c r="A295" s="413">
        <v>292</v>
      </c>
      <c r="B295" s="414" t="s">
        <v>1087</v>
      </c>
      <c r="C295" s="414" t="s">
        <v>478</v>
      </c>
      <c r="D295" s="414" t="s">
        <v>967</v>
      </c>
      <c r="E295" s="421">
        <v>0</v>
      </c>
      <c r="F295" s="421">
        <v>0</v>
      </c>
      <c r="G295" s="415">
        <v>0</v>
      </c>
      <c r="H295" s="419"/>
      <c r="I295" s="416"/>
      <c r="J295" s="416">
        <v>5</v>
      </c>
      <c r="K295" s="423">
        <v>6.62</v>
      </c>
      <c r="L295" s="415">
        <v>0.29815741935483869</v>
      </c>
      <c r="M295" s="419"/>
      <c r="N295" s="419"/>
      <c r="P295" s="418"/>
    </row>
    <row r="296" spans="1:16" s="51" customFormat="1">
      <c r="A296" s="413">
        <v>293</v>
      </c>
      <c r="B296" s="414" t="s">
        <v>1087</v>
      </c>
      <c r="C296" s="414" t="s">
        <v>474</v>
      </c>
      <c r="D296" s="414" t="s">
        <v>1088</v>
      </c>
      <c r="E296" s="421">
        <v>5</v>
      </c>
      <c r="F296" s="421">
        <v>8.0299999999999994</v>
      </c>
      <c r="G296" s="415">
        <v>0</v>
      </c>
      <c r="H296" s="419"/>
      <c r="I296" s="416"/>
      <c r="J296" s="416">
        <v>27</v>
      </c>
      <c r="K296" s="423">
        <v>27.76</v>
      </c>
      <c r="L296" s="415">
        <v>0</v>
      </c>
      <c r="M296" s="419"/>
      <c r="N296" s="419"/>
      <c r="P296" s="418"/>
    </row>
    <row r="297" spans="1:16" s="51" customFormat="1">
      <c r="A297" s="413">
        <v>294</v>
      </c>
      <c r="B297" s="414" t="s">
        <v>1087</v>
      </c>
      <c r="C297" s="414" t="s">
        <v>473</v>
      </c>
      <c r="D297" s="414" t="s">
        <v>1040</v>
      </c>
      <c r="E297" s="421">
        <v>4</v>
      </c>
      <c r="F297" s="421">
        <v>0</v>
      </c>
      <c r="G297" s="415">
        <v>0</v>
      </c>
      <c r="H297" s="419"/>
      <c r="I297" s="416"/>
      <c r="J297" s="416">
        <v>16</v>
      </c>
      <c r="K297" s="423">
        <v>8.81</v>
      </c>
      <c r="L297" s="415">
        <v>0</v>
      </c>
      <c r="M297" s="419"/>
      <c r="N297" s="419"/>
      <c r="P297" s="418"/>
    </row>
    <row r="298" spans="1:16" s="51" customFormat="1">
      <c r="A298" s="413">
        <v>295</v>
      </c>
      <c r="B298" s="414" t="s">
        <v>1087</v>
      </c>
      <c r="C298" s="414" t="s">
        <v>477</v>
      </c>
      <c r="D298" s="414" t="s">
        <v>1089</v>
      </c>
      <c r="E298" s="421">
        <v>16.5</v>
      </c>
      <c r="F298" s="421">
        <v>16.75</v>
      </c>
      <c r="G298" s="415">
        <v>0</v>
      </c>
      <c r="H298" s="419"/>
      <c r="I298" s="416"/>
      <c r="J298" s="416">
        <v>16.5</v>
      </c>
      <c r="K298" s="423">
        <v>16.75</v>
      </c>
      <c r="L298" s="415">
        <v>0</v>
      </c>
      <c r="M298" s="419"/>
      <c r="N298" s="419"/>
      <c r="P298" s="418"/>
    </row>
    <row r="299" spans="1:16" s="51" customFormat="1">
      <c r="A299" s="413">
        <v>296</v>
      </c>
      <c r="B299" s="414" t="s">
        <v>1095</v>
      </c>
      <c r="C299" s="414" t="s">
        <v>476</v>
      </c>
      <c r="D299" s="414" t="s">
        <v>1096</v>
      </c>
      <c r="E299" s="421">
        <v>27</v>
      </c>
      <c r="F299" s="421">
        <v>11.169168000000004</v>
      </c>
      <c r="G299" s="415">
        <v>0.41367288888888903</v>
      </c>
      <c r="H299" s="419"/>
      <c r="I299" s="416"/>
      <c r="J299" s="421">
        <v>84</v>
      </c>
      <c r="K299" s="424">
        <v>101.95271999999999</v>
      </c>
      <c r="L299" s="415">
        <v>1.2137228571428569</v>
      </c>
      <c r="M299" s="419"/>
      <c r="N299" s="419"/>
      <c r="P299" s="418"/>
    </row>
    <row r="300" spans="1:16" s="51" customFormat="1">
      <c r="A300" s="413">
        <v>297</v>
      </c>
      <c r="B300" s="414" t="s">
        <v>1095</v>
      </c>
      <c r="C300" s="414" t="s">
        <v>476</v>
      </c>
      <c r="D300" s="414" t="s">
        <v>1097</v>
      </c>
      <c r="E300" s="421">
        <v>11.55</v>
      </c>
      <c r="F300" s="421">
        <v>5.3182380000000009</v>
      </c>
      <c r="G300" s="415">
        <v>0.46045350649350653</v>
      </c>
      <c r="H300" s="419"/>
      <c r="I300" s="416"/>
      <c r="J300" s="421">
        <v>33</v>
      </c>
      <c r="K300" s="424">
        <v>85.254221999999956</v>
      </c>
      <c r="L300" s="415">
        <v>2.5834612727272712</v>
      </c>
      <c r="M300" s="419"/>
      <c r="N300" s="419"/>
      <c r="P300" s="418"/>
    </row>
    <row r="301" spans="1:16" s="51" customFormat="1">
      <c r="A301" s="413">
        <v>298</v>
      </c>
      <c r="B301" s="414" t="s">
        <v>1095</v>
      </c>
      <c r="C301" s="414" t="s">
        <v>476</v>
      </c>
      <c r="D301" s="414" t="s">
        <v>1098</v>
      </c>
      <c r="E301" s="421">
        <v>44</v>
      </c>
      <c r="F301" s="421">
        <v>12.37914</v>
      </c>
      <c r="G301" s="415">
        <v>0.2813440909090909</v>
      </c>
      <c r="H301" s="419"/>
      <c r="I301" s="416"/>
      <c r="J301" s="421">
        <v>144</v>
      </c>
      <c r="K301" s="424">
        <v>183.08606399999985</v>
      </c>
      <c r="L301" s="415">
        <v>1.2714309999999989</v>
      </c>
      <c r="M301" s="419"/>
      <c r="N301" s="419"/>
      <c r="P301" s="418"/>
    </row>
    <row r="302" spans="1:16" s="51" customFormat="1">
      <c r="A302" s="413">
        <v>299</v>
      </c>
      <c r="B302" s="414" t="s">
        <v>1095</v>
      </c>
      <c r="C302" s="414" t="s">
        <v>476</v>
      </c>
      <c r="D302" s="414" t="s">
        <v>1099</v>
      </c>
      <c r="E302" s="421">
        <v>29.2</v>
      </c>
      <c r="F302" s="421">
        <v>10.796064000000001</v>
      </c>
      <c r="G302" s="415">
        <v>0.36972821917808224</v>
      </c>
      <c r="H302" s="419"/>
      <c r="I302" s="416"/>
      <c r="J302" s="421">
        <v>97</v>
      </c>
      <c r="K302" s="424">
        <v>146.07591799999997</v>
      </c>
      <c r="L302" s="415">
        <v>1.5059372989690718</v>
      </c>
      <c r="M302" s="419"/>
      <c r="N302" s="419"/>
      <c r="P302" s="418"/>
    </row>
    <row r="303" spans="1:16" s="51" customFormat="1">
      <c r="A303" s="413">
        <v>300</v>
      </c>
      <c r="B303" s="414" t="s">
        <v>1095</v>
      </c>
      <c r="C303" s="413" t="s">
        <v>476</v>
      </c>
      <c r="D303" s="414" t="s">
        <v>1100</v>
      </c>
      <c r="E303" s="421">
        <v>11.55</v>
      </c>
      <c r="F303" s="421">
        <v>0.86304000000000003</v>
      </c>
      <c r="G303" s="415">
        <v>7.4722077922077926E-2</v>
      </c>
      <c r="H303" s="419"/>
      <c r="I303" s="416"/>
      <c r="J303" s="421">
        <v>33</v>
      </c>
      <c r="K303" s="424">
        <v>64.428197999999981</v>
      </c>
      <c r="L303" s="415">
        <v>1.9523696363636358</v>
      </c>
      <c r="M303" s="419"/>
      <c r="N303" s="419"/>
      <c r="P303" s="418"/>
    </row>
    <row r="304" spans="1:16" s="51" customFormat="1">
      <c r="A304" s="413">
        <v>301</v>
      </c>
      <c r="B304" s="414" t="s">
        <v>1095</v>
      </c>
      <c r="C304" s="413" t="s">
        <v>476</v>
      </c>
      <c r="D304" s="414" t="s">
        <v>1101</v>
      </c>
      <c r="E304" s="421">
        <v>10</v>
      </c>
      <c r="F304" s="421">
        <v>3.8694180000000009</v>
      </c>
      <c r="G304" s="415">
        <v>0.38694180000000011</v>
      </c>
      <c r="H304" s="419"/>
      <c r="I304" s="416"/>
      <c r="J304" s="421">
        <v>40</v>
      </c>
      <c r="K304" s="424">
        <v>54.682421999999995</v>
      </c>
      <c r="L304" s="415">
        <v>1.3670605499999999</v>
      </c>
      <c r="M304" s="419"/>
      <c r="N304" s="419"/>
      <c r="P304" s="418"/>
    </row>
    <row r="305" spans="1:16" s="51" customFormat="1">
      <c r="A305" s="413">
        <v>302</v>
      </c>
      <c r="B305" s="414" t="s">
        <v>1095</v>
      </c>
      <c r="C305" s="413" t="s">
        <v>472</v>
      </c>
      <c r="D305" s="414" t="s">
        <v>1102</v>
      </c>
      <c r="E305" s="421">
        <v>33.200000000000003</v>
      </c>
      <c r="F305" s="421">
        <v>0</v>
      </c>
      <c r="G305" s="415">
        <v>0</v>
      </c>
      <c r="H305" s="419"/>
      <c r="I305" s="416"/>
      <c r="J305" s="421">
        <v>127.6</v>
      </c>
      <c r="K305" s="424">
        <v>204.63658200000009</v>
      </c>
      <c r="L305" s="415">
        <v>1.6037349686520384</v>
      </c>
      <c r="M305" s="419"/>
      <c r="N305" s="419"/>
      <c r="P305" s="418"/>
    </row>
    <row r="306" spans="1:16" s="51" customFormat="1">
      <c r="A306" s="413">
        <v>303</v>
      </c>
      <c r="B306" s="414" t="s">
        <v>1095</v>
      </c>
      <c r="C306" s="413" t="s">
        <v>472</v>
      </c>
      <c r="D306" s="414" t="s">
        <v>1103</v>
      </c>
      <c r="E306" s="421">
        <v>8.9320000000000004</v>
      </c>
      <c r="F306" s="421">
        <v>0</v>
      </c>
      <c r="G306" s="415">
        <v>0</v>
      </c>
      <c r="H306" s="419"/>
      <c r="I306" s="416"/>
      <c r="J306" s="421">
        <v>25.52</v>
      </c>
      <c r="K306" s="424">
        <v>15.829188</v>
      </c>
      <c r="L306" s="415">
        <v>0.62026598746081507</v>
      </c>
      <c r="M306" s="419"/>
      <c r="N306" s="419"/>
      <c r="P306" s="418"/>
    </row>
    <row r="307" spans="1:16" s="51" customFormat="1">
      <c r="A307" s="413">
        <v>304</v>
      </c>
      <c r="B307" s="414" t="s">
        <v>1095</v>
      </c>
      <c r="C307" s="413" t="s">
        <v>472</v>
      </c>
      <c r="D307" s="414" t="s">
        <v>803</v>
      </c>
      <c r="E307" s="421">
        <v>16</v>
      </c>
      <c r="F307" s="421">
        <v>5.5018440000000002</v>
      </c>
      <c r="G307" s="415">
        <v>0.34386525000000001</v>
      </c>
      <c r="H307" s="419"/>
      <c r="I307" s="416"/>
      <c r="J307" s="421">
        <v>45.9</v>
      </c>
      <c r="K307" s="424">
        <v>154.33987199999999</v>
      </c>
      <c r="L307" s="415">
        <v>3.3625244444444444</v>
      </c>
      <c r="M307" s="419"/>
      <c r="N307" s="419"/>
      <c r="P307" s="418"/>
    </row>
    <row r="308" spans="1:16" s="51" customFormat="1">
      <c r="A308" s="413">
        <v>305</v>
      </c>
      <c r="B308" s="414" t="s">
        <v>1095</v>
      </c>
      <c r="C308" s="413" t="s">
        <v>472</v>
      </c>
      <c r="D308" s="414" t="s">
        <v>1104</v>
      </c>
      <c r="E308" s="421">
        <v>3.1599999999999997</v>
      </c>
      <c r="F308" s="421">
        <v>5.2667519999999994</v>
      </c>
      <c r="G308" s="415">
        <v>1.666693670886076</v>
      </c>
      <c r="H308" s="419"/>
      <c r="I308" s="416"/>
      <c r="J308" s="421">
        <v>12.76</v>
      </c>
      <c r="K308" s="424">
        <v>20.400953999999999</v>
      </c>
      <c r="L308" s="415">
        <v>1.5988208463949842</v>
      </c>
      <c r="M308" s="419"/>
      <c r="N308" s="419"/>
      <c r="P308" s="418"/>
    </row>
    <row r="309" spans="1:16" s="51" customFormat="1">
      <c r="A309" s="413">
        <v>306</v>
      </c>
      <c r="B309" s="414" t="s">
        <v>1095</v>
      </c>
      <c r="C309" s="413" t="s">
        <v>472</v>
      </c>
      <c r="D309" s="414" t="s">
        <v>1105</v>
      </c>
      <c r="E309" s="421">
        <v>11.8</v>
      </c>
      <c r="F309" s="421">
        <v>6.0591360000000005</v>
      </c>
      <c r="G309" s="415">
        <v>0.51348610169491526</v>
      </c>
      <c r="H309" s="419"/>
      <c r="I309" s="416"/>
      <c r="J309" s="421">
        <v>30.6</v>
      </c>
      <c r="K309" s="424">
        <v>92.103737999999936</v>
      </c>
      <c r="L309" s="415">
        <v>3.0099260784313704</v>
      </c>
      <c r="M309" s="419"/>
      <c r="N309" s="419"/>
    </row>
    <row r="310" spans="1:16" s="84" customFormat="1">
      <c r="A310" s="413">
        <v>307</v>
      </c>
      <c r="B310" s="414" t="s">
        <v>1095</v>
      </c>
      <c r="C310" s="413" t="s">
        <v>472</v>
      </c>
      <c r="D310" s="414" t="s">
        <v>1106</v>
      </c>
      <c r="E310" s="421">
        <v>44.6</v>
      </c>
      <c r="F310" s="421">
        <v>0</v>
      </c>
      <c r="G310" s="415">
        <v>0</v>
      </c>
      <c r="H310" s="419"/>
      <c r="I310" s="416"/>
      <c r="J310" s="421">
        <v>127.6</v>
      </c>
      <c r="K310" s="424">
        <v>173.59925400000017</v>
      </c>
      <c r="L310" s="415">
        <v>1.3604957210031363</v>
      </c>
      <c r="M310" s="419"/>
      <c r="N310" s="419"/>
    </row>
    <row r="311" spans="1:16" s="84" customFormat="1">
      <c r="A311" s="413">
        <v>308</v>
      </c>
      <c r="B311" s="414" t="s">
        <v>1095</v>
      </c>
      <c r="C311" s="413" t="s">
        <v>472</v>
      </c>
      <c r="D311" s="414" t="s">
        <v>1107</v>
      </c>
      <c r="E311" s="421">
        <v>10.6</v>
      </c>
      <c r="F311" s="421">
        <v>13.285080000000002</v>
      </c>
      <c r="G311" s="415">
        <v>1.2533094339622644</v>
      </c>
      <c r="H311" s="419"/>
      <c r="I311" s="416"/>
      <c r="J311" s="421">
        <v>30.6</v>
      </c>
      <c r="K311" s="424">
        <v>121.78267199999981</v>
      </c>
      <c r="L311" s="415">
        <v>3.9798258823529347</v>
      </c>
      <c r="M311" s="419"/>
      <c r="N311" s="419"/>
    </row>
    <row r="312" spans="1:16" s="84" customFormat="1">
      <c r="A312" s="413">
        <v>309</v>
      </c>
      <c r="B312" s="414" t="s">
        <v>1095</v>
      </c>
      <c r="C312" s="413" t="s">
        <v>472</v>
      </c>
      <c r="D312" s="414" t="s">
        <v>1108</v>
      </c>
      <c r="E312" s="421">
        <v>4.12</v>
      </c>
      <c r="F312" s="421">
        <v>6.6548639999999999</v>
      </c>
      <c r="G312" s="415">
        <v>1.6152582524271843</v>
      </c>
      <c r="H312" s="419"/>
      <c r="I312" s="416"/>
      <c r="J312" s="421">
        <v>12.76</v>
      </c>
      <c r="K312" s="424">
        <v>49.818744000000024</v>
      </c>
      <c r="L312" s="415">
        <v>3.9042902821316634</v>
      </c>
      <c r="M312" s="419"/>
      <c r="N312" s="419"/>
    </row>
    <row r="313" spans="1:16" s="84" customFormat="1">
      <c r="A313" s="413">
        <v>310</v>
      </c>
      <c r="B313" s="414" t="s">
        <v>1095</v>
      </c>
      <c r="C313" s="413" t="s">
        <v>472</v>
      </c>
      <c r="D313" s="414" t="s">
        <v>1109</v>
      </c>
      <c r="E313" s="421">
        <v>6.9</v>
      </c>
      <c r="F313" s="421">
        <v>6.3272639999999987</v>
      </c>
      <c r="G313" s="415">
        <v>0.91699478260869538</v>
      </c>
      <c r="H313" s="419"/>
      <c r="I313" s="416"/>
      <c r="J313" s="421">
        <v>20.409999999999997</v>
      </c>
      <c r="K313" s="424">
        <v>68.928335999999973</v>
      </c>
      <c r="L313" s="415">
        <v>3.3771845173934341</v>
      </c>
      <c r="M313" s="419"/>
      <c r="N313" s="419"/>
    </row>
    <row r="314" spans="1:16" s="84" customFormat="1">
      <c r="A314" s="413">
        <v>311</v>
      </c>
      <c r="B314" s="414" t="s">
        <v>1095</v>
      </c>
      <c r="C314" s="413" t="s">
        <v>472</v>
      </c>
      <c r="D314" s="414" t="s">
        <v>1110</v>
      </c>
      <c r="E314" s="421">
        <v>102.08</v>
      </c>
      <c r="F314" s="421">
        <v>0</v>
      </c>
      <c r="G314" s="415">
        <v>0</v>
      </c>
      <c r="H314" s="419"/>
      <c r="I314" s="416"/>
      <c r="J314" s="421">
        <v>102.08</v>
      </c>
      <c r="K314" s="424">
        <v>138.83471999999989</v>
      </c>
      <c r="L314" s="415">
        <v>1.3600579937304065</v>
      </c>
      <c r="M314" s="419"/>
      <c r="N314" s="419"/>
    </row>
    <row r="315" spans="1:16" s="84" customFormat="1">
      <c r="A315" s="413">
        <v>312</v>
      </c>
      <c r="B315" s="414" t="s">
        <v>1095</v>
      </c>
      <c r="C315" s="413" t="s">
        <v>472</v>
      </c>
      <c r="D315" s="414" t="s">
        <v>911</v>
      </c>
      <c r="E315" s="421">
        <v>3.1</v>
      </c>
      <c r="F315" s="421">
        <v>0</v>
      </c>
      <c r="G315" s="415">
        <v>0</v>
      </c>
      <c r="H315" s="419"/>
      <c r="I315" s="416"/>
      <c r="J315" s="421">
        <v>12.76</v>
      </c>
      <c r="K315" s="424">
        <v>51.150690000000004</v>
      </c>
      <c r="L315" s="415">
        <v>4.0086747648902827</v>
      </c>
      <c r="M315" s="419"/>
      <c r="N315" s="419"/>
    </row>
    <row r="316" spans="1:16" s="84" customFormat="1">
      <c r="A316" s="413">
        <v>313</v>
      </c>
      <c r="B316" s="414" t="s">
        <v>1095</v>
      </c>
      <c r="C316" s="413" t="s">
        <v>472</v>
      </c>
      <c r="D316" s="414" t="s">
        <v>1111</v>
      </c>
      <c r="E316" s="421">
        <v>7</v>
      </c>
      <c r="F316" s="421">
        <v>5.236536000000001</v>
      </c>
      <c r="G316" s="415">
        <v>0.74807657142857154</v>
      </c>
      <c r="H316" s="419"/>
      <c r="I316" s="416"/>
      <c r="J316" s="421">
        <v>20.410000000000004</v>
      </c>
      <c r="K316" s="424">
        <v>49.09496399999999</v>
      </c>
      <c r="L316" s="415">
        <v>2.4054367466927968</v>
      </c>
      <c r="M316" s="419"/>
      <c r="N316" s="419"/>
    </row>
    <row r="317" spans="1:16" s="84" customFormat="1">
      <c r="A317" s="413">
        <v>314</v>
      </c>
      <c r="B317" s="414" t="s">
        <v>1095</v>
      </c>
      <c r="C317" s="413" t="s">
        <v>472</v>
      </c>
      <c r="D317" s="414" t="s">
        <v>1112</v>
      </c>
      <c r="E317" s="421">
        <v>4</v>
      </c>
      <c r="F317" s="421">
        <v>1.8648</v>
      </c>
      <c r="G317" s="415">
        <v>0.4662</v>
      </c>
      <c r="H317" s="419"/>
      <c r="I317" s="416"/>
      <c r="J317" s="421">
        <v>13</v>
      </c>
      <c r="K317" s="424">
        <v>35.140661999999999</v>
      </c>
      <c r="L317" s="415">
        <v>2.7031278461538459</v>
      </c>
      <c r="M317" s="419"/>
      <c r="N317" s="419"/>
    </row>
    <row r="318" spans="1:16" s="84" customFormat="1">
      <c r="A318" s="413">
        <v>315</v>
      </c>
      <c r="B318" s="414" t="s">
        <v>1095</v>
      </c>
      <c r="C318" s="413" t="s">
        <v>472</v>
      </c>
      <c r="D318" s="414" t="s">
        <v>1113</v>
      </c>
      <c r="E318" s="421">
        <v>0</v>
      </c>
      <c r="F318" s="421">
        <v>1.0374000000000001</v>
      </c>
      <c r="G318" s="415" t="e">
        <v>#DIV/0!</v>
      </c>
      <c r="H318" s="419"/>
      <c r="I318" s="416"/>
      <c r="J318" s="421">
        <v>3</v>
      </c>
      <c r="K318" s="424">
        <v>60.905399999999965</v>
      </c>
      <c r="L318" s="415">
        <v>20.301799999999989</v>
      </c>
      <c r="M318" s="419"/>
      <c r="N318" s="419"/>
    </row>
    <row r="319" spans="1:16" s="84" customFormat="1">
      <c r="A319" s="413">
        <v>316</v>
      </c>
      <c r="B319" s="414" t="s">
        <v>1095</v>
      </c>
      <c r="C319" s="413" t="s">
        <v>474</v>
      </c>
      <c r="D319" s="414" t="s">
        <v>1114</v>
      </c>
      <c r="E319" s="421">
        <v>16.7</v>
      </c>
      <c r="F319" s="421">
        <v>0</v>
      </c>
      <c r="G319" s="415">
        <v>0</v>
      </c>
      <c r="H319" s="419"/>
      <c r="I319" s="416"/>
      <c r="J319" s="421">
        <v>51.04</v>
      </c>
      <c r="K319" s="424">
        <v>202.18104600000001</v>
      </c>
      <c r="L319" s="415">
        <v>3.961227390282132</v>
      </c>
      <c r="M319" s="419"/>
      <c r="N319" s="419"/>
    </row>
    <row r="320" spans="1:16" s="84" customFormat="1">
      <c r="A320" s="413">
        <v>317</v>
      </c>
      <c r="B320" s="414" t="s">
        <v>1095</v>
      </c>
      <c r="C320" s="413" t="s">
        <v>474</v>
      </c>
      <c r="D320" s="414" t="s">
        <v>1115</v>
      </c>
      <c r="E320" s="421">
        <v>10.72</v>
      </c>
      <c r="F320" s="421">
        <v>3.1013040000000003</v>
      </c>
      <c r="G320" s="415">
        <v>0.28930074626865671</v>
      </c>
      <c r="H320" s="419"/>
      <c r="I320" s="416"/>
      <c r="J320" s="421">
        <v>30.62</v>
      </c>
      <c r="K320" s="424">
        <v>78.027527999999933</v>
      </c>
      <c r="L320" s="415">
        <v>2.5482536903984303</v>
      </c>
      <c r="M320" s="419"/>
      <c r="N320" s="419"/>
    </row>
    <row r="321" spans="1:14" s="84" customFormat="1">
      <c r="A321" s="413">
        <v>318</v>
      </c>
      <c r="B321" s="414" t="s">
        <v>1095</v>
      </c>
      <c r="C321" s="413" t="s">
        <v>474</v>
      </c>
      <c r="D321" s="414" t="s">
        <v>1116</v>
      </c>
      <c r="E321" s="421">
        <v>37.519999999999996</v>
      </c>
      <c r="F321" s="421">
        <v>11.224704000000001</v>
      </c>
      <c r="G321" s="415">
        <v>0.29916588486140733</v>
      </c>
      <c r="H321" s="419"/>
      <c r="I321" s="416"/>
      <c r="J321" s="421">
        <v>107.19</v>
      </c>
      <c r="K321" s="424">
        <v>208.37747999999999</v>
      </c>
      <c r="L321" s="415">
        <v>1.9440011195074167</v>
      </c>
      <c r="M321" s="419"/>
      <c r="N321" s="419"/>
    </row>
    <row r="322" spans="1:14" s="84" customFormat="1">
      <c r="A322" s="413">
        <v>319</v>
      </c>
      <c r="B322" s="414" t="s">
        <v>1095</v>
      </c>
      <c r="C322" s="413" t="s">
        <v>474</v>
      </c>
      <c r="D322" s="414" t="s">
        <v>1117</v>
      </c>
      <c r="E322" s="421">
        <v>93.9</v>
      </c>
      <c r="F322" s="421">
        <v>0</v>
      </c>
      <c r="G322" s="415">
        <v>0</v>
      </c>
      <c r="H322" s="419"/>
      <c r="I322" s="416"/>
      <c r="J322" s="421">
        <v>93.9</v>
      </c>
      <c r="K322" s="424">
        <v>132.76695000000012</v>
      </c>
      <c r="L322" s="415">
        <v>1.413918530351439</v>
      </c>
      <c r="M322" s="419"/>
      <c r="N322" s="419"/>
    </row>
    <row r="323" spans="1:14" s="84" customFormat="1">
      <c r="A323" s="413">
        <v>320</v>
      </c>
      <c r="B323" s="414" t="s">
        <v>1095</v>
      </c>
      <c r="C323" s="413" t="s">
        <v>474</v>
      </c>
      <c r="D323" s="414" t="s">
        <v>912</v>
      </c>
      <c r="E323" s="421">
        <v>37.1</v>
      </c>
      <c r="F323" s="421">
        <v>0</v>
      </c>
      <c r="G323" s="415">
        <v>0</v>
      </c>
      <c r="H323" s="419"/>
      <c r="I323" s="416"/>
      <c r="J323" s="421">
        <v>107.18</v>
      </c>
      <c r="K323" s="424">
        <v>252.87366</v>
      </c>
      <c r="L323" s="415">
        <v>2.3593362567643217</v>
      </c>
      <c r="M323" s="419"/>
      <c r="N323" s="419"/>
    </row>
    <row r="324" spans="1:14" s="84" customFormat="1">
      <c r="A324" s="413">
        <v>321</v>
      </c>
      <c r="B324" s="414" t="s">
        <v>1095</v>
      </c>
      <c r="C324" s="413" t="s">
        <v>474</v>
      </c>
      <c r="D324" s="413" t="s">
        <v>1118</v>
      </c>
      <c r="E324" s="421">
        <v>16.012</v>
      </c>
      <c r="F324" s="421">
        <v>2.4054959999999994</v>
      </c>
      <c r="G324" s="415">
        <v>0.15023082687984007</v>
      </c>
      <c r="H324" s="419"/>
      <c r="I324" s="416"/>
      <c r="J324" s="421">
        <v>45.936</v>
      </c>
      <c r="K324" s="424">
        <v>62.898179999999947</v>
      </c>
      <c r="L324" s="415">
        <v>1.369256792058515</v>
      </c>
      <c r="M324" s="419"/>
      <c r="N324" s="419"/>
    </row>
    <row r="325" spans="1:14" s="84" customFormat="1">
      <c r="A325" s="413">
        <v>322</v>
      </c>
      <c r="B325" s="414" t="s">
        <v>1095</v>
      </c>
      <c r="C325" s="413" t="s">
        <v>474</v>
      </c>
      <c r="D325" s="413" t="s">
        <v>1119</v>
      </c>
      <c r="E325" s="421">
        <v>21.3</v>
      </c>
      <c r="F325" s="421">
        <v>5.7151199999999998</v>
      </c>
      <c r="G325" s="415">
        <v>0.26831549295774648</v>
      </c>
      <c r="H325" s="419"/>
      <c r="I325" s="416"/>
      <c r="J325" s="421">
        <v>61.247999999999998</v>
      </c>
      <c r="K325" s="424">
        <v>48.906036</v>
      </c>
      <c r="L325" s="415">
        <v>0.79849196708463954</v>
      </c>
      <c r="M325" s="419"/>
      <c r="N325" s="419"/>
    </row>
    <row r="326" spans="1:14" s="84" customFormat="1">
      <c r="A326" s="413">
        <v>323</v>
      </c>
      <c r="B326" s="414" t="s">
        <v>1095</v>
      </c>
      <c r="C326" s="413" t="s">
        <v>474</v>
      </c>
      <c r="D326" s="413" t="s">
        <v>1120</v>
      </c>
      <c r="E326" s="421">
        <v>32.15</v>
      </c>
      <c r="F326" s="421">
        <v>0</v>
      </c>
      <c r="G326" s="415">
        <v>0</v>
      </c>
      <c r="H326" s="419"/>
      <c r="I326" s="416"/>
      <c r="J326" s="421">
        <v>91.86999999999999</v>
      </c>
      <c r="K326" s="424">
        <v>210.30420599999988</v>
      </c>
      <c r="L326" s="415">
        <v>2.2891499510177415</v>
      </c>
      <c r="M326" s="419"/>
      <c r="N326" s="419"/>
    </row>
    <row r="327" spans="1:14" s="84" customFormat="1">
      <c r="A327" s="413">
        <v>324</v>
      </c>
      <c r="B327" s="414" t="s">
        <v>1095</v>
      </c>
      <c r="C327" s="413" t="s">
        <v>474</v>
      </c>
      <c r="D327" s="413" t="s">
        <v>1121</v>
      </c>
      <c r="E327" s="421">
        <v>26.79</v>
      </c>
      <c r="F327" s="421">
        <v>9.5110800000000015</v>
      </c>
      <c r="G327" s="415">
        <v>0.35502351623740208</v>
      </c>
      <c r="H327" s="419"/>
      <c r="I327" s="416"/>
      <c r="J327" s="421">
        <v>76.56</v>
      </c>
      <c r="K327" s="424">
        <v>214.84679399999999</v>
      </c>
      <c r="L327" s="415">
        <v>2.8062538401253918</v>
      </c>
      <c r="M327" s="419"/>
      <c r="N327" s="419"/>
    </row>
    <row r="328" spans="1:14" s="84" customFormat="1">
      <c r="A328" s="413">
        <v>325</v>
      </c>
      <c r="B328" s="414" t="s">
        <v>1095</v>
      </c>
      <c r="C328" s="413" t="s">
        <v>478</v>
      </c>
      <c r="D328" s="413" t="s">
        <v>1122</v>
      </c>
      <c r="E328" s="421">
        <v>9.6</v>
      </c>
      <c r="F328" s="421">
        <v>0</v>
      </c>
      <c r="G328" s="415">
        <v>0</v>
      </c>
      <c r="H328" s="419"/>
      <c r="I328" s="416"/>
      <c r="J328" s="421">
        <v>32</v>
      </c>
      <c r="K328" s="424">
        <v>25.825608000000013</v>
      </c>
      <c r="L328" s="415">
        <v>0.80705025000000041</v>
      </c>
      <c r="M328" s="419"/>
      <c r="N328" s="419"/>
    </row>
    <row r="329" spans="1:14" s="84" customFormat="1">
      <c r="A329" s="413">
        <v>326</v>
      </c>
      <c r="B329" s="414" t="s">
        <v>1095</v>
      </c>
      <c r="C329" s="413" t="s">
        <v>478</v>
      </c>
      <c r="D329" s="413" t="s">
        <v>1123</v>
      </c>
      <c r="E329" s="421">
        <v>22</v>
      </c>
      <c r="F329" s="421">
        <v>18.024984000000003</v>
      </c>
      <c r="G329" s="415">
        <v>0.81931745454545468</v>
      </c>
      <c r="H329" s="419"/>
      <c r="I329" s="416"/>
      <c r="J329" s="421">
        <v>93</v>
      </c>
      <c r="K329" s="424">
        <v>203.34860199999986</v>
      </c>
      <c r="L329" s="415">
        <v>2.1865441075268803</v>
      </c>
      <c r="M329" s="419"/>
      <c r="N329" s="419"/>
    </row>
    <row r="330" spans="1:14" s="84" customFormat="1">
      <c r="A330" s="413">
        <v>327</v>
      </c>
      <c r="B330" s="414" t="s">
        <v>1095</v>
      </c>
      <c r="C330" s="413" t="s">
        <v>478</v>
      </c>
      <c r="D330" s="413" t="s">
        <v>1124</v>
      </c>
      <c r="E330" s="421">
        <v>8</v>
      </c>
      <c r="F330" s="421">
        <v>4.2528960000000007</v>
      </c>
      <c r="G330" s="415">
        <v>0.53161200000000008</v>
      </c>
      <c r="H330" s="419"/>
      <c r="I330" s="416"/>
      <c r="J330" s="421">
        <v>39</v>
      </c>
      <c r="K330" s="424">
        <v>33.526206000000002</v>
      </c>
      <c r="L330" s="415">
        <v>0.85964630769230777</v>
      </c>
      <c r="M330" s="419"/>
      <c r="N330" s="419"/>
    </row>
    <row r="331" spans="1:14" s="84" customFormat="1">
      <c r="A331" s="413">
        <v>328</v>
      </c>
      <c r="B331" s="414" t="s">
        <v>1095</v>
      </c>
      <c r="C331" s="413" t="s">
        <v>478</v>
      </c>
      <c r="D331" s="413" t="s">
        <v>1125</v>
      </c>
      <c r="E331" s="421">
        <v>20</v>
      </c>
      <c r="F331" s="421">
        <v>1.9969920000000001</v>
      </c>
      <c r="G331" s="415">
        <v>9.9849600000000011E-2</v>
      </c>
      <c r="H331" s="419"/>
      <c r="I331" s="416"/>
      <c r="J331" s="421">
        <v>67</v>
      </c>
      <c r="K331" s="424">
        <v>107.18972399999988</v>
      </c>
      <c r="L331" s="415">
        <v>1.5998466268656699</v>
      </c>
      <c r="M331" s="419"/>
      <c r="N331" s="419"/>
    </row>
    <row r="332" spans="1:14" s="84" customFormat="1">
      <c r="A332" s="413">
        <v>329</v>
      </c>
      <c r="B332" s="414" t="s">
        <v>1095</v>
      </c>
      <c r="C332" s="413" t="s">
        <v>478</v>
      </c>
      <c r="D332" s="413" t="s">
        <v>1126</v>
      </c>
      <c r="E332" s="421">
        <v>54</v>
      </c>
      <c r="F332" s="421">
        <v>3.0455999999999999</v>
      </c>
      <c r="G332" s="415">
        <v>5.6399999999999999E-2</v>
      </c>
      <c r="H332" s="419"/>
      <c r="I332" s="416"/>
      <c r="J332" s="421">
        <v>176</v>
      </c>
      <c r="K332" s="424">
        <v>42.574848000000003</v>
      </c>
      <c r="L332" s="415">
        <v>0.24190254545454548</v>
      </c>
      <c r="M332" s="419"/>
      <c r="N332" s="419"/>
    </row>
    <row r="333" spans="1:14" s="84" customFormat="1">
      <c r="A333" s="413">
        <v>330</v>
      </c>
      <c r="B333" s="414" t="s">
        <v>1095</v>
      </c>
      <c r="C333" s="413" t="s">
        <v>478</v>
      </c>
      <c r="D333" s="413" t="s">
        <v>1127</v>
      </c>
      <c r="E333" s="421">
        <v>29</v>
      </c>
      <c r="F333" s="421">
        <v>51.546839999999996</v>
      </c>
      <c r="G333" s="415">
        <v>1.7774772413793103</v>
      </c>
      <c r="H333" s="419"/>
      <c r="I333" s="416"/>
      <c r="J333" s="421">
        <v>133</v>
      </c>
      <c r="K333" s="424">
        <v>424.8563879999997</v>
      </c>
      <c r="L333" s="415">
        <v>3.1944089323308247</v>
      </c>
      <c r="M333" s="419"/>
      <c r="N333" s="419"/>
    </row>
    <row r="334" spans="1:14" s="84" customFormat="1">
      <c r="A334" s="413">
        <v>331</v>
      </c>
      <c r="B334" s="414" t="s">
        <v>1095</v>
      </c>
      <c r="C334" s="413" t="s">
        <v>478</v>
      </c>
      <c r="D334" s="413" t="s">
        <v>1128</v>
      </c>
      <c r="E334" s="421">
        <v>27</v>
      </c>
      <c r="F334" s="421">
        <v>47.060280000000006</v>
      </c>
      <c r="G334" s="415">
        <v>1.7429733333333335</v>
      </c>
      <c r="H334" s="419"/>
      <c r="I334" s="416"/>
      <c r="J334" s="421">
        <v>107</v>
      </c>
      <c r="K334" s="424">
        <v>352.21544199999983</v>
      </c>
      <c r="L334" s="415">
        <v>3.2917331028037369</v>
      </c>
      <c r="M334" s="419"/>
      <c r="N334" s="419"/>
    </row>
    <row r="335" spans="1:14" s="84" customFormat="1">
      <c r="A335" s="413">
        <v>332</v>
      </c>
      <c r="B335" s="414" t="s">
        <v>1095</v>
      </c>
      <c r="C335" s="413" t="s">
        <v>478</v>
      </c>
      <c r="D335" s="413" t="s">
        <v>1129</v>
      </c>
      <c r="E335" s="421">
        <v>24</v>
      </c>
      <c r="F335" s="421">
        <v>15.778128000000001</v>
      </c>
      <c r="G335" s="415">
        <v>0.65742200000000006</v>
      </c>
      <c r="H335" s="419"/>
      <c r="I335" s="416"/>
      <c r="J335" s="421">
        <v>101</v>
      </c>
      <c r="K335" s="424">
        <v>320.78123800000043</v>
      </c>
      <c r="L335" s="415">
        <v>3.176051861386143</v>
      </c>
      <c r="M335" s="419"/>
      <c r="N335" s="419"/>
    </row>
    <row r="336" spans="1:14" s="84" customFormat="1">
      <c r="A336" s="413">
        <v>333</v>
      </c>
      <c r="B336" s="414" t="s">
        <v>1095</v>
      </c>
      <c r="C336" s="413" t="s">
        <v>478</v>
      </c>
      <c r="D336" s="413" t="s">
        <v>1130</v>
      </c>
      <c r="E336" s="421">
        <v>16.8</v>
      </c>
      <c r="F336" s="421">
        <v>0</v>
      </c>
      <c r="G336" s="415">
        <v>0</v>
      </c>
      <c r="H336" s="419"/>
      <c r="I336" s="416"/>
      <c r="J336" s="421">
        <v>56</v>
      </c>
      <c r="K336" s="424">
        <v>52.80285600000002</v>
      </c>
      <c r="L336" s="415">
        <v>0.94290814285714319</v>
      </c>
      <c r="M336" s="419"/>
      <c r="N336" s="419"/>
    </row>
    <row r="337" spans="1:14" s="84" customFormat="1">
      <c r="A337" s="413">
        <v>334</v>
      </c>
      <c r="B337" s="414" t="s">
        <v>1095</v>
      </c>
      <c r="C337" s="413" t="s">
        <v>475</v>
      </c>
      <c r="D337" s="413" t="s">
        <v>1131</v>
      </c>
      <c r="E337" s="421">
        <v>33.5</v>
      </c>
      <c r="F337" s="421">
        <v>0</v>
      </c>
      <c r="G337" s="415">
        <v>0</v>
      </c>
      <c r="H337" s="419"/>
      <c r="I337" s="416"/>
      <c r="J337" s="421">
        <v>100</v>
      </c>
      <c r="K337" s="424">
        <v>308.49978600000003</v>
      </c>
      <c r="L337" s="415">
        <v>3.0849978600000001</v>
      </c>
      <c r="M337" s="419"/>
      <c r="N337" s="419"/>
    </row>
    <row r="338" spans="1:14" s="84" customFormat="1">
      <c r="A338" s="413">
        <v>335</v>
      </c>
      <c r="B338" s="414" t="s">
        <v>1095</v>
      </c>
      <c r="C338" s="413" t="s">
        <v>475</v>
      </c>
      <c r="D338" s="413" t="s">
        <v>1132</v>
      </c>
      <c r="E338" s="421">
        <v>46</v>
      </c>
      <c r="F338" s="421">
        <v>0</v>
      </c>
      <c r="G338" s="415">
        <v>0</v>
      </c>
      <c r="H338" s="419"/>
      <c r="I338" s="416"/>
      <c r="J338" s="421">
        <v>130</v>
      </c>
      <c r="K338" s="424">
        <v>168.89900999999998</v>
      </c>
      <c r="L338" s="415">
        <v>1.2992231538461536</v>
      </c>
      <c r="M338" s="419"/>
      <c r="N338" s="419"/>
    </row>
    <row r="339" spans="1:14" s="84" customFormat="1">
      <c r="A339" s="413">
        <v>336</v>
      </c>
      <c r="B339" s="414" t="s">
        <v>1095</v>
      </c>
      <c r="C339" s="413" t="s">
        <v>475</v>
      </c>
      <c r="D339" s="413" t="s">
        <v>1133</v>
      </c>
      <c r="E339" s="421">
        <v>9.5</v>
      </c>
      <c r="F339" s="421">
        <v>10.909224</v>
      </c>
      <c r="G339" s="415">
        <v>1.1483393684210526</v>
      </c>
      <c r="H339" s="419"/>
      <c r="I339" s="416"/>
      <c r="J339" s="421">
        <v>38.5</v>
      </c>
      <c r="K339" s="424">
        <v>149.49669400000008</v>
      </c>
      <c r="L339" s="415">
        <v>3.8830310129870149</v>
      </c>
      <c r="M339" s="419"/>
      <c r="N339" s="419"/>
    </row>
    <row r="340" spans="1:14" s="84" customFormat="1">
      <c r="A340" s="413">
        <v>337</v>
      </c>
      <c r="B340" s="414" t="s">
        <v>1095</v>
      </c>
      <c r="C340" s="413" t="s">
        <v>475</v>
      </c>
      <c r="D340" s="413" t="s">
        <v>1134</v>
      </c>
      <c r="E340" s="421">
        <v>10</v>
      </c>
      <c r="F340" s="421">
        <v>10.037352000000002</v>
      </c>
      <c r="G340" s="415">
        <v>1.0037352000000002</v>
      </c>
      <c r="H340" s="419"/>
      <c r="I340" s="416"/>
      <c r="J340" s="421">
        <v>34</v>
      </c>
      <c r="K340" s="424">
        <v>100.98224400000001</v>
      </c>
      <c r="L340" s="415">
        <v>2.9700660000000001</v>
      </c>
      <c r="M340" s="419"/>
      <c r="N340" s="419"/>
    </row>
    <row r="341" spans="1:14" s="84" customFormat="1">
      <c r="A341" s="413">
        <v>338</v>
      </c>
      <c r="B341" s="414" t="s">
        <v>1095</v>
      </c>
      <c r="C341" s="413" t="s">
        <v>475</v>
      </c>
      <c r="D341" s="413" t="s">
        <v>1135</v>
      </c>
      <c r="E341" s="421">
        <v>35</v>
      </c>
      <c r="F341" s="421">
        <v>0</v>
      </c>
      <c r="G341" s="415">
        <v>0</v>
      </c>
      <c r="H341" s="419"/>
      <c r="I341" s="416"/>
      <c r="J341" s="421">
        <v>100</v>
      </c>
      <c r="K341" s="424">
        <v>150.04508999999999</v>
      </c>
      <c r="L341" s="415">
        <v>1.5004508999999999</v>
      </c>
      <c r="M341" s="419"/>
      <c r="N341" s="419"/>
    </row>
    <row r="342" spans="1:14" s="84" customFormat="1">
      <c r="A342" s="413">
        <v>339</v>
      </c>
      <c r="B342" s="414" t="s">
        <v>1095</v>
      </c>
      <c r="C342" s="413" t="s">
        <v>475</v>
      </c>
      <c r="D342" s="413" t="s">
        <v>1136</v>
      </c>
      <c r="E342" s="421">
        <v>17</v>
      </c>
      <c r="F342" s="421">
        <v>0</v>
      </c>
      <c r="G342" s="415">
        <v>0</v>
      </c>
      <c r="H342" s="419"/>
      <c r="I342" s="416"/>
      <c r="J342" s="421">
        <v>75</v>
      </c>
      <c r="K342" s="424">
        <v>102.85423800000001</v>
      </c>
      <c r="L342" s="415">
        <v>1.3713898400000002</v>
      </c>
      <c r="M342" s="419"/>
      <c r="N342" s="419"/>
    </row>
    <row r="343" spans="1:14" s="84" customFormat="1">
      <c r="A343" s="413">
        <v>340</v>
      </c>
      <c r="B343" s="414" t="s">
        <v>1095</v>
      </c>
      <c r="C343" s="413" t="s">
        <v>477</v>
      </c>
      <c r="D343" s="413" t="s">
        <v>1137</v>
      </c>
      <c r="E343" s="421">
        <v>24.4</v>
      </c>
      <c r="F343" s="421">
        <v>11.109119999999997</v>
      </c>
      <c r="G343" s="415">
        <v>0.45529180327868846</v>
      </c>
      <c r="H343" s="419"/>
      <c r="I343" s="416"/>
      <c r="J343" s="421">
        <v>71</v>
      </c>
      <c r="K343" s="424">
        <v>84.250025999999977</v>
      </c>
      <c r="L343" s="415">
        <v>1.186620084507042</v>
      </c>
      <c r="M343" s="419"/>
      <c r="N343" s="419"/>
    </row>
    <row r="344" spans="1:14" s="84" customFormat="1">
      <c r="A344" s="413">
        <v>341</v>
      </c>
      <c r="B344" s="414" t="s">
        <v>1095</v>
      </c>
      <c r="C344" s="413" t="s">
        <v>477</v>
      </c>
      <c r="D344" s="413" t="s">
        <v>1138</v>
      </c>
      <c r="E344" s="421">
        <v>18.02</v>
      </c>
      <c r="F344" s="421">
        <v>0</v>
      </c>
      <c r="G344" s="415">
        <v>0</v>
      </c>
      <c r="H344" s="419"/>
      <c r="I344" s="416"/>
      <c r="J344" s="421">
        <v>52.199999999999996</v>
      </c>
      <c r="K344" s="424">
        <v>7.5837660000000016</v>
      </c>
      <c r="L344" s="415">
        <v>0.14528287356321842</v>
      </c>
      <c r="M344" s="419"/>
      <c r="N344" s="419"/>
    </row>
    <row r="345" spans="1:14" s="84" customFormat="1">
      <c r="A345" s="413">
        <v>342</v>
      </c>
      <c r="B345" s="414" t="s">
        <v>1095</v>
      </c>
      <c r="C345" s="413" t="s">
        <v>477</v>
      </c>
      <c r="D345" s="413" t="s">
        <v>1139</v>
      </c>
      <c r="E345" s="421">
        <v>21.6</v>
      </c>
      <c r="F345" s="421">
        <v>0</v>
      </c>
      <c r="G345" s="415">
        <v>0</v>
      </c>
      <c r="H345" s="419"/>
      <c r="I345" s="416"/>
      <c r="J345" s="421">
        <v>62</v>
      </c>
      <c r="K345" s="424">
        <v>62.278025999999976</v>
      </c>
      <c r="L345" s="415">
        <v>1.0044842903225804</v>
      </c>
      <c r="M345" s="419"/>
      <c r="N345" s="419"/>
    </row>
    <row r="346" spans="1:14" s="84" customFormat="1">
      <c r="A346" s="413">
        <v>343</v>
      </c>
      <c r="B346" s="414" t="s">
        <v>1095</v>
      </c>
      <c r="C346" s="413" t="s">
        <v>477</v>
      </c>
      <c r="D346" s="413" t="s">
        <v>1140</v>
      </c>
      <c r="E346" s="421">
        <v>24.150000000000002</v>
      </c>
      <c r="F346" s="421">
        <v>0</v>
      </c>
      <c r="G346" s="415">
        <v>0</v>
      </c>
      <c r="H346" s="419"/>
      <c r="I346" s="416"/>
      <c r="J346" s="421">
        <v>69</v>
      </c>
      <c r="K346" s="424">
        <v>53.685138000000023</v>
      </c>
      <c r="L346" s="415">
        <v>0.77804547826086989</v>
      </c>
      <c r="M346" s="419"/>
      <c r="N346" s="419"/>
    </row>
    <row r="347" spans="1:14" s="84" customFormat="1">
      <c r="A347" s="413">
        <v>344</v>
      </c>
      <c r="B347" s="414" t="s">
        <v>1095</v>
      </c>
      <c r="C347" s="413" t="s">
        <v>477</v>
      </c>
      <c r="D347" s="413" t="s">
        <v>826</v>
      </c>
      <c r="E347" s="421">
        <v>55.3</v>
      </c>
      <c r="F347" s="421">
        <v>13.799184000000002</v>
      </c>
      <c r="G347" s="415">
        <v>0.24953316455696209</v>
      </c>
      <c r="H347" s="419"/>
      <c r="I347" s="416"/>
      <c r="J347" s="421">
        <v>165.88</v>
      </c>
      <c r="K347" s="424">
        <v>92.827925999999891</v>
      </c>
      <c r="L347" s="415">
        <v>0.5596089100554611</v>
      </c>
      <c r="M347" s="419"/>
      <c r="N347" s="419"/>
    </row>
    <row r="348" spans="1:14" s="84" customFormat="1">
      <c r="A348" s="413">
        <v>345</v>
      </c>
      <c r="B348" s="414" t="s">
        <v>1095</v>
      </c>
      <c r="C348" s="413" t="s">
        <v>477</v>
      </c>
      <c r="D348" s="413" t="s">
        <v>1141</v>
      </c>
      <c r="E348" s="421">
        <v>8.92</v>
      </c>
      <c r="F348" s="421">
        <v>0</v>
      </c>
      <c r="G348" s="415">
        <v>0</v>
      </c>
      <c r="H348" s="419"/>
      <c r="I348" s="416"/>
      <c r="J348" s="421">
        <v>25.519999999999996</v>
      </c>
      <c r="K348" s="424">
        <v>12.980507999999995</v>
      </c>
      <c r="L348" s="415">
        <v>0.50864059561128516</v>
      </c>
      <c r="M348" s="419"/>
      <c r="N348" s="419"/>
    </row>
    <row r="349" spans="1:14" s="84" customFormat="1">
      <c r="A349" s="413">
        <v>346</v>
      </c>
      <c r="B349" s="414" t="s">
        <v>1095</v>
      </c>
      <c r="C349" s="413" t="s">
        <v>477</v>
      </c>
      <c r="D349" s="413" t="s">
        <v>1142</v>
      </c>
      <c r="E349" s="421">
        <v>12.2</v>
      </c>
      <c r="F349" s="421">
        <v>5.25</v>
      </c>
      <c r="G349" s="415">
        <v>0.43032786885245905</v>
      </c>
      <c r="H349" s="419"/>
      <c r="I349" s="416"/>
      <c r="J349" s="421">
        <v>35</v>
      </c>
      <c r="K349" s="424">
        <v>73.098323999999948</v>
      </c>
      <c r="L349" s="415">
        <v>2.0885235428571414</v>
      </c>
      <c r="M349" s="419"/>
      <c r="N349" s="419"/>
    </row>
    <row r="350" spans="1:14" s="84" customFormat="1">
      <c r="A350" s="413">
        <v>347</v>
      </c>
      <c r="B350" s="414" t="s">
        <v>1095</v>
      </c>
      <c r="C350" s="413" t="s">
        <v>473</v>
      </c>
      <c r="D350" s="413" t="s">
        <v>1143</v>
      </c>
      <c r="E350" s="421">
        <v>240</v>
      </c>
      <c r="F350" s="421">
        <v>1.523916</v>
      </c>
      <c r="G350" s="415">
        <v>6.3496500000000001E-3</v>
      </c>
      <c r="H350" s="419"/>
      <c r="I350" s="416"/>
      <c r="J350" s="421">
        <v>240</v>
      </c>
      <c r="K350" s="424">
        <v>97.749947999999975</v>
      </c>
      <c r="L350" s="415">
        <v>0.40729144999999989</v>
      </c>
      <c r="M350" s="419"/>
      <c r="N350" s="419"/>
    </row>
    <row r="351" spans="1:14" s="84" customFormat="1">
      <c r="A351" s="413">
        <v>348</v>
      </c>
      <c r="B351" s="414" t="s">
        <v>1095</v>
      </c>
      <c r="C351" s="413" t="s">
        <v>473</v>
      </c>
      <c r="D351" s="413" t="s">
        <v>1144</v>
      </c>
      <c r="E351" s="421">
        <v>6.9</v>
      </c>
      <c r="F351" s="421">
        <v>0</v>
      </c>
      <c r="G351" s="415">
        <v>0</v>
      </c>
      <c r="H351" s="419"/>
      <c r="I351" s="416"/>
      <c r="J351" s="421">
        <v>20.5</v>
      </c>
      <c r="K351" s="424">
        <v>14.436864000000007</v>
      </c>
      <c r="L351" s="415">
        <v>0.70423726829268329</v>
      </c>
      <c r="M351" s="419"/>
      <c r="N351" s="419"/>
    </row>
    <row r="352" spans="1:14" s="84" customFormat="1">
      <c r="A352" s="413">
        <v>349</v>
      </c>
      <c r="B352" s="414" t="s">
        <v>1095</v>
      </c>
      <c r="C352" s="413" t="s">
        <v>473</v>
      </c>
      <c r="D352" s="413" t="s">
        <v>1145</v>
      </c>
      <c r="E352" s="421">
        <v>159</v>
      </c>
      <c r="F352" s="421">
        <v>0</v>
      </c>
      <c r="G352" s="415">
        <v>0</v>
      </c>
      <c r="H352" s="419"/>
      <c r="I352" s="416"/>
      <c r="J352" s="421">
        <v>159</v>
      </c>
      <c r="K352" s="424">
        <v>94.508669999999981</v>
      </c>
      <c r="L352" s="415">
        <v>0.59439415094339609</v>
      </c>
      <c r="M352" s="419"/>
      <c r="N352" s="419"/>
    </row>
    <row r="353" spans="1:14">
      <c r="A353" s="224"/>
      <c r="B353" s="224"/>
      <c r="C353" s="224"/>
      <c r="D353" s="224"/>
      <c r="E353" s="400"/>
      <c r="F353" s="401"/>
      <c r="G353" s="402"/>
      <c r="H353" s="403"/>
      <c r="I353" s="400"/>
      <c r="J353" s="400"/>
      <c r="K353" s="404"/>
      <c r="L353" s="402"/>
      <c r="M353" s="403"/>
      <c r="N353" s="403"/>
    </row>
    <row r="354" spans="1:14">
      <c r="A354" s="224"/>
      <c r="B354" s="224"/>
      <c r="C354" s="224"/>
      <c r="D354" s="224"/>
      <c r="E354" s="400"/>
      <c r="F354" s="401"/>
      <c r="G354" s="402"/>
      <c r="H354" s="403"/>
      <c r="I354" s="400"/>
      <c r="J354" s="400"/>
      <c r="K354" s="404"/>
      <c r="L354" s="402"/>
      <c r="M354" s="403"/>
      <c r="N354" s="403"/>
    </row>
    <row r="355" spans="1:14">
      <c r="A355" s="224"/>
      <c r="B355" s="224"/>
      <c r="C355" s="224"/>
      <c r="D355" s="224"/>
      <c r="E355" s="400"/>
      <c r="F355" s="401"/>
      <c r="G355" s="402"/>
      <c r="H355" s="403"/>
      <c r="I355" s="400"/>
      <c r="J355" s="400"/>
      <c r="K355" s="404"/>
      <c r="L355" s="402"/>
      <c r="M355" s="403"/>
      <c r="N355" s="403"/>
    </row>
    <row r="356" spans="1:14">
      <c r="A356" s="224"/>
      <c r="B356" s="224"/>
      <c r="C356" s="224"/>
      <c r="D356" s="224"/>
      <c r="E356" s="400"/>
      <c r="F356" s="401"/>
      <c r="G356" s="402"/>
      <c r="H356" s="403"/>
      <c r="I356" s="400"/>
      <c r="J356" s="400"/>
      <c r="K356" s="404"/>
      <c r="L356" s="402"/>
      <c r="M356" s="403"/>
      <c r="N356" s="403"/>
    </row>
    <row r="357" spans="1:14">
      <c r="A357" s="224"/>
      <c r="B357" s="224"/>
      <c r="C357" s="224"/>
      <c r="D357" s="224"/>
      <c r="E357" s="400"/>
      <c r="F357" s="401"/>
      <c r="G357" s="402"/>
      <c r="H357" s="403"/>
      <c r="I357" s="400"/>
      <c r="J357" s="400"/>
      <c r="K357" s="404"/>
      <c r="L357" s="402"/>
      <c r="M357" s="403"/>
      <c r="N357" s="403"/>
    </row>
    <row r="358" spans="1:14">
      <c r="A358" s="224"/>
      <c r="B358" s="224"/>
      <c r="C358" s="224"/>
      <c r="D358" s="224"/>
      <c r="E358" s="400"/>
      <c r="F358" s="401"/>
      <c r="G358" s="402"/>
      <c r="H358" s="403"/>
      <c r="I358" s="400"/>
      <c r="J358" s="400"/>
      <c r="K358" s="404"/>
      <c r="L358" s="402"/>
      <c r="M358" s="403"/>
      <c r="N358" s="403"/>
    </row>
    <row r="359" spans="1:14">
      <c r="A359" s="224"/>
      <c r="B359" s="224"/>
      <c r="C359" s="224"/>
      <c r="D359" s="224"/>
      <c r="E359" s="400"/>
      <c r="F359" s="401"/>
      <c r="G359" s="402"/>
      <c r="H359" s="403"/>
      <c r="I359" s="400"/>
      <c r="J359" s="400"/>
      <c r="K359" s="404"/>
      <c r="L359" s="402"/>
      <c r="M359" s="403"/>
      <c r="N359" s="403"/>
    </row>
  </sheetData>
  <autoFilter ref="A3:Q345"/>
  <mergeCells count="1">
    <mergeCell ref="A1:N1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44"/>
  <sheetViews>
    <sheetView zoomScaleNormal="100" workbookViewId="0">
      <pane xSplit="5" ySplit="3" topLeftCell="F154" activePane="bottomRight" state="frozen"/>
      <selection activeCell="E21" sqref="E21"/>
      <selection pane="topRight" activeCell="E21" sqref="E21"/>
      <selection pane="bottomLeft" activeCell="E21" sqref="E21"/>
      <selection pane="bottomRight" activeCell="E254" sqref="E254"/>
    </sheetView>
  </sheetViews>
  <sheetFormatPr defaultRowHeight="13.9"/>
  <cols>
    <col min="1" max="2" width="6.3984375" style="380" bestFit="1" customWidth="1"/>
    <col min="3" max="3" width="9" style="380" bestFit="1" customWidth="1"/>
    <col min="4" max="4" width="17.86328125" style="380" bestFit="1" customWidth="1"/>
    <col min="5" max="5" width="36.59765625" style="363" bestFit="1" customWidth="1"/>
    <col min="6" max="6" width="12.86328125" style="363" bestFit="1" customWidth="1"/>
    <col min="7" max="7" width="11.3984375" style="363" bestFit="1" customWidth="1"/>
    <col min="8" max="8" width="13.33203125" style="363" bestFit="1" customWidth="1"/>
    <col min="9" max="9" width="11" style="363" bestFit="1" customWidth="1"/>
    <col min="10" max="11" width="11.3984375" style="363" bestFit="1" customWidth="1"/>
    <col min="12" max="12" width="4.73046875" style="363" bestFit="1" customWidth="1"/>
    <col min="13" max="13" width="9.59765625" style="382" bestFit="1" customWidth="1"/>
    <col min="14" max="14" width="10.73046875" style="362" customWidth="1"/>
    <col min="15" max="15" width="15.86328125" style="362" customWidth="1"/>
    <col min="16" max="16" width="9.3984375" style="362" customWidth="1"/>
    <col min="17" max="17" width="9.265625" style="362" customWidth="1"/>
    <col min="18" max="18" width="12" style="362" customWidth="1"/>
    <col min="19" max="243" width="9" style="363"/>
    <col min="244" max="244" width="5.59765625" style="363" customWidth="1"/>
    <col min="245" max="245" width="8.1328125" style="363" customWidth="1"/>
    <col min="246" max="246" width="12.86328125" style="363" customWidth="1"/>
    <col min="247" max="247" width="0" style="363" hidden="1" customWidth="1"/>
    <col min="248" max="248" width="13.59765625" style="363" customWidth="1"/>
    <col min="249" max="249" width="13.86328125" style="363" customWidth="1"/>
    <col min="250" max="250" width="13" style="363" customWidth="1"/>
    <col min="251" max="251" width="14.46484375" style="363" customWidth="1"/>
    <col min="252" max="252" width="13.86328125" style="363" customWidth="1"/>
    <col min="253" max="253" width="11.86328125" style="363" customWidth="1"/>
    <col min="254" max="254" width="12.1328125" style="363" customWidth="1"/>
    <col min="255" max="255" width="12.46484375" style="363" customWidth="1"/>
    <col min="256" max="256" width="11.46484375" style="363" customWidth="1"/>
    <col min="257" max="257" width="16" style="363" customWidth="1"/>
    <col min="258" max="258" width="14.265625" style="363" customWidth="1"/>
    <col min="259" max="259" width="11.1328125" style="363" customWidth="1"/>
    <col min="260" max="260" width="12.1328125" style="363" customWidth="1"/>
    <col min="261" max="261" width="10.73046875" style="363" customWidth="1"/>
    <col min="262" max="262" width="15.86328125" style="363" customWidth="1"/>
    <col min="263" max="263" width="9.3984375" style="363" customWidth="1"/>
    <col min="264" max="264" width="9.265625" style="363" customWidth="1"/>
    <col min="265" max="265" width="12" style="363" customWidth="1"/>
    <col min="266" max="266" width="13.265625" style="363" customWidth="1"/>
    <col min="267" max="267" width="12" style="363" customWidth="1"/>
    <col min="268" max="269" width="9.265625" style="363" customWidth="1"/>
    <col min="270" max="271" width="14.1328125" style="363" customWidth="1"/>
    <col min="272" max="272" width="13.46484375" style="363" customWidth="1"/>
    <col min="273" max="273" width="14.1328125" style="363" customWidth="1"/>
    <col min="274" max="274" width="13.1328125" style="363" customWidth="1"/>
    <col min="275" max="499" width="9" style="363"/>
    <col min="500" max="500" width="5.59765625" style="363" customWidth="1"/>
    <col min="501" max="501" width="8.1328125" style="363" customWidth="1"/>
    <col min="502" max="502" width="12.86328125" style="363" customWidth="1"/>
    <col min="503" max="503" width="0" style="363" hidden="1" customWidth="1"/>
    <col min="504" max="504" width="13.59765625" style="363" customWidth="1"/>
    <col min="505" max="505" width="13.86328125" style="363" customWidth="1"/>
    <col min="506" max="506" width="13" style="363" customWidth="1"/>
    <col min="507" max="507" width="14.46484375" style="363" customWidth="1"/>
    <col min="508" max="508" width="13.86328125" style="363" customWidth="1"/>
    <col min="509" max="509" width="11.86328125" style="363" customWidth="1"/>
    <col min="510" max="510" width="12.1328125" style="363" customWidth="1"/>
    <col min="511" max="511" width="12.46484375" style="363" customWidth="1"/>
    <col min="512" max="512" width="11.46484375" style="363" customWidth="1"/>
    <col min="513" max="513" width="16" style="363" customWidth="1"/>
    <col min="514" max="514" width="14.265625" style="363" customWidth="1"/>
    <col min="515" max="515" width="11.1328125" style="363" customWidth="1"/>
    <col min="516" max="516" width="12.1328125" style="363" customWidth="1"/>
    <col min="517" max="517" width="10.73046875" style="363" customWidth="1"/>
    <col min="518" max="518" width="15.86328125" style="363" customWidth="1"/>
    <col min="519" max="519" width="9.3984375" style="363" customWidth="1"/>
    <col min="520" max="520" width="9.265625" style="363" customWidth="1"/>
    <col min="521" max="521" width="12" style="363" customWidth="1"/>
    <col min="522" max="522" width="13.265625" style="363" customWidth="1"/>
    <col min="523" max="523" width="12" style="363" customWidth="1"/>
    <col min="524" max="525" width="9.265625" style="363" customWidth="1"/>
    <col min="526" max="527" width="14.1328125" style="363" customWidth="1"/>
    <col min="528" max="528" width="13.46484375" style="363" customWidth="1"/>
    <col min="529" max="529" width="14.1328125" style="363" customWidth="1"/>
    <col min="530" max="530" width="13.1328125" style="363" customWidth="1"/>
    <col min="531" max="755" width="9" style="363"/>
    <col min="756" max="756" width="5.59765625" style="363" customWidth="1"/>
    <col min="757" max="757" width="8.1328125" style="363" customWidth="1"/>
    <col min="758" max="758" width="12.86328125" style="363" customWidth="1"/>
    <col min="759" max="759" width="0" style="363" hidden="1" customWidth="1"/>
    <col min="760" max="760" width="13.59765625" style="363" customWidth="1"/>
    <col min="761" max="761" width="13.86328125" style="363" customWidth="1"/>
    <col min="762" max="762" width="13" style="363" customWidth="1"/>
    <col min="763" max="763" width="14.46484375" style="363" customWidth="1"/>
    <col min="764" max="764" width="13.86328125" style="363" customWidth="1"/>
    <col min="765" max="765" width="11.86328125" style="363" customWidth="1"/>
    <col min="766" max="766" width="12.1328125" style="363" customWidth="1"/>
    <col min="767" max="767" width="12.46484375" style="363" customWidth="1"/>
    <col min="768" max="768" width="11.46484375" style="363" customWidth="1"/>
    <col min="769" max="769" width="16" style="363" customWidth="1"/>
    <col min="770" max="770" width="14.265625" style="363" customWidth="1"/>
    <col min="771" max="771" width="11.1328125" style="363" customWidth="1"/>
    <col min="772" max="772" width="12.1328125" style="363" customWidth="1"/>
    <col min="773" max="773" width="10.73046875" style="363" customWidth="1"/>
    <col min="774" max="774" width="15.86328125" style="363" customWidth="1"/>
    <col min="775" max="775" width="9.3984375" style="363" customWidth="1"/>
    <col min="776" max="776" width="9.265625" style="363" customWidth="1"/>
    <col min="777" max="777" width="12" style="363" customWidth="1"/>
    <col min="778" max="778" width="13.265625" style="363" customWidth="1"/>
    <col min="779" max="779" width="12" style="363" customWidth="1"/>
    <col min="780" max="781" width="9.265625" style="363" customWidth="1"/>
    <col min="782" max="783" width="14.1328125" style="363" customWidth="1"/>
    <col min="784" max="784" width="13.46484375" style="363" customWidth="1"/>
    <col min="785" max="785" width="14.1328125" style="363" customWidth="1"/>
    <col min="786" max="786" width="13.1328125" style="363" customWidth="1"/>
    <col min="787" max="1011" width="9" style="363"/>
    <col min="1012" max="1012" width="5.59765625" style="363" customWidth="1"/>
    <col min="1013" max="1013" width="8.1328125" style="363" customWidth="1"/>
    <col min="1014" max="1014" width="12.86328125" style="363" customWidth="1"/>
    <col min="1015" max="1015" width="0" style="363" hidden="1" customWidth="1"/>
    <col min="1016" max="1016" width="13.59765625" style="363" customWidth="1"/>
    <col min="1017" max="1017" width="13.86328125" style="363" customWidth="1"/>
    <col min="1018" max="1018" width="13" style="363" customWidth="1"/>
    <col min="1019" max="1019" width="14.46484375" style="363" customWidth="1"/>
    <col min="1020" max="1020" width="13.86328125" style="363" customWidth="1"/>
    <col min="1021" max="1021" width="11.86328125" style="363" customWidth="1"/>
    <col min="1022" max="1022" width="12.1328125" style="363" customWidth="1"/>
    <col min="1023" max="1023" width="12.46484375" style="363" customWidth="1"/>
    <col min="1024" max="1024" width="11.46484375" style="363" customWidth="1"/>
    <col min="1025" max="1025" width="16" style="363" customWidth="1"/>
    <col min="1026" max="1026" width="14.265625" style="363" customWidth="1"/>
    <col min="1027" max="1027" width="11.1328125" style="363" customWidth="1"/>
    <col min="1028" max="1028" width="12.1328125" style="363" customWidth="1"/>
    <col min="1029" max="1029" width="10.73046875" style="363" customWidth="1"/>
    <col min="1030" max="1030" width="15.86328125" style="363" customWidth="1"/>
    <col min="1031" max="1031" width="9.3984375" style="363" customWidth="1"/>
    <col min="1032" max="1032" width="9.265625" style="363" customWidth="1"/>
    <col min="1033" max="1033" width="12" style="363" customWidth="1"/>
    <col min="1034" max="1034" width="13.265625" style="363" customWidth="1"/>
    <col min="1035" max="1035" width="12" style="363" customWidth="1"/>
    <col min="1036" max="1037" width="9.265625" style="363" customWidth="1"/>
    <col min="1038" max="1039" width="14.1328125" style="363" customWidth="1"/>
    <col min="1040" max="1040" width="13.46484375" style="363" customWidth="1"/>
    <col min="1041" max="1041" width="14.1328125" style="363" customWidth="1"/>
    <col min="1042" max="1042" width="13.1328125" style="363" customWidth="1"/>
    <col min="1043" max="1267" width="9" style="363"/>
    <col min="1268" max="1268" width="5.59765625" style="363" customWidth="1"/>
    <col min="1269" max="1269" width="8.1328125" style="363" customWidth="1"/>
    <col min="1270" max="1270" width="12.86328125" style="363" customWidth="1"/>
    <col min="1271" max="1271" width="0" style="363" hidden="1" customWidth="1"/>
    <col min="1272" max="1272" width="13.59765625" style="363" customWidth="1"/>
    <col min="1273" max="1273" width="13.86328125" style="363" customWidth="1"/>
    <col min="1274" max="1274" width="13" style="363" customWidth="1"/>
    <col min="1275" max="1275" width="14.46484375" style="363" customWidth="1"/>
    <col min="1276" max="1276" width="13.86328125" style="363" customWidth="1"/>
    <col min="1277" max="1277" width="11.86328125" style="363" customWidth="1"/>
    <col min="1278" max="1278" width="12.1328125" style="363" customWidth="1"/>
    <col min="1279" max="1279" width="12.46484375" style="363" customWidth="1"/>
    <col min="1280" max="1280" width="11.46484375" style="363" customWidth="1"/>
    <col min="1281" max="1281" width="16" style="363" customWidth="1"/>
    <col min="1282" max="1282" width="14.265625" style="363" customWidth="1"/>
    <col min="1283" max="1283" width="11.1328125" style="363" customWidth="1"/>
    <col min="1284" max="1284" width="12.1328125" style="363" customWidth="1"/>
    <col min="1285" max="1285" width="10.73046875" style="363" customWidth="1"/>
    <col min="1286" max="1286" width="15.86328125" style="363" customWidth="1"/>
    <col min="1287" max="1287" width="9.3984375" style="363" customWidth="1"/>
    <col min="1288" max="1288" width="9.265625" style="363" customWidth="1"/>
    <col min="1289" max="1289" width="12" style="363" customWidth="1"/>
    <col min="1290" max="1290" width="13.265625" style="363" customWidth="1"/>
    <col min="1291" max="1291" width="12" style="363" customWidth="1"/>
    <col min="1292" max="1293" width="9.265625" style="363" customWidth="1"/>
    <col min="1294" max="1295" width="14.1328125" style="363" customWidth="1"/>
    <col min="1296" max="1296" width="13.46484375" style="363" customWidth="1"/>
    <col min="1297" max="1297" width="14.1328125" style="363" customWidth="1"/>
    <col min="1298" max="1298" width="13.1328125" style="363" customWidth="1"/>
    <col min="1299" max="1523" width="9" style="363"/>
    <col min="1524" max="1524" width="5.59765625" style="363" customWidth="1"/>
    <col min="1525" max="1525" width="8.1328125" style="363" customWidth="1"/>
    <col min="1526" max="1526" width="12.86328125" style="363" customWidth="1"/>
    <col min="1527" max="1527" width="0" style="363" hidden="1" customWidth="1"/>
    <col min="1528" max="1528" width="13.59765625" style="363" customWidth="1"/>
    <col min="1529" max="1529" width="13.86328125" style="363" customWidth="1"/>
    <col min="1530" max="1530" width="13" style="363" customWidth="1"/>
    <col min="1531" max="1531" width="14.46484375" style="363" customWidth="1"/>
    <col min="1532" max="1532" width="13.86328125" style="363" customWidth="1"/>
    <col min="1533" max="1533" width="11.86328125" style="363" customWidth="1"/>
    <col min="1534" max="1534" width="12.1328125" style="363" customWidth="1"/>
    <col min="1535" max="1535" width="12.46484375" style="363" customWidth="1"/>
    <col min="1536" max="1536" width="11.46484375" style="363" customWidth="1"/>
    <col min="1537" max="1537" width="16" style="363" customWidth="1"/>
    <col min="1538" max="1538" width="14.265625" style="363" customWidth="1"/>
    <col min="1539" max="1539" width="11.1328125" style="363" customWidth="1"/>
    <col min="1540" max="1540" width="12.1328125" style="363" customWidth="1"/>
    <col min="1541" max="1541" width="10.73046875" style="363" customWidth="1"/>
    <col min="1542" max="1542" width="15.86328125" style="363" customWidth="1"/>
    <col min="1543" max="1543" width="9.3984375" style="363" customWidth="1"/>
    <col min="1544" max="1544" width="9.265625" style="363" customWidth="1"/>
    <col min="1545" max="1545" width="12" style="363" customWidth="1"/>
    <col min="1546" max="1546" width="13.265625" style="363" customWidth="1"/>
    <col min="1547" max="1547" width="12" style="363" customWidth="1"/>
    <col min="1548" max="1549" width="9.265625" style="363" customWidth="1"/>
    <col min="1550" max="1551" width="14.1328125" style="363" customWidth="1"/>
    <col min="1552" max="1552" width="13.46484375" style="363" customWidth="1"/>
    <col min="1553" max="1553" width="14.1328125" style="363" customWidth="1"/>
    <col min="1554" max="1554" width="13.1328125" style="363" customWidth="1"/>
    <col min="1555" max="1779" width="9" style="363"/>
    <col min="1780" max="1780" width="5.59765625" style="363" customWidth="1"/>
    <col min="1781" max="1781" width="8.1328125" style="363" customWidth="1"/>
    <col min="1782" max="1782" width="12.86328125" style="363" customWidth="1"/>
    <col min="1783" max="1783" width="0" style="363" hidden="1" customWidth="1"/>
    <col min="1784" max="1784" width="13.59765625" style="363" customWidth="1"/>
    <col min="1785" max="1785" width="13.86328125" style="363" customWidth="1"/>
    <col min="1786" max="1786" width="13" style="363" customWidth="1"/>
    <col min="1787" max="1787" width="14.46484375" style="363" customWidth="1"/>
    <col min="1788" max="1788" width="13.86328125" style="363" customWidth="1"/>
    <col min="1789" max="1789" width="11.86328125" style="363" customWidth="1"/>
    <col min="1790" max="1790" width="12.1328125" style="363" customWidth="1"/>
    <col min="1791" max="1791" width="12.46484375" style="363" customWidth="1"/>
    <col min="1792" max="1792" width="11.46484375" style="363" customWidth="1"/>
    <col min="1793" max="1793" width="16" style="363" customWidth="1"/>
    <col min="1794" max="1794" width="14.265625" style="363" customWidth="1"/>
    <col min="1795" max="1795" width="11.1328125" style="363" customWidth="1"/>
    <col min="1796" max="1796" width="12.1328125" style="363" customWidth="1"/>
    <col min="1797" max="1797" width="10.73046875" style="363" customWidth="1"/>
    <col min="1798" max="1798" width="15.86328125" style="363" customWidth="1"/>
    <col min="1799" max="1799" width="9.3984375" style="363" customWidth="1"/>
    <col min="1800" max="1800" width="9.265625" style="363" customWidth="1"/>
    <col min="1801" max="1801" width="12" style="363" customWidth="1"/>
    <col min="1802" max="1802" width="13.265625" style="363" customWidth="1"/>
    <col min="1803" max="1803" width="12" style="363" customWidth="1"/>
    <col min="1804" max="1805" width="9.265625" style="363" customWidth="1"/>
    <col min="1806" max="1807" width="14.1328125" style="363" customWidth="1"/>
    <col min="1808" max="1808" width="13.46484375" style="363" customWidth="1"/>
    <col min="1809" max="1809" width="14.1328125" style="363" customWidth="1"/>
    <col min="1810" max="1810" width="13.1328125" style="363" customWidth="1"/>
    <col min="1811" max="2035" width="9" style="363"/>
    <col min="2036" max="2036" width="5.59765625" style="363" customWidth="1"/>
    <col min="2037" max="2037" width="8.1328125" style="363" customWidth="1"/>
    <col min="2038" max="2038" width="12.86328125" style="363" customWidth="1"/>
    <col min="2039" max="2039" width="0" style="363" hidden="1" customWidth="1"/>
    <col min="2040" max="2040" width="13.59765625" style="363" customWidth="1"/>
    <col min="2041" max="2041" width="13.86328125" style="363" customWidth="1"/>
    <col min="2042" max="2042" width="13" style="363" customWidth="1"/>
    <col min="2043" max="2043" width="14.46484375" style="363" customWidth="1"/>
    <col min="2044" max="2044" width="13.86328125" style="363" customWidth="1"/>
    <col min="2045" max="2045" width="11.86328125" style="363" customWidth="1"/>
    <col min="2046" max="2046" width="12.1328125" style="363" customWidth="1"/>
    <col min="2047" max="2047" width="12.46484375" style="363" customWidth="1"/>
    <col min="2048" max="2048" width="11.46484375" style="363" customWidth="1"/>
    <col min="2049" max="2049" width="16" style="363" customWidth="1"/>
    <col min="2050" max="2050" width="14.265625" style="363" customWidth="1"/>
    <col min="2051" max="2051" width="11.1328125" style="363" customWidth="1"/>
    <col min="2052" max="2052" width="12.1328125" style="363" customWidth="1"/>
    <col min="2053" max="2053" width="10.73046875" style="363" customWidth="1"/>
    <col min="2054" max="2054" width="15.86328125" style="363" customWidth="1"/>
    <col min="2055" max="2055" width="9.3984375" style="363" customWidth="1"/>
    <col min="2056" max="2056" width="9.265625" style="363" customWidth="1"/>
    <col min="2057" max="2057" width="12" style="363" customWidth="1"/>
    <col min="2058" max="2058" width="13.265625" style="363" customWidth="1"/>
    <col min="2059" max="2059" width="12" style="363" customWidth="1"/>
    <col min="2060" max="2061" width="9.265625" style="363" customWidth="1"/>
    <col min="2062" max="2063" width="14.1328125" style="363" customWidth="1"/>
    <col min="2064" max="2064" width="13.46484375" style="363" customWidth="1"/>
    <col min="2065" max="2065" width="14.1328125" style="363" customWidth="1"/>
    <col min="2066" max="2066" width="13.1328125" style="363" customWidth="1"/>
    <col min="2067" max="2291" width="9" style="363"/>
    <col min="2292" max="2292" width="5.59765625" style="363" customWidth="1"/>
    <col min="2293" max="2293" width="8.1328125" style="363" customWidth="1"/>
    <col min="2294" max="2294" width="12.86328125" style="363" customWidth="1"/>
    <col min="2295" max="2295" width="0" style="363" hidden="1" customWidth="1"/>
    <col min="2296" max="2296" width="13.59765625" style="363" customWidth="1"/>
    <col min="2297" max="2297" width="13.86328125" style="363" customWidth="1"/>
    <col min="2298" max="2298" width="13" style="363" customWidth="1"/>
    <col min="2299" max="2299" width="14.46484375" style="363" customWidth="1"/>
    <col min="2300" max="2300" width="13.86328125" style="363" customWidth="1"/>
    <col min="2301" max="2301" width="11.86328125" style="363" customWidth="1"/>
    <col min="2302" max="2302" width="12.1328125" style="363" customWidth="1"/>
    <col min="2303" max="2303" width="12.46484375" style="363" customWidth="1"/>
    <col min="2304" max="2304" width="11.46484375" style="363" customWidth="1"/>
    <col min="2305" max="2305" width="16" style="363" customWidth="1"/>
    <col min="2306" max="2306" width="14.265625" style="363" customWidth="1"/>
    <col min="2307" max="2307" width="11.1328125" style="363" customWidth="1"/>
    <col min="2308" max="2308" width="12.1328125" style="363" customWidth="1"/>
    <col min="2309" max="2309" width="10.73046875" style="363" customWidth="1"/>
    <col min="2310" max="2310" width="15.86328125" style="363" customWidth="1"/>
    <col min="2311" max="2311" width="9.3984375" style="363" customWidth="1"/>
    <col min="2312" max="2312" width="9.265625" style="363" customWidth="1"/>
    <col min="2313" max="2313" width="12" style="363" customWidth="1"/>
    <col min="2314" max="2314" width="13.265625" style="363" customWidth="1"/>
    <col min="2315" max="2315" width="12" style="363" customWidth="1"/>
    <col min="2316" max="2317" width="9.265625" style="363" customWidth="1"/>
    <col min="2318" max="2319" width="14.1328125" style="363" customWidth="1"/>
    <col min="2320" max="2320" width="13.46484375" style="363" customWidth="1"/>
    <col min="2321" max="2321" width="14.1328125" style="363" customWidth="1"/>
    <col min="2322" max="2322" width="13.1328125" style="363" customWidth="1"/>
    <col min="2323" max="2547" width="9" style="363"/>
    <col min="2548" max="2548" width="5.59765625" style="363" customWidth="1"/>
    <col min="2549" max="2549" width="8.1328125" style="363" customWidth="1"/>
    <col min="2550" max="2550" width="12.86328125" style="363" customWidth="1"/>
    <col min="2551" max="2551" width="0" style="363" hidden="1" customWidth="1"/>
    <col min="2552" max="2552" width="13.59765625" style="363" customWidth="1"/>
    <col min="2553" max="2553" width="13.86328125" style="363" customWidth="1"/>
    <col min="2554" max="2554" width="13" style="363" customWidth="1"/>
    <col min="2555" max="2555" width="14.46484375" style="363" customWidth="1"/>
    <col min="2556" max="2556" width="13.86328125" style="363" customWidth="1"/>
    <col min="2557" max="2557" width="11.86328125" style="363" customWidth="1"/>
    <col min="2558" max="2558" width="12.1328125" style="363" customWidth="1"/>
    <col min="2559" max="2559" width="12.46484375" style="363" customWidth="1"/>
    <col min="2560" max="2560" width="11.46484375" style="363" customWidth="1"/>
    <col min="2561" max="2561" width="16" style="363" customWidth="1"/>
    <col min="2562" max="2562" width="14.265625" style="363" customWidth="1"/>
    <col min="2563" max="2563" width="11.1328125" style="363" customWidth="1"/>
    <col min="2564" max="2564" width="12.1328125" style="363" customWidth="1"/>
    <col min="2565" max="2565" width="10.73046875" style="363" customWidth="1"/>
    <col min="2566" max="2566" width="15.86328125" style="363" customWidth="1"/>
    <col min="2567" max="2567" width="9.3984375" style="363" customWidth="1"/>
    <col min="2568" max="2568" width="9.265625" style="363" customWidth="1"/>
    <col min="2569" max="2569" width="12" style="363" customWidth="1"/>
    <col min="2570" max="2570" width="13.265625" style="363" customWidth="1"/>
    <col min="2571" max="2571" width="12" style="363" customWidth="1"/>
    <col min="2572" max="2573" width="9.265625" style="363" customWidth="1"/>
    <col min="2574" max="2575" width="14.1328125" style="363" customWidth="1"/>
    <col min="2576" max="2576" width="13.46484375" style="363" customWidth="1"/>
    <col min="2577" max="2577" width="14.1328125" style="363" customWidth="1"/>
    <col min="2578" max="2578" width="13.1328125" style="363" customWidth="1"/>
    <col min="2579" max="2803" width="9" style="363"/>
    <col min="2804" max="2804" width="5.59765625" style="363" customWidth="1"/>
    <col min="2805" max="2805" width="8.1328125" style="363" customWidth="1"/>
    <col min="2806" max="2806" width="12.86328125" style="363" customWidth="1"/>
    <col min="2807" max="2807" width="0" style="363" hidden="1" customWidth="1"/>
    <col min="2808" max="2808" width="13.59765625" style="363" customWidth="1"/>
    <col min="2809" max="2809" width="13.86328125" style="363" customWidth="1"/>
    <col min="2810" max="2810" width="13" style="363" customWidth="1"/>
    <col min="2811" max="2811" width="14.46484375" style="363" customWidth="1"/>
    <col min="2812" max="2812" width="13.86328125" style="363" customWidth="1"/>
    <col min="2813" max="2813" width="11.86328125" style="363" customWidth="1"/>
    <col min="2814" max="2814" width="12.1328125" style="363" customWidth="1"/>
    <col min="2815" max="2815" width="12.46484375" style="363" customWidth="1"/>
    <col min="2816" max="2816" width="11.46484375" style="363" customWidth="1"/>
    <col min="2817" max="2817" width="16" style="363" customWidth="1"/>
    <col min="2818" max="2818" width="14.265625" style="363" customWidth="1"/>
    <col min="2819" max="2819" width="11.1328125" style="363" customWidth="1"/>
    <col min="2820" max="2820" width="12.1328125" style="363" customWidth="1"/>
    <col min="2821" max="2821" width="10.73046875" style="363" customWidth="1"/>
    <col min="2822" max="2822" width="15.86328125" style="363" customWidth="1"/>
    <col min="2823" max="2823" width="9.3984375" style="363" customWidth="1"/>
    <col min="2824" max="2824" width="9.265625" style="363" customWidth="1"/>
    <col min="2825" max="2825" width="12" style="363" customWidth="1"/>
    <col min="2826" max="2826" width="13.265625" style="363" customWidth="1"/>
    <col min="2827" max="2827" width="12" style="363" customWidth="1"/>
    <col min="2828" max="2829" width="9.265625" style="363" customWidth="1"/>
    <col min="2830" max="2831" width="14.1328125" style="363" customWidth="1"/>
    <col min="2832" max="2832" width="13.46484375" style="363" customWidth="1"/>
    <col min="2833" max="2833" width="14.1328125" style="363" customWidth="1"/>
    <col min="2834" max="2834" width="13.1328125" style="363" customWidth="1"/>
    <col min="2835" max="3059" width="9" style="363"/>
    <col min="3060" max="3060" width="5.59765625" style="363" customWidth="1"/>
    <col min="3061" max="3061" width="8.1328125" style="363" customWidth="1"/>
    <col min="3062" max="3062" width="12.86328125" style="363" customWidth="1"/>
    <col min="3063" max="3063" width="0" style="363" hidden="1" customWidth="1"/>
    <col min="3064" max="3064" width="13.59765625" style="363" customWidth="1"/>
    <col min="3065" max="3065" width="13.86328125" style="363" customWidth="1"/>
    <col min="3066" max="3066" width="13" style="363" customWidth="1"/>
    <col min="3067" max="3067" width="14.46484375" style="363" customWidth="1"/>
    <col min="3068" max="3068" width="13.86328125" style="363" customWidth="1"/>
    <col min="3069" max="3069" width="11.86328125" style="363" customWidth="1"/>
    <col min="3070" max="3070" width="12.1328125" style="363" customWidth="1"/>
    <col min="3071" max="3071" width="12.46484375" style="363" customWidth="1"/>
    <col min="3072" max="3072" width="11.46484375" style="363" customWidth="1"/>
    <col min="3073" max="3073" width="16" style="363" customWidth="1"/>
    <col min="3074" max="3074" width="14.265625" style="363" customWidth="1"/>
    <col min="3075" max="3075" width="11.1328125" style="363" customWidth="1"/>
    <col min="3076" max="3076" width="12.1328125" style="363" customWidth="1"/>
    <col min="3077" max="3077" width="10.73046875" style="363" customWidth="1"/>
    <col min="3078" max="3078" width="15.86328125" style="363" customWidth="1"/>
    <col min="3079" max="3079" width="9.3984375" style="363" customWidth="1"/>
    <col min="3080" max="3080" width="9.265625" style="363" customWidth="1"/>
    <col min="3081" max="3081" width="12" style="363" customWidth="1"/>
    <col min="3082" max="3082" width="13.265625" style="363" customWidth="1"/>
    <col min="3083" max="3083" width="12" style="363" customWidth="1"/>
    <col min="3084" max="3085" width="9.265625" style="363" customWidth="1"/>
    <col min="3086" max="3087" width="14.1328125" style="363" customWidth="1"/>
    <col min="3088" max="3088" width="13.46484375" style="363" customWidth="1"/>
    <col min="3089" max="3089" width="14.1328125" style="363" customWidth="1"/>
    <col min="3090" max="3090" width="13.1328125" style="363" customWidth="1"/>
    <col min="3091" max="3315" width="9" style="363"/>
    <col min="3316" max="3316" width="5.59765625" style="363" customWidth="1"/>
    <col min="3317" max="3317" width="8.1328125" style="363" customWidth="1"/>
    <col min="3318" max="3318" width="12.86328125" style="363" customWidth="1"/>
    <col min="3319" max="3319" width="0" style="363" hidden="1" customWidth="1"/>
    <col min="3320" max="3320" width="13.59765625" style="363" customWidth="1"/>
    <col min="3321" max="3321" width="13.86328125" style="363" customWidth="1"/>
    <col min="3322" max="3322" width="13" style="363" customWidth="1"/>
    <col min="3323" max="3323" width="14.46484375" style="363" customWidth="1"/>
    <col min="3324" max="3324" width="13.86328125" style="363" customWidth="1"/>
    <col min="3325" max="3325" width="11.86328125" style="363" customWidth="1"/>
    <col min="3326" max="3326" width="12.1328125" style="363" customWidth="1"/>
    <col min="3327" max="3327" width="12.46484375" style="363" customWidth="1"/>
    <col min="3328" max="3328" width="11.46484375" style="363" customWidth="1"/>
    <col min="3329" max="3329" width="16" style="363" customWidth="1"/>
    <col min="3330" max="3330" width="14.265625" style="363" customWidth="1"/>
    <col min="3331" max="3331" width="11.1328125" style="363" customWidth="1"/>
    <col min="3332" max="3332" width="12.1328125" style="363" customWidth="1"/>
    <col min="3333" max="3333" width="10.73046875" style="363" customWidth="1"/>
    <col min="3334" max="3334" width="15.86328125" style="363" customWidth="1"/>
    <col min="3335" max="3335" width="9.3984375" style="363" customWidth="1"/>
    <col min="3336" max="3336" width="9.265625" style="363" customWidth="1"/>
    <col min="3337" max="3337" width="12" style="363" customWidth="1"/>
    <col min="3338" max="3338" width="13.265625" style="363" customWidth="1"/>
    <col min="3339" max="3339" width="12" style="363" customWidth="1"/>
    <col min="3340" max="3341" width="9.265625" style="363" customWidth="1"/>
    <col min="3342" max="3343" width="14.1328125" style="363" customWidth="1"/>
    <col min="3344" max="3344" width="13.46484375" style="363" customWidth="1"/>
    <col min="3345" max="3345" width="14.1328125" style="363" customWidth="1"/>
    <col min="3346" max="3346" width="13.1328125" style="363" customWidth="1"/>
    <col min="3347" max="3571" width="9" style="363"/>
    <col min="3572" max="3572" width="5.59765625" style="363" customWidth="1"/>
    <col min="3573" max="3573" width="8.1328125" style="363" customWidth="1"/>
    <col min="3574" max="3574" width="12.86328125" style="363" customWidth="1"/>
    <col min="3575" max="3575" width="0" style="363" hidden="1" customWidth="1"/>
    <col min="3576" max="3576" width="13.59765625" style="363" customWidth="1"/>
    <col min="3577" max="3577" width="13.86328125" style="363" customWidth="1"/>
    <col min="3578" max="3578" width="13" style="363" customWidth="1"/>
    <col min="3579" max="3579" width="14.46484375" style="363" customWidth="1"/>
    <col min="3580" max="3580" width="13.86328125" style="363" customWidth="1"/>
    <col min="3581" max="3581" width="11.86328125" style="363" customWidth="1"/>
    <col min="3582" max="3582" width="12.1328125" style="363" customWidth="1"/>
    <col min="3583" max="3583" width="12.46484375" style="363" customWidth="1"/>
    <col min="3584" max="3584" width="11.46484375" style="363" customWidth="1"/>
    <col min="3585" max="3585" width="16" style="363" customWidth="1"/>
    <col min="3586" max="3586" width="14.265625" style="363" customWidth="1"/>
    <col min="3587" max="3587" width="11.1328125" style="363" customWidth="1"/>
    <col min="3588" max="3588" width="12.1328125" style="363" customWidth="1"/>
    <col min="3589" max="3589" width="10.73046875" style="363" customWidth="1"/>
    <col min="3590" max="3590" width="15.86328125" style="363" customWidth="1"/>
    <col min="3591" max="3591" width="9.3984375" style="363" customWidth="1"/>
    <col min="3592" max="3592" width="9.265625" style="363" customWidth="1"/>
    <col min="3593" max="3593" width="12" style="363" customWidth="1"/>
    <col min="3594" max="3594" width="13.265625" style="363" customWidth="1"/>
    <col min="3595" max="3595" width="12" style="363" customWidth="1"/>
    <col min="3596" max="3597" width="9.265625" style="363" customWidth="1"/>
    <col min="3598" max="3599" width="14.1328125" style="363" customWidth="1"/>
    <col min="3600" max="3600" width="13.46484375" style="363" customWidth="1"/>
    <col min="3601" max="3601" width="14.1328125" style="363" customWidth="1"/>
    <col min="3602" max="3602" width="13.1328125" style="363" customWidth="1"/>
    <col min="3603" max="3827" width="9" style="363"/>
    <col min="3828" max="3828" width="5.59765625" style="363" customWidth="1"/>
    <col min="3829" max="3829" width="8.1328125" style="363" customWidth="1"/>
    <col min="3830" max="3830" width="12.86328125" style="363" customWidth="1"/>
    <col min="3831" max="3831" width="0" style="363" hidden="1" customWidth="1"/>
    <col min="3832" max="3832" width="13.59765625" style="363" customWidth="1"/>
    <col min="3833" max="3833" width="13.86328125" style="363" customWidth="1"/>
    <col min="3834" max="3834" width="13" style="363" customWidth="1"/>
    <col min="3835" max="3835" width="14.46484375" style="363" customWidth="1"/>
    <col min="3836" max="3836" width="13.86328125" style="363" customWidth="1"/>
    <col min="3837" max="3837" width="11.86328125" style="363" customWidth="1"/>
    <col min="3838" max="3838" width="12.1328125" style="363" customWidth="1"/>
    <col min="3839" max="3839" width="12.46484375" style="363" customWidth="1"/>
    <col min="3840" max="3840" width="11.46484375" style="363" customWidth="1"/>
    <col min="3841" max="3841" width="16" style="363" customWidth="1"/>
    <col min="3842" max="3842" width="14.265625" style="363" customWidth="1"/>
    <col min="3843" max="3843" width="11.1328125" style="363" customWidth="1"/>
    <col min="3844" max="3844" width="12.1328125" style="363" customWidth="1"/>
    <col min="3845" max="3845" width="10.73046875" style="363" customWidth="1"/>
    <col min="3846" max="3846" width="15.86328125" style="363" customWidth="1"/>
    <col min="3847" max="3847" width="9.3984375" style="363" customWidth="1"/>
    <col min="3848" max="3848" width="9.265625" style="363" customWidth="1"/>
    <col min="3849" max="3849" width="12" style="363" customWidth="1"/>
    <col min="3850" max="3850" width="13.265625" style="363" customWidth="1"/>
    <col min="3851" max="3851" width="12" style="363" customWidth="1"/>
    <col min="3852" max="3853" width="9.265625" style="363" customWidth="1"/>
    <col min="3854" max="3855" width="14.1328125" style="363" customWidth="1"/>
    <col min="3856" max="3856" width="13.46484375" style="363" customWidth="1"/>
    <col min="3857" max="3857" width="14.1328125" style="363" customWidth="1"/>
    <col min="3858" max="3858" width="13.1328125" style="363" customWidth="1"/>
    <col min="3859" max="4083" width="9" style="363"/>
    <col min="4084" max="4084" width="5.59765625" style="363" customWidth="1"/>
    <col min="4085" max="4085" width="8.1328125" style="363" customWidth="1"/>
    <col min="4086" max="4086" width="12.86328125" style="363" customWidth="1"/>
    <col min="4087" max="4087" width="0" style="363" hidden="1" customWidth="1"/>
    <col min="4088" max="4088" width="13.59765625" style="363" customWidth="1"/>
    <col min="4089" max="4089" width="13.86328125" style="363" customWidth="1"/>
    <col min="4090" max="4090" width="13" style="363" customWidth="1"/>
    <col min="4091" max="4091" width="14.46484375" style="363" customWidth="1"/>
    <col min="4092" max="4092" width="13.86328125" style="363" customWidth="1"/>
    <col min="4093" max="4093" width="11.86328125" style="363" customWidth="1"/>
    <col min="4094" max="4094" width="12.1328125" style="363" customWidth="1"/>
    <col min="4095" max="4095" width="12.46484375" style="363" customWidth="1"/>
    <col min="4096" max="4096" width="11.46484375" style="363" customWidth="1"/>
    <col min="4097" max="4097" width="16" style="363" customWidth="1"/>
    <col min="4098" max="4098" width="14.265625" style="363" customWidth="1"/>
    <col min="4099" max="4099" width="11.1328125" style="363" customWidth="1"/>
    <col min="4100" max="4100" width="12.1328125" style="363" customWidth="1"/>
    <col min="4101" max="4101" width="10.73046875" style="363" customWidth="1"/>
    <col min="4102" max="4102" width="15.86328125" style="363" customWidth="1"/>
    <col min="4103" max="4103" width="9.3984375" style="363" customWidth="1"/>
    <col min="4104" max="4104" width="9.265625" style="363" customWidth="1"/>
    <col min="4105" max="4105" width="12" style="363" customWidth="1"/>
    <col min="4106" max="4106" width="13.265625" style="363" customWidth="1"/>
    <col min="4107" max="4107" width="12" style="363" customWidth="1"/>
    <col min="4108" max="4109" width="9.265625" style="363" customWidth="1"/>
    <col min="4110" max="4111" width="14.1328125" style="363" customWidth="1"/>
    <col min="4112" max="4112" width="13.46484375" style="363" customWidth="1"/>
    <col min="4113" max="4113" width="14.1328125" style="363" customWidth="1"/>
    <col min="4114" max="4114" width="13.1328125" style="363" customWidth="1"/>
    <col min="4115" max="4339" width="9" style="363"/>
    <col min="4340" max="4340" width="5.59765625" style="363" customWidth="1"/>
    <col min="4341" max="4341" width="8.1328125" style="363" customWidth="1"/>
    <col min="4342" max="4342" width="12.86328125" style="363" customWidth="1"/>
    <col min="4343" max="4343" width="0" style="363" hidden="1" customWidth="1"/>
    <col min="4344" max="4344" width="13.59765625" style="363" customWidth="1"/>
    <col min="4345" max="4345" width="13.86328125" style="363" customWidth="1"/>
    <col min="4346" max="4346" width="13" style="363" customWidth="1"/>
    <col min="4347" max="4347" width="14.46484375" style="363" customWidth="1"/>
    <col min="4348" max="4348" width="13.86328125" style="363" customWidth="1"/>
    <col min="4349" max="4349" width="11.86328125" style="363" customWidth="1"/>
    <col min="4350" max="4350" width="12.1328125" style="363" customWidth="1"/>
    <col min="4351" max="4351" width="12.46484375" style="363" customWidth="1"/>
    <col min="4352" max="4352" width="11.46484375" style="363" customWidth="1"/>
    <col min="4353" max="4353" width="16" style="363" customWidth="1"/>
    <col min="4354" max="4354" width="14.265625" style="363" customWidth="1"/>
    <col min="4355" max="4355" width="11.1328125" style="363" customWidth="1"/>
    <col min="4356" max="4356" width="12.1328125" style="363" customWidth="1"/>
    <col min="4357" max="4357" width="10.73046875" style="363" customWidth="1"/>
    <col min="4358" max="4358" width="15.86328125" style="363" customWidth="1"/>
    <col min="4359" max="4359" width="9.3984375" style="363" customWidth="1"/>
    <col min="4360" max="4360" width="9.265625" style="363" customWidth="1"/>
    <col min="4361" max="4361" width="12" style="363" customWidth="1"/>
    <col min="4362" max="4362" width="13.265625" style="363" customWidth="1"/>
    <col min="4363" max="4363" width="12" style="363" customWidth="1"/>
    <col min="4364" max="4365" width="9.265625" style="363" customWidth="1"/>
    <col min="4366" max="4367" width="14.1328125" style="363" customWidth="1"/>
    <col min="4368" max="4368" width="13.46484375" style="363" customWidth="1"/>
    <col min="4369" max="4369" width="14.1328125" style="363" customWidth="1"/>
    <col min="4370" max="4370" width="13.1328125" style="363" customWidth="1"/>
    <col min="4371" max="4595" width="9" style="363"/>
    <col min="4596" max="4596" width="5.59765625" style="363" customWidth="1"/>
    <col min="4597" max="4597" width="8.1328125" style="363" customWidth="1"/>
    <col min="4598" max="4598" width="12.86328125" style="363" customWidth="1"/>
    <col min="4599" max="4599" width="0" style="363" hidden="1" customWidth="1"/>
    <col min="4600" max="4600" width="13.59765625" style="363" customWidth="1"/>
    <col min="4601" max="4601" width="13.86328125" style="363" customWidth="1"/>
    <col min="4602" max="4602" width="13" style="363" customWidth="1"/>
    <col min="4603" max="4603" width="14.46484375" style="363" customWidth="1"/>
    <col min="4604" max="4604" width="13.86328125" style="363" customWidth="1"/>
    <col min="4605" max="4605" width="11.86328125" style="363" customWidth="1"/>
    <col min="4606" max="4606" width="12.1328125" style="363" customWidth="1"/>
    <col min="4607" max="4607" width="12.46484375" style="363" customWidth="1"/>
    <col min="4608" max="4608" width="11.46484375" style="363" customWidth="1"/>
    <col min="4609" max="4609" width="16" style="363" customWidth="1"/>
    <col min="4610" max="4610" width="14.265625" style="363" customWidth="1"/>
    <col min="4611" max="4611" width="11.1328125" style="363" customWidth="1"/>
    <col min="4612" max="4612" width="12.1328125" style="363" customWidth="1"/>
    <col min="4613" max="4613" width="10.73046875" style="363" customWidth="1"/>
    <col min="4614" max="4614" width="15.86328125" style="363" customWidth="1"/>
    <col min="4615" max="4615" width="9.3984375" style="363" customWidth="1"/>
    <col min="4616" max="4616" width="9.265625" style="363" customWidth="1"/>
    <col min="4617" max="4617" width="12" style="363" customWidth="1"/>
    <col min="4618" max="4618" width="13.265625" style="363" customWidth="1"/>
    <col min="4619" max="4619" width="12" style="363" customWidth="1"/>
    <col min="4620" max="4621" width="9.265625" style="363" customWidth="1"/>
    <col min="4622" max="4623" width="14.1328125" style="363" customWidth="1"/>
    <col min="4624" max="4624" width="13.46484375" style="363" customWidth="1"/>
    <col min="4625" max="4625" width="14.1328125" style="363" customWidth="1"/>
    <col min="4626" max="4626" width="13.1328125" style="363" customWidth="1"/>
    <col min="4627" max="4851" width="9" style="363"/>
    <col min="4852" max="4852" width="5.59765625" style="363" customWidth="1"/>
    <col min="4853" max="4853" width="8.1328125" style="363" customWidth="1"/>
    <col min="4854" max="4854" width="12.86328125" style="363" customWidth="1"/>
    <col min="4855" max="4855" width="0" style="363" hidden="1" customWidth="1"/>
    <col min="4856" max="4856" width="13.59765625" style="363" customWidth="1"/>
    <col min="4857" max="4857" width="13.86328125" style="363" customWidth="1"/>
    <col min="4858" max="4858" width="13" style="363" customWidth="1"/>
    <col min="4859" max="4859" width="14.46484375" style="363" customWidth="1"/>
    <col min="4860" max="4860" width="13.86328125" style="363" customWidth="1"/>
    <col min="4861" max="4861" width="11.86328125" style="363" customWidth="1"/>
    <col min="4862" max="4862" width="12.1328125" style="363" customWidth="1"/>
    <col min="4863" max="4863" width="12.46484375" style="363" customWidth="1"/>
    <col min="4864" max="4864" width="11.46484375" style="363" customWidth="1"/>
    <col min="4865" max="4865" width="16" style="363" customWidth="1"/>
    <col min="4866" max="4866" width="14.265625" style="363" customWidth="1"/>
    <col min="4867" max="4867" width="11.1328125" style="363" customWidth="1"/>
    <col min="4868" max="4868" width="12.1328125" style="363" customWidth="1"/>
    <col min="4869" max="4869" width="10.73046875" style="363" customWidth="1"/>
    <col min="4870" max="4870" width="15.86328125" style="363" customWidth="1"/>
    <col min="4871" max="4871" width="9.3984375" style="363" customWidth="1"/>
    <col min="4872" max="4872" width="9.265625" style="363" customWidth="1"/>
    <col min="4873" max="4873" width="12" style="363" customWidth="1"/>
    <col min="4874" max="4874" width="13.265625" style="363" customWidth="1"/>
    <col min="4875" max="4875" width="12" style="363" customWidth="1"/>
    <col min="4876" max="4877" width="9.265625" style="363" customWidth="1"/>
    <col min="4878" max="4879" width="14.1328125" style="363" customWidth="1"/>
    <col min="4880" max="4880" width="13.46484375" style="363" customWidth="1"/>
    <col min="4881" max="4881" width="14.1328125" style="363" customWidth="1"/>
    <col min="4882" max="4882" width="13.1328125" style="363" customWidth="1"/>
    <col min="4883" max="5107" width="9" style="363"/>
    <col min="5108" max="5108" width="5.59765625" style="363" customWidth="1"/>
    <col min="5109" max="5109" width="8.1328125" style="363" customWidth="1"/>
    <col min="5110" max="5110" width="12.86328125" style="363" customWidth="1"/>
    <col min="5111" max="5111" width="0" style="363" hidden="1" customWidth="1"/>
    <col min="5112" max="5112" width="13.59765625" style="363" customWidth="1"/>
    <col min="5113" max="5113" width="13.86328125" style="363" customWidth="1"/>
    <col min="5114" max="5114" width="13" style="363" customWidth="1"/>
    <col min="5115" max="5115" width="14.46484375" style="363" customWidth="1"/>
    <col min="5116" max="5116" width="13.86328125" style="363" customWidth="1"/>
    <col min="5117" max="5117" width="11.86328125" style="363" customWidth="1"/>
    <col min="5118" max="5118" width="12.1328125" style="363" customWidth="1"/>
    <col min="5119" max="5119" width="12.46484375" style="363" customWidth="1"/>
    <col min="5120" max="5120" width="11.46484375" style="363" customWidth="1"/>
    <col min="5121" max="5121" width="16" style="363" customWidth="1"/>
    <col min="5122" max="5122" width="14.265625" style="363" customWidth="1"/>
    <col min="5123" max="5123" width="11.1328125" style="363" customWidth="1"/>
    <col min="5124" max="5124" width="12.1328125" style="363" customWidth="1"/>
    <col min="5125" max="5125" width="10.73046875" style="363" customWidth="1"/>
    <col min="5126" max="5126" width="15.86328125" style="363" customWidth="1"/>
    <col min="5127" max="5127" width="9.3984375" style="363" customWidth="1"/>
    <col min="5128" max="5128" width="9.265625" style="363" customWidth="1"/>
    <col min="5129" max="5129" width="12" style="363" customWidth="1"/>
    <col min="5130" max="5130" width="13.265625" style="363" customWidth="1"/>
    <col min="5131" max="5131" width="12" style="363" customWidth="1"/>
    <col min="5132" max="5133" width="9.265625" style="363" customWidth="1"/>
    <col min="5134" max="5135" width="14.1328125" style="363" customWidth="1"/>
    <col min="5136" max="5136" width="13.46484375" style="363" customWidth="1"/>
    <col min="5137" max="5137" width="14.1328125" style="363" customWidth="1"/>
    <col min="5138" max="5138" width="13.1328125" style="363" customWidth="1"/>
    <col min="5139" max="5363" width="9" style="363"/>
    <col min="5364" max="5364" width="5.59765625" style="363" customWidth="1"/>
    <col min="5365" max="5365" width="8.1328125" style="363" customWidth="1"/>
    <col min="5366" max="5366" width="12.86328125" style="363" customWidth="1"/>
    <col min="5367" max="5367" width="0" style="363" hidden="1" customWidth="1"/>
    <col min="5368" max="5368" width="13.59765625" style="363" customWidth="1"/>
    <col min="5369" max="5369" width="13.86328125" style="363" customWidth="1"/>
    <col min="5370" max="5370" width="13" style="363" customWidth="1"/>
    <col min="5371" max="5371" width="14.46484375" style="363" customWidth="1"/>
    <col min="5372" max="5372" width="13.86328125" style="363" customWidth="1"/>
    <col min="5373" max="5373" width="11.86328125" style="363" customWidth="1"/>
    <col min="5374" max="5374" width="12.1328125" style="363" customWidth="1"/>
    <col min="5375" max="5375" width="12.46484375" style="363" customWidth="1"/>
    <col min="5376" max="5376" width="11.46484375" style="363" customWidth="1"/>
    <col min="5377" max="5377" width="16" style="363" customWidth="1"/>
    <col min="5378" max="5378" width="14.265625" style="363" customWidth="1"/>
    <col min="5379" max="5379" width="11.1328125" style="363" customWidth="1"/>
    <col min="5380" max="5380" width="12.1328125" style="363" customWidth="1"/>
    <col min="5381" max="5381" width="10.73046875" style="363" customWidth="1"/>
    <col min="5382" max="5382" width="15.86328125" style="363" customWidth="1"/>
    <col min="5383" max="5383" width="9.3984375" style="363" customWidth="1"/>
    <col min="5384" max="5384" width="9.265625" style="363" customWidth="1"/>
    <col min="5385" max="5385" width="12" style="363" customWidth="1"/>
    <col min="5386" max="5386" width="13.265625" style="363" customWidth="1"/>
    <col min="5387" max="5387" width="12" style="363" customWidth="1"/>
    <col min="5388" max="5389" width="9.265625" style="363" customWidth="1"/>
    <col min="5390" max="5391" width="14.1328125" style="363" customWidth="1"/>
    <col min="5392" max="5392" width="13.46484375" style="363" customWidth="1"/>
    <col min="5393" max="5393" width="14.1328125" style="363" customWidth="1"/>
    <col min="5394" max="5394" width="13.1328125" style="363" customWidth="1"/>
    <col min="5395" max="5619" width="9" style="363"/>
    <col min="5620" max="5620" width="5.59765625" style="363" customWidth="1"/>
    <col min="5621" max="5621" width="8.1328125" style="363" customWidth="1"/>
    <col min="5622" max="5622" width="12.86328125" style="363" customWidth="1"/>
    <col min="5623" max="5623" width="0" style="363" hidden="1" customWidth="1"/>
    <col min="5624" max="5624" width="13.59765625" style="363" customWidth="1"/>
    <col min="5625" max="5625" width="13.86328125" style="363" customWidth="1"/>
    <col min="5626" max="5626" width="13" style="363" customWidth="1"/>
    <col min="5627" max="5627" width="14.46484375" style="363" customWidth="1"/>
    <col min="5628" max="5628" width="13.86328125" style="363" customWidth="1"/>
    <col min="5629" max="5629" width="11.86328125" style="363" customWidth="1"/>
    <col min="5630" max="5630" width="12.1328125" style="363" customWidth="1"/>
    <col min="5631" max="5631" width="12.46484375" style="363" customWidth="1"/>
    <col min="5632" max="5632" width="11.46484375" style="363" customWidth="1"/>
    <col min="5633" max="5633" width="16" style="363" customWidth="1"/>
    <col min="5634" max="5634" width="14.265625" style="363" customWidth="1"/>
    <col min="5635" max="5635" width="11.1328125" style="363" customWidth="1"/>
    <col min="5636" max="5636" width="12.1328125" style="363" customWidth="1"/>
    <col min="5637" max="5637" width="10.73046875" style="363" customWidth="1"/>
    <col min="5638" max="5638" width="15.86328125" style="363" customWidth="1"/>
    <col min="5639" max="5639" width="9.3984375" style="363" customWidth="1"/>
    <col min="5640" max="5640" width="9.265625" style="363" customWidth="1"/>
    <col min="5641" max="5641" width="12" style="363" customWidth="1"/>
    <col min="5642" max="5642" width="13.265625" style="363" customWidth="1"/>
    <col min="5643" max="5643" width="12" style="363" customWidth="1"/>
    <col min="5644" max="5645" width="9.265625" style="363" customWidth="1"/>
    <col min="5646" max="5647" width="14.1328125" style="363" customWidth="1"/>
    <col min="5648" max="5648" width="13.46484375" style="363" customWidth="1"/>
    <col min="5649" max="5649" width="14.1328125" style="363" customWidth="1"/>
    <col min="5650" max="5650" width="13.1328125" style="363" customWidth="1"/>
    <col min="5651" max="5875" width="9" style="363"/>
    <col min="5876" max="5876" width="5.59765625" style="363" customWidth="1"/>
    <col min="5877" max="5877" width="8.1328125" style="363" customWidth="1"/>
    <col min="5878" max="5878" width="12.86328125" style="363" customWidth="1"/>
    <col min="5879" max="5879" width="0" style="363" hidden="1" customWidth="1"/>
    <col min="5880" max="5880" width="13.59765625" style="363" customWidth="1"/>
    <col min="5881" max="5881" width="13.86328125" style="363" customWidth="1"/>
    <col min="5882" max="5882" width="13" style="363" customWidth="1"/>
    <col min="5883" max="5883" width="14.46484375" style="363" customWidth="1"/>
    <col min="5884" max="5884" width="13.86328125" style="363" customWidth="1"/>
    <col min="5885" max="5885" width="11.86328125" style="363" customWidth="1"/>
    <col min="5886" max="5886" width="12.1328125" style="363" customWidth="1"/>
    <col min="5887" max="5887" width="12.46484375" style="363" customWidth="1"/>
    <col min="5888" max="5888" width="11.46484375" style="363" customWidth="1"/>
    <col min="5889" max="5889" width="16" style="363" customWidth="1"/>
    <col min="5890" max="5890" width="14.265625" style="363" customWidth="1"/>
    <col min="5891" max="5891" width="11.1328125" style="363" customWidth="1"/>
    <col min="5892" max="5892" width="12.1328125" style="363" customWidth="1"/>
    <col min="5893" max="5893" width="10.73046875" style="363" customWidth="1"/>
    <col min="5894" max="5894" width="15.86328125" style="363" customWidth="1"/>
    <col min="5895" max="5895" width="9.3984375" style="363" customWidth="1"/>
    <col min="5896" max="5896" width="9.265625" style="363" customWidth="1"/>
    <col min="5897" max="5897" width="12" style="363" customWidth="1"/>
    <col min="5898" max="5898" width="13.265625" style="363" customWidth="1"/>
    <col min="5899" max="5899" width="12" style="363" customWidth="1"/>
    <col min="5900" max="5901" width="9.265625" style="363" customWidth="1"/>
    <col min="5902" max="5903" width="14.1328125" style="363" customWidth="1"/>
    <col min="5904" max="5904" width="13.46484375" style="363" customWidth="1"/>
    <col min="5905" max="5905" width="14.1328125" style="363" customWidth="1"/>
    <col min="5906" max="5906" width="13.1328125" style="363" customWidth="1"/>
    <col min="5907" max="6131" width="9" style="363"/>
    <col min="6132" max="6132" width="5.59765625" style="363" customWidth="1"/>
    <col min="6133" max="6133" width="8.1328125" style="363" customWidth="1"/>
    <col min="6134" max="6134" width="12.86328125" style="363" customWidth="1"/>
    <col min="6135" max="6135" width="0" style="363" hidden="1" customWidth="1"/>
    <col min="6136" max="6136" width="13.59765625" style="363" customWidth="1"/>
    <col min="6137" max="6137" width="13.86328125" style="363" customWidth="1"/>
    <col min="6138" max="6138" width="13" style="363" customWidth="1"/>
    <col min="6139" max="6139" width="14.46484375" style="363" customWidth="1"/>
    <col min="6140" max="6140" width="13.86328125" style="363" customWidth="1"/>
    <col min="6141" max="6141" width="11.86328125" style="363" customWidth="1"/>
    <col min="6142" max="6142" width="12.1328125" style="363" customWidth="1"/>
    <col min="6143" max="6143" width="12.46484375" style="363" customWidth="1"/>
    <col min="6144" max="6144" width="11.46484375" style="363" customWidth="1"/>
    <col min="6145" max="6145" width="16" style="363" customWidth="1"/>
    <col min="6146" max="6146" width="14.265625" style="363" customWidth="1"/>
    <col min="6147" max="6147" width="11.1328125" style="363" customWidth="1"/>
    <col min="6148" max="6148" width="12.1328125" style="363" customWidth="1"/>
    <col min="6149" max="6149" width="10.73046875" style="363" customWidth="1"/>
    <col min="6150" max="6150" width="15.86328125" style="363" customWidth="1"/>
    <col min="6151" max="6151" width="9.3984375" style="363" customWidth="1"/>
    <col min="6152" max="6152" width="9.265625" style="363" customWidth="1"/>
    <col min="6153" max="6153" width="12" style="363" customWidth="1"/>
    <col min="6154" max="6154" width="13.265625" style="363" customWidth="1"/>
    <col min="6155" max="6155" width="12" style="363" customWidth="1"/>
    <col min="6156" max="6157" width="9.265625" style="363" customWidth="1"/>
    <col min="6158" max="6159" width="14.1328125" style="363" customWidth="1"/>
    <col min="6160" max="6160" width="13.46484375" style="363" customWidth="1"/>
    <col min="6161" max="6161" width="14.1328125" style="363" customWidth="1"/>
    <col min="6162" max="6162" width="13.1328125" style="363" customWidth="1"/>
    <col min="6163" max="6387" width="9" style="363"/>
    <col min="6388" max="6388" width="5.59765625" style="363" customWidth="1"/>
    <col min="6389" max="6389" width="8.1328125" style="363" customWidth="1"/>
    <col min="6390" max="6390" width="12.86328125" style="363" customWidth="1"/>
    <col min="6391" max="6391" width="0" style="363" hidden="1" customWidth="1"/>
    <col min="6392" max="6392" width="13.59765625" style="363" customWidth="1"/>
    <col min="6393" max="6393" width="13.86328125" style="363" customWidth="1"/>
    <col min="6394" max="6394" width="13" style="363" customWidth="1"/>
    <col min="6395" max="6395" width="14.46484375" style="363" customWidth="1"/>
    <col min="6396" max="6396" width="13.86328125" style="363" customWidth="1"/>
    <col min="6397" max="6397" width="11.86328125" style="363" customWidth="1"/>
    <col min="6398" max="6398" width="12.1328125" style="363" customWidth="1"/>
    <col min="6399" max="6399" width="12.46484375" style="363" customWidth="1"/>
    <col min="6400" max="6400" width="11.46484375" style="363" customWidth="1"/>
    <col min="6401" max="6401" width="16" style="363" customWidth="1"/>
    <col min="6402" max="6402" width="14.265625" style="363" customWidth="1"/>
    <col min="6403" max="6403" width="11.1328125" style="363" customWidth="1"/>
    <col min="6404" max="6404" width="12.1328125" style="363" customWidth="1"/>
    <col min="6405" max="6405" width="10.73046875" style="363" customWidth="1"/>
    <col min="6406" max="6406" width="15.86328125" style="363" customWidth="1"/>
    <col min="6407" max="6407" width="9.3984375" style="363" customWidth="1"/>
    <col min="6408" max="6408" width="9.265625" style="363" customWidth="1"/>
    <col min="6409" max="6409" width="12" style="363" customWidth="1"/>
    <col min="6410" max="6410" width="13.265625" style="363" customWidth="1"/>
    <col min="6411" max="6411" width="12" style="363" customWidth="1"/>
    <col min="6412" max="6413" width="9.265625" style="363" customWidth="1"/>
    <col min="6414" max="6415" width="14.1328125" style="363" customWidth="1"/>
    <col min="6416" max="6416" width="13.46484375" style="363" customWidth="1"/>
    <col min="6417" max="6417" width="14.1328125" style="363" customWidth="1"/>
    <col min="6418" max="6418" width="13.1328125" style="363" customWidth="1"/>
    <col min="6419" max="6643" width="9" style="363"/>
    <col min="6644" max="6644" width="5.59765625" style="363" customWidth="1"/>
    <col min="6645" max="6645" width="8.1328125" style="363" customWidth="1"/>
    <col min="6646" max="6646" width="12.86328125" style="363" customWidth="1"/>
    <col min="6647" max="6647" width="0" style="363" hidden="1" customWidth="1"/>
    <col min="6648" max="6648" width="13.59765625" style="363" customWidth="1"/>
    <col min="6649" max="6649" width="13.86328125" style="363" customWidth="1"/>
    <col min="6650" max="6650" width="13" style="363" customWidth="1"/>
    <col min="6651" max="6651" width="14.46484375" style="363" customWidth="1"/>
    <col min="6652" max="6652" width="13.86328125" style="363" customWidth="1"/>
    <col min="6653" max="6653" width="11.86328125" style="363" customWidth="1"/>
    <col min="6654" max="6654" width="12.1328125" style="363" customWidth="1"/>
    <col min="6655" max="6655" width="12.46484375" style="363" customWidth="1"/>
    <col min="6656" max="6656" width="11.46484375" style="363" customWidth="1"/>
    <col min="6657" max="6657" width="16" style="363" customWidth="1"/>
    <col min="6658" max="6658" width="14.265625" style="363" customWidth="1"/>
    <col min="6659" max="6659" width="11.1328125" style="363" customWidth="1"/>
    <col min="6660" max="6660" width="12.1328125" style="363" customWidth="1"/>
    <col min="6661" max="6661" width="10.73046875" style="363" customWidth="1"/>
    <col min="6662" max="6662" width="15.86328125" style="363" customWidth="1"/>
    <col min="6663" max="6663" width="9.3984375" style="363" customWidth="1"/>
    <col min="6664" max="6664" width="9.265625" style="363" customWidth="1"/>
    <col min="6665" max="6665" width="12" style="363" customWidth="1"/>
    <col min="6666" max="6666" width="13.265625" style="363" customWidth="1"/>
    <col min="6667" max="6667" width="12" style="363" customWidth="1"/>
    <col min="6668" max="6669" width="9.265625" style="363" customWidth="1"/>
    <col min="6670" max="6671" width="14.1328125" style="363" customWidth="1"/>
    <col min="6672" max="6672" width="13.46484375" style="363" customWidth="1"/>
    <col min="6673" max="6673" width="14.1328125" style="363" customWidth="1"/>
    <col min="6674" max="6674" width="13.1328125" style="363" customWidth="1"/>
    <col min="6675" max="6899" width="9" style="363"/>
    <col min="6900" max="6900" width="5.59765625" style="363" customWidth="1"/>
    <col min="6901" max="6901" width="8.1328125" style="363" customWidth="1"/>
    <col min="6902" max="6902" width="12.86328125" style="363" customWidth="1"/>
    <col min="6903" max="6903" width="0" style="363" hidden="1" customWidth="1"/>
    <col min="6904" max="6904" width="13.59765625" style="363" customWidth="1"/>
    <col min="6905" max="6905" width="13.86328125" style="363" customWidth="1"/>
    <col min="6906" max="6906" width="13" style="363" customWidth="1"/>
    <col min="6907" max="6907" width="14.46484375" style="363" customWidth="1"/>
    <col min="6908" max="6908" width="13.86328125" style="363" customWidth="1"/>
    <col min="6909" max="6909" width="11.86328125" style="363" customWidth="1"/>
    <col min="6910" max="6910" width="12.1328125" style="363" customWidth="1"/>
    <col min="6911" max="6911" width="12.46484375" style="363" customWidth="1"/>
    <col min="6912" max="6912" width="11.46484375" style="363" customWidth="1"/>
    <col min="6913" max="6913" width="16" style="363" customWidth="1"/>
    <col min="6914" max="6914" width="14.265625" style="363" customWidth="1"/>
    <col min="6915" max="6915" width="11.1328125" style="363" customWidth="1"/>
    <col min="6916" max="6916" width="12.1328125" style="363" customWidth="1"/>
    <col min="6917" max="6917" width="10.73046875" style="363" customWidth="1"/>
    <col min="6918" max="6918" width="15.86328125" style="363" customWidth="1"/>
    <col min="6919" max="6919" width="9.3984375" style="363" customWidth="1"/>
    <col min="6920" max="6920" width="9.265625" style="363" customWidth="1"/>
    <col min="6921" max="6921" width="12" style="363" customWidth="1"/>
    <col min="6922" max="6922" width="13.265625" style="363" customWidth="1"/>
    <col min="6923" max="6923" width="12" style="363" customWidth="1"/>
    <col min="6924" max="6925" width="9.265625" style="363" customWidth="1"/>
    <col min="6926" max="6927" width="14.1328125" style="363" customWidth="1"/>
    <col min="6928" max="6928" width="13.46484375" style="363" customWidth="1"/>
    <col min="6929" max="6929" width="14.1328125" style="363" customWidth="1"/>
    <col min="6930" max="6930" width="13.1328125" style="363" customWidth="1"/>
    <col min="6931" max="7155" width="9" style="363"/>
    <col min="7156" max="7156" width="5.59765625" style="363" customWidth="1"/>
    <col min="7157" max="7157" width="8.1328125" style="363" customWidth="1"/>
    <col min="7158" max="7158" width="12.86328125" style="363" customWidth="1"/>
    <col min="7159" max="7159" width="0" style="363" hidden="1" customWidth="1"/>
    <col min="7160" max="7160" width="13.59765625" style="363" customWidth="1"/>
    <col min="7161" max="7161" width="13.86328125" style="363" customWidth="1"/>
    <col min="7162" max="7162" width="13" style="363" customWidth="1"/>
    <col min="7163" max="7163" width="14.46484375" style="363" customWidth="1"/>
    <col min="7164" max="7164" width="13.86328125" style="363" customWidth="1"/>
    <col min="7165" max="7165" width="11.86328125" style="363" customWidth="1"/>
    <col min="7166" max="7166" width="12.1328125" style="363" customWidth="1"/>
    <col min="7167" max="7167" width="12.46484375" style="363" customWidth="1"/>
    <col min="7168" max="7168" width="11.46484375" style="363" customWidth="1"/>
    <col min="7169" max="7169" width="16" style="363" customWidth="1"/>
    <col min="7170" max="7170" width="14.265625" style="363" customWidth="1"/>
    <col min="7171" max="7171" width="11.1328125" style="363" customWidth="1"/>
    <col min="7172" max="7172" width="12.1328125" style="363" customWidth="1"/>
    <col min="7173" max="7173" width="10.73046875" style="363" customWidth="1"/>
    <col min="7174" max="7174" width="15.86328125" style="363" customWidth="1"/>
    <col min="7175" max="7175" width="9.3984375" style="363" customWidth="1"/>
    <col min="7176" max="7176" width="9.265625" style="363" customWidth="1"/>
    <col min="7177" max="7177" width="12" style="363" customWidth="1"/>
    <col min="7178" max="7178" width="13.265625" style="363" customWidth="1"/>
    <col min="7179" max="7179" width="12" style="363" customWidth="1"/>
    <col min="7180" max="7181" width="9.265625" style="363" customWidth="1"/>
    <col min="7182" max="7183" width="14.1328125" style="363" customWidth="1"/>
    <col min="7184" max="7184" width="13.46484375" style="363" customWidth="1"/>
    <col min="7185" max="7185" width="14.1328125" style="363" customWidth="1"/>
    <col min="7186" max="7186" width="13.1328125" style="363" customWidth="1"/>
    <col min="7187" max="7411" width="9" style="363"/>
    <col min="7412" max="7412" width="5.59765625" style="363" customWidth="1"/>
    <col min="7413" max="7413" width="8.1328125" style="363" customWidth="1"/>
    <col min="7414" max="7414" width="12.86328125" style="363" customWidth="1"/>
    <col min="7415" max="7415" width="0" style="363" hidden="1" customWidth="1"/>
    <col min="7416" max="7416" width="13.59765625" style="363" customWidth="1"/>
    <col min="7417" max="7417" width="13.86328125" style="363" customWidth="1"/>
    <col min="7418" max="7418" width="13" style="363" customWidth="1"/>
    <col min="7419" max="7419" width="14.46484375" style="363" customWidth="1"/>
    <col min="7420" max="7420" width="13.86328125" style="363" customWidth="1"/>
    <col min="7421" max="7421" width="11.86328125" style="363" customWidth="1"/>
    <col min="7422" max="7422" width="12.1328125" style="363" customWidth="1"/>
    <col min="7423" max="7423" width="12.46484375" style="363" customWidth="1"/>
    <col min="7424" max="7424" width="11.46484375" style="363" customWidth="1"/>
    <col min="7425" max="7425" width="16" style="363" customWidth="1"/>
    <col min="7426" max="7426" width="14.265625" style="363" customWidth="1"/>
    <col min="7427" max="7427" width="11.1328125" style="363" customWidth="1"/>
    <col min="7428" max="7428" width="12.1328125" style="363" customWidth="1"/>
    <col min="7429" max="7429" width="10.73046875" style="363" customWidth="1"/>
    <col min="7430" max="7430" width="15.86328125" style="363" customWidth="1"/>
    <col min="7431" max="7431" width="9.3984375" style="363" customWidth="1"/>
    <col min="7432" max="7432" width="9.265625" style="363" customWidth="1"/>
    <col min="7433" max="7433" width="12" style="363" customWidth="1"/>
    <col min="7434" max="7434" width="13.265625" style="363" customWidth="1"/>
    <col min="7435" max="7435" width="12" style="363" customWidth="1"/>
    <col min="7436" max="7437" width="9.265625" style="363" customWidth="1"/>
    <col min="7438" max="7439" width="14.1328125" style="363" customWidth="1"/>
    <col min="7440" max="7440" width="13.46484375" style="363" customWidth="1"/>
    <col min="7441" max="7441" width="14.1328125" style="363" customWidth="1"/>
    <col min="7442" max="7442" width="13.1328125" style="363" customWidth="1"/>
    <col min="7443" max="7667" width="9" style="363"/>
    <col min="7668" max="7668" width="5.59765625" style="363" customWidth="1"/>
    <col min="7669" max="7669" width="8.1328125" style="363" customWidth="1"/>
    <col min="7670" max="7670" width="12.86328125" style="363" customWidth="1"/>
    <col min="7671" max="7671" width="0" style="363" hidden="1" customWidth="1"/>
    <col min="7672" max="7672" width="13.59765625" style="363" customWidth="1"/>
    <col min="7673" max="7673" width="13.86328125" style="363" customWidth="1"/>
    <col min="7674" max="7674" width="13" style="363" customWidth="1"/>
    <col min="7675" max="7675" width="14.46484375" style="363" customWidth="1"/>
    <col min="7676" max="7676" width="13.86328125" style="363" customWidth="1"/>
    <col min="7677" max="7677" width="11.86328125" style="363" customWidth="1"/>
    <col min="7678" max="7678" width="12.1328125" style="363" customWidth="1"/>
    <col min="7679" max="7679" width="12.46484375" style="363" customWidth="1"/>
    <col min="7680" max="7680" width="11.46484375" style="363" customWidth="1"/>
    <col min="7681" max="7681" width="16" style="363" customWidth="1"/>
    <col min="7682" max="7682" width="14.265625" style="363" customWidth="1"/>
    <col min="7683" max="7683" width="11.1328125" style="363" customWidth="1"/>
    <col min="7684" max="7684" width="12.1328125" style="363" customWidth="1"/>
    <col min="7685" max="7685" width="10.73046875" style="363" customWidth="1"/>
    <col min="7686" max="7686" width="15.86328125" style="363" customWidth="1"/>
    <col min="7687" max="7687" width="9.3984375" style="363" customWidth="1"/>
    <col min="7688" max="7688" width="9.265625" style="363" customWidth="1"/>
    <col min="7689" max="7689" width="12" style="363" customWidth="1"/>
    <col min="7690" max="7690" width="13.265625" style="363" customWidth="1"/>
    <col min="7691" max="7691" width="12" style="363" customWidth="1"/>
    <col min="7692" max="7693" width="9.265625" style="363" customWidth="1"/>
    <col min="7694" max="7695" width="14.1328125" style="363" customWidth="1"/>
    <col min="7696" max="7696" width="13.46484375" style="363" customWidth="1"/>
    <col min="7697" max="7697" width="14.1328125" style="363" customWidth="1"/>
    <col min="7698" max="7698" width="13.1328125" style="363" customWidth="1"/>
    <col min="7699" max="7923" width="9" style="363"/>
    <col min="7924" max="7924" width="5.59765625" style="363" customWidth="1"/>
    <col min="7925" max="7925" width="8.1328125" style="363" customWidth="1"/>
    <col min="7926" max="7926" width="12.86328125" style="363" customWidth="1"/>
    <col min="7927" max="7927" width="0" style="363" hidden="1" customWidth="1"/>
    <col min="7928" max="7928" width="13.59765625" style="363" customWidth="1"/>
    <col min="7929" max="7929" width="13.86328125" style="363" customWidth="1"/>
    <col min="7930" max="7930" width="13" style="363" customWidth="1"/>
    <col min="7931" max="7931" width="14.46484375" style="363" customWidth="1"/>
    <col min="7932" max="7932" width="13.86328125" style="363" customWidth="1"/>
    <col min="7933" max="7933" width="11.86328125" style="363" customWidth="1"/>
    <col min="7934" max="7934" width="12.1328125" style="363" customWidth="1"/>
    <col min="7935" max="7935" width="12.46484375" style="363" customWidth="1"/>
    <col min="7936" max="7936" width="11.46484375" style="363" customWidth="1"/>
    <col min="7937" max="7937" width="16" style="363" customWidth="1"/>
    <col min="7938" max="7938" width="14.265625" style="363" customWidth="1"/>
    <col min="7939" max="7939" width="11.1328125" style="363" customWidth="1"/>
    <col min="7940" max="7940" width="12.1328125" style="363" customWidth="1"/>
    <col min="7941" max="7941" width="10.73046875" style="363" customWidth="1"/>
    <col min="7942" max="7942" width="15.86328125" style="363" customWidth="1"/>
    <col min="7943" max="7943" width="9.3984375" style="363" customWidth="1"/>
    <col min="7944" max="7944" width="9.265625" style="363" customWidth="1"/>
    <col min="7945" max="7945" width="12" style="363" customWidth="1"/>
    <col min="7946" max="7946" width="13.265625" style="363" customWidth="1"/>
    <col min="7947" max="7947" width="12" style="363" customWidth="1"/>
    <col min="7948" max="7949" width="9.265625" style="363" customWidth="1"/>
    <col min="7950" max="7951" width="14.1328125" style="363" customWidth="1"/>
    <col min="7952" max="7952" width="13.46484375" style="363" customWidth="1"/>
    <col min="7953" max="7953" width="14.1328125" style="363" customWidth="1"/>
    <col min="7954" max="7954" width="13.1328125" style="363" customWidth="1"/>
    <col min="7955" max="8179" width="9" style="363"/>
    <col min="8180" max="8180" width="5.59765625" style="363" customWidth="1"/>
    <col min="8181" max="8181" width="8.1328125" style="363" customWidth="1"/>
    <col min="8182" max="8182" width="12.86328125" style="363" customWidth="1"/>
    <col min="8183" max="8183" width="0" style="363" hidden="1" customWidth="1"/>
    <col min="8184" max="8184" width="13.59765625" style="363" customWidth="1"/>
    <col min="8185" max="8185" width="13.86328125" style="363" customWidth="1"/>
    <col min="8186" max="8186" width="13" style="363" customWidth="1"/>
    <col min="8187" max="8187" width="14.46484375" style="363" customWidth="1"/>
    <col min="8188" max="8188" width="13.86328125" style="363" customWidth="1"/>
    <col min="8189" max="8189" width="11.86328125" style="363" customWidth="1"/>
    <col min="8190" max="8190" width="12.1328125" style="363" customWidth="1"/>
    <col min="8191" max="8191" width="12.46484375" style="363" customWidth="1"/>
    <col min="8192" max="8192" width="11.46484375" style="363" customWidth="1"/>
    <col min="8193" max="8193" width="16" style="363" customWidth="1"/>
    <col min="8194" max="8194" width="14.265625" style="363" customWidth="1"/>
    <col min="8195" max="8195" width="11.1328125" style="363" customWidth="1"/>
    <col min="8196" max="8196" width="12.1328125" style="363" customWidth="1"/>
    <col min="8197" max="8197" width="10.73046875" style="363" customWidth="1"/>
    <col min="8198" max="8198" width="15.86328125" style="363" customWidth="1"/>
    <col min="8199" max="8199" width="9.3984375" style="363" customWidth="1"/>
    <col min="8200" max="8200" width="9.265625" style="363" customWidth="1"/>
    <col min="8201" max="8201" width="12" style="363" customWidth="1"/>
    <col min="8202" max="8202" width="13.265625" style="363" customWidth="1"/>
    <col min="8203" max="8203" width="12" style="363" customWidth="1"/>
    <col min="8204" max="8205" width="9.265625" style="363" customWidth="1"/>
    <col min="8206" max="8207" width="14.1328125" style="363" customWidth="1"/>
    <col min="8208" max="8208" width="13.46484375" style="363" customWidth="1"/>
    <col min="8209" max="8209" width="14.1328125" style="363" customWidth="1"/>
    <col min="8210" max="8210" width="13.1328125" style="363" customWidth="1"/>
    <col min="8211" max="8435" width="9" style="363"/>
    <col min="8436" max="8436" width="5.59765625" style="363" customWidth="1"/>
    <col min="8437" max="8437" width="8.1328125" style="363" customWidth="1"/>
    <col min="8438" max="8438" width="12.86328125" style="363" customWidth="1"/>
    <col min="8439" max="8439" width="0" style="363" hidden="1" customWidth="1"/>
    <col min="8440" max="8440" width="13.59765625" style="363" customWidth="1"/>
    <col min="8441" max="8441" width="13.86328125" style="363" customWidth="1"/>
    <col min="8442" max="8442" width="13" style="363" customWidth="1"/>
    <col min="8443" max="8443" width="14.46484375" style="363" customWidth="1"/>
    <col min="8444" max="8444" width="13.86328125" style="363" customWidth="1"/>
    <col min="8445" max="8445" width="11.86328125" style="363" customWidth="1"/>
    <col min="8446" max="8446" width="12.1328125" style="363" customWidth="1"/>
    <col min="8447" max="8447" width="12.46484375" style="363" customWidth="1"/>
    <col min="8448" max="8448" width="11.46484375" style="363" customWidth="1"/>
    <col min="8449" max="8449" width="16" style="363" customWidth="1"/>
    <col min="8450" max="8450" width="14.265625" style="363" customWidth="1"/>
    <col min="8451" max="8451" width="11.1328125" style="363" customWidth="1"/>
    <col min="8452" max="8452" width="12.1328125" style="363" customWidth="1"/>
    <col min="8453" max="8453" width="10.73046875" style="363" customWidth="1"/>
    <col min="8454" max="8454" width="15.86328125" style="363" customWidth="1"/>
    <col min="8455" max="8455" width="9.3984375" style="363" customWidth="1"/>
    <col min="8456" max="8456" width="9.265625" style="363" customWidth="1"/>
    <col min="8457" max="8457" width="12" style="363" customWidth="1"/>
    <col min="8458" max="8458" width="13.265625" style="363" customWidth="1"/>
    <col min="8459" max="8459" width="12" style="363" customWidth="1"/>
    <col min="8460" max="8461" width="9.265625" style="363" customWidth="1"/>
    <col min="8462" max="8463" width="14.1328125" style="363" customWidth="1"/>
    <col min="8464" max="8464" width="13.46484375" style="363" customWidth="1"/>
    <col min="8465" max="8465" width="14.1328125" style="363" customWidth="1"/>
    <col min="8466" max="8466" width="13.1328125" style="363" customWidth="1"/>
    <col min="8467" max="8691" width="9" style="363"/>
    <col min="8692" max="8692" width="5.59765625" style="363" customWidth="1"/>
    <col min="8693" max="8693" width="8.1328125" style="363" customWidth="1"/>
    <col min="8694" max="8694" width="12.86328125" style="363" customWidth="1"/>
    <col min="8695" max="8695" width="0" style="363" hidden="1" customWidth="1"/>
    <col min="8696" max="8696" width="13.59765625" style="363" customWidth="1"/>
    <col min="8697" max="8697" width="13.86328125" style="363" customWidth="1"/>
    <col min="8698" max="8698" width="13" style="363" customWidth="1"/>
    <col min="8699" max="8699" width="14.46484375" style="363" customWidth="1"/>
    <col min="8700" max="8700" width="13.86328125" style="363" customWidth="1"/>
    <col min="8701" max="8701" width="11.86328125" style="363" customWidth="1"/>
    <col min="8702" max="8702" width="12.1328125" style="363" customWidth="1"/>
    <col min="8703" max="8703" width="12.46484375" style="363" customWidth="1"/>
    <col min="8704" max="8704" width="11.46484375" style="363" customWidth="1"/>
    <col min="8705" max="8705" width="16" style="363" customWidth="1"/>
    <col min="8706" max="8706" width="14.265625" style="363" customWidth="1"/>
    <col min="8707" max="8707" width="11.1328125" style="363" customWidth="1"/>
    <col min="8708" max="8708" width="12.1328125" style="363" customWidth="1"/>
    <col min="8709" max="8709" width="10.73046875" style="363" customWidth="1"/>
    <col min="8710" max="8710" width="15.86328125" style="363" customWidth="1"/>
    <col min="8711" max="8711" width="9.3984375" style="363" customWidth="1"/>
    <col min="8712" max="8712" width="9.265625" style="363" customWidth="1"/>
    <col min="8713" max="8713" width="12" style="363" customWidth="1"/>
    <col min="8714" max="8714" width="13.265625" style="363" customWidth="1"/>
    <col min="8715" max="8715" width="12" style="363" customWidth="1"/>
    <col min="8716" max="8717" width="9.265625" style="363" customWidth="1"/>
    <col min="8718" max="8719" width="14.1328125" style="363" customWidth="1"/>
    <col min="8720" max="8720" width="13.46484375" style="363" customWidth="1"/>
    <col min="8721" max="8721" width="14.1328125" style="363" customWidth="1"/>
    <col min="8722" max="8722" width="13.1328125" style="363" customWidth="1"/>
    <col min="8723" max="8947" width="9" style="363"/>
    <col min="8948" max="8948" width="5.59765625" style="363" customWidth="1"/>
    <col min="8949" max="8949" width="8.1328125" style="363" customWidth="1"/>
    <col min="8950" max="8950" width="12.86328125" style="363" customWidth="1"/>
    <col min="8951" max="8951" width="0" style="363" hidden="1" customWidth="1"/>
    <col min="8952" max="8952" width="13.59765625" style="363" customWidth="1"/>
    <col min="8953" max="8953" width="13.86328125" style="363" customWidth="1"/>
    <col min="8954" max="8954" width="13" style="363" customWidth="1"/>
    <col min="8955" max="8955" width="14.46484375" style="363" customWidth="1"/>
    <col min="8956" max="8956" width="13.86328125" style="363" customWidth="1"/>
    <col min="8957" max="8957" width="11.86328125" style="363" customWidth="1"/>
    <col min="8958" max="8958" width="12.1328125" style="363" customWidth="1"/>
    <col min="8959" max="8959" width="12.46484375" style="363" customWidth="1"/>
    <col min="8960" max="8960" width="11.46484375" style="363" customWidth="1"/>
    <col min="8961" max="8961" width="16" style="363" customWidth="1"/>
    <col min="8962" max="8962" width="14.265625" style="363" customWidth="1"/>
    <col min="8963" max="8963" width="11.1328125" style="363" customWidth="1"/>
    <col min="8964" max="8964" width="12.1328125" style="363" customWidth="1"/>
    <col min="8965" max="8965" width="10.73046875" style="363" customWidth="1"/>
    <col min="8966" max="8966" width="15.86328125" style="363" customWidth="1"/>
    <col min="8967" max="8967" width="9.3984375" style="363" customWidth="1"/>
    <col min="8968" max="8968" width="9.265625" style="363" customWidth="1"/>
    <col min="8969" max="8969" width="12" style="363" customWidth="1"/>
    <col min="8970" max="8970" width="13.265625" style="363" customWidth="1"/>
    <col min="8971" max="8971" width="12" style="363" customWidth="1"/>
    <col min="8972" max="8973" width="9.265625" style="363" customWidth="1"/>
    <col min="8974" max="8975" width="14.1328125" style="363" customWidth="1"/>
    <col min="8976" max="8976" width="13.46484375" style="363" customWidth="1"/>
    <col min="8977" max="8977" width="14.1328125" style="363" customWidth="1"/>
    <col min="8978" max="8978" width="13.1328125" style="363" customWidth="1"/>
    <col min="8979" max="9203" width="9" style="363"/>
    <col min="9204" max="9204" width="5.59765625" style="363" customWidth="1"/>
    <col min="9205" max="9205" width="8.1328125" style="363" customWidth="1"/>
    <col min="9206" max="9206" width="12.86328125" style="363" customWidth="1"/>
    <col min="9207" max="9207" width="0" style="363" hidden="1" customWidth="1"/>
    <col min="9208" max="9208" width="13.59765625" style="363" customWidth="1"/>
    <col min="9209" max="9209" width="13.86328125" style="363" customWidth="1"/>
    <col min="9210" max="9210" width="13" style="363" customWidth="1"/>
    <col min="9211" max="9211" width="14.46484375" style="363" customWidth="1"/>
    <col min="9212" max="9212" width="13.86328125" style="363" customWidth="1"/>
    <col min="9213" max="9213" width="11.86328125" style="363" customWidth="1"/>
    <col min="9214" max="9214" width="12.1328125" style="363" customWidth="1"/>
    <col min="9215" max="9215" width="12.46484375" style="363" customWidth="1"/>
    <col min="9216" max="9216" width="11.46484375" style="363" customWidth="1"/>
    <col min="9217" max="9217" width="16" style="363" customWidth="1"/>
    <col min="9218" max="9218" width="14.265625" style="363" customWidth="1"/>
    <col min="9219" max="9219" width="11.1328125" style="363" customWidth="1"/>
    <col min="9220" max="9220" width="12.1328125" style="363" customWidth="1"/>
    <col min="9221" max="9221" width="10.73046875" style="363" customWidth="1"/>
    <col min="9222" max="9222" width="15.86328125" style="363" customWidth="1"/>
    <col min="9223" max="9223" width="9.3984375" style="363" customWidth="1"/>
    <col min="9224" max="9224" width="9.265625" style="363" customWidth="1"/>
    <col min="9225" max="9225" width="12" style="363" customWidth="1"/>
    <col min="9226" max="9226" width="13.265625" style="363" customWidth="1"/>
    <col min="9227" max="9227" width="12" style="363" customWidth="1"/>
    <col min="9228" max="9229" width="9.265625" style="363" customWidth="1"/>
    <col min="9230" max="9231" width="14.1328125" style="363" customWidth="1"/>
    <col min="9232" max="9232" width="13.46484375" style="363" customWidth="1"/>
    <col min="9233" max="9233" width="14.1328125" style="363" customWidth="1"/>
    <col min="9234" max="9234" width="13.1328125" style="363" customWidth="1"/>
    <col min="9235" max="9459" width="9" style="363"/>
    <col min="9460" max="9460" width="5.59765625" style="363" customWidth="1"/>
    <col min="9461" max="9461" width="8.1328125" style="363" customWidth="1"/>
    <col min="9462" max="9462" width="12.86328125" style="363" customWidth="1"/>
    <col min="9463" max="9463" width="0" style="363" hidden="1" customWidth="1"/>
    <col min="9464" max="9464" width="13.59765625" style="363" customWidth="1"/>
    <col min="9465" max="9465" width="13.86328125" style="363" customWidth="1"/>
    <col min="9466" max="9466" width="13" style="363" customWidth="1"/>
    <col min="9467" max="9467" width="14.46484375" style="363" customWidth="1"/>
    <col min="9468" max="9468" width="13.86328125" style="363" customWidth="1"/>
    <col min="9469" max="9469" width="11.86328125" style="363" customWidth="1"/>
    <col min="9470" max="9470" width="12.1328125" style="363" customWidth="1"/>
    <col min="9471" max="9471" width="12.46484375" style="363" customWidth="1"/>
    <col min="9472" max="9472" width="11.46484375" style="363" customWidth="1"/>
    <col min="9473" max="9473" width="16" style="363" customWidth="1"/>
    <col min="9474" max="9474" width="14.265625" style="363" customWidth="1"/>
    <col min="9475" max="9475" width="11.1328125" style="363" customWidth="1"/>
    <col min="9476" max="9476" width="12.1328125" style="363" customWidth="1"/>
    <col min="9477" max="9477" width="10.73046875" style="363" customWidth="1"/>
    <col min="9478" max="9478" width="15.86328125" style="363" customWidth="1"/>
    <col min="9479" max="9479" width="9.3984375" style="363" customWidth="1"/>
    <col min="9480" max="9480" width="9.265625" style="363" customWidth="1"/>
    <col min="9481" max="9481" width="12" style="363" customWidth="1"/>
    <col min="9482" max="9482" width="13.265625" style="363" customWidth="1"/>
    <col min="9483" max="9483" width="12" style="363" customWidth="1"/>
    <col min="9484" max="9485" width="9.265625" style="363" customWidth="1"/>
    <col min="9486" max="9487" width="14.1328125" style="363" customWidth="1"/>
    <col min="9488" max="9488" width="13.46484375" style="363" customWidth="1"/>
    <col min="9489" max="9489" width="14.1328125" style="363" customWidth="1"/>
    <col min="9490" max="9490" width="13.1328125" style="363" customWidth="1"/>
    <col min="9491" max="9715" width="9" style="363"/>
    <col min="9716" max="9716" width="5.59765625" style="363" customWidth="1"/>
    <col min="9717" max="9717" width="8.1328125" style="363" customWidth="1"/>
    <col min="9718" max="9718" width="12.86328125" style="363" customWidth="1"/>
    <col min="9719" max="9719" width="0" style="363" hidden="1" customWidth="1"/>
    <col min="9720" max="9720" width="13.59765625" style="363" customWidth="1"/>
    <col min="9721" max="9721" width="13.86328125" style="363" customWidth="1"/>
    <col min="9722" max="9722" width="13" style="363" customWidth="1"/>
    <col min="9723" max="9723" width="14.46484375" style="363" customWidth="1"/>
    <col min="9724" max="9724" width="13.86328125" style="363" customWidth="1"/>
    <col min="9725" max="9725" width="11.86328125" style="363" customWidth="1"/>
    <col min="9726" max="9726" width="12.1328125" style="363" customWidth="1"/>
    <col min="9727" max="9727" width="12.46484375" style="363" customWidth="1"/>
    <col min="9728" max="9728" width="11.46484375" style="363" customWidth="1"/>
    <col min="9729" max="9729" width="16" style="363" customWidth="1"/>
    <col min="9730" max="9730" width="14.265625" style="363" customWidth="1"/>
    <col min="9731" max="9731" width="11.1328125" style="363" customWidth="1"/>
    <col min="9732" max="9732" width="12.1328125" style="363" customWidth="1"/>
    <col min="9733" max="9733" width="10.73046875" style="363" customWidth="1"/>
    <col min="9734" max="9734" width="15.86328125" style="363" customWidth="1"/>
    <col min="9735" max="9735" width="9.3984375" style="363" customWidth="1"/>
    <col min="9736" max="9736" width="9.265625" style="363" customWidth="1"/>
    <col min="9737" max="9737" width="12" style="363" customWidth="1"/>
    <col min="9738" max="9738" width="13.265625" style="363" customWidth="1"/>
    <col min="9739" max="9739" width="12" style="363" customWidth="1"/>
    <col min="9740" max="9741" width="9.265625" style="363" customWidth="1"/>
    <col min="9742" max="9743" width="14.1328125" style="363" customWidth="1"/>
    <col min="9744" max="9744" width="13.46484375" style="363" customWidth="1"/>
    <col min="9745" max="9745" width="14.1328125" style="363" customWidth="1"/>
    <col min="9746" max="9746" width="13.1328125" style="363" customWidth="1"/>
    <col min="9747" max="9971" width="9" style="363"/>
    <col min="9972" max="9972" width="5.59765625" style="363" customWidth="1"/>
    <col min="9973" max="9973" width="8.1328125" style="363" customWidth="1"/>
    <col min="9974" max="9974" width="12.86328125" style="363" customWidth="1"/>
    <col min="9975" max="9975" width="0" style="363" hidden="1" customWidth="1"/>
    <col min="9976" max="9976" width="13.59765625" style="363" customWidth="1"/>
    <col min="9977" max="9977" width="13.86328125" style="363" customWidth="1"/>
    <col min="9978" max="9978" width="13" style="363" customWidth="1"/>
    <col min="9979" max="9979" width="14.46484375" style="363" customWidth="1"/>
    <col min="9980" max="9980" width="13.86328125" style="363" customWidth="1"/>
    <col min="9981" max="9981" width="11.86328125" style="363" customWidth="1"/>
    <col min="9982" max="9982" width="12.1328125" style="363" customWidth="1"/>
    <col min="9983" max="9983" width="12.46484375" style="363" customWidth="1"/>
    <col min="9984" max="9984" width="11.46484375" style="363" customWidth="1"/>
    <col min="9985" max="9985" width="16" style="363" customWidth="1"/>
    <col min="9986" max="9986" width="14.265625" style="363" customWidth="1"/>
    <col min="9987" max="9987" width="11.1328125" style="363" customWidth="1"/>
    <col min="9988" max="9988" width="12.1328125" style="363" customWidth="1"/>
    <col min="9989" max="9989" width="10.73046875" style="363" customWidth="1"/>
    <col min="9990" max="9990" width="15.86328125" style="363" customWidth="1"/>
    <col min="9991" max="9991" width="9.3984375" style="363" customWidth="1"/>
    <col min="9992" max="9992" width="9.265625" style="363" customWidth="1"/>
    <col min="9993" max="9993" width="12" style="363" customWidth="1"/>
    <col min="9994" max="9994" width="13.265625" style="363" customWidth="1"/>
    <col min="9995" max="9995" width="12" style="363" customWidth="1"/>
    <col min="9996" max="9997" width="9.265625" style="363" customWidth="1"/>
    <col min="9998" max="9999" width="14.1328125" style="363" customWidth="1"/>
    <col min="10000" max="10000" width="13.46484375" style="363" customWidth="1"/>
    <col min="10001" max="10001" width="14.1328125" style="363" customWidth="1"/>
    <col min="10002" max="10002" width="13.1328125" style="363" customWidth="1"/>
    <col min="10003" max="10227" width="9" style="363"/>
    <col min="10228" max="10228" width="5.59765625" style="363" customWidth="1"/>
    <col min="10229" max="10229" width="8.1328125" style="363" customWidth="1"/>
    <col min="10230" max="10230" width="12.86328125" style="363" customWidth="1"/>
    <col min="10231" max="10231" width="0" style="363" hidden="1" customWidth="1"/>
    <col min="10232" max="10232" width="13.59765625" style="363" customWidth="1"/>
    <col min="10233" max="10233" width="13.86328125" style="363" customWidth="1"/>
    <col min="10234" max="10234" width="13" style="363" customWidth="1"/>
    <col min="10235" max="10235" width="14.46484375" style="363" customWidth="1"/>
    <col min="10236" max="10236" width="13.86328125" style="363" customWidth="1"/>
    <col min="10237" max="10237" width="11.86328125" style="363" customWidth="1"/>
    <col min="10238" max="10238" width="12.1328125" style="363" customWidth="1"/>
    <col min="10239" max="10239" width="12.46484375" style="363" customWidth="1"/>
    <col min="10240" max="10240" width="11.46484375" style="363" customWidth="1"/>
    <col min="10241" max="10241" width="16" style="363" customWidth="1"/>
    <col min="10242" max="10242" width="14.265625" style="363" customWidth="1"/>
    <col min="10243" max="10243" width="11.1328125" style="363" customWidth="1"/>
    <col min="10244" max="10244" width="12.1328125" style="363" customWidth="1"/>
    <col min="10245" max="10245" width="10.73046875" style="363" customWidth="1"/>
    <col min="10246" max="10246" width="15.86328125" style="363" customWidth="1"/>
    <col min="10247" max="10247" width="9.3984375" style="363" customWidth="1"/>
    <col min="10248" max="10248" width="9.265625" style="363" customWidth="1"/>
    <col min="10249" max="10249" width="12" style="363" customWidth="1"/>
    <col min="10250" max="10250" width="13.265625" style="363" customWidth="1"/>
    <col min="10251" max="10251" width="12" style="363" customWidth="1"/>
    <col min="10252" max="10253" width="9.265625" style="363" customWidth="1"/>
    <col min="10254" max="10255" width="14.1328125" style="363" customWidth="1"/>
    <col min="10256" max="10256" width="13.46484375" style="363" customWidth="1"/>
    <col min="10257" max="10257" width="14.1328125" style="363" customWidth="1"/>
    <col min="10258" max="10258" width="13.1328125" style="363" customWidth="1"/>
    <col min="10259" max="10483" width="9" style="363"/>
    <col min="10484" max="10484" width="5.59765625" style="363" customWidth="1"/>
    <col min="10485" max="10485" width="8.1328125" style="363" customWidth="1"/>
    <col min="10486" max="10486" width="12.86328125" style="363" customWidth="1"/>
    <col min="10487" max="10487" width="0" style="363" hidden="1" customWidth="1"/>
    <col min="10488" max="10488" width="13.59765625" style="363" customWidth="1"/>
    <col min="10489" max="10489" width="13.86328125" style="363" customWidth="1"/>
    <col min="10490" max="10490" width="13" style="363" customWidth="1"/>
    <col min="10491" max="10491" width="14.46484375" style="363" customWidth="1"/>
    <col min="10492" max="10492" width="13.86328125" style="363" customWidth="1"/>
    <col min="10493" max="10493" width="11.86328125" style="363" customWidth="1"/>
    <col min="10494" max="10494" width="12.1328125" style="363" customWidth="1"/>
    <col min="10495" max="10495" width="12.46484375" style="363" customWidth="1"/>
    <col min="10496" max="10496" width="11.46484375" style="363" customWidth="1"/>
    <col min="10497" max="10497" width="16" style="363" customWidth="1"/>
    <col min="10498" max="10498" width="14.265625" style="363" customWidth="1"/>
    <col min="10499" max="10499" width="11.1328125" style="363" customWidth="1"/>
    <col min="10500" max="10500" width="12.1328125" style="363" customWidth="1"/>
    <col min="10501" max="10501" width="10.73046875" style="363" customWidth="1"/>
    <col min="10502" max="10502" width="15.86328125" style="363" customWidth="1"/>
    <col min="10503" max="10503" width="9.3984375" style="363" customWidth="1"/>
    <col min="10504" max="10504" width="9.265625" style="363" customWidth="1"/>
    <col min="10505" max="10505" width="12" style="363" customWidth="1"/>
    <col min="10506" max="10506" width="13.265625" style="363" customWidth="1"/>
    <col min="10507" max="10507" width="12" style="363" customWidth="1"/>
    <col min="10508" max="10509" width="9.265625" style="363" customWidth="1"/>
    <col min="10510" max="10511" width="14.1328125" style="363" customWidth="1"/>
    <col min="10512" max="10512" width="13.46484375" style="363" customWidth="1"/>
    <col min="10513" max="10513" width="14.1328125" style="363" customWidth="1"/>
    <col min="10514" max="10514" width="13.1328125" style="363" customWidth="1"/>
    <col min="10515" max="10739" width="9" style="363"/>
    <col min="10740" max="10740" width="5.59765625" style="363" customWidth="1"/>
    <col min="10741" max="10741" width="8.1328125" style="363" customWidth="1"/>
    <col min="10742" max="10742" width="12.86328125" style="363" customWidth="1"/>
    <col min="10743" max="10743" width="0" style="363" hidden="1" customWidth="1"/>
    <col min="10744" max="10744" width="13.59765625" style="363" customWidth="1"/>
    <col min="10745" max="10745" width="13.86328125" style="363" customWidth="1"/>
    <col min="10746" max="10746" width="13" style="363" customWidth="1"/>
    <col min="10747" max="10747" width="14.46484375" style="363" customWidth="1"/>
    <col min="10748" max="10748" width="13.86328125" style="363" customWidth="1"/>
    <col min="10749" max="10749" width="11.86328125" style="363" customWidth="1"/>
    <col min="10750" max="10750" width="12.1328125" style="363" customWidth="1"/>
    <col min="10751" max="10751" width="12.46484375" style="363" customWidth="1"/>
    <col min="10752" max="10752" width="11.46484375" style="363" customWidth="1"/>
    <col min="10753" max="10753" width="16" style="363" customWidth="1"/>
    <col min="10754" max="10754" width="14.265625" style="363" customWidth="1"/>
    <col min="10755" max="10755" width="11.1328125" style="363" customWidth="1"/>
    <col min="10756" max="10756" width="12.1328125" style="363" customWidth="1"/>
    <col min="10757" max="10757" width="10.73046875" style="363" customWidth="1"/>
    <col min="10758" max="10758" width="15.86328125" style="363" customWidth="1"/>
    <col min="10759" max="10759" width="9.3984375" style="363" customWidth="1"/>
    <col min="10760" max="10760" width="9.265625" style="363" customWidth="1"/>
    <col min="10761" max="10761" width="12" style="363" customWidth="1"/>
    <col min="10762" max="10762" width="13.265625" style="363" customWidth="1"/>
    <col min="10763" max="10763" width="12" style="363" customWidth="1"/>
    <col min="10764" max="10765" width="9.265625" style="363" customWidth="1"/>
    <col min="10766" max="10767" width="14.1328125" style="363" customWidth="1"/>
    <col min="10768" max="10768" width="13.46484375" style="363" customWidth="1"/>
    <col min="10769" max="10769" width="14.1328125" style="363" customWidth="1"/>
    <col min="10770" max="10770" width="13.1328125" style="363" customWidth="1"/>
    <col min="10771" max="10995" width="9" style="363"/>
    <col min="10996" max="10996" width="5.59765625" style="363" customWidth="1"/>
    <col min="10997" max="10997" width="8.1328125" style="363" customWidth="1"/>
    <col min="10998" max="10998" width="12.86328125" style="363" customWidth="1"/>
    <col min="10999" max="10999" width="0" style="363" hidden="1" customWidth="1"/>
    <col min="11000" max="11000" width="13.59765625" style="363" customWidth="1"/>
    <col min="11001" max="11001" width="13.86328125" style="363" customWidth="1"/>
    <col min="11002" max="11002" width="13" style="363" customWidth="1"/>
    <col min="11003" max="11003" width="14.46484375" style="363" customWidth="1"/>
    <col min="11004" max="11004" width="13.86328125" style="363" customWidth="1"/>
    <col min="11005" max="11005" width="11.86328125" style="363" customWidth="1"/>
    <col min="11006" max="11006" width="12.1328125" style="363" customWidth="1"/>
    <col min="11007" max="11007" width="12.46484375" style="363" customWidth="1"/>
    <col min="11008" max="11008" width="11.46484375" style="363" customWidth="1"/>
    <col min="11009" max="11009" width="16" style="363" customWidth="1"/>
    <col min="11010" max="11010" width="14.265625" style="363" customWidth="1"/>
    <col min="11011" max="11011" width="11.1328125" style="363" customWidth="1"/>
    <col min="11012" max="11012" width="12.1328125" style="363" customWidth="1"/>
    <col min="11013" max="11013" width="10.73046875" style="363" customWidth="1"/>
    <col min="11014" max="11014" width="15.86328125" style="363" customWidth="1"/>
    <col min="11015" max="11015" width="9.3984375" style="363" customWidth="1"/>
    <col min="11016" max="11016" width="9.265625" style="363" customWidth="1"/>
    <col min="11017" max="11017" width="12" style="363" customWidth="1"/>
    <col min="11018" max="11018" width="13.265625" style="363" customWidth="1"/>
    <col min="11019" max="11019" width="12" style="363" customWidth="1"/>
    <col min="11020" max="11021" width="9.265625" style="363" customWidth="1"/>
    <col min="11022" max="11023" width="14.1328125" style="363" customWidth="1"/>
    <col min="11024" max="11024" width="13.46484375" style="363" customWidth="1"/>
    <col min="11025" max="11025" width="14.1328125" style="363" customWidth="1"/>
    <col min="11026" max="11026" width="13.1328125" style="363" customWidth="1"/>
    <col min="11027" max="11251" width="9" style="363"/>
    <col min="11252" max="11252" width="5.59765625" style="363" customWidth="1"/>
    <col min="11253" max="11253" width="8.1328125" style="363" customWidth="1"/>
    <col min="11254" max="11254" width="12.86328125" style="363" customWidth="1"/>
    <col min="11255" max="11255" width="0" style="363" hidden="1" customWidth="1"/>
    <col min="11256" max="11256" width="13.59765625" style="363" customWidth="1"/>
    <col min="11257" max="11257" width="13.86328125" style="363" customWidth="1"/>
    <col min="11258" max="11258" width="13" style="363" customWidth="1"/>
    <col min="11259" max="11259" width="14.46484375" style="363" customWidth="1"/>
    <col min="11260" max="11260" width="13.86328125" style="363" customWidth="1"/>
    <col min="11261" max="11261" width="11.86328125" style="363" customWidth="1"/>
    <col min="11262" max="11262" width="12.1328125" style="363" customWidth="1"/>
    <col min="11263" max="11263" width="12.46484375" style="363" customWidth="1"/>
    <col min="11264" max="11264" width="11.46484375" style="363" customWidth="1"/>
    <col min="11265" max="11265" width="16" style="363" customWidth="1"/>
    <col min="11266" max="11266" width="14.265625" style="363" customWidth="1"/>
    <col min="11267" max="11267" width="11.1328125" style="363" customWidth="1"/>
    <col min="11268" max="11268" width="12.1328125" style="363" customWidth="1"/>
    <col min="11269" max="11269" width="10.73046875" style="363" customWidth="1"/>
    <col min="11270" max="11270" width="15.86328125" style="363" customWidth="1"/>
    <col min="11271" max="11271" width="9.3984375" style="363" customWidth="1"/>
    <col min="11272" max="11272" width="9.265625" style="363" customWidth="1"/>
    <col min="11273" max="11273" width="12" style="363" customWidth="1"/>
    <col min="11274" max="11274" width="13.265625" style="363" customWidth="1"/>
    <col min="11275" max="11275" width="12" style="363" customWidth="1"/>
    <col min="11276" max="11277" width="9.265625" style="363" customWidth="1"/>
    <col min="11278" max="11279" width="14.1328125" style="363" customWidth="1"/>
    <col min="11280" max="11280" width="13.46484375" style="363" customWidth="1"/>
    <col min="11281" max="11281" width="14.1328125" style="363" customWidth="1"/>
    <col min="11282" max="11282" width="13.1328125" style="363" customWidth="1"/>
    <col min="11283" max="11507" width="9" style="363"/>
    <col min="11508" max="11508" width="5.59765625" style="363" customWidth="1"/>
    <col min="11509" max="11509" width="8.1328125" style="363" customWidth="1"/>
    <col min="11510" max="11510" width="12.86328125" style="363" customWidth="1"/>
    <col min="11511" max="11511" width="0" style="363" hidden="1" customWidth="1"/>
    <col min="11512" max="11512" width="13.59765625" style="363" customWidth="1"/>
    <col min="11513" max="11513" width="13.86328125" style="363" customWidth="1"/>
    <col min="11514" max="11514" width="13" style="363" customWidth="1"/>
    <col min="11515" max="11515" width="14.46484375" style="363" customWidth="1"/>
    <col min="11516" max="11516" width="13.86328125" style="363" customWidth="1"/>
    <col min="11517" max="11517" width="11.86328125" style="363" customWidth="1"/>
    <col min="11518" max="11518" width="12.1328125" style="363" customWidth="1"/>
    <col min="11519" max="11519" width="12.46484375" style="363" customWidth="1"/>
    <col min="11520" max="11520" width="11.46484375" style="363" customWidth="1"/>
    <col min="11521" max="11521" width="16" style="363" customWidth="1"/>
    <col min="11522" max="11522" width="14.265625" style="363" customWidth="1"/>
    <col min="11523" max="11523" width="11.1328125" style="363" customWidth="1"/>
    <col min="11524" max="11524" width="12.1328125" style="363" customWidth="1"/>
    <col min="11525" max="11525" width="10.73046875" style="363" customWidth="1"/>
    <col min="11526" max="11526" width="15.86328125" style="363" customWidth="1"/>
    <col min="11527" max="11527" width="9.3984375" style="363" customWidth="1"/>
    <col min="11528" max="11528" width="9.265625" style="363" customWidth="1"/>
    <col min="11529" max="11529" width="12" style="363" customWidth="1"/>
    <col min="11530" max="11530" width="13.265625" style="363" customWidth="1"/>
    <col min="11531" max="11531" width="12" style="363" customWidth="1"/>
    <col min="11532" max="11533" width="9.265625" style="363" customWidth="1"/>
    <col min="11534" max="11535" width="14.1328125" style="363" customWidth="1"/>
    <col min="11536" max="11536" width="13.46484375" style="363" customWidth="1"/>
    <col min="11537" max="11537" width="14.1328125" style="363" customWidth="1"/>
    <col min="11538" max="11538" width="13.1328125" style="363" customWidth="1"/>
    <col min="11539" max="11763" width="9" style="363"/>
    <col min="11764" max="11764" width="5.59765625" style="363" customWidth="1"/>
    <col min="11765" max="11765" width="8.1328125" style="363" customWidth="1"/>
    <col min="11766" max="11766" width="12.86328125" style="363" customWidth="1"/>
    <col min="11767" max="11767" width="0" style="363" hidden="1" customWidth="1"/>
    <col min="11768" max="11768" width="13.59765625" style="363" customWidth="1"/>
    <col min="11769" max="11769" width="13.86328125" style="363" customWidth="1"/>
    <col min="11770" max="11770" width="13" style="363" customWidth="1"/>
    <col min="11771" max="11771" width="14.46484375" style="363" customWidth="1"/>
    <col min="11772" max="11772" width="13.86328125" style="363" customWidth="1"/>
    <col min="11773" max="11773" width="11.86328125" style="363" customWidth="1"/>
    <col min="11774" max="11774" width="12.1328125" style="363" customWidth="1"/>
    <col min="11775" max="11775" width="12.46484375" style="363" customWidth="1"/>
    <col min="11776" max="11776" width="11.46484375" style="363" customWidth="1"/>
    <col min="11777" max="11777" width="16" style="363" customWidth="1"/>
    <col min="11778" max="11778" width="14.265625" style="363" customWidth="1"/>
    <col min="11779" max="11779" width="11.1328125" style="363" customWidth="1"/>
    <col min="11780" max="11780" width="12.1328125" style="363" customWidth="1"/>
    <col min="11781" max="11781" width="10.73046875" style="363" customWidth="1"/>
    <col min="11782" max="11782" width="15.86328125" style="363" customWidth="1"/>
    <col min="11783" max="11783" width="9.3984375" style="363" customWidth="1"/>
    <col min="11784" max="11784" width="9.265625" style="363" customWidth="1"/>
    <col min="11785" max="11785" width="12" style="363" customWidth="1"/>
    <col min="11786" max="11786" width="13.265625" style="363" customWidth="1"/>
    <col min="11787" max="11787" width="12" style="363" customWidth="1"/>
    <col min="11788" max="11789" width="9.265625" style="363" customWidth="1"/>
    <col min="11790" max="11791" width="14.1328125" style="363" customWidth="1"/>
    <col min="11792" max="11792" width="13.46484375" style="363" customWidth="1"/>
    <col min="11793" max="11793" width="14.1328125" style="363" customWidth="1"/>
    <col min="11794" max="11794" width="13.1328125" style="363" customWidth="1"/>
    <col min="11795" max="12019" width="9" style="363"/>
    <col min="12020" max="12020" width="5.59765625" style="363" customWidth="1"/>
    <col min="12021" max="12021" width="8.1328125" style="363" customWidth="1"/>
    <col min="12022" max="12022" width="12.86328125" style="363" customWidth="1"/>
    <col min="12023" max="12023" width="0" style="363" hidden="1" customWidth="1"/>
    <col min="12024" max="12024" width="13.59765625" style="363" customWidth="1"/>
    <col min="12025" max="12025" width="13.86328125" style="363" customWidth="1"/>
    <col min="12026" max="12026" width="13" style="363" customWidth="1"/>
    <col min="12027" max="12027" width="14.46484375" style="363" customWidth="1"/>
    <col min="12028" max="12028" width="13.86328125" style="363" customWidth="1"/>
    <col min="12029" max="12029" width="11.86328125" style="363" customWidth="1"/>
    <col min="12030" max="12030" width="12.1328125" style="363" customWidth="1"/>
    <col min="12031" max="12031" width="12.46484375" style="363" customWidth="1"/>
    <col min="12032" max="12032" width="11.46484375" style="363" customWidth="1"/>
    <col min="12033" max="12033" width="16" style="363" customWidth="1"/>
    <col min="12034" max="12034" width="14.265625" style="363" customWidth="1"/>
    <col min="12035" max="12035" width="11.1328125" style="363" customWidth="1"/>
    <col min="12036" max="12036" width="12.1328125" style="363" customWidth="1"/>
    <col min="12037" max="12037" width="10.73046875" style="363" customWidth="1"/>
    <col min="12038" max="12038" width="15.86328125" style="363" customWidth="1"/>
    <col min="12039" max="12039" width="9.3984375" style="363" customWidth="1"/>
    <col min="12040" max="12040" width="9.265625" style="363" customWidth="1"/>
    <col min="12041" max="12041" width="12" style="363" customWidth="1"/>
    <col min="12042" max="12042" width="13.265625" style="363" customWidth="1"/>
    <col min="12043" max="12043" width="12" style="363" customWidth="1"/>
    <col min="12044" max="12045" width="9.265625" style="363" customWidth="1"/>
    <col min="12046" max="12047" width="14.1328125" style="363" customWidth="1"/>
    <col min="12048" max="12048" width="13.46484375" style="363" customWidth="1"/>
    <col min="12049" max="12049" width="14.1328125" style="363" customWidth="1"/>
    <col min="12050" max="12050" width="13.1328125" style="363" customWidth="1"/>
    <col min="12051" max="12275" width="9" style="363"/>
    <col min="12276" max="12276" width="5.59765625" style="363" customWidth="1"/>
    <col min="12277" max="12277" width="8.1328125" style="363" customWidth="1"/>
    <col min="12278" max="12278" width="12.86328125" style="363" customWidth="1"/>
    <col min="12279" max="12279" width="0" style="363" hidden="1" customWidth="1"/>
    <col min="12280" max="12280" width="13.59765625" style="363" customWidth="1"/>
    <col min="12281" max="12281" width="13.86328125" style="363" customWidth="1"/>
    <col min="12282" max="12282" width="13" style="363" customWidth="1"/>
    <col min="12283" max="12283" width="14.46484375" style="363" customWidth="1"/>
    <col min="12284" max="12284" width="13.86328125" style="363" customWidth="1"/>
    <col min="12285" max="12285" width="11.86328125" style="363" customWidth="1"/>
    <col min="12286" max="12286" width="12.1328125" style="363" customWidth="1"/>
    <col min="12287" max="12287" width="12.46484375" style="363" customWidth="1"/>
    <col min="12288" max="12288" width="11.46484375" style="363" customWidth="1"/>
    <col min="12289" max="12289" width="16" style="363" customWidth="1"/>
    <col min="12290" max="12290" width="14.265625" style="363" customWidth="1"/>
    <col min="12291" max="12291" width="11.1328125" style="363" customWidth="1"/>
    <col min="12292" max="12292" width="12.1328125" style="363" customWidth="1"/>
    <col min="12293" max="12293" width="10.73046875" style="363" customWidth="1"/>
    <col min="12294" max="12294" width="15.86328125" style="363" customWidth="1"/>
    <col min="12295" max="12295" width="9.3984375" style="363" customWidth="1"/>
    <col min="12296" max="12296" width="9.265625" style="363" customWidth="1"/>
    <col min="12297" max="12297" width="12" style="363" customWidth="1"/>
    <col min="12298" max="12298" width="13.265625" style="363" customWidth="1"/>
    <col min="12299" max="12299" width="12" style="363" customWidth="1"/>
    <col min="12300" max="12301" width="9.265625" style="363" customWidth="1"/>
    <col min="12302" max="12303" width="14.1328125" style="363" customWidth="1"/>
    <col min="12304" max="12304" width="13.46484375" style="363" customWidth="1"/>
    <col min="12305" max="12305" width="14.1328125" style="363" customWidth="1"/>
    <col min="12306" max="12306" width="13.1328125" style="363" customWidth="1"/>
    <col min="12307" max="12531" width="9" style="363"/>
    <col min="12532" max="12532" width="5.59765625" style="363" customWidth="1"/>
    <col min="12533" max="12533" width="8.1328125" style="363" customWidth="1"/>
    <col min="12534" max="12534" width="12.86328125" style="363" customWidth="1"/>
    <col min="12535" max="12535" width="0" style="363" hidden="1" customWidth="1"/>
    <col min="12536" max="12536" width="13.59765625" style="363" customWidth="1"/>
    <col min="12537" max="12537" width="13.86328125" style="363" customWidth="1"/>
    <col min="12538" max="12538" width="13" style="363" customWidth="1"/>
    <col min="12539" max="12539" width="14.46484375" style="363" customWidth="1"/>
    <col min="12540" max="12540" width="13.86328125" style="363" customWidth="1"/>
    <col min="12541" max="12541" width="11.86328125" style="363" customWidth="1"/>
    <col min="12542" max="12542" width="12.1328125" style="363" customWidth="1"/>
    <col min="12543" max="12543" width="12.46484375" style="363" customWidth="1"/>
    <col min="12544" max="12544" width="11.46484375" style="363" customWidth="1"/>
    <col min="12545" max="12545" width="16" style="363" customWidth="1"/>
    <col min="12546" max="12546" width="14.265625" style="363" customWidth="1"/>
    <col min="12547" max="12547" width="11.1328125" style="363" customWidth="1"/>
    <col min="12548" max="12548" width="12.1328125" style="363" customWidth="1"/>
    <col min="12549" max="12549" width="10.73046875" style="363" customWidth="1"/>
    <col min="12550" max="12550" width="15.86328125" style="363" customWidth="1"/>
    <col min="12551" max="12551" width="9.3984375" style="363" customWidth="1"/>
    <col min="12552" max="12552" width="9.265625" style="363" customWidth="1"/>
    <col min="12553" max="12553" width="12" style="363" customWidth="1"/>
    <col min="12554" max="12554" width="13.265625" style="363" customWidth="1"/>
    <col min="12555" max="12555" width="12" style="363" customWidth="1"/>
    <col min="12556" max="12557" width="9.265625" style="363" customWidth="1"/>
    <col min="12558" max="12559" width="14.1328125" style="363" customWidth="1"/>
    <col min="12560" max="12560" width="13.46484375" style="363" customWidth="1"/>
    <col min="12561" max="12561" width="14.1328125" style="363" customWidth="1"/>
    <col min="12562" max="12562" width="13.1328125" style="363" customWidth="1"/>
    <col min="12563" max="12787" width="9" style="363"/>
    <col min="12788" max="12788" width="5.59765625" style="363" customWidth="1"/>
    <col min="12789" max="12789" width="8.1328125" style="363" customWidth="1"/>
    <col min="12790" max="12790" width="12.86328125" style="363" customWidth="1"/>
    <col min="12791" max="12791" width="0" style="363" hidden="1" customWidth="1"/>
    <col min="12792" max="12792" width="13.59765625" style="363" customWidth="1"/>
    <col min="12793" max="12793" width="13.86328125" style="363" customWidth="1"/>
    <col min="12794" max="12794" width="13" style="363" customWidth="1"/>
    <col min="12795" max="12795" width="14.46484375" style="363" customWidth="1"/>
    <col min="12796" max="12796" width="13.86328125" style="363" customWidth="1"/>
    <col min="12797" max="12797" width="11.86328125" style="363" customWidth="1"/>
    <col min="12798" max="12798" width="12.1328125" style="363" customWidth="1"/>
    <col min="12799" max="12799" width="12.46484375" style="363" customWidth="1"/>
    <col min="12800" max="12800" width="11.46484375" style="363" customWidth="1"/>
    <col min="12801" max="12801" width="16" style="363" customWidth="1"/>
    <col min="12802" max="12802" width="14.265625" style="363" customWidth="1"/>
    <col min="12803" max="12803" width="11.1328125" style="363" customWidth="1"/>
    <col min="12804" max="12804" width="12.1328125" style="363" customWidth="1"/>
    <col min="12805" max="12805" width="10.73046875" style="363" customWidth="1"/>
    <col min="12806" max="12806" width="15.86328125" style="363" customWidth="1"/>
    <col min="12807" max="12807" width="9.3984375" style="363" customWidth="1"/>
    <col min="12808" max="12808" width="9.265625" style="363" customWidth="1"/>
    <col min="12809" max="12809" width="12" style="363" customWidth="1"/>
    <col min="12810" max="12810" width="13.265625" style="363" customWidth="1"/>
    <col min="12811" max="12811" width="12" style="363" customWidth="1"/>
    <col min="12812" max="12813" width="9.265625" style="363" customWidth="1"/>
    <col min="12814" max="12815" width="14.1328125" style="363" customWidth="1"/>
    <col min="12816" max="12816" width="13.46484375" style="363" customWidth="1"/>
    <col min="12817" max="12817" width="14.1328125" style="363" customWidth="1"/>
    <col min="12818" max="12818" width="13.1328125" style="363" customWidth="1"/>
    <col min="12819" max="13043" width="9" style="363"/>
    <col min="13044" max="13044" width="5.59765625" style="363" customWidth="1"/>
    <col min="13045" max="13045" width="8.1328125" style="363" customWidth="1"/>
    <col min="13046" max="13046" width="12.86328125" style="363" customWidth="1"/>
    <col min="13047" max="13047" width="0" style="363" hidden="1" customWidth="1"/>
    <col min="13048" max="13048" width="13.59765625" style="363" customWidth="1"/>
    <col min="13049" max="13049" width="13.86328125" style="363" customWidth="1"/>
    <col min="13050" max="13050" width="13" style="363" customWidth="1"/>
    <col min="13051" max="13051" width="14.46484375" style="363" customWidth="1"/>
    <col min="13052" max="13052" width="13.86328125" style="363" customWidth="1"/>
    <col min="13053" max="13053" width="11.86328125" style="363" customWidth="1"/>
    <col min="13054" max="13054" width="12.1328125" style="363" customWidth="1"/>
    <col min="13055" max="13055" width="12.46484375" style="363" customWidth="1"/>
    <col min="13056" max="13056" width="11.46484375" style="363" customWidth="1"/>
    <col min="13057" max="13057" width="16" style="363" customWidth="1"/>
    <col min="13058" max="13058" width="14.265625" style="363" customWidth="1"/>
    <col min="13059" max="13059" width="11.1328125" style="363" customWidth="1"/>
    <col min="13060" max="13060" width="12.1328125" style="363" customWidth="1"/>
    <col min="13061" max="13061" width="10.73046875" style="363" customWidth="1"/>
    <col min="13062" max="13062" width="15.86328125" style="363" customWidth="1"/>
    <col min="13063" max="13063" width="9.3984375" style="363" customWidth="1"/>
    <col min="13064" max="13064" width="9.265625" style="363" customWidth="1"/>
    <col min="13065" max="13065" width="12" style="363" customWidth="1"/>
    <col min="13066" max="13066" width="13.265625" style="363" customWidth="1"/>
    <col min="13067" max="13067" width="12" style="363" customWidth="1"/>
    <col min="13068" max="13069" width="9.265625" style="363" customWidth="1"/>
    <col min="13070" max="13071" width="14.1328125" style="363" customWidth="1"/>
    <col min="13072" max="13072" width="13.46484375" style="363" customWidth="1"/>
    <col min="13073" max="13073" width="14.1328125" style="363" customWidth="1"/>
    <col min="13074" max="13074" width="13.1328125" style="363" customWidth="1"/>
    <col min="13075" max="13299" width="9" style="363"/>
    <col min="13300" max="13300" width="5.59765625" style="363" customWidth="1"/>
    <col min="13301" max="13301" width="8.1328125" style="363" customWidth="1"/>
    <col min="13302" max="13302" width="12.86328125" style="363" customWidth="1"/>
    <col min="13303" max="13303" width="0" style="363" hidden="1" customWidth="1"/>
    <col min="13304" max="13304" width="13.59765625" style="363" customWidth="1"/>
    <col min="13305" max="13305" width="13.86328125" style="363" customWidth="1"/>
    <col min="13306" max="13306" width="13" style="363" customWidth="1"/>
    <col min="13307" max="13307" width="14.46484375" style="363" customWidth="1"/>
    <col min="13308" max="13308" width="13.86328125" style="363" customWidth="1"/>
    <col min="13309" max="13309" width="11.86328125" style="363" customWidth="1"/>
    <col min="13310" max="13310" width="12.1328125" style="363" customWidth="1"/>
    <col min="13311" max="13311" width="12.46484375" style="363" customWidth="1"/>
    <col min="13312" max="13312" width="11.46484375" style="363" customWidth="1"/>
    <col min="13313" max="13313" width="16" style="363" customWidth="1"/>
    <col min="13314" max="13314" width="14.265625" style="363" customWidth="1"/>
    <col min="13315" max="13315" width="11.1328125" style="363" customWidth="1"/>
    <col min="13316" max="13316" width="12.1328125" style="363" customWidth="1"/>
    <col min="13317" max="13317" width="10.73046875" style="363" customWidth="1"/>
    <col min="13318" max="13318" width="15.86328125" style="363" customWidth="1"/>
    <col min="13319" max="13319" width="9.3984375" style="363" customWidth="1"/>
    <col min="13320" max="13320" width="9.265625" style="363" customWidth="1"/>
    <col min="13321" max="13321" width="12" style="363" customWidth="1"/>
    <col min="13322" max="13322" width="13.265625" style="363" customWidth="1"/>
    <col min="13323" max="13323" width="12" style="363" customWidth="1"/>
    <col min="13324" max="13325" width="9.265625" style="363" customWidth="1"/>
    <col min="13326" max="13327" width="14.1328125" style="363" customWidth="1"/>
    <col min="13328" max="13328" width="13.46484375" style="363" customWidth="1"/>
    <col min="13329" max="13329" width="14.1328125" style="363" customWidth="1"/>
    <col min="13330" max="13330" width="13.1328125" style="363" customWidth="1"/>
    <col min="13331" max="13555" width="9" style="363"/>
    <col min="13556" max="13556" width="5.59765625" style="363" customWidth="1"/>
    <col min="13557" max="13557" width="8.1328125" style="363" customWidth="1"/>
    <col min="13558" max="13558" width="12.86328125" style="363" customWidth="1"/>
    <col min="13559" max="13559" width="0" style="363" hidden="1" customWidth="1"/>
    <col min="13560" max="13560" width="13.59765625" style="363" customWidth="1"/>
    <col min="13561" max="13561" width="13.86328125" style="363" customWidth="1"/>
    <col min="13562" max="13562" width="13" style="363" customWidth="1"/>
    <col min="13563" max="13563" width="14.46484375" style="363" customWidth="1"/>
    <col min="13564" max="13564" width="13.86328125" style="363" customWidth="1"/>
    <col min="13565" max="13565" width="11.86328125" style="363" customWidth="1"/>
    <col min="13566" max="13566" width="12.1328125" style="363" customWidth="1"/>
    <col min="13567" max="13567" width="12.46484375" style="363" customWidth="1"/>
    <col min="13568" max="13568" width="11.46484375" style="363" customWidth="1"/>
    <col min="13569" max="13569" width="16" style="363" customWidth="1"/>
    <col min="13570" max="13570" width="14.265625" style="363" customWidth="1"/>
    <col min="13571" max="13571" width="11.1328125" style="363" customWidth="1"/>
    <col min="13572" max="13572" width="12.1328125" style="363" customWidth="1"/>
    <col min="13573" max="13573" width="10.73046875" style="363" customWidth="1"/>
    <col min="13574" max="13574" width="15.86328125" style="363" customWidth="1"/>
    <col min="13575" max="13575" width="9.3984375" style="363" customWidth="1"/>
    <col min="13576" max="13576" width="9.265625" style="363" customWidth="1"/>
    <col min="13577" max="13577" width="12" style="363" customWidth="1"/>
    <col min="13578" max="13578" width="13.265625" style="363" customWidth="1"/>
    <col min="13579" max="13579" width="12" style="363" customWidth="1"/>
    <col min="13580" max="13581" width="9.265625" style="363" customWidth="1"/>
    <col min="13582" max="13583" width="14.1328125" style="363" customWidth="1"/>
    <col min="13584" max="13584" width="13.46484375" style="363" customWidth="1"/>
    <col min="13585" max="13585" width="14.1328125" style="363" customWidth="1"/>
    <col min="13586" max="13586" width="13.1328125" style="363" customWidth="1"/>
    <col min="13587" max="13811" width="9" style="363"/>
    <col min="13812" max="13812" width="5.59765625" style="363" customWidth="1"/>
    <col min="13813" max="13813" width="8.1328125" style="363" customWidth="1"/>
    <col min="13814" max="13814" width="12.86328125" style="363" customWidth="1"/>
    <col min="13815" max="13815" width="0" style="363" hidden="1" customWidth="1"/>
    <col min="13816" max="13816" width="13.59765625" style="363" customWidth="1"/>
    <col min="13817" max="13817" width="13.86328125" style="363" customWidth="1"/>
    <col min="13818" max="13818" width="13" style="363" customWidth="1"/>
    <col min="13819" max="13819" width="14.46484375" style="363" customWidth="1"/>
    <col min="13820" max="13820" width="13.86328125" style="363" customWidth="1"/>
    <col min="13821" max="13821" width="11.86328125" style="363" customWidth="1"/>
    <col min="13822" max="13822" width="12.1328125" style="363" customWidth="1"/>
    <col min="13823" max="13823" width="12.46484375" style="363" customWidth="1"/>
    <col min="13824" max="13824" width="11.46484375" style="363" customWidth="1"/>
    <col min="13825" max="13825" width="16" style="363" customWidth="1"/>
    <col min="13826" max="13826" width="14.265625" style="363" customWidth="1"/>
    <col min="13827" max="13827" width="11.1328125" style="363" customWidth="1"/>
    <col min="13828" max="13828" width="12.1328125" style="363" customWidth="1"/>
    <col min="13829" max="13829" width="10.73046875" style="363" customWidth="1"/>
    <col min="13830" max="13830" width="15.86328125" style="363" customWidth="1"/>
    <col min="13831" max="13831" width="9.3984375" style="363" customWidth="1"/>
    <col min="13832" max="13832" width="9.265625" style="363" customWidth="1"/>
    <col min="13833" max="13833" width="12" style="363" customWidth="1"/>
    <col min="13834" max="13834" width="13.265625" style="363" customWidth="1"/>
    <col min="13835" max="13835" width="12" style="363" customWidth="1"/>
    <col min="13836" max="13837" width="9.265625" style="363" customWidth="1"/>
    <col min="13838" max="13839" width="14.1328125" style="363" customWidth="1"/>
    <col min="13840" max="13840" width="13.46484375" style="363" customWidth="1"/>
    <col min="13841" max="13841" width="14.1328125" style="363" customWidth="1"/>
    <col min="13842" max="13842" width="13.1328125" style="363" customWidth="1"/>
    <col min="13843" max="14067" width="9" style="363"/>
    <col min="14068" max="14068" width="5.59765625" style="363" customWidth="1"/>
    <col min="14069" max="14069" width="8.1328125" style="363" customWidth="1"/>
    <col min="14070" max="14070" width="12.86328125" style="363" customWidth="1"/>
    <col min="14071" max="14071" width="0" style="363" hidden="1" customWidth="1"/>
    <col min="14072" max="14072" width="13.59765625" style="363" customWidth="1"/>
    <col min="14073" max="14073" width="13.86328125" style="363" customWidth="1"/>
    <col min="14074" max="14074" width="13" style="363" customWidth="1"/>
    <col min="14075" max="14075" width="14.46484375" style="363" customWidth="1"/>
    <col min="14076" max="14076" width="13.86328125" style="363" customWidth="1"/>
    <col min="14077" max="14077" width="11.86328125" style="363" customWidth="1"/>
    <col min="14078" max="14078" width="12.1328125" style="363" customWidth="1"/>
    <col min="14079" max="14079" width="12.46484375" style="363" customWidth="1"/>
    <col min="14080" max="14080" width="11.46484375" style="363" customWidth="1"/>
    <col min="14081" max="14081" width="16" style="363" customWidth="1"/>
    <col min="14082" max="14082" width="14.265625" style="363" customWidth="1"/>
    <col min="14083" max="14083" width="11.1328125" style="363" customWidth="1"/>
    <col min="14084" max="14084" width="12.1328125" style="363" customWidth="1"/>
    <col min="14085" max="14085" width="10.73046875" style="363" customWidth="1"/>
    <col min="14086" max="14086" width="15.86328125" style="363" customWidth="1"/>
    <col min="14087" max="14087" width="9.3984375" style="363" customWidth="1"/>
    <col min="14088" max="14088" width="9.265625" style="363" customWidth="1"/>
    <col min="14089" max="14089" width="12" style="363" customWidth="1"/>
    <col min="14090" max="14090" width="13.265625" style="363" customWidth="1"/>
    <col min="14091" max="14091" width="12" style="363" customWidth="1"/>
    <col min="14092" max="14093" width="9.265625" style="363" customWidth="1"/>
    <col min="14094" max="14095" width="14.1328125" style="363" customWidth="1"/>
    <col min="14096" max="14096" width="13.46484375" style="363" customWidth="1"/>
    <col min="14097" max="14097" width="14.1328125" style="363" customWidth="1"/>
    <col min="14098" max="14098" width="13.1328125" style="363" customWidth="1"/>
    <col min="14099" max="14323" width="9" style="363"/>
    <col min="14324" max="14324" width="5.59765625" style="363" customWidth="1"/>
    <col min="14325" max="14325" width="8.1328125" style="363" customWidth="1"/>
    <col min="14326" max="14326" width="12.86328125" style="363" customWidth="1"/>
    <col min="14327" max="14327" width="0" style="363" hidden="1" customWidth="1"/>
    <col min="14328" max="14328" width="13.59765625" style="363" customWidth="1"/>
    <col min="14329" max="14329" width="13.86328125" style="363" customWidth="1"/>
    <col min="14330" max="14330" width="13" style="363" customWidth="1"/>
    <col min="14331" max="14331" width="14.46484375" style="363" customWidth="1"/>
    <col min="14332" max="14332" width="13.86328125" style="363" customWidth="1"/>
    <col min="14333" max="14333" width="11.86328125" style="363" customWidth="1"/>
    <col min="14334" max="14334" width="12.1328125" style="363" customWidth="1"/>
    <col min="14335" max="14335" width="12.46484375" style="363" customWidth="1"/>
    <col min="14336" max="14336" width="11.46484375" style="363" customWidth="1"/>
    <col min="14337" max="14337" width="16" style="363" customWidth="1"/>
    <col min="14338" max="14338" width="14.265625" style="363" customWidth="1"/>
    <col min="14339" max="14339" width="11.1328125" style="363" customWidth="1"/>
    <col min="14340" max="14340" width="12.1328125" style="363" customWidth="1"/>
    <col min="14341" max="14341" width="10.73046875" style="363" customWidth="1"/>
    <col min="14342" max="14342" width="15.86328125" style="363" customWidth="1"/>
    <col min="14343" max="14343" width="9.3984375" style="363" customWidth="1"/>
    <col min="14344" max="14344" width="9.265625" style="363" customWidth="1"/>
    <col min="14345" max="14345" width="12" style="363" customWidth="1"/>
    <col min="14346" max="14346" width="13.265625" style="363" customWidth="1"/>
    <col min="14347" max="14347" width="12" style="363" customWidth="1"/>
    <col min="14348" max="14349" width="9.265625" style="363" customWidth="1"/>
    <col min="14350" max="14351" width="14.1328125" style="363" customWidth="1"/>
    <col min="14352" max="14352" width="13.46484375" style="363" customWidth="1"/>
    <col min="14353" max="14353" width="14.1328125" style="363" customWidth="1"/>
    <col min="14354" max="14354" width="13.1328125" style="363" customWidth="1"/>
    <col min="14355" max="14579" width="9" style="363"/>
    <col min="14580" max="14580" width="5.59765625" style="363" customWidth="1"/>
    <col min="14581" max="14581" width="8.1328125" style="363" customWidth="1"/>
    <col min="14582" max="14582" width="12.86328125" style="363" customWidth="1"/>
    <col min="14583" max="14583" width="0" style="363" hidden="1" customWidth="1"/>
    <col min="14584" max="14584" width="13.59765625" style="363" customWidth="1"/>
    <col min="14585" max="14585" width="13.86328125" style="363" customWidth="1"/>
    <col min="14586" max="14586" width="13" style="363" customWidth="1"/>
    <col min="14587" max="14587" width="14.46484375" style="363" customWidth="1"/>
    <col min="14588" max="14588" width="13.86328125" style="363" customWidth="1"/>
    <col min="14589" max="14589" width="11.86328125" style="363" customWidth="1"/>
    <col min="14590" max="14590" width="12.1328125" style="363" customWidth="1"/>
    <col min="14591" max="14591" width="12.46484375" style="363" customWidth="1"/>
    <col min="14592" max="14592" width="11.46484375" style="363" customWidth="1"/>
    <col min="14593" max="14593" width="16" style="363" customWidth="1"/>
    <col min="14594" max="14594" width="14.265625" style="363" customWidth="1"/>
    <col min="14595" max="14595" width="11.1328125" style="363" customWidth="1"/>
    <col min="14596" max="14596" width="12.1328125" style="363" customWidth="1"/>
    <col min="14597" max="14597" width="10.73046875" style="363" customWidth="1"/>
    <col min="14598" max="14598" width="15.86328125" style="363" customWidth="1"/>
    <col min="14599" max="14599" width="9.3984375" style="363" customWidth="1"/>
    <col min="14600" max="14600" width="9.265625" style="363" customWidth="1"/>
    <col min="14601" max="14601" width="12" style="363" customWidth="1"/>
    <col min="14602" max="14602" width="13.265625" style="363" customWidth="1"/>
    <col min="14603" max="14603" width="12" style="363" customWidth="1"/>
    <col min="14604" max="14605" width="9.265625" style="363" customWidth="1"/>
    <col min="14606" max="14607" width="14.1328125" style="363" customWidth="1"/>
    <col min="14608" max="14608" width="13.46484375" style="363" customWidth="1"/>
    <col min="14609" max="14609" width="14.1328125" style="363" customWidth="1"/>
    <col min="14610" max="14610" width="13.1328125" style="363" customWidth="1"/>
    <col min="14611" max="14835" width="9" style="363"/>
    <col min="14836" max="14836" width="5.59765625" style="363" customWidth="1"/>
    <col min="14837" max="14837" width="8.1328125" style="363" customWidth="1"/>
    <col min="14838" max="14838" width="12.86328125" style="363" customWidth="1"/>
    <col min="14839" max="14839" width="0" style="363" hidden="1" customWidth="1"/>
    <col min="14840" max="14840" width="13.59765625" style="363" customWidth="1"/>
    <col min="14841" max="14841" width="13.86328125" style="363" customWidth="1"/>
    <col min="14842" max="14842" width="13" style="363" customWidth="1"/>
    <col min="14843" max="14843" width="14.46484375" style="363" customWidth="1"/>
    <col min="14844" max="14844" width="13.86328125" style="363" customWidth="1"/>
    <col min="14845" max="14845" width="11.86328125" style="363" customWidth="1"/>
    <col min="14846" max="14846" width="12.1328125" style="363" customWidth="1"/>
    <col min="14847" max="14847" width="12.46484375" style="363" customWidth="1"/>
    <col min="14848" max="14848" width="11.46484375" style="363" customWidth="1"/>
    <col min="14849" max="14849" width="16" style="363" customWidth="1"/>
    <col min="14850" max="14850" width="14.265625" style="363" customWidth="1"/>
    <col min="14851" max="14851" width="11.1328125" style="363" customWidth="1"/>
    <col min="14852" max="14852" width="12.1328125" style="363" customWidth="1"/>
    <col min="14853" max="14853" width="10.73046875" style="363" customWidth="1"/>
    <col min="14854" max="14854" width="15.86328125" style="363" customWidth="1"/>
    <col min="14855" max="14855" width="9.3984375" style="363" customWidth="1"/>
    <col min="14856" max="14856" width="9.265625" style="363" customWidth="1"/>
    <col min="14857" max="14857" width="12" style="363" customWidth="1"/>
    <col min="14858" max="14858" width="13.265625" style="363" customWidth="1"/>
    <col min="14859" max="14859" width="12" style="363" customWidth="1"/>
    <col min="14860" max="14861" width="9.265625" style="363" customWidth="1"/>
    <col min="14862" max="14863" width="14.1328125" style="363" customWidth="1"/>
    <col min="14864" max="14864" width="13.46484375" style="363" customWidth="1"/>
    <col min="14865" max="14865" width="14.1328125" style="363" customWidth="1"/>
    <col min="14866" max="14866" width="13.1328125" style="363" customWidth="1"/>
    <col min="14867" max="15091" width="9" style="363"/>
    <col min="15092" max="15092" width="5.59765625" style="363" customWidth="1"/>
    <col min="15093" max="15093" width="8.1328125" style="363" customWidth="1"/>
    <col min="15094" max="15094" width="12.86328125" style="363" customWidth="1"/>
    <col min="15095" max="15095" width="0" style="363" hidden="1" customWidth="1"/>
    <col min="15096" max="15096" width="13.59765625" style="363" customWidth="1"/>
    <col min="15097" max="15097" width="13.86328125" style="363" customWidth="1"/>
    <col min="15098" max="15098" width="13" style="363" customWidth="1"/>
    <col min="15099" max="15099" width="14.46484375" style="363" customWidth="1"/>
    <col min="15100" max="15100" width="13.86328125" style="363" customWidth="1"/>
    <col min="15101" max="15101" width="11.86328125" style="363" customWidth="1"/>
    <col min="15102" max="15102" width="12.1328125" style="363" customWidth="1"/>
    <col min="15103" max="15103" width="12.46484375" style="363" customWidth="1"/>
    <col min="15104" max="15104" width="11.46484375" style="363" customWidth="1"/>
    <col min="15105" max="15105" width="16" style="363" customWidth="1"/>
    <col min="15106" max="15106" width="14.265625" style="363" customWidth="1"/>
    <col min="15107" max="15107" width="11.1328125" style="363" customWidth="1"/>
    <col min="15108" max="15108" width="12.1328125" style="363" customWidth="1"/>
    <col min="15109" max="15109" width="10.73046875" style="363" customWidth="1"/>
    <col min="15110" max="15110" width="15.86328125" style="363" customWidth="1"/>
    <col min="15111" max="15111" width="9.3984375" style="363" customWidth="1"/>
    <col min="15112" max="15112" width="9.265625" style="363" customWidth="1"/>
    <col min="15113" max="15113" width="12" style="363" customWidth="1"/>
    <col min="15114" max="15114" width="13.265625" style="363" customWidth="1"/>
    <col min="15115" max="15115" width="12" style="363" customWidth="1"/>
    <col min="15116" max="15117" width="9.265625" style="363" customWidth="1"/>
    <col min="15118" max="15119" width="14.1328125" style="363" customWidth="1"/>
    <col min="15120" max="15120" width="13.46484375" style="363" customWidth="1"/>
    <col min="15121" max="15121" width="14.1328125" style="363" customWidth="1"/>
    <col min="15122" max="15122" width="13.1328125" style="363" customWidth="1"/>
    <col min="15123" max="15347" width="9" style="363"/>
    <col min="15348" max="15348" width="5.59765625" style="363" customWidth="1"/>
    <col min="15349" max="15349" width="8.1328125" style="363" customWidth="1"/>
    <col min="15350" max="15350" width="12.86328125" style="363" customWidth="1"/>
    <col min="15351" max="15351" width="0" style="363" hidden="1" customWidth="1"/>
    <col min="15352" max="15352" width="13.59765625" style="363" customWidth="1"/>
    <col min="15353" max="15353" width="13.86328125" style="363" customWidth="1"/>
    <col min="15354" max="15354" width="13" style="363" customWidth="1"/>
    <col min="15355" max="15355" width="14.46484375" style="363" customWidth="1"/>
    <col min="15356" max="15356" width="13.86328125" style="363" customWidth="1"/>
    <col min="15357" max="15357" width="11.86328125" style="363" customWidth="1"/>
    <col min="15358" max="15358" width="12.1328125" style="363" customWidth="1"/>
    <col min="15359" max="15359" width="12.46484375" style="363" customWidth="1"/>
    <col min="15360" max="15360" width="11.46484375" style="363" customWidth="1"/>
    <col min="15361" max="15361" width="16" style="363" customWidth="1"/>
    <col min="15362" max="15362" width="14.265625" style="363" customWidth="1"/>
    <col min="15363" max="15363" width="11.1328125" style="363" customWidth="1"/>
    <col min="15364" max="15364" width="12.1328125" style="363" customWidth="1"/>
    <col min="15365" max="15365" width="10.73046875" style="363" customWidth="1"/>
    <col min="15366" max="15366" width="15.86328125" style="363" customWidth="1"/>
    <col min="15367" max="15367" width="9.3984375" style="363" customWidth="1"/>
    <col min="15368" max="15368" width="9.265625" style="363" customWidth="1"/>
    <col min="15369" max="15369" width="12" style="363" customWidth="1"/>
    <col min="15370" max="15370" width="13.265625" style="363" customWidth="1"/>
    <col min="15371" max="15371" width="12" style="363" customWidth="1"/>
    <col min="15372" max="15373" width="9.265625" style="363" customWidth="1"/>
    <col min="15374" max="15375" width="14.1328125" style="363" customWidth="1"/>
    <col min="15376" max="15376" width="13.46484375" style="363" customWidth="1"/>
    <col min="15377" max="15377" width="14.1328125" style="363" customWidth="1"/>
    <col min="15378" max="15378" width="13.1328125" style="363" customWidth="1"/>
    <col min="15379" max="15603" width="9" style="363"/>
    <col min="15604" max="15604" width="5.59765625" style="363" customWidth="1"/>
    <col min="15605" max="15605" width="8.1328125" style="363" customWidth="1"/>
    <col min="15606" max="15606" width="12.86328125" style="363" customWidth="1"/>
    <col min="15607" max="15607" width="0" style="363" hidden="1" customWidth="1"/>
    <col min="15608" max="15608" width="13.59765625" style="363" customWidth="1"/>
    <col min="15609" max="15609" width="13.86328125" style="363" customWidth="1"/>
    <col min="15610" max="15610" width="13" style="363" customWidth="1"/>
    <col min="15611" max="15611" width="14.46484375" style="363" customWidth="1"/>
    <col min="15612" max="15612" width="13.86328125" style="363" customWidth="1"/>
    <col min="15613" max="15613" width="11.86328125" style="363" customWidth="1"/>
    <col min="15614" max="15614" width="12.1328125" style="363" customWidth="1"/>
    <col min="15615" max="15615" width="12.46484375" style="363" customWidth="1"/>
    <col min="15616" max="15616" width="11.46484375" style="363" customWidth="1"/>
    <col min="15617" max="15617" width="16" style="363" customWidth="1"/>
    <col min="15618" max="15618" width="14.265625" style="363" customWidth="1"/>
    <col min="15619" max="15619" width="11.1328125" style="363" customWidth="1"/>
    <col min="15620" max="15620" width="12.1328125" style="363" customWidth="1"/>
    <col min="15621" max="15621" width="10.73046875" style="363" customWidth="1"/>
    <col min="15622" max="15622" width="15.86328125" style="363" customWidth="1"/>
    <col min="15623" max="15623" width="9.3984375" style="363" customWidth="1"/>
    <col min="15624" max="15624" width="9.265625" style="363" customWidth="1"/>
    <col min="15625" max="15625" width="12" style="363" customWidth="1"/>
    <col min="15626" max="15626" width="13.265625" style="363" customWidth="1"/>
    <col min="15627" max="15627" width="12" style="363" customWidth="1"/>
    <col min="15628" max="15629" width="9.265625" style="363" customWidth="1"/>
    <col min="15630" max="15631" width="14.1328125" style="363" customWidth="1"/>
    <col min="15632" max="15632" width="13.46484375" style="363" customWidth="1"/>
    <col min="15633" max="15633" width="14.1328125" style="363" customWidth="1"/>
    <col min="15634" max="15634" width="13.1328125" style="363" customWidth="1"/>
    <col min="15635" max="15859" width="9" style="363"/>
    <col min="15860" max="15860" width="5.59765625" style="363" customWidth="1"/>
    <col min="15861" max="15861" width="8.1328125" style="363" customWidth="1"/>
    <col min="15862" max="15862" width="12.86328125" style="363" customWidth="1"/>
    <col min="15863" max="15863" width="0" style="363" hidden="1" customWidth="1"/>
    <col min="15864" max="15864" width="13.59765625" style="363" customWidth="1"/>
    <col min="15865" max="15865" width="13.86328125" style="363" customWidth="1"/>
    <col min="15866" max="15866" width="13" style="363" customWidth="1"/>
    <col min="15867" max="15867" width="14.46484375" style="363" customWidth="1"/>
    <col min="15868" max="15868" width="13.86328125" style="363" customWidth="1"/>
    <col min="15869" max="15869" width="11.86328125" style="363" customWidth="1"/>
    <col min="15870" max="15870" width="12.1328125" style="363" customWidth="1"/>
    <col min="15871" max="15871" width="12.46484375" style="363" customWidth="1"/>
    <col min="15872" max="15872" width="11.46484375" style="363" customWidth="1"/>
    <col min="15873" max="15873" width="16" style="363" customWidth="1"/>
    <col min="15874" max="15874" width="14.265625" style="363" customWidth="1"/>
    <col min="15875" max="15875" width="11.1328125" style="363" customWidth="1"/>
    <col min="15876" max="15876" width="12.1328125" style="363" customWidth="1"/>
    <col min="15877" max="15877" width="10.73046875" style="363" customWidth="1"/>
    <col min="15878" max="15878" width="15.86328125" style="363" customWidth="1"/>
    <col min="15879" max="15879" width="9.3984375" style="363" customWidth="1"/>
    <col min="15880" max="15880" width="9.265625" style="363" customWidth="1"/>
    <col min="15881" max="15881" width="12" style="363" customWidth="1"/>
    <col min="15882" max="15882" width="13.265625" style="363" customWidth="1"/>
    <col min="15883" max="15883" width="12" style="363" customWidth="1"/>
    <col min="15884" max="15885" width="9.265625" style="363" customWidth="1"/>
    <col min="15886" max="15887" width="14.1328125" style="363" customWidth="1"/>
    <col min="15888" max="15888" width="13.46484375" style="363" customWidth="1"/>
    <col min="15889" max="15889" width="14.1328125" style="363" customWidth="1"/>
    <col min="15890" max="15890" width="13.1328125" style="363" customWidth="1"/>
    <col min="15891" max="16115" width="9" style="363"/>
    <col min="16116" max="16116" width="5.59765625" style="363" customWidth="1"/>
    <col min="16117" max="16117" width="8.1328125" style="363" customWidth="1"/>
    <col min="16118" max="16118" width="12.86328125" style="363" customWidth="1"/>
    <col min="16119" max="16119" width="0" style="363" hidden="1" customWidth="1"/>
    <col min="16120" max="16120" width="13.59765625" style="363" customWidth="1"/>
    <col min="16121" max="16121" width="13.86328125" style="363" customWidth="1"/>
    <col min="16122" max="16122" width="13" style="363" customWidth="1"/>
    <col min="16123" max="16123" width="14.46484375" style="363" customWidth="1"/>
    <col min="16124" max="16124" width="13.86328125" style="363" customWidth="1"/>
    <col min="16125" max="16125" width="11.86328125" style="363" customWidth="1"/>
    <col min="16126" max="16126" width="12.1328125" style="363" customWidth="1"/>
    <col min="16127" max="16127" width="12.46484375" style="363" customWidth="1"/>
    <col min="16128" max="16128" width="11.46484375" style="363" customWidth="1"/>
    <col min="16129" max="16129" width="16" style="363" customWidth="1"/>
    <col min="16130" max="16130" width="14.265625" style="363" customWidth="1"/>
    <col min="16131" max="16131" width="11.1328125" style="363" customWidth="1"/>
    <col min="16132" max="16132" width="12.1328125" style="363" customWidth="1"/>
    <col min="16133" max="16133" width="10.73046875" style="363" customWidth="1"/>
    <col min="16134" max="16134" width="15.86328125" style="363" customWidth="1"/>
    <col min="16135" max="16135" width="9.3984375" style="363" customWidth="1"/>
    <col min="16136" max="16136" width="9.265625" style="363" customWidth="1"/>
    <col min="16137" max="16137" width="12" style="363" customWidth="1"/>
    <col min="16138" max="16138" width="13.265625" style="363" customWidth="1"/>
    <col min="16139" max="16139" width="12" style="363" customWidth="1"/>
    <col min="16140" max="16141" width="9.265625" style="363" customWidth="1"/>
    <col min="16142" max="16143" width="14.1328125" style="363" customWidth="1"/>
    <col min="16144" max="16144" width="13.46484375" style="363" customWidth="1"/>
    <col min="16145" max="16145" width="14.1328125" style="363" customWidth="1"/>
    <col min="16146" max="16146" width="13.1328125" style="363" customWidth="1"/>
    <col min="16147" max="16375" width="9" style="363"/>
    <col min="16376" max="16384" width="9" style="363" customWidth="1"/>
  </cols>
  <sheetData>
    <row r="1" spans="1:19" s="378" customFormat="1" ht="22.9">
      <c r="A1" s="482" t="s">
        <v>275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377"/>
      <c r="O1" s="377"/>
      <c r="P1" s="377"/>
      <c r="Q1" s="377"/>
      <c r="R1" s="377"/>
    </row>
    <row r="2" spans="1:19" ht="14.65">
      <c r="A2" s="379" t="s">
        <v>266</v>
      </c>
      <c r="B2" s="379"/>
      <c r="E2" s="380"/>
      <c r="F2" s="380"/>
      <c r="G2" s="380"/>
      <c r="H2" s="380"/>
      <c r="I2" s="380"/>
      <c r="M2" s="381" t="s">
        <v>104</v>
      </c>
      <c r="N2" s="483"/>
      <c r="O2" s="483"/>
      <c r="P2" s="483"/>
      <c r="Q2" s="483"/>
    </row>
    <row r="3" spans="1:19" ht="14.65">
      <c r="A3" s="367" t="s">
        <v>267</v>
      </c>
      <c r="B3" s="367" t="s">
        <v>114</v>
      </c>
      <c r="C3" s="367" t="s">
        <v>257</v>
      </c>
      <c r="D3" s="367" t="s">
        <v>276</v>
      </c>
      <c r="E3" s="367" t="s">
        <v>268</v>
      </c>
      <c r="F3" s="367" t="s">
        <v>269</v>
      </c>
      <c r="G3" s="367" t="s">
        <v>270</v>
      </c>
      <c r="H3" s="367" t="s">
        <v>271</v>
      </c>
      <c r="I3" s="367" t="s">
        <v>272</v>
      </c>
      <c r="J3" s="367" t="s">
        <v>273</v>
      </c>
      <c r="K3" s="367" t="s">
        <v>274</v>
      </c>
      <c r="L3" s="367" t="s">
        <v>271</v>
      </c>
      <c r="M3" s="368" t="s">
        <v>272</v>
      </c>
      <c r="O3" s="362">
        <v>10000</v>
      </c>
    </row>
    <row r="4" spans="1:19">
      <c r="A4" s="356">
        <v>1</v>
      </c>
      <c r="B4" s="356" t="s">
        <v>881</v>
      </c>
      <c r="C4" s="357" t="s">
        <v>882</v>
      </c>
      <c r="D4" s="357" t="s">
        <v>1056</v>
      </c>
      <c r="E4" s="358" t="s">
        <v>1057</v>
      </c>
      <c r="F4" s="366">
        <v>21.848582</v>
      </c>
      <c r="G4" s="366">
        <v>2.8487480000000001</v>
      </c>
      <c r="H4" s="366">
        <f t="shared" ref="H4:H14" si="0">F4-G4</f>
        <v>18.999834</v>
      </c>
      <c r="I4" s="360">
        <f>H4/F4</f>
        <v>0.86961405550254933</v>
      </c>
      <c r="J4" s="359"/>
      <c r="K4" s="359"/>
      <c r="L4" s="359"/>
      <c r="M4" s="361"/>
      <c r="S4" s="362"/>
    </row>
    <row r="5" spans="1:19">
      <c r="A5" s="356">
        <v>2</v>
      </c>
      <c r="B5" s="356" t="s">
        <v>881</v>
      </c>
      <c r="C5" s="357" t="s">
        <v>882</v>
      </c>
      <c r="D5" s="357" t="s">
        <v>334</v>
      </c>
      <c r="E5" s="358" t="s">
        <v>293</v>
      </c>
      <c r="F5" s="366">
        <v>190.907691</v>
      </c>
      <c r="G5" s="366">
        <v>51.887459</v>
      </c>
      <c r="H5" s="366">
        <f t="shared" si="0"/>
        <v>139.02023199999999</v>
      </c>
      <c r="I5" s="360">
        <f t="shared" ref="I5:I14" si="1">H5/F5</f>
        <v>0.72820655507273402</v>
      </c>
      <c r="J5" s="359"/>
      <c r="K5" s="359"/>
      <c r="L5" s="359"/>
      <c r="M5" s="361"/>
      <c r="S5" s="362"/>
    </row>
    <row r="6" spans="1:19">
      <c r="A6" s="356">
        <v>3</v>
      </c>
      <c r="B6" s="356" t="s">
        <v>881</v>
      </c>
      <c r="C6" s="357" t="s">
        <v>882</v>
      </c>
      <c r="D6" s="357" t="s">
        <v>334</v>
      </c>
      <c r="E6" s="358" t="s">
        <v>479</v>
      </c>
      <c r="F6" s="366">
        <v>3.6878279999999997</v>
      </c>
      <c r="G6" s="366">
        <v>1.1924399999999999</v>
      </c>
      <c r="H6" s="366">
        <f t="shared" si="0"/>
        <v>2.4953879999999997</v>
      </c>
      <c r="I6" s="360">
        <f t="shared" si="1"/>
        <v>0.67665520192373396</v>
      </c>
      <c r="J6" s="359"/>
      <c r="K6" s="359"/>
      <c r="L6" s="359"/>
      <c r="M6" s="361"/>
      <c r="S6" s="362"/>
    </row>
    <row r="7" spans="1:19">
      <c r="A7" s="356">
        <v>4</v>
      </c>
      <c r="B7" s="356" t="s">
        <v>881</v>
      </c>
      <c r="C7" s="357" t="s">
        <v>882</v>
      </c>
      <c r="D7" s="357" t="s">
        <v>334</v>
      </c>
      <c r="E7" s="358" t="s">
        <v>858</v>
      </c>
      <c r="F7" s="366">
        <v>73.258531999999988</v>
      </c>
      <c r="G7" s="366">
        <v>24.971567999999998</v>
      </c>
      <c r="H7" s="366">
        <f t="shared" si="0"/>
        <v>48.28696399999999</v>
      </c>
      <c r="I7" s="360">
        <f t="shared" si="1"/>
        <v>0.65913092552823738</v>
      </c>
      <c r="J7" s="359"/>
      <c r="K7" s="359"/>
      <c r="L7" s="359"/>
      <c r="M7" s="361"/>
      <c r="S7" s="362"/>
    </row>
    <row r="8" spans="1:19">
      <c r="A8" s="356">
        <v>5</v>
      </c>
      <c r="B8" s="356" t="s">
        <v>881</v>
      </c>
      <c r="C8" s="357" t="s">
        <v>882</v>
      </c>
      <c r="D8" s="357" t="s">
        <v>334</v>
      </c>
      <c r="E8" s="358" t="s">
        <v>294</v>
      </c>
      <c r="F8" s="366">
        <v>125.17418300000001</v>
      </c>
      <c r="G8" s="366">
        <v>35.462780000000002</v>
      </c>
      <c r="H8" s="366">
        <f t="shared" si="0"/>
        <v>89.711403000000018</v>
      </c>
      <c r="I8" s="360">
        <f t="shared" si="1"/>
        <v>0.71669253874818584</v>
      </c>
      <c r="J8" s="359"/>
      <c r="K8" s="359"/>
      <c r="L8" s="359"/>
      <c r="M8" s="361"/>
      <c r="S8" s="362"/>
    </row>
    <row r="9" spans="1:19">
      <c r="A9" s="356">
        <v>6</v>
      </c>
      <c r="B9" s="356" t="s">
        <v>881</v>
      </c>
      <c r="C9" s="357" t="s">
        <v>882</v>
      </c>
      <c r="D9" s="357" t="s">
        <v>334</v>
      </c>
      <c r="E9" s="358" t="s">
        <v>295</v>
      </c>
      <c r="F9" s="366">
        <v>238.15893799999998</v>
      </c>
      <c r="G9" s="366">
        <v>61.508119999999998</v>
      </c>
      <c r="H9" s="366">
        <f t="shared" si="0"/>
        <v>176.65081799999999</v>
      </c>
      <c r="I9" s="360">
        <f t="shared" si="1"/>
        <v>0.74173499211690308</v>
      </c>
      <c r="J9" s="359"/>
      <c r="K9" s="359"/>
      <c r="L9" s="359"/>
      <c r="M9" s="361"/>
      <c r="S9" s="362"/>
    </row>
    <row r="10" spans="1:19">
      <c r="A10" s="356">
        <v>7</v>
      </c>
      <c r="B10" s="356" t="s">
        <v>881</v>
      </c>
      <c r="C10" s="357" t="s">
        <v>882</v>
      </c>
      <c r="D10" s="357" t="s">
        <v>334</v>
      </c>
      <c r="E10" s="358" t="s">
        <v>296</v>
      </c>
      <c r="F10" s="366">
        <v>56.558875999999998</v>
      </c>
      <c r="G10" s="366">
        <v>13.964632999999999</v>
      </c>
      <c r="H10" s="366">
        <f t="shared" si="0"/>
        <v>42.594242999999999</v>
      </c>
      <c r="I10" s="360">
        <f t="shared" si="1"/>
        <v>0.75309564143389274</v>
      </c>
      <c r="J10" s="359"/>
      <c r="K10" s="359"/>
      <c r="L10" s="359"/>
      <c r="M10" s="361"/>
      <c r="S10" s="362"/>
    </row>
    <row r="11" spans="1:19">
      <c r="A11" s="356">
        <v>8</v>
      </c>
      <c r="B11" s="356" t="s">
        <v>881</v>
      </c>
      <c r="C11" s="357" t="s">
        <v>882</v>
      </c>
      <c r="D11" s="357" t="s">
        <v>334</v>
      </c>
      <c r="E11" s="358" t="s">
        <v>480</v>
      </c>
      <c r="F11" s="366">
        <v>30.320132000000001</v>
      </c>
      <c r="G11" s="366">
        <v>8.6782559999999993</v>
      </c>
      <c r="H11" s="366">
        <f t="shared" si="0"/>
        <v>21.641876000000003</v>
      </c>
      <c r="I11" s="360">
        <f t="shared" si="1"/>
        <v>0.71377908249212119</v>
      </c>
      <c r="J11" s="359"/>
      <c r="K11" s="359"/>
      <c r="L11" s="359"/>
      <c r="M11" s="361"/>
      <c r="S11" s="362"/>
    </row>
    <row r="12" spans="1:19">
      <c r="A12" s="356">
        <v>9</v>
      </c>
      <c r="B12" s="356" t="s">
        <v>881</v>
      </c>
      <c r="C12" s="357" t="s">
        <v>882</v>
      </c>
      <c r="D12" s="357" t="s">
        <v>334</v>
      </c>
      <c r="E12" s="358" t="s">
        <v>321</v>
      </c>
      <c r="F12" s="366">
        <v>195.30699099999998</v>
      </c>
      <c r="G12" s="366">
        <v>54.595728000000001</v>
      </c>
      <c r="H12" s="366">
        <f t="shared" si="0"/>
        <v>140.71126299999997</v>
      </c>
      <c r="I12" s="360">
        <f t="shared" si="1"/>
        <v>0.7204619879684695</v>
      </c>
      <c r="J12" s="359"/>
      <c r="K12" s="359"/>
      <c r="L12" s="359"/>
      <c r="M12" s="361"/>
      <c r="S12" s="362"/>
    </row>
    <row r="13" spans="1:19">
      <c r="A13" s="356">
        <v>10</v>
      </c>
      <c r="B13" s="356" t="s">
        <v>881</v>
      </c>
      <c r="C13" s="357" t="s">
        <v>882</v>
      </c>
      <c r="D13" s="357" t="s">
        <v>334</v>
      </c>
      <c r="E13" s="358" t="s">
        <v>322</v>
      </c>
      <c r="F13" s="366">
        <v>195.97249099999999</v>
      </c>
      <c r="G13" s="366">
        <v>54.468743999999994</v>
      </c>
      <c r="H13" s="366">
        <f t="shared" si="0"/>
        <v>141.503747</v>
      </c>
      <c r="I13" s="360">
        <f t="shared" si="1"/>
        <v>0.72205923534441374</v>
      </c>
      <c r="J13" s="359"/>
      <c r="K13" s="359"/>
      <c r="L13" s="359"/>
      <c r="M13" s="361"/>
      <c r="S13" s="362"/>
    </row>
    <row r="14" spans="1:19">
      <c r="A14" s="356">
        <v>11</v>
      </c>
      <c r="B14" s="356" t="s">
        <v>881</v>
      </c>
      <c r="C14" s="357" t="s">
        <v>882</v>
      </c>
      <c r="D14" s="357" t="s">
        <v>334</v>
      </c>
      <c r="E14" s="358" t="s">
        <v>328</v>
      </c>
      <c r="F14" s="366">
        <v>41.229776000000001</v>
      </c>
      <c r="G14" s="366">
        <v>10.040526</v>
      </c>
      <c r="H14" s="366">
        <f t="shared" si="0"/>
        <v>31.189250000000001</v>
      </c>
      <c r="I14" s="360">
        <f t="shared" si="1"/>
        <v>0.75647391341636205</v>
      </c>
      <c r="J14" s="359"/>
      <c r="K14" s="359"/>
      <c r="L14" s="359"/>
      <c r="M14" s="361"/>
      <c r="S14" s="362"/>
    </row>
    <row r="15" spans="1:19">
      <c r="A15" s="356">
        <v>12</v>
      </c>
      <c r="B15" s="356" t="s">
        <v>881</v>
      </c>
      <c r="C15" s="357" t="s">
        <v>882</v>
      </c>
      <c r="D15" s="357" t="s">
        <v>334</v>
      </c>
      <c r="E15" s="358" t="s">
        <v>329</v>
      </c>
      <c r="F15" s="366">
        <v>202.90472199999999</v>
      </c>
      <c r="G15" s="366">
        <v>58.908543000000002</v>
      </c>
      <c r="H15" s="366">
        <f t="shared" ref="H15:H22" si="2">F15-G15</f>
        <v>143.99617899999998</v>
      </c>
      <c r="I15" s="360">
        <f t="shared" ref="I15:I22" si="3">H15/F15</f>
        <v>0.70967386850661851</v>
      </c>
      <c r="J15" s="359"/>
      <c r="K15" s="359"/>
      <c r="L15" s="359"/>
      <c r="M15" s="361"/>
      <c r="S15" s="362"/>
    </row>
    <row r="16" spans="1:19">
      <c r="A16" s="356">
        <v>13</v>
      </c>
      <c r="B16" s="356" t="s">
        <v>881</v>
      </c>
      <c r="C16" s="357" t="s">
        <v>882</v>
      </c>
      <c r="D16" s="357" t="s">
        <v>334</v>
      </c>
      <c r="E16" s="358" t="s">
        <v>330</v>
      </c>
      <c r="F16" s="366">
        <v>74.235648999999995</v>
      </c>
      <c r="G16" s="366">
        <v>19.899846</v>
      </c>
      <c r="H16" s="366">
        <f t="shared" si="2"/>
        <v>54.335802999999999</v>
      </c>
      <c r="I16" s="360">
        <f t="shared" si="3"/>
        <v>0.73193679494874497</v>
      </c>
      <c r="J16" s="359"/>
      <c r="K16" s="359"/>
      <c r="L16" s="359"/>
      <c r="M16" s="361"/>
      <c r="S16" s="362"/>
    </row>
    <row r="17" spans="1:19">
      <c r="A17" s="356">
        <v>14</v>
      </c>
      <c r="B17" s="356" t="s">
        <v>881</v>
      </c>
      <c r="C17" s="357" t="s">
        <v>882</v>
      </c>
      <c r="D17" s="357" t="s">
        <v>333</v>
      </c>
      <c r="E17" s="358" t="s">
        <v>281</v>
      </c>
      <c r="F17" s="366">
        <v>193.02493999999999</v>
      </c>
      <c r="G17" s="366">
        <v>54.630431999999992</v>
      </c>
      <c r="H17" s="366">
        <f t="shared" si="2"/>
        <v>138.394508</v>
      </c>
      <c r="I17" s="360">
        <f t="shared" si="3"/>
        <v>0.7169773398194037</v>
      </c>
      <c r="J17" s="359"/>
      <c r="K17" s="359"/>
      <c r="L17" s="359"/>
      <c r="M17" s="361"/>
      <c r="S17" s="362"/>
    </row>
    <row r="18" spans="1:19">
      <c r="A18" s="356">
        <v>15</v>
      </c>
      <c r="B18" s="356" t="s">
        <v>881</v>
      </c>
      <c r="C18" s="357" t="s">
        <v>882</v>
      </c>
      <c r="D18" s="357" t="s">
        <v>333</v>
      </c>
      <c r="E18" s="358" t="s">
        <v>282</v>
      </c>
      <c r="F18" s="366">
        <v>14.132187</v>
      </c>
      <c r="G18" s="366">
        <v>4.2241010000000001</v>
      </c>
      <c r="H18" s="366">
        <f t="shared" si="2"/>
        <v>9.9080860000000008</v>
      </c>
      <c r="I18" s="360">
        <f t="shared" si="3"/>
        <v>0.70110068597309116</v>
      </c>
      <c r="J18" s="359"/>
      <c r="K18" s="359"/>
      <c r="L18" s="359"/>
      <c r="M18" s="361"/>
      <c r="S18" s="362"/>
    </row>
    <row r="19" spans="1:19">
      <c r="A19" s="356">
        <v>16</v>
      </c>
      <c r="B19" s="356" t="s">
        <v>881</v>
      </c>
      <c r="C19" s="357" t="s">
        <v>882</v>
      </c>
      <c r="D19" s="357" t="s">
        <v>333</v>
      </c>
      <c r="E19" s="358" t="s">
        <v>283</v>
      </c>
      <c r="F19" s="366">
        <v>148.40094399999998</v>
      </c>
      <c r="G19" s="366">
        <v>43.944935999999998</v>
      </c>
      <c r="H19" s="366">
        <f t="shared" si="2"/>
        <v>104.45600799999998</v>
      </c>
      <c r="I19" s="360">
        <f t="shared" si="3"/>
        <v>0.70387697803323945</v>
      </c>
      <c r="J19" s="359"/>
      <c r="K19" s="359"/>
      <c r="L19" s="359"/>
      <c r="M19" s="361"/>
      <c r="S19" s="362"/>
    </row>
    <row r="20" spans="1:19">
      <c r="A20" s="356">
        <v>17</v>
      </c>
      <c r="B20" s="356" t="s">
        <v>881</v>
      </c>
      <c r="C20" s="357" t="s">
        <v>882</v>
      </c>
      <c r="D20" s="357" t="s">
        <v>333</v>
      </c>
      <c r="E20" s="358" t="s">
        <v>284</v>
      </c>
      <c r="F20" s="366">
        <v>17.771819000000001</v>
      </c>
      <c r="G20" s="366">
        <v>4.4495879999999994</v>
      </c>
      <c r="H20" s="366">
        <f t="shared" si="2"/>
        <v>13.322231000000002</v>
      </c>
      <c r="I20" s="360">
        <f t="shared" si="3"/>
        <v>0.7496267545826345</v>
      </c>
      <c r="J20" s="359"/>
      <c r="K20" s="359"/>
      <c r="L20" s="359"/>
      <c r="M20" s="361"/>
      <c r="S20" s="362"/>
    </row>
    <row r="21" spans="1:19">
      <c r="A21" s="356">
        <v>18</v>
      </c>
      <c r="B21" s="356" t="s">
        <v>881</v>
      </c>
      <c r="C21" s="357" t="s">
        <v>882</v>
      </c>
      <c r="D21" s="357" t="s">
        <v>333</v>
      </c>
      <c r="E21" s="358" t="s">
        <v>285</v>
      </c>
      <c r="F21" s="366">
        <v>83.863074999999995</v>
      </c>
      <c r="G21" s="366">
        <v>23.243713</v>
      </c>
      <c r="H21" s="366">
        <f t="shared" si="2"/>
        <v>60.619361999999995</v>
      </c>
      <c r="I21" s="360">
        <f t="shared" si="3"/>
        <v>0.72283733931769134</v>
      </c>
      <c r="J21" s="359"/>
      <c r="K21" s="359"/>
      <c r="L21" s="359"/>
      <c r="M21" s="361"/>
      <c r="S21" s="362"/>
    </row>
    <row r="22" spans="1:19">
      <c r="A22" s="356">
        <v>19</v>
      </c>
      <c r="B22" s="356" t="s">
        <v>881</v>
      </c>
      <c r="C22" s="357" t="s">
        <v>882</v>
      </c>
      <c r="D22" s="357" t="s">
        <v>333</v>
      </c>
      <c r="E22" s="358" t="s">
        <v>286</v>
      </c>
      <c r="F22" s="366">
        <v>185.56542300000001</v>
      </c>
      <c r="G22" s="366">
        <v>55.254640000000002</v>
      </c>
      <c r="H22" s="366">
        <f t="shared" si="2"/>
        <v>130.31078300000001</v>
      </c>
      <c r="I22" s="360">
        <f t="shared" si="3"/>
        <v>0.70223633742370206</v>
      </c>
      <c r="J22" s="359"/>
      <c r="K22" s="359"/>
      <c r="L22" s="359"/>
      <c r="M22" s="361"/>
      <c r="S22" s="362"/>
    </row>
    <row r="23" spans="1:19">
      <c r="A23" s="356">
        <v>20</v>
      </c>
      <c r="B23" s="356" t="s">
        <v>881</v>
      </c>
      <c r="C23" s="357" t="s">
        <v>882</v>
      </c>
      <c r="D23" s="357" t="s">
        <v>333</v>
      </c>
      <c r="E23" s="358" t="s">
        <v>287</v>
      </c>
      <c r="F23" s="366">
        <v>115.1088</v>
      </c>
      <c r="G23" s="366">
        <v>31.19097</v>
      </c>
      <c r="H23" s="366">
        <f t="shared" ref="H23:H80" si="4">F23-G23</f>
        <v>83.917830000000009</v>
      </c>
      <c r="I23" s="360">
        <f t="shared" ref="I23:I80" si="5">H23/F23</f>
        <v>0.72903053458988376</v>
      </c>
      <c r="J23" s="359"/>
      <c r="K23" s="359"/>
      <c r="L23" s="359"/>
      <c r="M23" s="361"/>
      <c r="S23" s="362"/>
    </row>
    <row r="24" spans="1:19">
      <c r="A24" s="356">
        <v>21</v>
      </c>
      <c r="B24" s="356" t="s">
        <v>881</v>
      </c>
      <c r="C24" s="357" t="s">
        <v>882</v>
      </c>
      <c r="D24" s="357" t="s">
        <v>333</v>
      </c>
      <c r="E24" s="358" t="s">
        <v>288</v>
      </c>
      <c r="F24" s="366">
        <v>46.894897999999998</v>
      </c>
      <c r="G24" s="366">
        <v>11.844696000000001</v>
      </c>
      <c r="H24" s="366">
        <f t="shared" si="4"/>
        <v>35.050201999999999</v>
      </c>
      <c r="I24" s="360">
        <f t="shared" si="5"/>
        <v>0.74742036969565429</v>
      </c>
      <c r="J24" s="359"/>
      <c r="K24" s="359"/>
      <c r="L24" s="359"/>
      <c r="M24" s="361"/>
      <c r="S24" s="362"/>
    </row>
    <row r="25" spans="1:19">
      <c r="A25" s="356">
        <v>22</v>
      </c>
      <c r="B25" s="356" t="s">
        <v>881</v>
      </c>
      <c r="C25" s="357" t="s">
        <v>882</v>
      </c>
      <c r="D25" s="357" t="s">
        <v>333</v>
      </c>
      <c r="E25" s="358" t="s">
        <v>289</v>
      </c>
      <c r="F25" s="366">
        <v>60.935694999999996</v>
      </c>
      <c r="G25" s="366">
        <v>15.078882</v>
      </c>
      <c r="H25" s="366">
        <f t="shared" si="4"/>
        <v>45.856812999999995</v>
      </c>
      <c r="I25" s="360">
        <f t="shared" si="5"/>
        <v>0.7525443502367537</v>
      </c>
      <c r="J25" s="359"/>
      <c r="K25" s="359"/>
      <c r="L25" s="359"/>
      <c r="M25" s="361"/>
      <c r="S25" s="362"/>
    </row>
    <row r="26" spans="1:19">
      <c r="A26" s="356">
        <v>23</v>
      </c>
      <c r="B26" s="356" t="s">
        <v>881</v>
      </c>
      <c r="C26" s="357" t="s">
        <v>882</v>
      </c>
      <c r="D26" s="357" t="s">
        <v>333</v>
      </c>
      <c r="E26" s="358" t="s">
        <v>290</v>
      </c>
      <c r="F26" s="366">
        <v>132.97715300000002</v>
      </c>
      <c r="G26" s="366">
        <v>37.324709999999996</v>
      </c>
      <c r="H26" s="366">
        <f t="shared" si="4"/>
        <v>95.652443000000019</v>
      </c>
      <c r="I26" s="360">
        <f t="shared" si="5"/>
        <v>0.71931486606575201</v>
      </c>
      <c r="J26" s="359"/>
      <c r="K26" s="359"/>
      <c r="L26" s="359"/>
      <c r="M26" s="361"/>
      <c r="S26" s="362"/>
    </row>
    <row r="27" spans="1:19">
      <c r="A27" s="356">
        <v>24</v>
      </c>
      <c r="B27" s="356" t="s">
        <v>881</v>
      </c>
      <c r="C27" s="357" t="s">
        <v>882</v>
      </c>
      <c r="D27" s="357" t="s">
        <v>333</v>
      </c>
      <c r="E27" s="358" t="s">
        <v>291</v>
      </c>
      <c r="F27" s="366">
        <v>53.220531000000008</v>
      </c>
      <c r="G27" s="366">
        <v>14.499653</v>
      </c>
      <c r="H27" s="366">
        <f t="shared" si="4"/>
        <v>38.720878000000006</v>
      </c>
      <c r="I27" s="360">
        <f t="shared" si="5"/>
        <v>0.72755527373449169</v>
      </c>
      <c r="J27" s="359"/>
      <c r="K27" s="359"/>
      <c r="L27" s="359"/>
      <c r="M27" s="361"/>
      <c r="S27" s="362"/>
    </row>
    <row r="28" spans="1:19">
      <c r="A28" s="356">
        <v>25</v>
      </c>
      <c r="B28" s="356" t="s">
        <v>881</v>
      </c>
      <c r="C28" s="357" t="s">
        <v>882</v>
      </c>
      <c r="D28" s="357" t="s">
        <v>333</v>
      </c>
      <c r="E28" s="358" t="s">
        <v>314</v>
      </c>
      <c r="F28" s="366">
        <v>47.328403000000002</v>
      </c>
      <c r="G28" s="366">
        <v>13.58733</v>
      </c>
      <c r="H28" s="366">
        <f t="shared" si="4"/>
        <v>33.741073</v>
      </c>
      <c r="I28" s="360">
        <f t="shared" si="5"/>
        <v>0.71291382893270239</v>
      </c>
      <c r="J28" s="359"/>
      <c r="K28" s="359"/>
      <c r="L28" s="359"/>
      <c r="M28" s="361"/>
      <c r="S28" s="362"/>
    </row>
    <row r="29" spans="1:19">
      <c r="A29" s="356">
        <v>26</v>
      </c>
      <c r="B29" s="356" t="s">
        <v>881</v>
      </c>
      <c r="C29" s="357" t="s">
        <v>882</v>
      </c>
      <c r="D29" s="357" t="s">
        <v>333</v>
      </c>
      <c r="E29" s="358" t="s">
        <v>324</v>
      </c>
      <c r="F29" s="366">
        <v>55.705762</v>
      </c>
      <c r="G29" s="366">
        <v>14.761865999999999</v>
      </c>
      <c r="H29" s="366">
        <f t="shared" si="4"/>
        <v>40.943896000000002</v>
      </c>
      <c r="I29" s="360">
        <f t="shared" si="5"/>
        <v>0.73500288892915611</v>
      </c>
      <c r="J29" s="359"/>
      <c r="K29" s="359"/>
      <c r="L29" s="359"/>
      <c r="M29" s="361"/>
      <c r="S29" s="362"/>
    </row>
    <row r="30" spans="1:19">
      <c r="A30" s="356">
        <v>27</v>
      </c>
      <c r="B30" s="356" t="s">
        <v>881</v>
      </c>
      <c r="C30" s="357" t="s">
        <v>882</v>
      </c>
      <c r="D30" s="357" t="s">
        <v>333</v>
      </c>
      <c r="E30" s="358" t="s">
        <v>325</v>
      </c>
      <c r="F30" s="366">
        <v>31.238737</v>
      </c>
      <c r="G30" s="366">
        <v>8.3904300000000003</v>
      </c>
      <c r="H30" s="366">
        <f t="shared" si="4"/>
        <v>22.848306999999998</v>
      </c>
      <c r="I30" s="360">
        <f t="shared" si="5"/>
        <v>0.73140943566316396</v>
      </c>
      <c r="J30" s="359"/>
      <c r="K30" s="359"/>
      <c r="L30" s="359"/>
      <c r="M30" s="361"/>
      <c r="S30" s="362"/>
    </row>
    <row r="31" spans="1:19">
      <c r="A31" s="356">
        <v>28</v>
      </c>
      <c r="B31" s="356" t="s">
        <v>881</v>
      </c>
      <c r="C31" s="357" t="s">
        <v>882</v>
      </c>
      <c r="D31" s="357" t="s">
        <v>335</v>
      </c>
      <c r="E31" s="358" t="s">
        <v>297</v>
      </c>
      <c r="F31" s="366">
        <v>23.151123999999999</v>
      </c>
      <c r="G31" s="366">
        <v>6.3254640000000002</v>
      </c>
      <c r="H31" s="366">
        <f t="shared" si="4"/>
        <v>16.825659999999999</v>
      </c>
      <c r="I31" s="360">
        <f t="shared" si="5"/>
        <v>0.72677508012137981</v>
      </c>
      <c r="J31" s="359"/>
      <c r="K31" s="359"/>
      <c r="L31" s="359"/>
      <c r="M31" s="361"/>
      <c r="S31" s="362"/>
    </row>
    <row r="32" spans="1:19">
      <c r="A32" s="356">
        <v>29</v>
      </c>
      <c r="B32" s="356" t="s">
        <v>881</v>
      </c>
      <c r="C32" s="357" t="s">
        <v>882</v>
      </c>
      <c r="D32" s="357" t="s">
        <v>335</v>
      </c>
      <c r="E32" s="358" t="s">
        <v>298</v>
      </c>
      <c r="F32" s="366">
        <v>186.19273999999999</v>
      </c>
      <c r="G32" s="366">
        <v>50.058785999999998</v>
      </c>
      <c r="H32" s="366">
        <f t="shared" si="4"/>
        <v>136.13395399999999</v>
      </c>
      <c r="I32" s="360">
        <f t="shared" si="5"/>
        <v>0.73114533896434419</v>
      </c>
      <c r="J32" s="359"/>
      <c r="K32" s="359"/>
      <c r="L32" s="359"/>
      <c r="M32" s="361"/>
      <c r="S32" s="362"/>
    </row>
    <row r="33" spans="1:19">
      <c r="A33" s="356">
        <v>30</v>
      </c>
      <c r="B33" s="356" t="s">
        <v>881</v>
      </c>
      <c r="C33" s="357" t="s">
        <v>882</v>
      </c>
      <c r="D33" s="357" t="s">
        <v>335</v>
      </c>
      <c r="E33" s="358" t="s">
        <v>299</v>
      </c>
      <c r="F33" s="366">
        <v>31.713863</v>
      </c>
      <c r="G33" s="366">
        <v>9.6803159999999995</v>
      </c>
      <c r="H33" s="366">
        <f t="shared" si="4"/>
        <v>22.033546999999999</v>
      </c>
      <c r="I33" s="360">
        <f t="shared" si="5"/>
        <v>0.69476074232899343</v>
      </c>
      <c r="J33" s="359"/>
      <c r="K33" s="359"/>
      <c r="L33" s="359"/>
      <c r="M33" s="361"/>
      <c r="S33" s="362"/>
    </row>
    <row r="34" spans="1:19">
      <c r="A34" s="356">
        <v>31</v>
      </c>
      <c r="B34" s="356" t="s">
        <v>881</v>
      </c>
      <c r="C34" s="357" t="s">
        <v>882</v>
      </c>
      <c r="D34" s="357" t="s">
        <v>335</v>
      </c>
      <c r="E34" s="358" t="s">
        <v>300</v>
      </c>
      <c r="F34" s="366">
        <v>98.869855000000001</v>
      </c>
      <c r="G34" s="366">
        <v>24.877239000000003</v>
      </c>
      <c r="H34" s="366">
        <f t="shared" si="4"/>
        <v>73.992615999999998</v>
      </c>
      <c r="I34" s="360">
        <f t="shared" si="5"/>
        <v>0.74838398417798835</v>
      </c>
      <c r="J34" s="359"/>
      <c r="K34" s="359"/>
      <c r="L34" s="359"/>
      <c r="M34" s="361"/>
      <c r="S34" s="362"/>
    </row>
    <row r="35" spans="1:19">
      <c r="A35" s="356">
        <v>32</v>
      </c>
      <c r="B35" s="356" t="s">
        <v>881</v>
      </c>
      <c r="C35" s="357" t="s">
        <v>882</v>
      </c>
      <c r="D35" s="357" t="s">
        <v>335</v>
      </c>
      <c r="E35" s="358" t="s">
        <v>301</v>
      </c>
      <c r="F35" s="366">
        <v>41.089261999999998</v>
      </c>
      <c r="G35" s="366">
        <v>10.492983000000001</v>
      </c>
      <c r="H35" s="366">
        <f t="shared" si="4"/>
        <v>30.596278999999996</v>
      </c>
      <c r="I35" s="360">
        <f t="shared" si="5"/>
        <v>0.74462955796090957</v>
      </c>
      <c r="J35" s="359"/>
      <c r="K35" s="359"/>
      <c r="L35" s="359"/>
      <c r="M35" s="361"/>
      <c r="S35" s="362"/>
    </row>
    <row r="36" spans="1:19">
      <c r="A36" s="356">
        <v>33</v>
      </c>
      <c r="B36" s="356" t="s">
        <v>881</v>
      </c>
      <c r="C36" s="357" t="s">
        <v>882</v>
      </c>
      <c r="D36" s="357" t="s">
        <v>335</v>
      </c>
      <c r="E36" s="358" t="s">
        <v>302</v>
      </c>
      <c r="F36" s="366">
        <v>454.023955</v>
      </c>
      <c r="G36" s="366">
        <v>119.29523999999999</v>
      </c>
      <c r="H36" s="366">
        <f t="shared" si="4"/>
        <v>334.72871500000002</v>
      </c>
      <c r="I36" s="360">
        <f t="shared" si="5"/>
        <v>0.7372490180611726</v>
      </c>
      <c r="J36" s="359"/>
      <c r="K36" s="359"/>
      <c r="L36" s="359"/>
      <c r="M36" s="361"/>
      <c r="S36" s="362"/>
    </row>
    <row r="37" spans="1:19">
      <c r="A37" s="356">
        <v>34</v>
      </c>
      <c r="B37" s="356" t="s">
        <v>881</v>
      </c>
      <c r="C37" s="357" t="s">
        <v>882</v>
      </c>
      <c r="D37" s="357" t="s">
        <v>335</v>
      </c>
      <c r="E37" s="358" t="s">
        <v>316</v>
      </c>
      <c r="F37" s="366">
        <v>385.817744</v>
      </c>
      <c r="G37" s="366">
        <v>103.209462</v>
      </c>
      <c r="H37" s="366">
        <f t="shared" si="4"/>
        <v>282.60828200000003</v>
      </c>
      <c r="I37" s="360">
        <f t="shared" si="5"/>
        <v>0.73249166580581127</v>
      </c>
      <c r="J37" s="359"/>
      <c r="K37" s="359"/>
      <c r="L37" s="359"/>
      <c r="M37" s="361"/>
      <c r="S37" s="362"/>
    </row>
    <row r="38" spans="1:19">
      <c r="A38" s="356">
        <v>35</v>
      </c>
      <c r="B38" s="356" t="s">
        <v>881</v>
      </c>
      <c r="C38" s="357" t="s">
        <v>882</v>
      </c>
      <c r="D38" s="357" t="s">
        <v>335</v>
      </c>
      <c r="E38" s="358" t="s">
        <v>318</v>
      </c>
      <c r="F38" s="366">
        <v>303.57621599999999</v>
      </c>
      <c r="G38" s="366">
        <v>82.945821999999993</v>
      </c>
      <c r="H38" s="366">
        <f t="shared" si="4"/>
        <v>220.630394</v>
      </c>
      <c r="I38" s="360">
        <f t="shared" si="5"/>
        <v>0.72677101291756008</v>
      </c>
      <c r="J38" s="359"/>
      <c r="K38" s="359"/>
      <c r="L38" s="359"/>
      <c r="M38" s="361"/>
      <c r="S38" s="362"/>
    </row>
    <row r="39" spans="1:19">
      <c r="A39" s="356">
        <v>36</v>
      </c>
      <c r="B39" s="356" t="s">
        <v>881</v>
      </c>
      <c r="C39" s="357" t="s">
        <v>882</v>
      </c>
      <c r="D39" s="357" t="s">
        <v>335</v>
      </c>
      <c r="E39" s="358" t="s">
        <v>327</v>
      </c>
      <c r="F39" s="366">
        <v>48.871528000000005</v>
      </c>
      <c r="G39" s="366">
        <v>13.942535999999999</v>
      </c>
      <c r="H39" s="366">
        <f t="shared" si="4"/>
        <v>34.928992000000008</v>
      </c>
      <c r="I39" s="360">
        <f t="shared" si="5"/>
        <v>0.71471045472529537</v>
      </c>
      <c r="J39" s="359"/>
      <c r="K39" s="359"/>
      <c r="L39" s="359"/>
      <c r="M39" s="361"/>
      <c r="S39" s="362"/>
    </row>
    <row r="40" spans="1:19">
      <c r="A40" s="356">
        <v>37</v>
      </c>
      <c r="B40" s="356" t="s">
        <v>881</v>
      </c>
      <c r="C40" s="357" t="s">
        <v>882</v>
      </c>
      <c r="D40" s="357" t="s">
        <v>337</v>
      </c>
      <c r="E40" s="358" t="s">
        <v>308</v>
      </c>
      <c r="F40" s="366">
        <v>77.470528000000002</v>
      </c>
      <c r="G40" s="366">
        <v>19.738451999999999</v>
      </c>
      <c r="H40" s="366">
        <f t="shared" si="4"/>
        <v>57.732076000000006</v>
      </c>
      <c r="I40" s="360">
        <f t="shared" si="5"/>
        <v>0.74521340554178239</v>
      </c>
      <c r="J40" s="359"/>
      <c r="K40" s="359"/>
      <c r="L40" s="359"/>
      <c r="M40" s="361"/>
      <c r="S40" s="362"/>
    </row>
    <row r="41" spans="1:19">
      <c r="A41" s="356">
        <v>38</v>
      </c>
      <c r="B41" s="356" t="s">
        <v>881</v>
      </c>
      <c r="C41" s="357" t="s">
        <v>882</v>
      </c>
      <c r="D41" s="357" t="s">
        <v>337</v>
      </c>
      <c r="E41" s="358" t="s">
        <v>993</v>
      </c>
      <c r="F41" s="366">
        <v>-7.8503490000000005</v>
      </c>
      <c r="G41" s="366">
        <v>-1.8253080000000002</v>
      </c>
      <c r="H41" s="366">
        <f t="shared" si="4"/>
        <v>-6.0250409999999999</v>
      </c>
      <c r="I41" s="360">
        <f t="shared" si="5"/>
        <v>0.7674870250991388</v>
      </c>
      <c r="J41" s="359"/>
      <c r="K41" s="359"/>
      <c r="L41" s="359"/>
      <c r="M41" s="361"/>
      <c r="S41" s="362"/>
    </row>
    <row r="42" spans="1:19">
      <c r="A42" s="356">
        <v>39</v>
      </c>
      <c r="B42" s="356" t="s">
        <v>881</v>
      </c>
      <c r="C42" s="357" t="s">
        <v>882</v>
      </c>
      <c r="D42" s="357" t="s">
        <v>337</v>
      </c>
      <c r="E42" s="358" t="s">
        <v>309</v>
      </c>
      <c r="F42" s="366">
        <v>8.4735060000000004</v>
      </c>
      <c r="G42" s="366">
        <v>2.190855</v>
      </c>
      <c r="H42" s="366">
        <f t="shared" si="4"/>
        <v>6.2826510000000004</v>
      </c>
      <c r="I42" s="360">
        <f t="shared" si="5"/>
        <v>0.74144645675591658</v>
      </c>
      <c r="J42" s="359"/>
      <c r="K42" s="359"/>
      <c r="L42" s="359"/>
      <c r="M42" s="361"/>
      <c r="S42" s="362"/>
    </row>
    <row r="43" spans="1:19">
      <c r="A43" s="356">
        <v>40</v>
      </c>
      <c r="B43" s="356" t="s">
        <v>881</v>
      </c>
      <c r="C43" s="357" t="s">
        <v>882</v>
      </c>
      <c r="D43" s="357" t="s">
        <v>337</v>
      </c>
      <c r="E43" s="358" t="s">
        <v>310</v>
      </c>
      <c r="F43" s="366">
        <v>55.439748999999999</v>
      </c>
      <c r="G43" s="366">
        <v>13.062789</v>
      </c>
      <c r="H43" s="366">
        <f t="shared" si="4"/>
        <v>42.376959999999997</v>
      </c>
      <c r="I43" s="360">
        <f t="shared" si="5"/>
        <v>0.76437864103605513</v>
      </c>
      <c r="J43" s="359"/>
      <c r="K43" s="359"/>
      <c r="L43" s="359"/>
      <c r="M43" s="361"/>
      <c r="S43" s="362"/>
    </row>
    <row r="44" spans="1:19">
      <c r="A44" s="356">
        <v>41</v>
      </c>
      <c r="B44" s="356" t="s">
        <v>881</v>
      </c>
      <c r="C44" s="357" t="s">
        <v>882</v>
      </c>
      <c r="D44" s="357" t="s">
        <v>337</v>
      </c>
      <c r="E44" s="358" t="s">
        <v>311</v>
      </c>
      <c r="F44" s="366">
        <v>56.963283999999994</v>
      </c>
      <c r="G44" s="366">
        <v>15.584744000000001</v>
      </c>
      <c r="H44" s="366">
        <f t="shared" si="4"/>
        <v>41.378539999999994</v>
      </c>
      <c r="I44" s="360">
        <f t="shared" si="5"/>
        <v>0.72640720643844903</v>
      </c>
      <c r="J44" s="359"/>
      <c r="K44" s="359"/>
      <c r="L44" s="359"/>
      <c r="M44" s="361"/>
      <c r="S44" s="362"/>
    </row>
    <row r="45" spans="1:19">
      <c r="A45" s="356">
        <v>42</v>
      </c>
      <c r="B45" s="356" t="s">
        <v>881</v>
      </c>
      <c r="C45" s="357" t="s">
        <v>882</v>
      </c>
      <c r="D45" s="357" t="s">
        <v>337</v>
      </c>
      <c r="E45" s="358" t="s">
        <v>317</v>
      </c>
      <c r="F45" s="366">
        <v>109.594545</v>
      </c>
      <c r="G45" s="366">
        <v>28.593582000000001</v>
      </c>
      <c r="H45" s="366">
        <f t="shared" si="4"/>
        <v>81.000962999999999</v>
      </c>
      <c r="I45" s="360">
        <f t="shared" si="5"/>
        <v>0.7390966676306745</v>
      </c>
      <c r="J45" s="359"/>
      <c r="K45" s="359"/>
      <c r="L45" s="359"/>
      <c r="M45" s="361"/>
      <c r="S45" s="362"/>
    </row>
    <row r="46" spans="1:19">
      <c r="A46" s="356">
        <v>43</v>
      </c>
      <c r="B46" s="356" t="s">
        <v>881</v>
      </c>
      <c r="C46" s="357" t="s">
        <v>882</v>
      </c>
      <c r="D46" s="357" t="s">
        <v>337</v>
      </c>
      <c r="E46" s="358" t="s">
        <v>481</v>
      </c>
      <c r="F46" s="366">
        <v>6.2077599999999995</v>
      </c>
      <c r="G46" s="366">
        <v>1.3888200000000002</v>
      </c>
      <c r="H46" s="366">
        <f t="shared" si="4"/>
        <v>4.8189399999999996</v>
      </c>
      <c r="I46" s="360">
        <f t="shared" si="5"/>
        <v>0.77627678905112307</v>
      </c>
      <c r="J46" s="359"/>
      <c r="K46" s="359"/>
      <c r="L46" s="359"/>
      <c r="M46" s="361"/>
      <c r="S46" s="362"/>
    </row>
    <row r="47" spans="1:19">
      <c r="A47" s="356">
        <v>44</v>
      </c>
      <c r="B47" s="356" t="s">
        <v>881</v>
      </c>
      <c r="C47" s="357" t="s">
        <v>882</v>
      </c>
      <c r="D47" s="357" t="s">
        <v>337</v>
      </c>
      <c r="E47" s="358" t="s">
        <v>323</v>
      </c>
      <c r="F47" s="366">
        <v>73.919477000000001</v>
      </c>
      <c r="G47" s="366">
        <v>16.606494000000001</v>
      </c>
      <c r="H47" s="366">
        <f t="shared" si="4"/>
        <v>57.312983000000003</v>
      </c>
      <c r="I47" s="360">
        <f t="shared" si="5"/>
        <v>0.77534345920764569</v>
      </c>
      <c r="J47" s="359"/>
      <c r="K47" s="359"/>
      <c r="L47" s="359"/>
      <c r="M47" s="361"/>
      <c r="S47" s="362"/>
    </row>
    <row r="48" spans="1:19">
      <c r="A48" s="356">
        <v>45</v>
      </c>
      <c r="B48" s="356" t="s">
        <v>881</v>
      </c>
      <c r="C48" s="357" t="s">
        <v>882</v>
      </c>
      <c r="D48" s="357" t="s">
        <v>337</v>
      </c>
      <c r="E48" s="358" t="s">
        <v>331</v>
      </c>
      <c r="F48" s="366">
        <v>14.689197</v>
      </c>
      <c r="G48" s="366">
        <v>4.0633919999999994</v>
      </c>
      <c r="H48" s="366">
        <f t="shared" si="4"/>
        <v>10.625805</v>
      </c>
      <c r="I48" s="360">
        <f t="shared" si="5"/>
        <v>0.72337548471846347</v>
      </c>
      <c r="J48" s="359"/>
      <c r="K48" s="359"/>
      <c r="L48" s="359"/>
      <c r="M48" s="361"/>
      <c r="S48" s="362"/>
    </row>
    <row r="49" spans="1:19">
      <c r="A49" s="356">
        <v>46</v>
      </c>
      <c r="B49" s="356" t="s">
        <v>881</v>
      </c>
      <c r="C49" s="357" t="s">
        <v>882</v>
      </c>
      <c r="D49" s="357" t="s">
        <v>337</v>
      </c>
      <c r="E49" s="358" t="s">
        <v>860</v>
      </c>
      <c r="F49" s="366">
        <v>67.583438000000001</v>
      </c>
      <c r="G49" s="366">
        <v>16.758996</v>
      </c>
      <c r="H49" s="366">
        <f t="shared" si="4"/>
        <v>50.824442000000005</v>
      </c>
      <c r="I49" s="360">
        <f t="shared" si="5"/>
        <v>0.75202510413867973</v>
      </c>
      <c r="J49" s="359"/>
      <c r="K49" s="359"/>
      <c r="L49" s="359"/>
      <c r="M49" s="361"/>
      <c r="S49" s="362"/>
    </row>
    <row r="50" spans="1:19">
      <c r="A50" s="356">
        <v>47</v>
      </c>
      <c r="B50" s="356" t="s">
        <v>881</v>
      </c>
      <c r="C50" s="357" t="s">
        <v>882</v>
      </c>
      <c r="D50" s="357" t="s">
        <v>338</v>
      </c>
      <c r="E50" s="358" t="s">
        <v>312</v>
      </c>
      <c r="F50" s="366">
        <v>118.781476</v>
      </c>
      <c r="G50" s="366">
        <v>32.086500000000001</v>
      </c>
      <c r="H50" s="366">
        <f t="shared" si="4"/>
        <v>86.694975999999997</v>
      </c>
      <c r="I50" s="360">
        <f t="shared" si="5"/>
        <v>0.72986949581262994</v>
      </c>
      <c r="J50" s="359"/>
      <c r="K50" s="359"/>
      <c r="L50" s="359"/>
      <c r="M50" s="361"/>
      <c r="S50" s="362"/>
    </row>
    <row r="51" spans="1:19">
      <c r="A51" s="356">
        <v>48</v>
      </c>
      <c r="B51" s="356" t="s">
        <v>881</v>
      </c>
      <c r="C51" s="357" t="s">
        <v>882</v>
      </c>
      <c r="D51" s="357" t="s">
        <v>338</v>
      </c>
      <c r="E51" s="358" t="s">
        <v>313</v>
      </c>
      <c r="F51" s="366">
        <v>13.710401999999998</v>
      </c>
      <c r="G51" s="366">
        <v>3.8473319999999998</v>
      </c>
      <c r="H51" s="366">
        <f t="shared" si="4"/>
        <v>9.8630699999999987</v>
      </c>
      <c r="I51" s="360">
        <f t="shared" si="5"/>
        <v>0.71938590859699081</v>
      </c>
      <c r="J51" s="359"/>
      <c r="K51" s="359"/>
      <c r="L51" s="359"/>
      <c r="M51" s="361"/>
      <c r="S51" s="362"/>
    </row>
    <row r="52" spans="1:19">
      <c r="A52" s="356">
        <v>49</v>
      </c>
      <c r="B52" s="356" t="s">
        <v>881</v>
      </c>
      <c r="C52" s="357" t="s">
        <v>882</v>
      </c>
      <c r="D52" s="357" t="s">
        <v>338</v>
      </c>
      <c r="E52" s="358" t="s">
        <v>319</v>
      </c>
      <c r="F52" s="366">
        <v>93.410729000000003</v>
      </c>
      <c r="G52" s="366">
        <v>24.367788000000001</v>
      </c>
      <c r="H52" s="366">
        <f t="shared" si="4"/>
        <v>69.042940999999999</v>
      </c>
      <c r="I52" s="360">
        <f t="shared" si="5"/>
        <v>0.739132878408432</v>
      </c>
      <c r="J52" s="359"/>
      <c r="K52" s="359"/>
      <c r="L52" s="359"/>
      <c r="M52" s="361"/>
      <c r="S52" s="362"/>
    </row>
    <row r="53" spans="1:19">
      <c r="A53" s="356">
        <v>50</v>
      </c>
      <c r="B53" s="356" t="s">
        <v>881</v>
      </c>
      <c r="C53" s="357" t="s">
        <v>882</v>
      </c>
      <c r="D53" s="357" t="s">
        <v>332</v>
      </c>
      <c r="E53" s="358" t="s">
        <v>482</v>
      </c>
      <c r="F53" s="366">
        <v>2.5667580000000001</v>
      </c>
      <c r="G53" s="366">
        <v>1.0593600000000001</v>
      </c>
      <c r="H53" s="366">
        <f t="shared" si="4"/>
        <v>1.507398</v>
      </c>
      <c r="I53" s="360">
        <f t="shared" si="5"/>
        <v>0.58727702416823091</v>
      </c>
      <c r="J53" s="359"/>
      <c r="K53" s="359"/>
      <c r="L53" s="359"/>
      <c r="M53" s="361"/>
      <c r="S53" s="362"/>
    </row>
    <row r="54" spans="1:19">
      <c r="A54" s="356">
        <v>51</v>
      </c>
      <c r="B54" s="356" t="s">
        <v>881</v>
      </c>
      <c r="C54" s="357" t="s">
        <v>882</v>
      </c>
      <c r="D54" s="357" t="s">
        <v>332</v>
      </c>
      <c r="E54" s="358" t="s">
        <v>280</v>
      </c>
      <c r="F54" s="366">
        <v>113.28886899999999</v>
      </c>
      <c r="G54" s="366">
        <v>28.015164000000002</v>
      </c>
      <c r="H54" s="366">
        <f t="shared" si="4"/>
        <v>85.273704999999993</v>
      </c>
      <c r="I54" s="360">
        <f t="shared" si="5"/>
        <v>0.75271035674299125</v>
      </c>
      <c r="J54" s="359"/>
      <c r="K54" s="359"/>
      <c r="L54" s="359"/>
      <c r="M54" s="361"/>
      <c r="S54" s="362"/>
    </row>
    <row r="55" spans="1:19">
      <c r="A55" s="356">
        <v>52</v>
      </c>
      <c r="B55" s="356" t="s">
        <v>881</v>
      </c>
      <c r="C55" s="357" t="s">
        <v>882</v>
      </c>
      <c r="D55" s="357" t="s">
        <v>332</v>
      </c>
      <c r="E55" s="358" t="s">
        <v>292</v>
      </c>
      <c r="F55" s="366">
        <v>79.181763000000004</v>
      </c>
      <c r="G55" s="366">
        <v>19.670411999999999</v>
      </c>
      <c r="H55" s="366">
        <f t="shared" si="4"/>
        <v>59.511351000000005</v>
      </c>
      <c r="I55" s="360">
        <f t="shared" si="5"/>
        <v>0.75157900942417766</v>
      </c>
      <c r="J55" s="359"/>
      <c r="K55" s="359"/>
      <c r="L55" s="359"/>
      <c r="M55" s="361"/>
      <c r="S55" s="362"/>
    </row>
    <row r="56" spans="1:19">
      <c r="A56" s="356">
        <v>53</v>
      </c>
      <c r="B56" s="356" t="s">
        <v>881</v>
      </c>
      <c r="C56" s="357" t="s">
        <v>882</v>
      </c>
      <c r="D56" s="357" t="s">
        <v>332</v>
      </c>
      <c r="E56" s="358" t="s">
        <v>315</v>
      </c>
      <c r="F56" s="366">
        <v>190.716543</v>
      </c>
      <c r="G56" s="366">
        <v>53.477235</v>
      </c>
      <c r="H56" s="366">
        <f t="shared" si="4"/>
        <v>137.23930799999999</v>
      </c>
      <c r="I56" s="360">
        <f t="shared" si="5"/>
        <v>0.71959834129334022</v>
      </c>
      <c r="J56" s="359"/>
      <c r="K56" s="359"/>
      <c r="L56" s="359"/>
      <c r="M56" s="361"/>
      <c r="S56" s="362"/>
    </row>
    <row r="57" spans="1:19">
      <c r="A57" s="356">
        <v>54</v>
      </c>
      <c r="B57" s="356" t="s">
        <v>881</v>
      </c>
      <c r="C57" s="357" t="s">
        <v>882</v>
      </c>
      <c r="D57" s="357" t="s">
        <v>332</v>
      </c>
      <c r="E57" s="358" t="s">
        <v>326</v>
      </c>
      <c r="F57" s="366">
        <v>156.718423</v>
      </c>
      <c r="G57" s="366">
        <v>38.189568000000001</v>
      </c>
      <c r="H57" s="366">
        <f t="shared" si="4"/>
        <v>118.52885499999999</v>
      </c>
      <c r="I57" s="360">
        <f t="shared" si="5"/>
        <v>0.75631730291211519</v>
      </c>
      <c r="J57" s="359"/>
      <c r="K57" s="359"/>
      <c r="L57" s="359"/>
      <c r="M57" s="361"/>
      <c r="S57" s="362"/>
    </row>
    <row r="58" spans="1:19">
      <c r="A58" s="356">
        <v>55</v>
      </c>
      <c r="B58" s="356" t="s">
        <v>881</v>
      </c>
      <c r="C58" s="357" t="s">
        <v>882</v>
      </c>
      <c r="D58" s="357" t="s">
        <v>332</v>
      </c>
      <c r="E58" s="358" t="s">
        <v>1090</v>
      </c>
      <c r="F58" s="366">
        <v>59.156406000000004</v>
      </c>
      <c r="G58" s="366">
        <v>14.707235999999998</v>
      </c>
      <c r="H58" s="366">
        <f t="shared" si="4"/>
        <v>44.449170000000009</v>
      </c>
      <c r="I58" s="360">
        <f t="shared" si="5"/>
        <v>0.75138388224599051</v>
      </c>
      <c r="J58" s="359"/>
      <c r="K58" s="359"/>
      <c r="L58" s="359"/>
      <c r="M58" s="361"/>
      <c r="S58" s="362"/>
    </row>
    <row r="59" spans="1:19">
      <c r="A59" s="356">
        <v>56</v>
      </c>
      <c r="B59" s="356" t="s">
        <v>881</v>
      </c>
      <c r="C59" s="357" t="s">
        <v>882</v>
      </c>
      <c r="D59" s="357" t="s">
        <v>332</v>
      </c>
      <c r="E59" s="358" t="s">
        <v>483</v>
      </c>
      <c r="F59" s="366">
        <v>49.193540000000006</v>
      </c>
      <c r="G59" s="366">
        <v>12.322908</v>
      </c>
      <c r="H59" s="366">
        <f t="shared" si="4"/>
        <v>36.870632000000008</v>
      </c>
      <c r="I59" s="360">
        <f t="shared" si="5"/>
        <v>0.74950149958714096</v>
      </c>
      <c r="J59" s="359"/>
      <c r="K59" s="359"/>
      <c r="L59" s="359"/>
      <c r="M59" s="361"/>
      <c r="S59" s="362"/>
    </row>
    <row r="60" spans="1:19">
      <c r="A60" s="356">
        <v>57</v>
      </c>
      <c r="B60" s="356" t="s">
        <v>881</v>
      </c>
      <c r="C60" s="357" t="s">
        <v>882</v>
      </c>
      <c r="D60" s="357" t="s">
        <v>336</v>
      </c>
      <c r="E60" s="358" t="s">
        <v>303</v>
      </c>
      <c r="F60" s="366">
        <v>282.020983</v>
      </c>
      <c r="G60" s="366">
        <v>78.769421999999992</v>
      </c>
      <c r="H60" s="366">
        <f t="shared" si="4"/>
        <v>203.25156100000001</v>
      </c>
      <c r="I60" s="360">
        <f t="shared" si="5"/>
        <v>0.72069659086324089</v>
      </c>
      <c r="J60" s="359"/>
      <c r="K60" s="359"/>
      <c r="L60" s="359"/>
      <c r="M60" s="361"/>
      <c r="S60" s="362"/>
    </row>
    <row r="61" spans="1:19">
      <c r="A61" s="356">
        <v>58</v>
      </c>
      <c r="B61" s="356" t="s">
        <v>881</v>
      </c>
      <c r="C61" s="357" t="s">
        <v>882</v>
      </c>
      <c r="D61" s="357" t="s">
        <v>336</v>
      </c>
      <c r="E61" s="358" t="s">
        <v>304</v>
      </c>
      <c r="F61" s="366">
        <v>153.06038600000002</v>
      </c>
      <c r="G61" s="366">
        <v>39.588366000000001</v>
      </c>
      <c r="H61" s="366">
        <f t="shared" si="4"/>
        <v>113.47202000000001</v>
      </c>
      <c r="I61" s="360">
        <f t="shared" si="5"/>
        <v>0.74135459190596842</v>
      </c>
      <c r="J61" s="359"/>
      <c r="K61" s="359"/>
      <c r="L61" s="359"/>
      <c r="M61" s="361"/>
      <c r="S61" s="362"/>
    </row>
    <row r="62" spans="1:19">
      <c r="A62" s="356">
        <v>59</v>
      </c>
      <c r="B62" s="356" t="s">
        <v>881</v>
      </c>
      <c r="C62" s="357" t="s">
        <v>882</v>
      </c>
      <c r="D62" s="357" t="s">
        <v>336</v>
      </c>
      <c r="E62" s="358" t="s">
        <v>305</v>
      </c>
      <c r="F62" s="366">
        <v>133.369124</v>
      </c>
      <c r="G62" s="366">
        <v>38.488554000000001</v>
      </c>
      <c r="H62" s="366">
        <f t="shared" si="4"/>
        <v>94.880570000000006</v>
      </c>
      <c r="I62" s="360">
        <f t="shared" si="5"/>
        <v>0.71141331032510946</v>
      </c>
      <c r="J62" s="359"/>
      <c r="K62" s="359"/>
      <c r="L62" s="359"/>
      <c r="M62" s="361"/>
      <c r="S62" s="362"/>
    </row>
    <row r="63" spans="1:19">
      <c r="A63" s="356">
        <v>60</v>
      </c>
      <c r="B63" s="356" t="s">
        <v>881</v>
      </c>
      <c r="C63" s="357" t="s">
        <v>882</v>
      </c>
      <c r="D63" s="357" t="s">
        <v>336</v>
      </c>
      <c r="E63" s="358" t="s">
        <v>306</v>
      </c>
      <c r="F63" s="366">
        <v>93.501114999999999</v>
      </c>
      <c r="G63" s="366">
        <v>25.812239000000002</v>
      </c>
      <c r="H63" s="366">
        <f t="shared" si="4"/>
        <v>67.688875999999993</v>
      </c>
      <c r="I63" s="360">
        <f t="shared" si="5"/>
        <v>0.72393656482064406</v>
      </c>
      <c r="J63" s="359"/>
      <c r="K63" s="359"/>
      <c r="L63" s="359"/>
      <c r="M63" s="361"/>
      <c r="S63" s="362"/>
    </row>
    <row r="64" spans="1:19">
      <c r="A64" s="356">
        <v>61</v>
      </c>
      <c r="B64" s="356" t="s">
        <v>881</v>
      </c>
      <c r="C64" s="357" t="s">
        <v>882</v>
      </c>
      <c r="D64" s="357" t="s">
        <v>336</v>
      </c>
      <c r="E64" s="358" t="s">
        <v>307</v>
      </c>
      <c r="F64" s="366">
        <v>5.4362269999999997</v>
      </c>
      <c r="G64" s="366">
        <v>4.968756</v>
      </c>
      <c r="H64" s="366">
        <f t="shared" si="4"/>
        <v>0.46747099999999975</v>
      </c>
      <c r="I64" s="360">
        <f t="shared" si="5"/>
        <v>8.5991810128605697E-2</v>
      </c>
      <c r="J64" s="359"/>
      <c r="K64" s="359"/>
      <c r="L64" s="359"/>
      <c r="M64" s="361"/>
      <c r="S64" s="362"/>
    </row>
    <row r="65" spans="1:19">
      <c r="A65" s="356">
        <v>62</v>
      </c>
      <c r="B65" s="356" t="s">
        <v>881</v>
      </c>
      <c r="C65" s="357" t="s">
        <v>882</v>
      </c>
      <c r="D65" s="357" t="s">
        <v>336</v>
      </c>
      <c r="E65" s="358" t="s">
        <v>320</v>
      </c>
      <c r="F65" s="366">
        <v>143.393922</v>
      </c>
      <c r="G65" s="366">
        <v>40.564673999999997</v>
      </c>
      <c r="H65" s="366">
        <f t="shared" si="4"/>
        <v>102.82924800000001</v>
      </c>
      <c r="I65" s="360">
        <f t="shared" si="5"/>
        <v>0.71711022730796081</v>
      </c>
      <c r="J65" s="359"/>
      <c r="K65" s="359"/>
      <c r="L65" s="359"/>
      <c r="M65" s="361"/>
      <c r="S65" s="362"/>
    </row>
    <row r="66" spans="1:19">
      <c r="A66" s="356">
        <v>63</v>
      </c>
      <c r="B66" s="356" t="s">
        <v>881</v>
      </c>
      <c r="C66" s="357" t="s">
        <v>882</v>
      </c>
      <c r="D66" s="357" t="s">
        <v>336</v>
      </c>
      <c r="E66" s="358" t="s">
        <v>859</v>
      </c>
      <c r="F66" s="366">
        <v>91.81982099999999</v>
      </c>
      <c r="G66" s="366">
        <v>23.030567999999999</v>
      </c>
      <c r="H66" s="366">
        <f t="shared" si="4"/>
        <v>68.789252999999988</v>
      </c>
      <c r="I66" s="360">
        <f t="shared" si="5"/>
        <v>0.74917650950332382</v>
      </c>
      <c r="J66" s="359"/>
      <c r="K66" s="359"/>
      <c r="L66" s="359"/>
      <c r="M66" s="361"/>
      <c r="S66" s="362"/>
    </row>
    <row r="67" spans="1:19">
      <c r="A67" s="356">
        <v>64</v>
      </c>
      <c r="B67" s="356" t="s">
        <v>881</v>
      </c>
      <c r="C67" s="357" t="s">
        <v>794</v>
      </c>
      <c r="D67" s="357" t="s">
        <v>392</v>
      </c>
      <c r="E67" s="358" t="s">
        <v>339</v>
      </c>
      <c r="F67" s="366">
        <v>19.906538000000001</v>
      </c>
      <c r="G67" s="366">
        <v>5.6116320000000002</v>
      </c>
      <c r="H67" s="366">
        <f t="shared" si="4"/>
        <v>14.294906000000001</v>
      </c>
      <c r="I67" s="360">
        <f t="shared" si="5"/>
        <v>0.71810105805439395</v>
      </c>
      <c r="J67" s="359"/>
      <c r="K67" s="359"/>
      <c r="L67" s="359"/>
      <c r="M67" s="361"/>
      <c r="S67" s="362"/>
    </row>
    <row r="68" spans="1:19">
      <c r="A68" s="356">
        <v>65</v>
      </c>
      <c r="B68" s="356" t="s">
        <v>881</v>
      </c>
      <c r="C68" s="357" t="s">
        <v>794</v>
      </c>
      <c r="D68" s="357" t="s">
        <v>392</v>
      </c>
      <c r="E68" s="358" t="s">
        <v>340</v>
      </c>
      <c r="F68" s="366">
        <v>13.714241000000001</v>
      </c>
      <c r="G68" s="366">
        <v>3.4316499999999999</v>
      </c>
      <c r="H68" s="366">
        <f t="shared" si="4"/>
        <v>10.282591000000002</v>
      </c>
      <c r="I68" s="360">
        <f t="shared" si="5"/>
        <v>0.74977470499461119</v>
      </c>
      <c r="J68" s="359"/>
      <c r="K68" s="359"/>
      <c r="L68" s="359"/>
      <c r="M68" s="361"/>
      <c r="S68" s="362"/>
    </row>
    <row r="69" spans="1:19">
      <c r="A69" s="356">
        <v>66</v>
      </c>
      <c r="B69" s="356" t="s">
        <v>881</v>
      </c>
      <c r="C69" s="357" t="s">
        <v>794</v>
      </c>
      <c r="D69" s="357" t="s">
        <v>392</v>
      </c>
      <c r="E69" s="358" t="s">
        <v>341</v>
      </c>
      <c r="F69" s="366">
        <v>15.981451000000002</v>
      </c>
      <c r="G69" s="366">
        <v>4.1268000000000002</v>
      </c>
      <c r="H69" s="366">
        <f t="shared" si="4"/>
        <v>11.854651</v>
      </c>
      <c r="I69" s="360">
        <f t="shared" si="5"/>
        <v>0.74177563726848073</v>
      </c>
      <c r="J69" s="359"/>
      <c r="K69" s="359"/>
      <c r="L69" s="359"/>
      <c r="M69" s="361"/>
      <c r="S69" s="362"/>
    </row>
    <row r="70" spans="1:19">
      <c r="A70" s="356">
        <v>67</v>
      </c>
      <c r="B70" s="356" t="s">
        <v>881</v>
      </c>
      <c r="C70" s="357" t="s">
        <v>794</v>
      </c>
      <c r="D70" s="357" t="s">
        <v>392</v>
      </c>
      <c r="E70" s="358" t="s">
        <v>342</v>
      </c>
      <c r="F70" s="366">
        <v>20.512079999999997</v>
      </c>
      <c r="G70" s="366">
        <v>4.5316320000000001</v>
      </c>
      <c r="H70" s="366">
        <f t="shared" si="4"/>
        <v>15.980447999999997</v>
      </c>
      <c r="I70" s="360">
        <f t="shared" si="5"/>
        <v>0.77907496460622228</v>
      </c>
      <c r="J70" s="359"/>
      <c r="K70" s="359"/>
      <c r="L70" s="359"/>
      <c r="M70" s="361"/>
      <c r="S70" s="362"/>
    </row>
    <row r="71" spans="1:19">
      <c r="A71" s="356">
        <v>68</v>
      </c>
      <c r="B71" s="356" t="s">
        <v>881</v>
      </c>
      <c r="C71" s="357" t="s">
        <v>794</v>
      </c>
      <c r="D71" s="357" t="s">
        <v>392</v>
      </c>
      <c r="E71" s="358" t="s">
        <v>351</v>
      </c>
      <c r="F71" s="366">
        <v>57.772635999999999</v>
      </c>
      <c r="G71" s="366">
        <v>11.593446</v>
      </c>
      <c r="H71" s="366">
        <f t="shared" si="4"/>
        <v>46.179189999999998</v>
      </c>
      <c r="I71" s="360">
        <f t="shared" si="5"/>
        <v>0.79932634543454106</v>
      </c>
      <c r="J71" s="359"/>
      <c r="K71" s="359"/>
      <c r="L71" s="359"/>
      <c r="M71" s="361"/>
      <c r="S71" s="362"/>
    </row>
    <row r="72" spans="1:19">
      <c r="A72" s="356">
        <v>69</v>
      </c>
      <c r="B72" s="356" t="s">
        <v>881</v>
      </c>
      <c r="C72" s="357" t="s">
        <v>794</v>
      </c>
      <c r="D72" s="357" t="s">
        <v>392</v>
      </c>
      <c r="E72" s="358" t="s">
        <v>363</v>
      </c>
      <c r="F72" s="366">
        <v>62.152248999999998</v>
      </c>
      <c r="G72" s="366">
        <v>12.851747999999999</v>
      </c>
      <c r="H72" s="366">
        <f t="shared" si="4"/>
        <v>49.300500999999997</v>
      </c>
      <c r="I72" s="360">
        <f t="shared" si="5"/>
        <v>0.79322151319093859</v>
      </c>
      <c r="J72" s="359"/>
      <c r="K72" s="359"/>
      <c r="L72" s="359"/>
      <c r="M72" s="361"/>
      <c r="S72" s="362"/>
    </row>
    <row r="73" spans="1:19">
      <c r="A73" s="356">
        <v>70</v>
      </c>
      <c r="B73" s="356" t="s">
        <v>881</v>
      </c>
      <c r="C73" s="357" t="s">
        <v>794</v>
      </c>
      <c r="D73" s="357" t="s">
        <v>392</v>
      </c>
      <c r="E73" s="358" t="s">
        <v>364</v>
      </c>
      <c r="F73" s="366">
        <v>38.854607999999999</v>
      </c>
      <c r="G73" s="366">
        <v>6.6898229999999996</v>
      </c>
      <c r="H73" s="366">
        <f t="shared" si="4"/>
        <v>32.164785000000002</v>
      </c>
      <c r="I73" s="360">
        <f t="shared" si="5"/>
        <v>0.8278242055614099</v>
      </c>
      <c r="J73" s="359"/>
      <c r="K73" s="359"/>
      <c r="L73" s="359"/>
      <c r="M73" s="361"/>
      <c r="S73" s="362"/>
    </row>
    <row r="74" spans="1:19">
      <c r="A74" s="356">
        <v>71</v>
      </c>
      <c r="B74" s="356" t="s">
        <v>881</v>
      </c>
      <c r="C74" s="357" t="s">
        <v>794</v>
      </c>
      <c r="D74" s="357" t="s">
        <v>392</v>
      </c>
      <c r="E74" s="358" t="s">
        <v>365</v>
      </c>
      <c r="F74" s="366">
        <v>24.861470999999998</v>
      </c>
      <c r="G74" s="366">
        <v>6.0932940000000002</v>
      </c>
      <c r="H74" s="366">
        <f t="shared" si="4"/>
        <v>18.768176999999998</v>
      </c>
      <c r="I74" s="360">
        <f t="shared" si="5"/>
        <v>0.75491015797094219</v>
      </c>
      <c r="J74" s="359"/>
      <c r="K74" s="359"/>
      <c r="L74" s="359"/>
      <c r="M74" s="361"/>
      <c r="S74" s="362"/>
    </row>
    <row r="75" spans="1:19">
      <c r="A75" s="356">
        <v>72</v>
      </c>
      <c r="B75" s="356" t="s">
        <v>881</v>
      </c>
      <c r="C75" s="357" t="s">
        <v>794</v>
      </c>
      <c r="D75" s="357" t="s">
        <v>392</v>
      </c>
      <c r="E75" s="358" t="s">
        <v>367</v>
      </c>
      <c r="F75" s="366">
        <v>32.727563000000004</v>
      </c>
      <c r="G75" s="366">
        <v>6.3638879999999993</v>
      </c>
      <c r="H75" s="366">
        <f t="shared" si="4"/>
        <v>26.363675000000004</v>
      </c>
      <c r="I75" s="360">
        <f t="shared" si="5"/>
        <v>0.80554959133376358</v>
      </c>
      <c r="J75" s="359"/>
      <c r="K75" s="359"/>
      <c r="L75" s="359"/>
      <c r="M75" s="361"/>
      <c r="S75" s="362"/>
    </row>
    <row r="76" spans="1:19">
      <c r="A76" s="356">
        <v>73</v>
      </c>
      <c r="B76" s="356" t="s">
        <v>881</v>
      </c>
      <c r="C76" s="357" t="s">
        <v>794</v>
      </c>
      <c r="D76" s="357" t="s">
        <v>392</v>
      </c>
      <c r="E76" s="358" t="s">
        <v>376</v>
      </c>
      <c r="F76" s="366">
        <v>56.413497999999997</v>
      </c>
      <c r="G76" s="366">
        <v>10.365347999999999</v>
      </c>
      <c r="H76" s="366">
        <f t="shared" si="4"/>
        <v>46.04815</v>
      </c>
      <c r="I76" s="360">
        <f t="shared" si="5"/>
        <v>0.81626120755709919</v>
      </c>
      <c r="J76" s="359"/>
      <c r="K76" s="359"/>
      <c r="L76" s="359"/>
      <c r="M76" s="361"/>
      <c r="S76" s="362"/>
    </row>
    <row r="77" spans="1:19">
      <c r="A77" s="356">
        <v>74</v>
      </c>
      <c r="B77" s="356" t="s">
        <v>881</v>
      </c>
      <c r="C77" s="357" t="s">
        <v>794</v>
      </c>
      <c r="D77" s="357" t="s">
        <v>392</v>
      </c>
      <c r="E77" s="358" t="s">
        <v>383</v>
      </c>
      <c r="F77" s="366">
        <v>24.814498</v>
      </c>
      <c r="G77" s="366">
        <v>5.2310040000000004</v>
      </c>
      <c r="H77" s="366">
        <f t="shared" si="4"/>
        <v>19.583494000000002</v>
      </c>
      <c r="I77" s="360">
        <f t="shared" si="5"/>
        <v>0.78919565489497312</v>
      </c>
      <c r="J77" s="359"/>
      <c r="K77" s="359"/>
      <c r="L77" s="359"/>
      <c r="M77" s="361"/>
      <c r="S77" s="362"/>
    </row>
    <row r="78" spans="1:19">
      <c r="A78" s="356">
        <v>75</v>
      </c>
      <c r="B78" s="356" t="s">
        <v>881</v>
      </c>
      <c r="C78" s="357" t="s">
        <v>794</v>
      </c>
      <c r="D78" s="357" t="s">
        <v>392</v>
      </c>
      <c r="E78" s="358" t="s">
        <v>386</v>
      </c>
      <c r="F78" s="366">
        <v>14.369399</v>
      </c>
      <c r="G78" s="366">
        <v>2.8908900000000002</v>
      </c>
      <c r="H78" s="366">
        <f t="shared" si="4"/>
        <v>11.478508999999999</v>
      </c>
      <c r="I78" s="360">
        <f t="shared" si="5"/>
        <v>0.79881622049746126</v>
      </c>
      <c r="J78" s="359"/>
      <c r="K78" s="359"/>
      <c r="L78" s="359"/>
      <c r="M78" s="361"/>
      <c r="S78" s="362"/>
    </row>
    <row r="79" spans="1:19">
      <c r="A79" s="356">
        <v>76</v>
      </c>
      <c r="B79" s="356" t="s">
        <v>881</v>
      </c>
      <c r="C79" s="357" t="s">
        <v>794</v>
      </c>
      <c r="D79" s="357" t="s">
        <v>392</v>
      </c>
      <c r="E79" s="358" t="s">
        <v>863</v>
      </c>
      <c r="F79" s="366">
        <v>17.080867000000001</v>
      </c>
      <c r="G79" s="366">
        <v>3.9946800000000002</v>
      </c>
      <c r="H79" s="366">
        <f t="shared" si="4"/>
        <v>13.086187000000001</v>
      </c>
      <c r="I79" s="360">
        <f t="shared" si="5"/>
        <v>0.76613130937674301</v>
      </c>
      <c r="J79" s="359"/>
      <c r="K79" s="359"/>
      <c r="L79" s="359"/>
      <c r="M79" s="361"/>
      <c r="S79" s="362"/>
    </row>
    <row r="80" spans="1:19">
      <c r="A80" s="356">
        <v>77</v>
      </c>
      <c r="B80" s="356" t="s">
        <v>881</v>
      </c>
      <c r="C80" s="357" t="s">
        <v>794</v>
      </c>
      <c r="D80" s="357" t="s">
        <v>392</v>
      </c>
      <c r="E80" s="358" t="s">
        <v>391</v>
      </c>
      <c r="F80" s="366">
        <v>30.585697999999997</v>
      </c>
      <c r="G80" s="366">
        <v>6.5474639999999997</v>
      </c>
      <c r="H80" s="366">
        <f t="shared" si="4"/>
        <v>24.038233999999996</v>
      </c>
      <c r="I80" s="360">
        <f t="shared" si="5"/>
        <v>0.78593053524559087</v>
      </c>
      <c r="J80" s="359"/>
      <c r="K80" s="359"/>
      <c r="L80" s="359"/>
      <c r="M80" s="361"/>
      <c r="S80" s="362"/>
    </row>
    <row r="81" spans="1:19">
      <c r="A81" s="356">
        <v>78</v>
      </c>
      <c r="B81" s="356" t="s">
        <v>881</v>
      </c>
      <c r="C81" s="357" t="s">
        <v>794</v>
      </c>
      <c r="D81" s="357" t="s">
        <v>392</v>
      </c>
      <c r="E81" s="358" t="s">
        <v>484</v>
      </c>
      <c r="F81" s="366">
        <v>22.207221000000001</v>
      </c>
      <c r="G81" s="366">
        <v>4.5896099999999995</v>
      </c>
      <c r="H81" s="366">
        <f t="shared" ref="H81:H123" si="6">F81-G81</f>
        <v>17.617611</v>
      </c>
      <c r="I81" s="360">
        <f t="shared" ref="I81:I123" si="7">H81/F81</f>
        <v>0.79332803505670524</v>
      </c>
      <c r="J81" s="359"/>
      <c r="K81" s="359"/>
      <c r="L81" s="359"/>
      <c r="M81" s="361"/>
      <c r="S81" s="362"/>
    </row>
    <row r="82" spans="1:19">
      <c r="A82" s="356">
        <v>79</v>
      </c>
      <c r="B82" s="356" t="s">
        <v>881</v>
      </c>
      <c r="C82" s="357" t="s">
        <v>794</v>
      </c>
      <c r="D82" s="357" t="s">
        <v>392</v>
      </c>
      <c r="E82" s="358" t="s">
        <v>864</v>
      </c>
      <c r="F82" s="366">
        <v>14.856210999999998</v>
      </c>
      <c r="G82" s="366">
        <v>3.1273560000000002</v>
      </c>
      <c r="H82" s="366">
        <f t="shared" si="6"/>
        <v>11.728854999999998</v>
      </c>
      <c r="I82" s="360">
        <f t="shared" si="7"/>
        <v>0.78949168129074088</v>
      </c>
      <c r="J82" s="359"/>
      <c r="K82" s="359"/>
      <c r="L82" s="359"/>
      <c r="M82" s="361"/>
      <c r="S82" s="362"/>
    </row>
    <row r="83" spans="1:19">
      <c r="A83" s="356">
        <v>80</v>
      </c>
      <c r="B83" s="356" t="s">
        <v>881</v>
      </c>
      <c r="C83" s="357" t="s">
        <v>794</v>
      </c>
      <c r="D83" s="357" t="s">
        <v>392</v>
      </c>
      <c r="E83" s="358" t="s">
        <v>947</v>
      </c>
      <c r="F83" s="366">
        <v>12.787910999999999</v>
      </c>
      <c r="G83" s="366">
        <v>2.5318619999999998</v>
      </c>
      <c r="H83" s="366">
        <f t="shared" si="6"/>
        <v>10.256048999999999</v>
      </c>
      <c r="I83" s="360">
        <f t="shared" si="7"/>
        <v>0.80201129019430928</v>
      </c>
      <c r="J83" s="359"/>
      <c r="K83" s="359"/>
      <c r="L83" s="359"/>
      <c r="M83" s="361"/>
      <c r="S83" s="362"/>
    </row>
    <row r="84" spans="1:19">
      <c r="A84" s="356">
        <v>81</v>
      </c>
      <c r="B84" s="356" t="s">
        <v>881</v>
      </c>
      <c r="C84" s="357" t="s">
        <v>794</v>
      </c>
      <c r="D84" s="357" t="s">
        <v>392</v>
      </c>
      <c r="E84" s="358" t="s">
        <v>869</v>
      </c>
      <c r="F84" s="366">
        <v>14.209929999999998</v>
      </c>
      <c r="G84" s="366">
        <v>3.0726840000000002</v>
      </c>
      <c r="H84" s="366">
        <f t="shared" si="6"/>
        <v>11.137245999999998</v>
      </c>
      <c r="I84" s="360">
        <f t="shared" si="7"/>
        <v>0.78376501502822316</v>
      </c>
      <c r="J84" s="359"/>
      <c r="K84" s="359"/>
      <c r="L84" s="359"/>
      <c r="M84" s="361"/>
      <c r="S84" s="362"/>
    </row>
    <row r="85" spans="1:19">
      <c r="A85" s="356">
        <v>82</v>
      </c>
      <c r="B85" s="356" t="s">
        <v>881</v>
      </c>
      <c r="C85" s="357" t="s">
        <v>794</v>
      </c>
      <c r="D85" s="357" t="s">
        <v>392</v>
      </c>
      <c r="E85" s="358" t="s">
        <v>948</v>
      </c>
      <c r="F85" s="366">
        <v>2.6079289999999999</v>
      </c>
      <c r="G85" s="366">
        <v>0.52393800000000001</v>
      </c>
      <c r="H85" s="366">
        <f t="shared" si="6"/>
        <v>2.0839910000000001</v>
      </c>
      <c r="I85" s="360">
        <f t="shared" si="7"/>
        <v>0.79909805826769065</v>
      </c>
      <c r="J85" s="359"/>
      <c r="K85" s="359"/>
      <c r="L85" s="359"/>
      <c r="M85" s="361"/>
      <c r="S85" s="362"/>
    </row>
    <row r="86" spans="1:19">
      <c r="A86" s="356">
        <v>83</v>
      </c>
      <c r="B86" s="356" t="s">
        <v>881</v>
      </c>
      <c r="C86" s="357" t="s">
        <v>794</v>
      </c>
      <c r="D86" s="357" t="s">
        <v>392</v>
      </c>
      <c r="E86" s="358" t="s">
        <v>1016</v>
      </c>
      <c r="F86" s="366">
        <v>7.8297699999999999</v>
      </c>
      <c r="G86" s="366">
        <v>1.8960840000000001</v>
      </c>
      <c r="H86" s="366">
        <f t="shared" si="6"/>
        <v>5.9336859999999998</v>
      </c>
      <c r="I86" s="360">
        <f t="shared" si="7"/>
        <v>0.75783656480330841</v>
      </c>
      <c r="J86" s="359"/>
      <c r="K86" s="359"/>
      <c r="L86" s="359"/>
      <c r="M86" s="361"/>
      <c r="S86" s="362"/>
    </row>
    <row r="87" spans="1:19">
      <c r="A87" s="356">
        <v>84</v>
      </c>
      <c r="B87" s="356" t="s">
        <v>881</v>
      </c>
      <c r="C87" s="357" t="s">
        <v>794</v>
      </c>
      <c r="D87" s="357" t="s">
        <v>392</v>
      </c>
      <c r="E87" s="358" t="s">
        <v>994</v>
      </c>
      <c r="F87" s="366">
        <v>25.022867999999999</v>
      </c>
      <c r="G87" s="366">
        <v>4.751868</v>
      </c>
      <c r="H87" s="366">
        <f t="shared" si="6"/>
        <v>20.271000000000001</v>
      </c>
      <c r="I87" s="360">
        <f t="shared" si="7"/>
        <v>0.81009898625529264</v>
      </c>
      <c r="J87" s="359"/>
      <c r="K87" s="359"/>
      <c r="L87" s="359"/>
      <c r="M87" s="361"/>
      <c r="S87" s="362"/>
    </row>
    <row r="88" spans="1:19">
      <c r="A88" s="356">
        <v>85</v>
      </c>
      <c r="B88" s="356" t="s">
        <v>881</v>
      </c>
      <c r="C88" s="357" t="s">
        <v>794</v>
      </c>
      <c r="D88" s="357" t="s">
        <v>392</v>
      </c>
      <c r="E88" s="358" t="s">
        <v>1091</v>
      </c>
      <c r="F88" s="366">
        <v>14.820530999999999</v>
      </c>
      <c r="G88" s="366">
        <v>2.840592</v>
      </c>
      <c r="H88" s="366">
        <f t="shared" si="6"/>
        <v>11.979938999999998</v>
      </c>
      <c r="I88" s="360">
        <f t="shared" si="7"/>
        <v>0.80833399289134777</v>
      </c>
      <c r="J88" s="358"/>
      <c r="K88" s="358"/>
      <c r="L88" s="358"/>
      <c r="M88" s="361"/>
    </row>
    <row r="89" spans="1:19">
      <c r="A89" s="356">
        <v>86</v>
      </c>
      <c r="B89" s="356" t="s">
        <v>881</v>
      </c>
      <c r="C89" s="357" t="s">
        <v>794</v>
      </c>
      <c r="D89" s="357" t="s">
        <v>393</v>
      </c>
      <c r="E89" s="358" t="s">
        <v>343</v>
      </c>
      <c r="F89" s="366">
        <v>3.4050269999999996</v>
      </c>
      <c r="G89" s="366">
        <v>1.263744</v>
      </c>
      <c r="H89" s="366">
        <f t="shared" si="6"/>
        <v>2.1412829999999996</v>
      </c>
      <c r="I89" s="360">
        <f t="shared" si="7"/>
        <v>0.62885933063085842</v>
      </c>
      <c r="J89" s="358"/>
      <c r="K89" s="358"/>
      <c r="L89" s="358"/>
      <c r="M89" s="361"/>
    </row>
    <row r="90" spans="1:19">
      <c r="A90" s="356">
        <v>87</v>
      </c>
      <c r="B90" s="356" t="s">
        <v>881</v>
      </c>
      <c r="C90" s="357" t="s">
        <v>794</v>
      </c>
      <c r="D90" s="356" t="s">
        <v>393</v>
      </c>
      <c r="E90" s="358" t="s">
        <v>344</v>
      </c>
      <c r="F90" s="366">
        <v>35.114936</v>
      </c>
      <c r="G90" s="366">
        <v>5.8581880000000002</v>
      </c>
      <c r="H90" s="366">
        <f t="shared" si="6"/>
        <v>29.256748000000002</v>
      </c>
      <c r="I90" s="360">
        <f t="shared" si="7"/>
        <v>0.83317104721478064</v>
      </c>
      <c r="J90" s="358"/>
      <c r="K90" s="358"/>
      <c r="L90" s="358"/>
      <c r="M90" s="361"/>
    </row>
    <row r="91" spans="1:19">
      <c r="A91" s="356">
        <v>88</v>
      </c>
      <c r="B91" s="356" t="s">
        <v>881</v>
      </c>
      <c r="C91" s="357" t="s">
        <v>794</v>
      </c>
      <c r="D91" s="356" t="s">
        <v>393</v>
      </c>
      <c r="E91" s="358" t="s">
        <v>346</v>
      </c>
      <c r="F91" s="366">
        <v>22.223939999999999</v>
      </c>
      <c r="G91" s="366">
        <v>4.9047839999999994</v>
      </c>
      <c r="H91" s="366">
        <f t="shared" si="6"/>
        <v>17.319156</v>
      </c>
      <c r="I91" s="360">
        <f t="shared" si="7"/>
        <v>0.77930177997240813</v>
      </c>
      <c r="J91" s="358"/>
      <c r="K91" s="358"/>
      <c r="L91" s="358"/>
      <c r="M91" s="361"/>
    </row>
    <row r="92" spans="1:19">
      <c r="A92" s="356">
        <v>89</v>
      </c>
      <c r="B92" s="356" t="s">
        <v>881</v>
      </c>
      <c r="C92" s="357" t="s">
        <v>794</v>
      </c>
      <c r="D92" s="356" t="s">
        <v>393</v>
      </c>
      <c r="E92" s="358" t="s">
        <v>356</v>
      </c>
      <c r="F92" s="366">
        <v>82.334823999999998</v>
      </c>
      <c r="G92" s="366">
        <v>15.55076</v>
      </c>
      <c r="H92" s="366">
        <f t="shared" si="6"/>
        <v>66.784064000000001</v>
      </c>
      <c r="I92" s="360">
        <f t="shared" si="7"/>
        <v>0.81112779205066377</v>
      </c>
      <c r="J92" s="358"/>
      <c r="K92" s="358"/>
      <c r="L92" s="358"/>
      <c r="M92" s="361"/>
    </row>
    <row r="93" spans="1:19">
      <c r="A93" s="356">
        <v>90</v>
      </c>
      <c r="B93" s="356" t="s">
        <v>881</v>
      </c>
      <c r="C93" s="357" t="s">
        <v>794</v>
      </c>
      <c r="D93" s="356" t="s">
        <v>393</v>
      </c>
      <c r="E93" s="358" t="s">
        <v>357</v>
      </c>
      <c r="F93" s="366">
        <v>30.515899999999998</v>
      </c>
      <c r="G93" s="366">
        <v>7.7004000000000001</v>
      </c>
      <c r="H93" s="366">
        <f t="shared" si="6"/>
        <v>22.8155</v>
      </c>
      <c r="I93" s="360">
        <f t="shared" si="7"/>
        <v>0.74765941689414372</v>
      </c>
      <c r="J93" s="358"/>
      <c r="K93" s="358"/>
      <c r="L93" s="358"/>
      <c r="M93" s="361"/>
    </row>
    <row r="94" spans="1:19">
      <c r="A94" s="356">
        <v>91</v>
      </c>
      <c r="B94" s="356" t="s">
        <v>881</v>
      </c>
      <c r="C94" s="357" t="s">
        <v>794</v>
      </c>
      <c r="D94" s="356" t="s">
        <v>393</v>
      </c>
      <c r="E94" s="358" t="s">
        <v>358</v>
      </c>
      <c r="F94" s="366">
        <v>45.905301999999999</v>
      </c>
      <c r="G94" s="366">
        <v>7.7281779999999998</v>
      </c>
      <c r="H94" s="366">
        <f t="shared" si="6"/>
        <v>38.177123999999999</v>
      </c>
      <c r="I94" s="360">
        <f t="shared" si="7"/>
        <v>0.83164955542608132</v>
      </c>
      <c r="J94" s="358"/>
      <c r="K94" s="358"/>
      <c r="L94" s="358"/>
      <c r="M94" s="361"/>
    </row>
    <row r="95" spans="1:19">
      <c r="A95" s="356">
        <v>92</v>
      </c>
      <c r="B95" s="356" t="s">
        <v>881</v>
      </c>
      <c r="C95" s="357" t="s">
        <v>794</v>
      </c>
      <c r="D95" s="356" t="s">
        <v>393</v>
      </c>
      <c r="E95" s="358" t="s">
        <v>375</v>
      </c>
      <c r="F95" s="366">
        <v>85.620013999999998</v>
      </c>
      <c r="G95" s="366">
        <v>15.861791</v>
      </c>
      <c r="H95" s="366">
        <f t="shared" si="6"/>
        <v>69.758223000000001</v>
      </c>
      <c r="I95" s="360">
        <f t="shared" si="7"/>
        <v>0.81474201814543035</v>
      </c>
      <c r="J95" s="358"/>
      <c r="K95" s="358"/>
      <c r="L95" s="358"/>
      <c r="M95" s="361"/>
    </row>
    <row r="96" spans="1:19">
      <c r="A96" s="356">
        <v>93</v>
      </c>
      <c r="B96" s="356" t="s">
        <v>881</v>
      </c>
      <c r="C96" s="357" t="s">
        <v>794</v>
      </c>
      <c r="D96" s="356" t="s">
        <v>393</v>
      </c>
      <c r="E96" s="358" t="s">
        <v>377</v>
      </c>
      <c r="F96" s="366">
        <v>73.049626000000004</v>
      </c>
      <c r="G96" s="366">
        <v>13.644407999999999</v>
      </c>
      <c r="H96" s="366">
        <f t="shared" si="6"/>
        <v>59.405218000000005</v>
      </c>
      <c r="I96" s="360">
        <f t="shared" si="7"/>
        <v>0.81321727779961528</v>
      </c>
      <c r="J96" s="358"/>
      <c r="K96" s="358"/>
      <c r="L96" s="358"/>
      <c r="M96" s="361"/>
    </row>
    <row r="97" spans="1:13">
      <c r="A97" s="356">
        <v>94</v>
      </c>
      <c r="B97" s="356" t="s">
        <v>881</v>
      </c>
      <c r="C97" s="357" t="s">
        <v>794</v>
      </c>
      <c r="D97" s="356" t="s">
        <v>393</v>
      </c>
      <c r="E97" s="358" t="s">
        <v>865</v>
      </c>
      <c r="F97" s="366">
        <v>10.442973</v>
      </c>
      <c r="G97" s="366">
        <v>2.2357019999999999</v>
      </c>
      <c r="H97" s="366">
        <f t="shared" si="6"/>
        <v>8.2072710000000004</v>
      </c>
      <c r="I97" s="360">
        <f t="shared" si="7"/>
        <v>0.78591326435489206</v>
      </c>
      <c r="J97" s="358"/>
      <c r="K97" s="358"/>
      <c r="L97" s="358"/>
      <c r="M97" s="361"/>
    </row>
    <row r="98" spans="1:13">
      <c r="A98" s="356">
        <v>95</v>
      </c>
      <c r="B98" s="356" t="s">
        <v>881</v>
      </c>
      <c r="C98" s="357" t="s">
        <v>794</v>
      </c>
      <c r="D98" s="356" t="s">
        <v>393</v>
      </c>
      <c r="E98" s="358" t="s">
        <v>866</v>
      </c>
      <c r="F98" s="366">
        <v>12.570902999999999</v>
      </c>
      <c r="G98" s="366">
        <v>2.7898740000000002</v>
      </c>
      <c r="H98" s="366">
        <f t="shared" si="6"/>
        <v>9.7810290000000002</v>
      </c>
      <c r="I98" s="360">
        <f t="shared" si="7"/>
        <v>0.77806892631340807</v>
      </c>
      <c r="J98" s="358"/>
      <c r="K98" s="358"/>
      <c r="L98" s="358"/>
      <c r="M98" s="361"/>
    </row>
    <row r="99" spans="1:13">
      <c r="A99" s="356">
        <v>96</v>
      </c>
      <c r="B99" s="356" t="s">
        <v>881</v>
      </c>
      <c r="C99" s="357" t="s">
        <v>794</v>
      </c>
      <c r="D99" s="356" t="s">
        <v>393</v>
      </c>
      <c r="E99" s="358" t="s">
        <v>931</v>
      </c>
      <c r="F99" s="366">
        <v>4.884531</v>
      </c>
      <c r="G99" s="366">
        <v>1.035588</v>
      </c>
      <c r="H99" s="366">
        <f t="shared" si="6"/>
        <v>3.8489430000000002</v>
      </c>
      <c r="I99" s="360">
        <f t="shared" si="7"/>
        <v>0.7879861956040406</v>
      </c>
      <c r="J99" s="358"/>
      <c r="K99" s="358"/>
      <c r="L99" s="358"/>
      <c r="M99" s="361"/>
    </row>
    <row r="100" spans="1:13">
      <c r="A100" s="356">
        <v>97</v>
      </c>
      <c r="B100" s="356" t="s">
        <v>881</v>
      </c>
      <c r="C100" s="357" t="s">
        <v>794</v>
      </c>
      <c r="D100" s="356" t="s">
        <v>394</v>
      </c>
      <c r="E100" s="358" t="s">
        <v>345</v>
      </c>
      <c r="F100" s="366">
        <v>60.789235999999995</v>
      </c>
      <c r="G100" s="366">
        <v>14.040915</v>
      </c>
      <c r="H100" s="366">
        <f t="shared" si="6"/>
        <v>46.748320999999997</v>
      </c>
      <c r="I100" s="360">
        <f t="shared" si="7"/>
        <v>0.76902300598086148</v>
      </c>
      <c r="J100" s="358"/>
      <c r="K100" s="358"/>
      <c r="L100" s="358"/>
      <c r="M100" s="361"/>
    </row>
    <row r="101" spans="1:13">
      <c r="A101" s="356">
        <v>98</v>
      </c>
      <c r="B101" s="356" t="s">
        <v>881</v>
      </c>
      <c r="C101" s="357" t="s">
        <v>794</v>
      </c>
      <c r="D101" s="356" t="s">
        <v>394</v>
      </c>
      <c r="E101" s="358" t="s">
        <v>348</v>
      </c>
      <c r="F101" s="366">
        <v>69.844010999999995</v>
      </c>
      <c r="G101" s="366">
        <v>14.232626000000002</v>
      </c>
      <c r="H101" s="366">
        <f t="shared" si="6"/>
        <v>55.611384999999991</v>
      </c>
      <c r="I101" s="360">
        <f t="shared" si="7"/>
        <v>0.79622267111778555</v>
      </c>
      <c r="J101" s="358"/>
      <c r="K101" s="358"/>
      <c r="L101" s="358"/>
      <c r="M101" s="361"/>
    </row>
    <row r="102" spans="1:13">
      <c r="A102" s="356">
        <v>99</v>
      </c>
      <c r="B102" s="356" t="s">
        <v>881</v>
      </c>
      <c r="C102" s="357" t="s">
        <v>794</v>
      </c>
      <c r="D102" s="356" t="s">
        <v>394</v>
      </c>
      <c r="E102" s="358" t="s">
        <v>932</v>
      </c>
      <c r="F102" s="366">
        <v>10.752000000000001</v>
      </c>
      <c r="G102" s="366">
        <v>1.609248</v>
      </c>
      <c r="H102" s="366">
        <f t="shared" si="6"/>
        <v>9.1427520000000015</v>
      </c>
      <c r="I102" s="360">
        <f t="shared" si="7"/>
        <v>0.85033035714285721</v>
      </c>
      <c r="J102" s="358"/>
      <c r="K102" s="358"/>
      <c r="L102" s="358"/>
      <c r="M102" s="361"/>
    </row>
    <row r="103" spans="1:13">
      <c r="A103" s="356">
        <v>100</v>
      </c>
      <c r="B103" s="356" t="s">
        <v>881</v>
      </c>
      <c r="C103" s="357" t="s">
        <v>794</v>
      </c>
      <c r="D103" s="356" t="s">
        <v>394</v>
      </c>
      <c r="E103" s="358" t="s">
        <v>995</v>
      </c>
      <c r="F103" s="366">
        <v>4.908531</v>
      </c>
      <c r="G103" s="366">
        <v>0.82526399999999989</v>
      </c>
      <c r="H103" s="366">
        <f t="shared" si="6"/>
        <v>4.0832670000000002</v>
      </c>
      <c r="I103" s="360">
        <f t="shared" si="7"/>
        <v>0.83187149067613109</v>
      </c>
      <c r="J103" s="358"/>
      <c r="K103" s="358"/>
      <c r="L103" s="358"/>
      <c r="M103" s="361"/>
    </row>
    <row r="104" spans="1:13">
      <c r="A104" s="356">
        <v>101</v>
      </c>
      <c r="B104" s="356" t="s">
        <v>881</v>
      </c>
      <c r="C104" s="357" t="s">
        <v>794</v>
      </c>
      <c r="D104" s="356" t="s">
        <v>394</v>
      </c>
      <c r="E104" s="358" t="s">
        <v>353</v>
      </c>
      <c r="F104" s="366">
        <v>79.562705000000008</v>
      </c>
      <c r="G104" s="366">
        <v>13.901489999999999</v>
      </c>
      <c r="H104" s="366">
        <f t="shared" si="6"/>
        <v>65.661215000000013</v>
      </c>
      <c r="I104" s="360">
        <f t="shared" si="7"/>
        <v>0.82527630250882</v>
      </c>
      <c r="J104" s="358"/>
      <c r="K104" s="358"/>
      <c r="L104" s="358"/>
      <c r="M104" s="361"/>
    </row>
    <row r="105" spans="1:13">
      <c r="A105" s="356">
        <v>102</v>
      </c>
      <c r="B105" s="356" t="s">
        <v>881</v>
      </c>
      <c r="C105" s="357" t="s">
        <v>794</v>
      </c>
      <c r="D105" s="356" t="s">
        <v>394</v>
      </c>
      <c r="E105" s="358" t="s">
        <v>371</v>
      </c>
      <c r="F105" s="366">
        <v>22.627617000000001</v>
      </c>
      <c r="G105" s="366">
        <v>4.5216089999999998</v>
      </c>
      <c r="H105" s="366">
        <f t="shared" si="6"/>
        <v>18.106008000000003</v>
      </c>
      <c r="I105" s="360">
        <f t="shared" si="7"/>
        <v>0.80017299214495285</v>
      </c>
      <c r="J105" s="358"/>
      <c r="K105" s="358"/>
      <c r="L105" s="358"/>
      <c r="M105" s="361"/>
    </row>
    <row r="106" spans="1:13">
      <c r="A106" s="356">
        <v>103</v>
      </c>
      <c r="B106" s="356" t="s">
        <v>881</v>
      </c>
      <c r="C106" s="357" t="s">
        <v>794</v>
      </c>
      <c r="D106" s="356" t="s">
        <v>394</v>
      </c>
      <c r="E106" s="358" t="s">
        <v>374</v>
      </c>
      <c r="F106" s="366">
        <v>29.293637</v>
      </c>
      <c r="G106" s="366">
        <v>6.1274100000000002</v>
      </c>
      <c r="H106" s="366">
        <f t="shared" si="6"/>
        <v>23.166226999999999</v>
      </c>
      <c r="I106" s="360">
        <f t="shared" si="7"/>
        <v>0.79082795352451452</v>
      </c>
      <c r="J106" s="358"/>
      <c r="K106" s="358"/>
      <c r="L106" s="358"/>
      <c r="M106" s="361"/>
    </row>
    <row r="107" spans="1:13">
      <c r="A107" s="356">
        <v>104</v>
      </c>
      <c r="B107" s="356" t="s">
        <v>881</v>
      </c>
      <c r="C107" s="357" t="s">
        <v>794</v>
      </c>
      <c r="D107" s="356" t="s">
        <v>394</v>
      </c>
      <c r="E107" s="358" t="s">
        <v>380</v>
      </c>
      <c r="F107" s="366">
        <v>26.395444000000001</v>
      </c>
      <c r="G107" s="366">
        <v>5.7036480000000003</v>
      </c>
      <c r="H107" s="366">
        <f t="shared" si="6"/>
        <v>20.691796</v>
      </c>
      <c r="I107" s="360">
        <f t="shared" si="7"/>
        <v>0.78391543631544891</v>
      </c>
      <c r="J107" s="358"/>
      <c r="K107" s="358"/>
      <c r="L107" s="358"/>
      <c r="M107" s="361"/>
    </row>
    <row r="108" spans="1:13">
      <c r="A108" s="356">
        <v>105</v>
      </c>
      <c r="B108" s="356" t="s">
        <v>881</v>
      </c>
      <c r="C108" s="357" t="s">
        <v>794</v>
      </c>
      <c r="D108" s="356" t="s">
        <v>394</v>
      </c>
      <c r="E108" s="358" t="s">
        <v>485</v>
      </c>
      <c r="F108" s="366">
        <v>6.021026</v>
      </c>
      <c r="G108" s="366">
        <v>1.2309840000000001</v>
      </c>
      <c r="H108" s="366">
        <f t="shared" si="6"/>
        <v>4.7900419999999997</v>
      </c>
      <c r="I108" s="360">
        <f t="shared" si="7"/>
        <v>0.79555245235612659</v>
      </c>
      <c r="J108" s="358"/>
      <c r="K108" s="358"/>
      <c r="L108" s="358"/>
      <c r="M108" s="361"/>
    </row>
    <row r="109" spans="1:13">
      <c r="A109" s="356">
        <v>106</v>
      </c>
      <c r="B109" s="356" t="s">
        <v>881</v>
      </c>
      <c r="C109" s="357" t="s">
        <v>794</v>
      </c>
      <c r="D109" s="356" t="s">
        <v>394</v>
      </c>
      <c r="E109" s="358" t="s">
        <v>486</v>
      </c>
      <c r="F109" s="366">
        <v>17.910371999999999</v>
      </c>
      <c r="G109" s="366">
        <v>3.4679639999999998</v>
      </c>
      <c r="H109" s="366">
        <f t="shared" si="6"/>
        <v>14.442407999999999</v>
      </c>
      <c r="I109" s="360">
        <f t="shared" si="7"/>
        <v>0.80637119095013765</v>
      </c>
      <c r="J109" s="358"/>
      <c r="K109" s="358"/>
      <c r="L109" s="358"/>
      <c r="M109" s="361"/>
    </row>
    <row r="110" spans="1:13">
      <c r="A110" s="356">
        <v>107</v>
      </c>
      <c r="B110" s="356" t="s">
        <v>881</v>
      </c>
      <c r="C110" s="357" t="s">
        <v>794</v>
      </c>
      <c r="D110" s="356" t="s">
        <v>397</v>
      </c>
      <c r="E110" s="358" t="s">
        <v>352</v>
      </c>
      <c r="F110" s="366">
        <v>21.571882000000002</v>
      </c>
      <c r="G110" s="366">
        <v>4.0618319999999999</v>
      </c>
      <c r="H110" s="366">
        <f t="shared" si="6"/>
        <v>17.510050000000003</v>
      </c>
      <c r="I110" s="360">
        <f t="shared" si="7"/>
        <v>0.81170711020948483</v>
      </c>
      <c r="J110" s="358"/>
      <c r="K110" s="358"/>
      <c r="L110" s="358"/>
      <c r="M110" s="361"/>
    </row>
    <row r="111" spans="1:13">
      <c r="A111" s="356">
        <v>108</v>
      </c>
      <c r="B111" s="356" t="s">
        <v>881</v>
      </c>
      <c r="C111" s="357" t="s">
        <v>794</v>
      </c>
      <c r="D111" s="356" t="s">
        <v>397</v>
      </c>
      <c r="E111" s="358" t="s">
        <v>359</v>
      </c>
      <c r="F111" s="366">
        <v>206.836468</v>
      </c>
      <c r="G111" s="366">
        <v>40.166640000000001</v>
      </c>
      <c r="H111" s="366">
        <f t="shared" si="6"/>
        <v>166.669828</v>
      </c>
      <c r="I111" s="360">
        <f t="shared" si="7"/>
        <v>0.80580484482069181</v>
      </c>
      <c r="J111" s="358"/>
      <c r="K111" s="358"/>
      <c r="L111" s="358"/>
      <c r="M111" s="361"/>
    </row>
    <row r="112" spans="1:13">
      <c r="A112" s="356">
        <v>109</v>
      </c>
      <c r="B112" s="356" t="s">
        <v>881</v>
      </c>
      <c r="C112" s="357" t="s">
        <v>794</v>
      </c>
      <c r="D112" s="356" t="s">
        <v>397</v>
      </c>
      <c r="E112" s="358" t="s">
        <v>362</v>
      </c>
      <c r="F112" s="366">
        <v>75.182868999999997</v>
      </c>
      <c r="G112" s="366">
        <v>15.336042000000001</v>
      </c>
      <c r="H112" s="366">
        <f t="shared" si="6"/>
        <v>59.846826999999998</v>
      </c>
      <c r="I112" s="360">
        <f t="shared" si="7"/>
        <v>0.79601680271073449</v>
      </c>
      <c r="J112" s="358"/>
      <c r="K112" s="358"/>
      <c r="L112" s="358"/>
      <c r="M112" s="361"/>
    </row>
    <row r="113" spans="1:13">
      <c r="A113" s="356">
        <v>110</v>
      </c>
      <c r="B113" s="356" t="s">
        <v>881</v>
      </c>
      <c r="C113" s="357" t="s">
        <v>794</v>
      </c>
      <c r="D113" s="356" t="s">
        <v>397</v>
      </c>
      <c r="E113" s="358" t="s">
        <v>368</v>
      </c>
      <c r="F113" s="366">
        <v>32.911353999999996</v>
      </c>
      <c r="G113" s="366">
        <v>6.8582880000000008</v>
      </c>
      <c r="H113" s="366">
        <f t="shared" si="6"/>
        <v>26.053065999999994</v>
      </c>
      <c r="I113" s="360">
        <f t="shared" si="7"/>
        <v>0.79161331375184374</v>
      </c>
      <c r="J113" s="358"/>
      <c r="K113" s="358"/>
      <c r="L113" s="358"/>
      <c r="M113" s="361"/>
    </row>
    <row r="114" spans="1:13">
      <c r="A114" s="356">
        <v>111</v>
      </c>
      <c r="B114" s="356" t="s">
        <v>881</v>
      </c>
      <c r="C114" s="357" t="s">
        <v>794</v>
      </c>
      <c r="D114" s="356" t="s">
        <v>397</v>
      </c>
      <c r="E114" s="358" t="s">
        <v>370</v>
      </c>
      <c r="F114" s="366">
        <v>62.994073999999998</v>
      </c>
      <c r="G114" s="366">
        <v>14.617132999999999</v>
      </c>
      <c r="H114" s="366">
        <f t="shared" si="6"/>
        <v>48.376941000000002</v>
      </c>
      <c r="I114" s="360">
        <f t="shared" si="7"/>
        <v>0.76796018939813293</v>
      </c>
      <c r="J114" s="358"/>
      <c r="K114" s="358"/>
      <c r="L114" s="358"/>
      <c r="M114" s="361"/>
    </row>
    <row r="115" spans="1:13">
      <c r="A115" s="356">
        <v>112</v>
      </c>
      <c r="B115" s="356" t="s">
        <v>881</v>
      </c>
      <c r="C115" s="357" t="s">
        <v>794</v>
      </c>
      <c r="D115" s="356" t="s">
        <v>397</v>
      </c>
      <c r="E115" s="358" t="s">
        <v>379</v>
      </c>
      <c r="F115" s="366">
        <v>47.412376000000002</v>
      </c>
      <c r="G115" s="366">
        <v>9.9473280000000006</v>
      </c>
      <c r="H115" s="366">
        <f t="shared" si="6"/>
        <v>37.465048000000003</v>
      </c>
      <c r="I115" s="360">
        <f t="shared" si="7"/>
        <v>0.79019553881880966</v>
      </c>
      <c r="J115" s="358"/>
      <c r="K115" s="358"/>
      <c r="L115" s="358"/>
      <c r="M115" s="361"/>
    </row>
    <row r="116" spans="1:13">
      <c r="A116" s="356">
        <v>113</v>
      </c>
      <c r="B116" s="356" t="s">
        <v>881</v>
      </c>
      <c r="C116" s="357" t="s">
        <v>794</v>
      </c>
      <c r="D116" s="356" t="s">
        <v>397</v>
      </c>
      <c r="E116" s="358" t="s">
        <v>867</v>
      </c>
      <c r="F116" s="366">
        <v>19.440099</v>
      </c>
      <c r="G116" s="366">
        <v>4.1734679999999997</v>
      </c>
      <c r="H116" s="366">
        <f t="shared" si="6"/>
        <v>15.266631</v>
      </c>
      <c r="I116" s="360">
        <f t="shared" si="7"/>
        <v>0.78531652539423802</v>
      </c>
      <c r="J116" s="358"/>
      <c r="K116" s="358"/>
      <c r="L116" s="358"/>
      <c r="M116" s="361"/>
    </row>
    <row r="117" spans="1:13">
      <c r="A117" s="356">
        <v>114</v>
      </c>
      <c r="B117" s="356" t="s">
        <v>881</v>
      </c>
      <c r="C117" s="357" t="s">
        <v>794</v>
      </c>
      <c r="D117" s="356" t="s">
        <v>397</v>
      </c>
      <c r="E117" s="358" t="s">
        <v>868</v>
      </c>
      <c r="F117" s="366">
        <v>18.448141</v>
      </c>
      <c r="G117" s="366">
        <v>3.5720699999999996</v>
      </c>
      <c r="H117" s="366">
        <f t="shared" si="6"/>
        <v>14.876071</v>
      </c>
      <c r="I117" s="360">
        <f t="shared" si="7"/>
        <v>0.8063723602285997</v>
      </c>
      <c r="J117" s="358"/>
      <c r="K117" s="358"/>
      <c r="L117" s="358"/>
      <c r="M117" s="361"/>
    </row>
    <row r="118" spans="1:13">
      <c r="A118" s="356">
        <v>115</v>
      </c>
      <c r="B118" s="356" t="s">
        <v>881</v>
      </c>
      <c r="C118" s="357" t="s">
        <v>794</v>
      </c>
      <c r="D118" s="356" t="s">
        <v>397</v>
      </c>
      <c r="E118" s="358" t="s">
        <v>933</v>
      </c>
      <c r="F118" s="366">
        <v>18.737628000000001</v>
      </c>
      <c r="G118" s="366">
        <v>3.8007</v>
      </c>
      <c r="H118" s="366">
        <f t="shared" si="6"/>
        <v>14.936928000000002</v>
      </c>
      <c r="I118" s="360">
        <f t="shared" si="7"/>
        <v>0.79716215947931091</v>
      </c>
      <c r="J118" s="358"/>
      <c r="K118" s="358"/>
      <c r="L118" s="358"/>
      <c r="M118" s="361"/>
    </row>
    <row r="119" spans="1:13">
      <c r="A119" s="356">
        <v>116</v>
      </c>
      <c r="B119" s="356" t="s">
        <v>881</v>
      </c>
      <c r="C119" s="357" t="s">
        <v>794</v>
      </c>
      <c r="D119" s="356" t="s">
        <v>397</v>
      </c>
      <c r="E119" s="358" t="s">
        <v>1017</v>
      </c>
      <c r="F119" s="366">
        <v>8.2475050000000003</v>
      </c>
      <c r="G119" s="366">
        <v>1.4967239999999999</v>
      </c>
      <c r="H119" s="366">
        <f t="shared" si="6"/>
        <v>6.7507809999999999</v>
      </c>
      <c r="I119" s="360">
        <f t="shared" si="7"/>
        <v>0.8185240263570619</v>
      </c>
      <c r="J119" s="358"/>
      <c r="K119" s="358"/>
      <c r="L119" s="358"/>
      <c r="M119" s="361"/>
    </row>
    <row r="120" spans="1:13">
      <c r="A120" s="356">
        <v>117</v>
      </c>
      <c r="B120" s="356" t="s">
        <v>881</v>
      </c>
      <c r="C120" s="357" t="s">
        <v>794</v>
      </c>
      <c r="D120" s="356" t="s">
        <v>398</v>
      </c>
      <c r="E120" s="358" t="s">
        <v>354</v>
      </c>
      <c r="F120" s="366">
        <v>4.8605239999999998</v>
      </c>
      <c r="G120" s="366">
        <v>0.90743999999999991</v>
      </c>
      <c r="H120" s="366">
        <f t="shared" si="6"/>
        <v>3.953084</v>
      </c>
      <c r="I120" s="360">
        <f t="shared" si="7"/>
        <v>0.81330407997162446</v>
      </c>
      <c r="J120" s="358"/>
      <c r="K120" s="358"/>
      <c r="L120" s="358"/>
      <c r="M120" s="361"/>
    </row>
    <row r="121" spans="1:13">
      <c r="A121" s="356">
        <v>118</v>
      </c>
      <c r="B121" s="356" t="s">
        <v>881</v>
      </c>
      <c r="C121" s="357" t="s">
        <v>794</v>
      </c>
      <c r="D121" s="356" t="s">
        <v>398</v>
      </c>
      <c r="E121" s="358" t="s">
        <v>360</v>
      </c>
      <c r="F121" s="366">
        <v>14.303737</v>
      </c>
      <c r="G121" s="366">
        <v>2.9761740000000003</v>
      </c>
      <c r="H121" s="366">
        <f t="shared" si="6"/>
        <v>11.327563</v>
      </c>
      <c r="I121" s="360">
        <f t="shared" si="7"/>
        <v>0.7919303186293204</v>
      </c>
      <c r="J121" s="358"/>
      <c r="K121" s="358"/>
      <c r="L121" s="358"/>
      <c r="M121" s="361"/>
    </row>
    <row r="122" spans="1:13">
      <c r="A122" s="356">
        <v>119</v>
      </c>
      <c r="B122" s="356" t="s">
        <v>881</v>
      </c>
      <c r="C122" s="357" t="s">
        <v>794</v>
      </c>
      <c r="D122" s="356" t="s">
        <v>398</v>
      </c>
      <c r="E122" s="358" t="s">
        <v>361</v>
      </c>
      <c r="F122" s="366">
        <v>50.893265999999997</v>
      </c>
      <c r="G122" s="366">
        <v>10.568794</v>
      </c>
      <c r="H122" s="366">
        <f t="shared" si="6"/>
        <v>40.324472</v>
      </c>
      <c r="I122" s="360">
        <f t="shared" si="7"/>
        <v>0.79233413709389378</v>
      </c>
      <c r="J122" s="358"/>
      <c r="K122" s="358"/>
      <c r="L122" s="358"/>
      <c r="M122" s="361"/>
    </row>
    <row r="123" spans="1:13">
      <c r="A123" s="356">
        <v>120</v>
      </c>
      <c r="B123" s="356" t="s">
        <v>881</v>
      </c>
      <c r="C123" s="357" t="s">
        <v>794</v>
      </c>
      <c r="D123" s="356" t="s">
        <v>398</v>
      </c>
      <c r="E123" s="358" t="s">
        <v>373</v>
      </c>
      <c r="F123" s="366">
        <v>39.857923</v>
      </c>
      <c r="G123" s="366">
        <v>7.7184330000000001</v>
      </c>
      <c r="H123" s="366">
        <f t="shared" si="6"/>
        <v>32.139490000000002</v>
      </c>
      <c r="I123" s="360">
        <f t="shared" si="7"/>
        <v>0.80635134951713372</v>
      </c>
      <c r="J123" s="358"/>
      <c r="K123" s="358"/>
      <c r="L123" s="358"/>
      <c r="M123" s="361"/>
    </row>
    <row r="124" spans="1:13">
      <c r="A124" s="356">
        <v>121</v>
      </c>
      <c r="B124" s="356" t="s">
        <v>881</v>
      </c>
      <c r="C124" s="357" t="s">
        <v>794</v>
      </c>
      <c r="D124" s="356" t="s">
        <v>398</v>
      </c>
      <c r="E124" s="358" t="s">
        <v>487</v>
      </c>
      <c r="F124" s="366">
        <v>18.504850000000001</v>
      </c>
      <c r="G124" s="366">
        <v>3.7890959999999998</v>
      </c>
      <c r="H124" s="366">
        <f t="shared" ref="H124:H173" si="8">F124-G124</f>
        <v>14.715754</v>
      </c>
      <c r="I124" s="360">
        <f t="shared" ref="I124:I173" si="9">H124/F124</f>
        <v>0.79523768093229608</v>
      </c>
      <c r="J124" s="358"/>
      <c r="K124" s="358"/>
      <c r="L124" s="358"/>
      <c r="M124" s="361"/>
    </row>
    <row r="125" spans="1:13">
      <c r="A125" s="356">
        <v>122</v>
      </c>
      <c r="B125" s="356" t="s">
        <v>881</v>
      </c>
      <c r="C125" s="357" t="s">
        <v>794</v>
      </c>
      <c r="D125" s="356" t="s">
        <v>398</v>
      </c>
      <c r="E125" s="358" t="s">
        <v>1018</v>
      </c>
      <c r="F125" s="366">
        <v>0.89713299999999996</v>
      </c>
      <c r="G125" s="366">
        <v>0.296904</v>
      </c>
      <c r="H125" s="366">
        <f t="shared" si="8"/>
        <v>0.6002289999999999</v>
      </c>
      <c r="I125" s="360">
        <f t="shared" si="9"/>
        <v>0.66905241474786892</v>
      </c>
      <c r="J125" s="358"/>
      <c r="K125" s="358"/>
      <c r="L125" s="358"/>
      <c r="M125" s="361"/>
    </row>
    <row r="126" spans="1:13">
      <c r="A126" s="356">
        <v>123</v>
      </c>
      <c r="B126" s="356" t="s">
        <v>881</v>
      </c>
      <c r="C126" s="357" t="s">
        <v>794</v>
      </c>
      <c r="D126" s="356" t="s">
        <v>395</v>
      </c>
      <c r="E126" s="358" t="s">
        <v>347</v>
      </c>
      <c r="F126" s="366">
        <v>35.342402</v>
      </c>
      <c r="G126" s="366">
        <v>8.8907160000000012</v>
      </c>
      <c r="H126" s="366">
        <f t="shared" si="8"/>
        <v>26.451685999999999</v>
      </c>
      <c r="I126" s="360">
        <f t="shared" si="9"/>
        <v>0.74844052761326174</v>
      </c>
      <c r="J126" s="358"/>
      <c r="K126" s="358"/>
      <c r="L126" s="358"/>
      <c r="M126" s="361"/>
    </row>
    <row r="127" spans="1:13">
      <c r="A127" s="356">
        <v>124</v>
      </c>
      <c r="B127" s="356" t="s">
        <v>881</v>
      </c>
      <c r="C127" s="357" t="s">
        <v>794</v>
      </c>
      <c r="D127" s="356" t="s">
        <v>395</v>
      </c>
      <c r="E127" s="358" t="s">
        <v>861</v>
      </c>
      <c r="F127" s="366">
        <v>8.6039460000000005</v>
      </c>
      <c r="G127" s="366">
        <v>2.3268960000000001</v>
      </c>
      <c r="H127" s="366">
        <f t="shared" si="8"/>
        <v>6.2770500000000009</v>
      </c>
      <c r="I127" s="360">
        <f t="shared" si="9"/>
        <v>0.72955478800076157</v>
      </c>
      <c r="J127" s="358"/>
      <c r="K127" s="358"/>
      <c r="L127" s="358"/>
      <c r="M127" s="361"/>
    </row>
    <row r="128" spans="1:13">
      <c r="A128" s="356">
        <v>125</v>
      </c>
      <c r="B128" s="356" t="s">
        <v>881</v>
      </c>
      <c r="C128" s="357" t="s">
        <v>794</v>
      </c>
      <c r="D128" s="356" t="s">
        <v>395</v>
      </c>
      <c r="E128" s="358" t="s">
        <v>934</v>
      </c>
      <c r="F128" s="366">
        <v>7.5827270000000002</v>
      </c>
      <c r="G128" s="366">
        <v>1.395972</v>
      </c>
      <c r="H128" s="366">
        <f t="shared" si="8"/>
        <v>6.1867549999999998</v>
      </c>
      <c r="I128" s="360">
        <f t="shared" si="9"/>
        <v>0.81590106039687305</v>
      </c>
      <c r="J128" s="358"/>
      <c r="K128" s="358"/>
      <c r="L128" s="358"/>
      <c r="M128" s="361"/>
    </row>
    <row r="129" spans="1:13">
      <c r="A129" s="356">
        <v>126</v>
      </c>
      <c r="B129" s="356" t="s">
        <v>881</v>
      </c>
      <c r="C129" s="357" t="s">
        <v>794</v>
      </c>
      <c r="D129" s="356" t="s">
        <v>395</v>
      </c>
      <c r="E129" s="358" t="s">
        <v>366</v>
      </c>
      <c r="F129" s="366">
        <v>11.893037</v>
      </c>
      <c r="G129" s="366">
        <v>2.2584960000000001</v>
      </c>
      <c r="H129" s="366">
        <f t="shared" si="8"/>
        <v>9.6345409999999987</v>
      </c>
      <c r="I129" s="360">
        <f t="shared" si="9"/>
        <v>0.81009930432403421</v>
      </c>
      <c r="J129" s="358"/>
      <c r="K129" s="358"/>
      <c r="L129" s="358"/>
      <c r="M129" s="361"/>
    </row>
    <row r="130" spans="1:13">
      <c r="A130" s="356">
        <v>127</v>
      </c>
      <c r="B130" s="356" t="s">
        <v>881</v>
      </c>
      <c r="C130" s="357" t="s">
        <v>794</v>
      </c>
      <c r="D130" s="356" t="s">
        <v>395</v>
      </c>
      <c r="E130" s="358" t="s">
        <v>381</v>
      </c>
      <c r="F130" s="366">
        <v>43.557295000000003</v>
      </c>
      <c r="G130" s="366">
        <v>9.2511229999999998</v>
      </c>
      <c r="H130" s="366">
        <f t="shared" si="8"/>
        <v>34.306172000000004</v>
      </c>
      <c r="I130" s="360">
        <f t="shared" si="9"/>
        <v>0.78761024990188211</v>
      </c>
      <c r="J130" s="358"/>
      <c r="K130" s="358"/>
      <c r="L130" s="358"/>
      <c r="M130" s="361"/>
    </row>
    <row r="131" spans="1:13">
      <c r="A131" s="356">
        <v>128</v>
      </c>
      <c r="B131" s="356" t="s">
        <v>881</v>
      </c>
      <c r="C131" s="357" t="s">
        <v>794</v>
      </c>
      <c r="D131" s="356" t="s">
        <v>395</v>
      </c>
      <c r="E131" s="358" t="s">
        <v>384</v>
      </c>
      <c r="F131" s="366">
        <v>17.819893</v>
      </c>
      <c r="G131" s="366">
        <v>3.7178879999999999</v>
      </c>
      <c r="H131" s="366">
        <f t="shared" si="8"/>
        <v>14.102005</v>
      </c>
      <c r="I131" s="360">
        <f t="shared" si="9"/>
        <v>0.79136305700601006</v>
      </c>
      <c r="J131" s="358"/>
      <c r="K131" s="358"/>
      <c r="L131" s="358"/>
      <c r="M131" s="361"/>
    </row>
    <row r="132" spans="1:13">
      <c r="A132" s="356">
        <v>129</v>
      </c>
      <c r="B132" s="356" t="s">
        <v>881</v>
      </c>
      <c r="C132" s="357" t="s">
        <v>794</v>
      </c>
      <c r="D132" s="356" t="s">
        <v>395</v>
      </c>
      <c r="E132" s="358" t="s">
        <v>388</v>
      </c>
      <c r="F132" s="366">
        <v>46.759574999999998</v>
      </c>
      <c r="G132" s="366">
        <v>10.079632</v>
      </c>
      <c r="H132" s="366">
        <f t="shared" si="8"/>
        <v>36.679942999999994</v>
      </c>
      <c r="I132" s="360">
        <f t="shared" si="9"/>
        <v>0.78443704845478168</v>
      </c>
      <c r="J132" s="358"/>
      <c r="K132" s="358"/>
      <c r="L132" s="358"/>
      <c r="M132" s="361"/>
    </row>
    <row r="133" spans="1:13">
      <c r="A133" s="356">
        <v>130</v>
      </c>
      <c r="B133" s="356" t="s">
        <v>881</v>
      </c>
      <c r="C133" s="357" t="s">
        <v>794</v>
      </c>
      <c r="D133" s="356" t="s">
        <v>395</v>
      </c>
      <c r="E133" s="358" t="s">
        <v>389</v>
      </c>
      <c r="F133" s="366">
        <v>28.883044000000002</v>
      </c>
      <c r="G133" s="366">
        <v>6.6806880000000008</v>
      </c>
      <c r="H133" s="366">
        <f t="shared" si="8"/>
        <v>22.202356000000002</v>
      </c>
      <c r="I133" s="360">
        <f t="shared" si="9"/>
        <v>0.76869861777726756</v>
      </c>
      <c r="J133" s="358"/>
      <c r="K133" s="358"/>
      <c r="L133" s="358"/>
      <c r="M133" s="361"/>
    </row>
    <row r="134" spans="1:13">
      <c r="A134" s="356">
        <v>131</v>
      </c>
      <c r="B134" s="356" t="s">
        <v>881</v>
      </c>
      <c r="C134" s="357" t="s">
        <v>794</v>
      </c>
      <c r="D134" s="356" t="s">
        <v>395</v>
      </c>
      <c r="E134" s="358" t="s">
        <v>488</v>
      </c>
      <c r="F134" s="366">
        <v>10.474619000000001</v>
      </c>
      <c r="G134" s="366">
        <v>2.2038419999999999</v>
      </c>
      <c r="H134" s="366">
        <f t="shared" si="8"/>
        <v>8.2707770000000007</v>
      </c>
      <c r="I134" s="360">
        <f t="shared" si="9"/>
        <v>0.78960170293544807</v>
      </c>
      <c r="J134" s="358"/>
      <c r="K134" s="358"/>
      <c r="L134" s="358"/>
      <c r="M134" s="361"/>
    </row>
    <row r="135" spans="1:13">
      <c r="A135" s="356">
        <v>132</v>
      </c>
      <c r="B135" s="356" t="s">
        <v>881</v>
      </c>
      <c r="C135" s="357" t="s">
        <v>794</v>
      </c>
      <c r="D135" s="356" t="s">
        <v>395</v>
      </c>
      <c r="E135" s="358" t="s">
        <v>996</v>
      </c>
      <c r="F135" s="366">
        <v>8.4446019999999997</v>
      </c>
      <c r="G135" s="366">
        <v>1.5747360000000001</v>
      </c>
      <c r="H135" s="366">
        <f t="shared" si="8"/>
        <v>6.869866</v>
      </c>
      <c r="I135" s="360">
        <f t="shared" si="9"/>
        <v>0.81352158455780399</v>
      </c>
      <c r="J135" s="358"/>
      <c r="K135" s="358"/>
      <c r="L135" s="358"/>
      <c r="M135" s="361"/>
    </row>
    <row r="136" spans="1:13">
      <c r="A136" s="356">
        <v>133</v>
      </c>
      <c r="B136" s="356" t="s">
        <v>881</v>
      </c>
      <c r="C136" s="357" t="s">
        <v>794</v>
      </c>
      <c r="D136" s="356" t="s">
        <v>395</v>
      </c>
      <c r="E136" s="358" t="s">
        <v>1019</v>
      </c>
      <c r="F136" s="366">
        <v>5.861097</v>
      </c>
      <c r="G136" s="366">
        <v>1.3137000000000001</v>
      </c>
      <c r="H136" s="366">
        <f t="shared" si="8"/>
        <v>4.5473970000000001</v>
      </c>
      <c r="I136" s="360">
        <f t="shared" si="9"/>
        <v>0.77586107174134811</v>
      </c>
      <c r="J136" s="358"/>
      <c r="K136" s="358"/>
      <c r="L136" s="358"/>
      <c r="M136" s="361"/>
    </row>
    <row r="137" spans="1:13">
      <c r="A137" s="356">
        <v>134</v>
      </c>
      <c r="B137" s="356" t="s">
        <v>881</v>
      </c>
      <c r="C137" s="357" t="s">
        <v>794</v>
      </c>
      <c r="D137" s="356" t="s">
        <v>396</v>
      </c>
      <c r="E137" s="358" t="s">
        <v>349</v>
      </c>
      <c r="F137" s="366">
        <v>21.248151999999997</v>
      </c>
      <c r="G137" s="366">
        <v>4.0600680000000002</v>
      </c>
      <c r="H137" s="366">
        <f t="shared" si="8"/>
        <v>17.188083999999996</v>
      </c>
      <c r="I137" s="360">
        <f t="shared" si="9"/>
        <v>0.80892135937280563</v>
      </c>
      <c r="J137" s="358"/>
      <c r="K137" s="358"/>
      <c r="L137" s="358"/>
      <c r="M137" s="361"/>
    </row>
    <row r="138" spans="1:13">
      <c r="A138" s="356">
        <v>135</v>
      </c>
      <c r="B138" s="356" t="s">
        <v>881</v>
      </c>
      <c r="C138" s="357" t="s">
        <v>794</v>
      </c>
      <c r="D138" s="356" t="s">
        <v>396</v>
      </c>
      <c r="E138" s="358" t="s">
        <v>350</v>
      </c>
      <c r="F138" s="366">
        <v>108.04716100000002</v>
      </c>
      <c r="G138" s="366">
        <v>25.347121999999999</v>
      </c>
      <c r="H138" s="366">
        <f t="shared" si="8"/>
        <v>82.700039000000018</v>
      </c>
      <c r="I138" s="360">
        <f t="shared" si="9"/>
        <v>0.76540686709945116</v>
      </c>
      <c r="J138" s="358"/>
      <c r="K138" s="358"/>
      <c r="L138" s="358"/>
      <c r="M138" s="361"/>
    </row>
    <row r="139" spans="1:13">
      <c r="A139" s="356">
        <v>136</v>
      </c>
      <c r="B139" s="356" t="s">
        <v>881</v>
      </c>
      <c r="C139" s="357" t="s">
        <v>794</v>
      </c>
      <c r="D139" s="356" t="s">
        <v>396</v>
      </c>
      <c r="E139" s="358" t="s">
        <v>369</v>
      </c>
      <c r="F139" s="366">
        <v>19.815535000000001</v>
      </c>
      <c r="G139" s="366">
        <v>4.2453479999999999</v>
      </c>
      <c r="H139" s="366">
        <f t="shared" si="8"/>
        <v>15.570187000000001</v>
      </c>
      <c r="I139" s="360">
        <f t="shared" si="9"/>
        <v>0.78575657937068066</v>
      </c>
      <c r="J139" s="358"/>
      <c r="K139" s="358"/>
      <c r="L139" s="358"/>
      <c r="M139" s="361"/>
    </row>
    <row r="140" spans="1:13">
      <c r="A140" s="356">
        <v>137</v>
      </c>
      <c r="B140" s="356" t="s">
        <v>881</v>
      </c>
      <c r="C140" s="357" t="s">
        <v>794</v>
      </c>
      <c r="D140" s="356" t="s">
        <v>396</v>
      </c>
      <c r="E140" s="358" t="s">
        <v>372</v>
      </c>
      <c r="F140" s="366">
        <v>35.682538000000001</v>
      </c>
      <c r="G140" s="366">
        <v>6.704205</v>
      </c>
      <c r="H140" s="366">
        <f t="shared" si="8"/>
        <v>28.978332999999999</v>
      </c>
      <c r="I140" s="360">
        <f t="shared" si="9"/>
        <v>0.81211524247518485</v>
      </c>
      <c r="J140" s="358"/>
      <c r="K140" s="358"/>
      <c r="L140" s="358"/>
      <c r="M140" s="361"/>
    </row>
    <row r="141" spans="1:13">
      <c r="A141" s="356">
        <v>138</v>
      </c>
      <c r="B141" s="356" t="s">
        <v>881</v>
      </c>
      <c r="C141" s="357" t="s">
        <v>794</v>
      </c>
      <c r="D141" s="356" t="s">
        <v>396</v>
      </c>
      <c r="E141" s="358" t="s">
        <v>378</v>
      </c>
      <c r="F141" s="366">
        <v>13.003185999999999</v>
      </c>
      <c r="G141" s="366">
        <v>2.5903560000000003</v>
      </c>
      <c r="H141" s="366">
        <f t="shared" si="8"/>
        <v>10.41283</v>
      </c>
      <c r="I141" s="360">
        <f t="shared" si="9"/>
        <v>0.80079066776403873</v>
      </c>
      <c r="J141" s="358"/>
      <c r="K141" s="358"/>
      <c r="L141" s="358"/>
      <c r="M141" s="361"/>
    </row>
    <row r="142" spans="1:13">
      <c r="A142" s="356">
        <v>139</v>
      </c>
      <c r="B142" s="356" t="s">
        <v>881</v>
      </c>
      <c r="C142" s="357" t="s">
        <v>794</v>
      </c>
      <c r="D142" s="356" t="s">
        <v>396</v>
      </c>
      <c r="E142" s="358" t="s">
        <v>949</v>
      </c>
      <c r="F142" s="366">
        <v>9.5834329999999994</v>
      </c>
      <c r="G142" s="366">
        <v>1.943748</v>
      </c>
      <c r="H142" s="366">
        <f t="shared" si="8"/>
        <v>7.6396849999999992</v>
      </c>
      <c r="I142" s="360">
        <f t="shared" si="9"/>
        <v>0.79717623110632685</v>
      </c>
      <c r="J142" s="358"/>
      <c r="K142" s="358"/>
      <c r="L142" s="358"/>
      <c r="M142" s="361"/>
    </row>
    <row r="143" spans="1:13">
      <c r="A143" s="356">
        <v>140</v>
      </c>
      <c r="B143" s="356" t="s">
        <v>881</v>
      </c>
      <c r="C143" s="357" t="s">
        <v>794</v>
      </c>
      <c r="D143" s="356" t="s">
        <v>396</v>
      </c>
      <c r="E143" s="358" t="s">
        <v>382</v>
      </c>
      <c r="F143" s="366">
        <v>30.744598</v>
      </c>
      <c r="G143" s="366">
        <v>6.3910200000000001</v>
      </c>
      <c r="H143" s="366">
        <f t="shared" si="8"/>
        <v>24.353577999999999</v>
      </c>
      <c r="I143" s="360">
        <f t="shared" si="9"/>
        <v>0.79212543289718729</v>
      </c>
      <c r="J143" s="358"/>
      <c r="K143" s="358"/>
      <c r="L143" s="358"/>
      <c r="M143" s="361"/>
    </row>
    <row r="144" spans="1:13">
      <c r="A144" s="356">
        <v>141</v>
      </c>
      <c r="B144" s="356" t="s">
        <v>881</v>
      </c>
      <c r="C144" s="357" t="s">
        <v>794</v>
      </c>
      <c r="D144" s="356" t="s">
        <v>396</v>
      </c>
      <c r="E144" s="358" t="s">
        <v>385</v>
      </c>
      <c r="F144" s="366">
        <v>19.407207</v>
      </c>
      <c r="G144" s="366">
        <v>4.0289550000000007</v>
      </c>
      <c r="H144" s="366">
        <f t="shared" si="8"/>
        <v>15.378252</v>
      </c>
      <c r="I144" s="360">
        <f t="shared" si="9"/>
        <v>0.79239902990677635</v>
      </c>
      <c r="J144" s="358"/>
      <c r="K144" s="358"/>
      <c r="L144" s="358"/>
      <c r="M144" s="361"/>
    </row>
    <row r="145" spans="1:13">
      <c r="A145" s="356">
        <v>142</v>
      </c>
      <c r="B145" s="356" t="s">
        <v>881</v>
      </c>
      <c r="C145" s="357" t="s">
        <v>794</v>
      </c>
      <c r="D145" s="356" t="s">
        <v>396</v>
      </c>
      <c r="E145" s="358" t="s">
        <v>390</v>
      </c>
      <c r="F145" s="366">
        <v>25.826848000000002</v>
      </c>
      <c r="G145" s="366">
        <v>5.584632</v>
      </c>
      <c r="H145" s="366">
        <f t="shared" si="8"/>
        <v>20.242216000000003</v>
      </c>
      <c r="I145" s="360">
        <f t="shared" si="9"/>
        <v>0.78376641237831268</v>
      </c>
      <c r="J145" s="358"/>
      <c r="K145" s="358"/>
      <c r="L145" s="358"/>
      <c r="M145" s="361"/>
    </row>
    <row r="146" spans="1:13">
      <c r="A146" s="356">
        <v>143</v>
      </c>
      <c r="B146" s="356" t="s">
        <v>880</v>
      </c>
      <c r="C146" s="356" t="s">
        <v>794</v>
      </c>
      <c r="D146" s="356" t="s">
        <v>392</v>
      </c>
      <c r="E146" s="358" t="s">
        <v>403</v>
      </c>
      <c r="F146" s="366">
        <v>29.247483000000003</v>
      </c>
      <c r="G146" s="366">
        <v>6.7350929999999991</v>
      </c>
      <c r="H146" s="359">
        <f t="shared" si="8"/>
        <v>22.512390000000003</v>
      </c>
      <c r="I146" s="360">
        <f t="shared" si="9"/>
        <v>0.76972059441832996</v>
      </c>
      <c r="J146" s="358"/>
      <c r="K146" s="358"/>
      <c r="L146" s="358"/>
      <c r="M146" s="361"/>
    </row>
    <row r="147" spans="1:13">
      <c r="A147" s="356">
        <v>144</v>
      </c>
      <c r="B147" s="356" t="s">
        <v>880</v>
      </c>
      <c r="C147" s="356" t="s">
        <v>794</v>
      </c>
      <c r="D147" s="356" t="s">
        <v>392</v>
      </c>
      <c r="E147" s="358" t="s">
        <v>404</v>
      </c>
      <c r="F147" s="366">
        <v>30.915679999999998</v>
      </c>
      <c r="G147" s="366">
        <v>7.4158559999999998</v>
      </c>
      <c r="H147" s="359">
        <f t="shared" si="8"/>
        <v>23.499823999999997</v>
      </c>
      <c r="I147" s="360">
        <f t="shared" si="9"/>
        <v>0.76012638246999575</v>
      </c>
      <c r="J147" s="358"/>
      <c r="K147" s="358"/>
      <c r="L147" s="358"/>
      <c r="M147" s="361"/>
    </row>
    <row r="148" spans="1:13">
      <c r="A148" s="356">
        <v>145</v>
      </c>
      <c r="B148" s="356" t="s">
        <v>880</v>
      </c>
      <c r="C148" s="356" t="s">
        <v>794</v>
      </c>
      <c r="D148" s="356" t="s">
        <v>392</v>
      </c>
      <c r="E148" s="358" t="s">
        <v>417</v>
      </c>
      <c r="F148" s="366">
        <v>71.892756000000006</v>
      </c>
      <c r="G148" s="366">
        <v>17.348807999999998</v>
      </c>
      <c r="H148" s="359">
        <f t="shared" si="8"/>
        <v>54.543948000000007</v>
      </c>
      <c r="I148" s="360">
        <f t="shared" si="9"/>
        <v>0.75868489448366683</v>
      </c>
      <c r="J148" s="358"/>
      <c r="K148" s="358"/>
      <c r="L148" s="358"/>
      <c r="M148" s="361"/>
    </row>
    <row r="149" spans="1:13">
      <c r="A149" s="356">
        <v>146</v>
      </c>
      <c r="B149" s="356" t="s">
        <v>880</v>
      </c>
      <c r="C149" s="356" t="s">
        <v>794</v>
      </c>
      <c r="D149" s="356" t="s">
        <v>392</v>
      </c>
      <c r="E149" s="358" t="s">
        <v>419</v>
      </c>
      <c r="F149" s="366">
        <v>17.561615</v>
      </c>
      <c r="G149" s="366">
        <v>3.7982640000000001</v>
      </c>
      <c r="H149" s="359">
        <f t="shared" si="8"/>
        <v>13.763351</v>
      </c>
      <c r="I149" s="360">
        <f t="shared" si="9"/>
        <v>0.78371784143998147</v>
      </c>
      <c r="J149" s="358"/>
      <c r="K149" s="358"/>
      <c r="L149" s="358"/>
      <c r="M149" s="361"/>
    </row>
    <row r="150" spans="1:13">
      <c r="A150" s="356">
        <v>147</v>
      </c>
      <c r="B150" s="356" t="s">
        <v>880</v>
      </c>
      <c r="C150" s="356" t="s">
        <v>794</v>
      </c>
      <c r="D150" s="356" t="s">
        <v>392</v>
      </c>
      <c r="E150" s="358" t="s">
        <v>420</v>
      </c>
      <c r="F150" s="366">
        <v>20.636220999999999</v>
      </c>
      <c r="G150" s="366">
        <v>4.6205040000000004</v>
      </c>
      <c r="H150" s="359">
        <f t="shared" si="8"/>
        <v>16.015716999999999</v>
      </c>
      <c r="I150" s="360">
        <f t="shared" si="9"/>
        <v>0.77609737751887808</v>
      </c>
      <c r="J150" s="358"/>
      <c r="K150" s="358"/>
      <c r="L150" s="358"/>
      <c r="M150" s="361"/>
    </row>
    <row r="151" spans="1:13">
      <c r="A151" s="356">
        <v>148</v>
      </c>
      <c r="B151" s="356" t="s">
        <v>880</v>
      </c>
      <c r="C151" s="356" t="s">
        <v>794</v>
      </c>
      <c r="D151" s="356" t="s">
        <v>392</v>
      </c>
      <c r="E151" s="358" t="s">
        <v>425</v>
      </c>
      <c r="F151" s="366">
        <v>13.535151000000001</v>
      </c>
      <c r="G151" s="366">
        <v>3.0591599999999999</v>
      </c>
      <c r="H151" s="359">
        <f t="shared" si="8"/>
        <v>10.475991</v>
      </c>
      <c r="I151" s="360">
        <f t="shared" si="9"/>
        <v>0.77398405086134614</v>
      </c>
      <c r="J151" s="358"/>
      <c r="K151" s="358"/>
      <c r="L151" s="358"/>
      <c r="M151" s="361"/>
    </row>
    <row r="152" spans="1:13">
      <c r="A152" s="356">
        <v>149</v>
      </c>
      <c r="B152" s="356" t="s">
        <v>880</v>
      </c>
      <c r="C152" s="356" t="s">
        <v>794</v>
      </c>
      <c r="D152" s="356" t="s">
        <v>392</v>
      </c>
      <c r="E152" s="358" t="s">
        <v>430</v>
      </c>
      <c r="F152" s="366">
        <v>26.235582000000001</v>
      </c>
      <c r="G152" s="366">
        <v>6.2214239999999998</v>
      </c>
      <c r="H152" s="359">
        <f t="shared" si="8"/>
        <v>20.014158000000002</v>
      </c>
      <c r="I152" s="360">
        <f t="shared" si="9"/>
        <v>0.76286312230466247</v>
      </c>
      <c r="J152" s="358"/>
      <c r="K152" s="358"/>
      <c r="L152" s="358"/>
      <c r="M152" s="361"/>
    </row>
    <row r="153" spans="1:13">
      <c r="A153" s="356">
        <v>150</v>
      </c>
      <c r="B153" s="356" t="s">
        <v>880</v>
      </c>
      <c r="C153" s="356" t="s">
        <v>794</v>
      </c>
      <c r="D153" s="356" t="s">
        <v>392</v>
      </c>
      <c r="E153" s="358" t="s">
        <v>434</v>
      </c>
      <c r="F153" s="366">
        <v>15.082326</v>
      </c>
      <c r="G153" s="366">
        <v>3.9401760000000001</v>
      </c>
      <c r="H153" s="359">
        <f t="shared" si="8"/>
        <v>11.142150000000001</v>
      </c>
      <c r="I153" s="360">
        <f t="shared" si="9"/>
        <v>0.73875541478151319</v>
      </c>
      <c r="J153" s="358"/>
      <c r="K153" s="358"/>
      <c r="L153" s="358"/>
      <c r="M153" s="361"/>
    </row>
    <row r="154" spans="1:13">
      <c r="A154" s="356">
        <v>151</v>
      </c>
      <c r="B154" s="356" t="s">
        <v>880</v>
      </c>
      <c r="C154" s="356" t="s">
        <v>794</v>
      </c>
      <c r="D154" s="356" t="s">
        <v>392</v>
      </c>
      <c r="E154" s="358" t="s">
        <v>435</v>
      </c>
      <c r="F154" s="366">
        <v>21.683257000000001</v>
      </c>
      <c r="G154" s="366">
        <v>5.6763959999999996</v>
      </c>
      <c r="H154" s="359">
        <f t="shared" si="8"/>
        <v>16.006861000000001</v>
      </c>
      <c r="I154" s="360">
        <f t="shared" si="9"/>
        <v>0.73821294466970533</v>
      </c>
      <c r="J154" s="358"/>
      <c r="K154" s="358"/>
      <c r="L154" s="358"/>
      <c r="M154" s="361"/>
    </row>
    <row r="155" spans="1:13">
      <c r="A155" s="356">
        <v>152</v>
      </c>
      <c r="B155" s="356" t="s">
        <v>880</v>
      </c>
      <c r="C155" s="356" t="s">
        <v>794</v>
      </c>
      <c r="D155" s="356" t="s">
        <v>392</v>
      </c>
      <c r="E155" s="358" t="s">
        <v>862</v>
      </c>
      <c r="F155" s="366">
        <v>29.633415999999997</v>
      </c>
      <c r="G155" s="366">
        <v>7.0520880000000004</v>
      </c>
      <c r="H155" s="359">
        <f t="shared" si="8"/>
        <v>22.581327999999996</v>
      </c>
      <c r="I155" s="360">
        <f t="shared" si="9"/>
        <v>0.76202244115224504</v>
      </c>
      <c r="J155" s="358"/>
      <c r="K155" s="358"/>
      <c r="L155" s="358"/>
      <c r="M155" s="361"/>
    </row>
    <row r="156" spans="1:13">
      <c r="A156" s="356">
        <v>153</v>
      </c>
      <c r="B156" s="356" t="s">
        <v>880</v>
      </c>
      <c r="C156" s="356" t="s">
        <v>794</v>
      </c>
      <c r="D156" s="356" t="s">
        <v>392</v>
      </c>
      <c r="E156" s="358" t="s">
        <v>935</v>
      </c>
      <c r="F156" s="366">
        <v>1.3274000000000001E-2</v>
      </c>
      <c r="G156" s="366">
        <v>7.0500000000000001E-4</v>
      </c>
      <c r="H156" s="359">
        <f t="shared" si="8"/>
        <v>1.2569E-2</v>
      </c>
      <c r="I156" s="360">
        <f t="shared" si="9"/>
        <v>0.94688865451258097</v>
      </c>
      <c r="J156" s="358"/>
      <c r="K156" s="358"/>
      <c r="L156" s="358"/>
      <c r="M156" s="361"/>
    </row>
    <row r="157" spans="1:13">
      <c r="A157" s="356">
        <v>154</v>
      </c>
      <c r="B157" s="356" t="s">
        <v>880</v>
      </c>
      <c r="C157" s="356" t="s">
        <v>794</v>
      </c>
      <c r="D157" s="356" t="s">
        <v>392</v>
      </c>
      <c r="E157" s="358" t="s">
        <v>441</v>
      </c>
      <c r="F157" s="366">
        <v>25.083608999999999</v>
      </c>
      <c r="G157" s="366">
        <v>5.8049819999999999</v>
      </c>
      <c r="H157" s="359">
        <f t="shared" si="8"/>
        <v>19.278627</v>
      </c>
      <c r="I157" s="360">
        <f t="shared" si="9"/>
        <v>0.76857468955125241</v>
      </c>
      <c r="J157" s="358"/>
      <c r="K157" s="358"/>
      <c r="L157" s="358"/>
      <c r="M157" s="361"/>
    </row>
    <row r="158" spans="1:13">
      <c r="A158" s="356">
        <v>155</v>
      </c>
      <c r="B158" s="356" t="s">
        <v>880</v>
      </c>
      <c r="C158" s="356" t="s">
        <v>794</v>
      </c>
      <c r="D158" s="356" t="s">
        <v>392</v>
      </c>
      <c r="E158" s="358" t="s">
        <v>489</v>
      </c>
      <c r="F158" s="366">
        <v>28.632635999999998</v>
      </c>
      <c r="G158" s="366">
        <v>6.825564</v>
      </c>
      <c r="H158" s="359">
        <f t="shared" si="8"/>
        <v>21.807071999999998</v>
      </c>
      <c r="I158" s="360">
        <f t="shared" si="9"/>
        <v>0.76161594063501525</v>
      </c>
      <c r="J158" s="358"/>
      <c r="K158" s="358"/>
      <c r="L158" s="358"/>
      <c r="M158" s="361"/>
    </row>
    <row r="159" spans="1:13">
      <c r="A159" s="356">
        <v>156</v>
      </c>
      <c r="B159" s="356" t="s">
        <v>880</v>
      </c>
      <c r="C159" s="356" t="s">
        <v>794</v>
      </c>
      <c r="D159" s="356" t="s">
        <v>392</v>
      </c>
      <c r="E159" s="358" t="s">
        <v>873</v>
      </c>
      <c r="F159" s="366">
        <v>99.586832000000001</v>
      </c>
      <c r="G159" s="366">
        <v>24.319824000000001</v>
      </c>
      <c r="H159" s="359">
        <f t="shared" si="8"/>
        <v>75.267008000000004</v>
      </c>
      <c r="I159" s="360">
        <f t="shared" si="9"/>
        <v>0.75579277388801769</v>
      </c>
      <c r="J159" s="358"/>
      <c r="K159" s="358"/>
      <c r="L159" s="358"/>
      <c r="M159" s="361"/>
    </row>
    <row r="160" spans="1:13">
      <c r="A160" s="356">
        <v>157</v>
      </c>
      <c r="B160" s="356" t="s">
        <v>880</v>
      </c>
      <c r="C160" s="356" t="s">
        <v>794</v>
      </c>
      <c r="D160" s="356" t="s">
        <v>392</v>
      </c>
      <c r="E160" s="358" t="s">
        <v>874</v>
      </c>
      <c r="F160" s="366">
        <v>17.207788000000001</v>
      </c>
      <c r="G160" s="366">
        <v>4.2573360000000005</v>
      </c>
      <c r="H160" s="359">
        <f t="shared" si="8"/>
        <v>12.950452</v>
      </c>
      <c r="I160" s="360">
        <f t="shared" si="9"/>
        <v>0.75259248893582364</v>
      </c>
      <c r="J160" s="358"/>
      <c r="K160" s="358"/>
      <c r="L160" s="358"/>
      <c r="M160" s="361"/>
    </row>
    <row r="161" spans="1:13">
      <c r="A161" s="356">
        <v>158</v>
      </c>
      <c r="B161" s="356" t="s">
        <v>880</v>
      </c>
      <c r="C161" s="356" t="s">
        <v>794</v>
      </c>
      <c r="D161" s="356" t="s">
        <v>392</v>
      </c>
      <c r="E161" s="358" t="s">
        <v>950</v>
      </c>
      <c r="F161" s="366">
        <v>79.764956000000012</v>
      </c>
      <c r="G161" s="366">
        <v>19.245851999999999</v>
      </c>
      <c r="H161" s="359">
        <f t="shared" si="8"/>
        <v>60.519104000000013</v>
      </c>
      <c r="I161" s="360">
        <f t="shared" si="9"/>
        <v>0.75871795127674868</v>
      </c>
      <c r="J161" s="358"/>
      <c r="K161" s="358"/>
      <c r="L161" s="358"/>
      <c r="M161" s="361"/>
    </row>
    <row r="162" spans="1:13">
      <c r="A162" s="356">
        <v>159</v>
      </c>
      <c r="B162" s="356" t="s">
        <v>880</v>
      </c>
      <c r="C162" s="356" t="s">
        <v>794</v>
      </c>
      <c r="D162" s="356" t="s">
        <v>392</v>
      </c>
      <c r="E162" s="358" t="s">
        <v>870</v>
      </c>
      <c r="F162" s="366">
        <v>14.614938</v>
      </c>
      <c r="G162" s="366">
        <v>3.5443260000000003</v>
      </c>
      <c r="H162" s="359">
        <f t="shared" si="8"/>
        <v>11.070612000000001</v>
      </c>
      <c r="I162" s="360">
        <f t="shared" si="9"/>
        <v>0.75748607349548802</v>
      </c>
      <c r="J162" s="358"/>
      <c r="K162" s="358"/>
      <c r="L162" s="358"/>
      <c r="M162" s="361"/>
    </row>
    <row r="163" spans="1:13">
      <c r="A163" s="356">
        <v>160</v>
      </c>
      <c r="B163" s="356" t="s">
        <v>880</v>
      </c>
      <c r="C163" s="356" t="s">
        <v>794</v>
      </c>
      <c r="D163" s="356" t="s">
        <v>392</v>
      </c>
      <c r="E163" s="358" t="s">
        <v>1058</v>
      </c>
      <c r="F163" s="366">
        <v>4.5111499999999998</v>
      </c>
      <c r="G163" s="366">
        <v>0.99383999999999995</v>
      </c>
      <c r="H163" s="359">
        <f t="shared" si="8"/>
        <v>3.5173099999999997</v>
      </c>
      <c r="I163" s="360">
        <f t="shared" si="9"/>
        <v>0.77969253959633356</v>
      </c>
      <c r="J163" s="358"/>
      <c r="K163" s="358"/>
      <c r="L163" s="358"/>
      <c r="M163" s="361"/>
    </row>
    <row r="164" spans="1:13">
      <c r="A164" s="356">
        <v>161</v>
      </c>
      <c r="B164" s="356" t="s">
        <v>880</v>
      </c>
      <c r="C164" s="356" t="s">
        <v>794</v>
      </c>
      <c r="D164" s="356" t="s">
        <v>392</v>
      </c>
      <c r="E164" s="358" t="s">
        <v>951</v>
      </c>
      <c r="F164" s="366">
        <v>6.1278589999999999</v>
      </c>
      <c r="G164" s="366">
        <v>1.4665979999999998</v>
      </c>
      <c r="H164" s="359">
        <f t="shared" si="8"/>
        <v>4.6612609999999997</v>
      </c>
      <c r="I164" s="360">
        <f t="shared" si="9"/>
        <v>0.760667143287729</v>
      </c>
      <c r="J164" s="358"/>
      <c r="K164" s="358"/>
      <c r="L164" s="358"/>
      <c r="M164" s="361"/>
    </row>
    <row r="165" spans="1:13">
      <c r="A165" s="356">
        <v>162</v>
      </c>
      <c r="B165" s="356" t="s">
        <v>880</v>
      </c>
      <c r="C165" s="356" t="s">
        <v>794</v>
      </c>
      <c r="D165" s="356" t="s">
        <v>392</v>
      </c>
      <c r="E165" s="358" t="s">
        <v>1020</v>
      </c>
      <c r="F165" s="366">
        <v>9.3655210000000011</v>
      </c>
      <c r="G165" s="366">
        <v>2.3458320000000001</v>
      </c>
      <c r="H165" s="359">
        <f t="shared" si="8"/>
        <v>7.0196890000000014</v>
      </c>
      <c r="I165" s="360">
        <f t="shared" si="9"/>
        <v>0.74952466605968859</v>
      </c>
      <c r="J165" s="358"/>
      <c r="K165" s="358"/>
      <c r="L165" s="358"/>
      <c r="M165" s="361"/>
    </row>
    <row r="166" spans="1:13">
      <c r="A166" s="356">
        <v>163</v>
      </c>
      <c r="B166" s="356" t="s">
        <v>880</v>
      </c>
      <c r="C166" s="356" t="s">
        <v>794</v>
      </c>
      <c r="D166" s="356" t="s">
        <v>392</v>
      </c>
      <c r="E166" s="358" t="s">
        <v>997</v>
      </c>
      <c r="F166" s="366">
        <v>21.283963</v>
      </c>
      <c r="G166" s="366">
        <v>4.926768</v>
      </c>
      <c r="H166" s="359">
        <f t="shared" si="8"/>
        <v>16.357195000000001</v>
      </c>
      <c r="I166" s="360">
        <f t="shared" si="9"/>
        <v>0.7685220557844421</v>
      </c>
      <c r="J166" s="358"/>
      <c r="K166" s="358"/>
      <c r="L166" s="358"/>
      <c r="M166" s="361"/>
    </row>
    <row r="167" spans="1:13">
      <c r="A167" s="356">
        <v>164</v>
      </c>
      <c r="B167" s="356" t="s">
        <v>880</v>
      </c>
      <c r="C167" s="356" t="s">
        <v>794</v>
      </c>
      <c r="D167" s="356" t="s">
        <v>392</v>
      </c>
      <c r="E167" s="358" t="s">
        <v>1059</v>
      </c>
      <c r="F167" s="366">
        <v>12.575152000000001</v>
      </c>
      <c r="G167" s="366">
        <v>2.812392</v>
      </c>
      <c r="H167" s="359">
        <f t="shared" si="8"/>
        <v>9.7627600000000001</v>
      </c>
      <c r="I167" s="360">
        <f t="shared" si="9"/>
        <v>0.77635324010397644</v>
      </c>
      <c r="J167" s="358"/>
      <c r="K167" s="358"/>
      <c r="L167" s="358"/>
      <c r="M167" s="361"/>
    </row>
    <row r="168" spans="1:13">
      <c r="A168" s="356">
        <v>165</v>
      </c>
      <c r="B168" s="356" t="s">
        <v>880</v>
      </c>
      <c r="C168" s="356" t="s">
        <v>794</v>
      </c>
      <c r="D168" s="356" t="s">
        <v>393</v>
      </c>
      <c r="E168" s="358" t="s">
        <v>399</v>
      </c>
      <c r="F168" s="366">
        <v>142.62351100000001</v>
      </c>
      <c r="G168" s="366">
        <v>35.318016</v>
      </c>
      <c r="H168" s="359">
        <f t="shared" si="8"/>
        <v>107.30549500000001</v>
      </c>
      <c r="I168" s="360">
        <f t="shared" si="9"/>
        <v>0.75236890641403442</v>
      </c>
      <c r="J168" s="358"/>
      <c r="K168" s="358"/>
      <c r="L168" s="358"/>
      <c r="M168" s="361"/>
    </row>
    <row r="169" spans="1:13">
      <c r="A169" s="356">
        <v>166</v>
      </c>
      <c r="B169" s="356" t="s">
        <v>880</v>
      </c>
      <c r="C169" s="356" t="s">
        <v>794</v>
      </c>
      <c r="D169" s="356" t="s">
        <v>393</v>
      </c>
      <c r="E169" s="358" t="s">
        <v>355</v>
      </c>
      <c r="F169" s="366">
        <v>138.991815</v>
      </c>
      <c r="G169" s="366">
        <v>33.380528999999996</v>
      </c>
      <c r="H169" s="359">
        <f t="shared" si="8"/>
        <v>105.61128600000001</v>
      </c>
      <c r="I169" s="360">
        <f t="shared" si="9"/>
        <v>0.75983816744892496</v>
      </c>
      <c r="J169" s="358"/>
      <c r="K169" s="358"/>
      <c r="L169" s="358"/>
      <c r="M169" s="361"/>
    </row>
    <row r="170" spans="1:13">
      <c r="A170" s="356">
        <v>167</v>
      </c>
      <c r="B170" s="356" t="s">
        <v>880</v>
      </c>
      <c r="C170" s="356" t="s">
        <v>794</v>
      </c>
      <c r="D170" s="356" t="s">
        <v>393</v>
      </c>
      <c r="E170" s="358" t="s">
        <v>408</v>
      </c>
      <c r="F170" s="366">
        <v>175.05984899999999</v>
      </c>
      <c r="G170" s="366">
        <v>39.676864999999999</v>
      </c>
      <c r="H170" s="359">
        <f t="shared" si="8"/>
        <v>135.38298399999999</v>
      </c>
      <c r="I170" s="360">
        <f t="shared" si="9"/>
        <v>0.77335256926903895</v>
      </c>
      <c r="J170" s="358"/>
      <c r="K170" s="358"/>
      <c r="L170" s="358"/>
      <c r="M170" s="361"/>
    </row>
    <row r="171" spans="1:13">
      <c r="A171" s="356">
        <v>168</v>
      </c>
      <c r="B171" s="356" t="s">
        <v>880</v>
      </c>
      <c r="C171" s="356" t="s">
        <v>794</v>
      </c>
      <c r="D171" s="356" t="s">
        <v>393</v>
      </c>
      <c r="E171" s="358" t="s">
        <v>415</v>
      </c>
      <c r="F171" s="366">
        <v>110.14455500000001</v>
      </c>
      <c r="G171" s="366">
        <v>27.929884000000001</v>
      </c>
      <c r="H171" s="359">
        <f t="shared" si="8"/>
        <v>82.21467100000001</v>
      </c>
      <c r="I171" s="360">
        <f t="shared" si="9"/>
        <v>0.7464251955078488</v>
      </c>
      <c r="J171" s="358"/>
      <c r="K171" s="358"/>
      <c r="L171" s="358"/>
      <c r="M171" s="361"/>
    </row>
    <row r="172" spans="1:13">
      <c r="A172" s="356">
        <v>169</v>
      </c>
      <c r="B172" s="356" t="s">
        <v>880</v>
      </c>
      <c r="C172" s="356" t="s">
        <v>794</v>
      </c>
      <c r="D172" s="356" t="s">
        <v>393</v>
      </c>
      <c r="E172" s="358" t="s">
        <v>416</v>
      </c>
      <c r="F172" s="366">
        <v>29.433778000000004</v>
      </c>
      <c r="G172" s="366">
        <v>6.5276639999999997</v>
      </c>
      <c r="H172" s="359">
        <f t="shared" si="8"/>
        <v>22.906114000000002</v>
      </c>
      <c r="I172" s="360">
        <f t="shared" si="9"/>
        <v>0.77822541163421155</v>
      </c>
      <c r="J172" s="358"/>
      <c r="K172" s="358"/>
      <c r="L172" s="358"/>
      <c r="M172" s="361"/>
    </row>
    <row r="173" spans="1:13">
      <c r="A173" s="356">
        <v>170</v>
      </c>
      <c r="B173" s="356" t="s">
        <v>880</v>
      </c>
      <c r="C173" s="356" t="s">
        <v>794</v>
      </c>
      <c r="D173" s="356" t="s">
        <v>393</v>
      </c>
      <c r="E173" s="358" t="s">
        <v>418</v>
      </c>
      <c r="F173" s="366">
        <v>57.309187999999999</v>
      </c>
      <c r="G173" s="366">
        <v>14.299920000000002</v>
      </c>
      <c r="H173" s="359">
        <f t="shared" si="8"/>
        <v>43.009267999999999</v>
      </c>
      <c r="I173" s="360">
        <f t="shared" si="9"/>
        <v>0.75047770699525529</v>
      </c>
      <c r="J173" s="358"/>
      <c r="K173" s="358"/>
      <c r="L173" s="358"/>
      <c r="M173" s="361"/>
    </row>
    <row r="174" spans="1:13">
      <c r="A174" s="356">
        <v>171</v>
      </c>
      <c r="B174" s="356" t="s">
        <v>880</v>
      </c>
      <c r="C174" s="356" t="s">
        <v>794</v>
      </c>
      <c r="D174" s="356" t="s">
        <v>393</v>
      </c>
      <c r="E174" s="358" t="s">
        <v>1060</v>
      </c>
      <c r="F174" s="366">
        <v>10.040921000000001</v>
      </c>
      <c r="G174" s="366">
        <v>2.2142880000000003</v>
      </c>
      <c r="H174" s="359">
        <f t="shared" ref="H174:H196" si="10">F174-G174</f>
        <v>7.8266330000000011</v>
      </c>
      <c r="I174" s="360">
        <f t="shared" ref="I174:I196" si="11">H174/F174</f>
        <v>0.77947361601590137</v>
      </c>
      <c r="J174" s="358"/>
      <c r="K174" s="358"/>
      <c r="L174" s="358"/>
      <c r="M174" s="361"/>
    </row>
    <row r="175" spans="1:13">
      <c r="A175" s="356">
        <v>172</v>
      </c>
      <c r="B175" s="356" t="s">
        <v>880</v>
      </c>
      <c r="C175" s="356" t="s">
        <v>794</v>
      </c>
      <c r="D175" s="356" t="s">
        <v>393</v>
      </c>
      <c r="E175" s="358" t="s">
        <v>423</v>
      </c>
      <c r="F175" s="366">
        <v>49.411592999999996</v>
      </c>
      <c r="G175" s="366">
        <v>10.379952000000001</v>
      </c>
      <c r="H175" s="359">
        <f t="shared" si="10"/>
        <v>39.031640999999993</v>
      </c>
      <c r="I175" s="360">
        <f t="shared" si="11"/>
        <v>0.78992881285976746</v>
      </c>
      <c r="J175" s="358"/>
      <c r="K175" s="358"/>
      <c r="L175" s="358"/>
      <c r="M175" s="361"/>
    </row>
    <row r="176" spans="1:13">
      <c r="A176" s="356">
        <v>173</v>
      </c>
      <c r="B176" s="356" t="s">
        <v>880</v>
      </c>
      <c r="C176" s="356" t="s">
        <v>794</v>
      </c>
      <c r="D176" s="356" t="s">
        <v>393</v>
      </c>
      <c r="E176" s="358" t="s">
        <v>436</v>
      </c>
      <c r="F176" s="366">
        <v>22.659230999999998</v>
      </c>
      <c r="G176" s="366">
        <v>4.6711119999999999</v>
      </c>
      <c r="H176" s="359">
        <f t="shared" si="10"/>
        <v>17.988118999999998</v>
      </c>
      <c r="I176" s="360">
        <f t="shared" si="11"/>
        <v>0.79385390439772641</v>
      </c>
      <c r="J176" s="358"/>
      <c r="K176" s="358"/>
      <c r="L176" s="358"/>
      <c r="M176" s="361"/>
    </row>
    <row r="177" spans="1:13">
      <c r="A177" s="356">
        <v>174</v>
      </c>
      <c r="B177" s="356" t="s">
        <v>880</v>
      </c>
      <c r="C177" s="356" t="s">
        <v>794</v>
      </c>
      <c r="D177" s="356" t="s">
        <v>393</v>
      </c>
      <c r="E177" s="358" t="s">
        <v>930</v>
      </c>
      <c r="F177" s="366">
        <v>15.300529999999998</v>
      </c>
      <c r="G177" s="366">
        <v>3.8480879999999997</v>
      </c>
      <c r="H177" s="359">
        <f t="shared" si="10"/>
        <v>11.452441999999998</v>
      </c>
      <c r="I177" s="360">
        <f t="shared" si="11"/>
        <v>0.74849969249431225</v>
      </c>
      <c r="J177" s="358"/>
      <c r="K177" s="358"/>
      <c r="L177" s="358"/>
      <c r="M177" s="361"/>
    </row>
    <row r="178" spans="1:13">
      <c r="A178" s="356">
        <v>175</v>
      </c>
      <c r="B178" s="356" t="s">
        <v>880</v>
      </c>
      <c r="C178" s="356" t="s">
        <v>794</v>
      </c>
      <c r="D178" s="356" t="s">
        <v>393</v>
      </c>
      <c r="E178" s="358" t="s">
        <v>875</v>
      </c>
      <c r="F178" s="366">
        <v>19.232282000000001</v>
      </c>
      <c r="G178" s="366">
        <v>4.8329279999999999</v>
      </c>
      <c r="H178" s="359">
        <f t="shared" si="10"/>
        <v>14.399354000000002</v>
      </c>
      <c r="I178" s="360">
        <f t="shared" si="11"/>
        <v>0.74870751167230187</v>
      </c>
      <c r="J178" s="358"/>
      <c r="K178" s="358"/>
      <c r="L178" s="358"/>
      <c r="M178" s="361"/>
    </row>
    <row r="179" spans="1:13">
      <c r="A179" s="356">
        <v>176</v>
      </c>
      <c r="B179" s="356" t="s">
        <v>880</v>
      </c>
      <c r="C179" s="356" t="s">
        <v>794</v>
      </c>
      <c r="D179" s="356" t="s">
        <v>393</v>
      </c>
      <c r="E179" s="358" t="s">
        <v>876</v>
      </c>
      <c r="F179" s="366">
        <v>64.376070999999996</v>
      </c>
      <c r="G179" s="366">
        <v>15.020064000000001</v>
      </c>
      <c r="H179" s="359">
        <f t="shared" si="10"/>
        <v>49.356006999999991</v>
      </c>
      <c r="I179" s="360">
        <f t="shared" si="11"/>
        <v>0.76668249915407227</v>
      </c>
      <c r="J179" s="358"/>
      <c r="K179" s="358"/>
      <c r="L179" s="358"/>
      <c r="M179" s="361"/>
    </row>
    <row r="180" spans="1:13">
      <c r="A180" s="356">
        <v>177</v>
      </c>
      <c r="B180" s="356" t="s">
        <v>880</v>
      </c>
      <c r="C180" s="356" t="s">
        <v>794</v>
      </c>
      <c r="D180" s="356" t="s">
        <v>393</v>
      </c>
      <c r="E180" s="358" t="s">
        <v>928</v>
      </c>
      <c r="F180" s="366">
        <v>10.981378999999999</v>
      </c>
      <c r="G180" s="366">
        <v>2.669616</v>
      </c>
      <c r="H180" s="359">
        <f t="shared" si="10"/>
        <v>8.3117629999999991</v>
      </c>
      <c r="I180" s="360">
        <f t="shared" si="11"/>
        <v>0.75689610567124588</v>
      </c>
      <c r="J180" s="358"/>
      <c r="K180" s="358"/>
      <c r="L180" s="358"/>
      <c r="M180" s="361"/>
    </row>
    <row r="181" spans="1:13">
      <c r="A181" s="356">
        <v>178</v>
      </c>
      <c r="B181" s="356" t="s">
        <v>880</v>
      </c>
      <c r="C181" s="356" t="s">
        <v>794</v>
      </c>
      <c r="D181" s="356" t="s">
        <v>393</v>
      </c>
      <c r="E181" s="358" t="s">
        <v>1021</v>
      </c>
      <c r="F181" s="366">
        <v>14.640425</v>
      </c>
      <c r="G181" s="366">
        <v>3.5828160000000002</v>
      </c>
      <c r="H181" s="359">
        <f t="shared" si="10"/>
        <v>11.057608999999999</v>
      </c>
      <c r="I181" s="360">
        <f t="shared" si="11"/>
        <v>0.75527923540470987</v>
      </c>
      <c r="J181" s="358"/>
      <c r="K181" s="358"/>
      <c r="L181" s="358"/>
      <c r="M181" s="361"/>
    </row>
    <row r="182" spans="1:13">
      <c r="A182" s="356">
        <v>179</v>
      </c>
      <c r="B182" s="356" t="s">
        <v>880</v>
      </c>
      <c r="C182" s="356" t="s">
        <v>794</v>
      </c>
      <c r="D182" s="356" t="s">
        <v>394</v>
      </c>
      <c r="E182" s="358" t="s">
        <v>401</v>
      </c>
      <c r="F182" s="366">
        <v>176.50867700000001</v>
      </c>
      <c r="G182" s="366">
        <v>39.688569999999999</v>
      </c>
      <c r="H182" s="359">
        <f t="shared" si="10"/>
        <v>136.82010700000001</v>
      </c>
      <c r="I182" s="360">
        <f t="shared" si="11"/>
        <v>0.77514663485920299</v>
      </c>
      <c r="J182" s="358"/>
      <c r="K182" s="358"/>
      <c r="L182" s="358"/>
      <c r="M182" s="361"/>
    </row>
    <row r="183" spans="1:13">
      <c r="A183" s="356">
        <v>180</v>
      </c>
      <c r="B183" s="356" t="s">
        <v>880</v>
      </c>
      <c r="C183" s="356" t="s">
        <v>794</v>
      </c>
      <c r="D183" s="356" t="s">
        <v>394</v>
      </c>
      <c r="E183" s="358" t="s">
        <v>925</v>
      </c>
      <c r="F183" s="366">
        <v>36.679221999999996</v>
      </c>
      <c r="G183" s="366">
        <v>8.244408</v>
      </c>
      <c r="H183" s="359">
        <f t="shared" si="10"/>
        <v>28.434813999999996</v>
      </c>
      <c r="I183" s="360">
        <f t="shared" si="11"/>
        <v>0.77522947460554092</v>
      </c>
      <c r="J183" s="358"/>
      <c r="K183" s="358"/>
      <c r="L183" s="358"/>
      <c r="M183" s="361"/>
    </row>
    <row r="184" spans="1:13">
      <c r="A184" s="356">
        <v>181</v>
      </c>
      <c r="B184" s="356" t="s">
        <v>880</v>
      </c>
      <c r="C184" s="356" t="s">
        <v>794</v>
      </c>
      <c r="D184" s="356" t="s">
        <v>394</v>
      </c>
      <c r="E184" s="358" t="s">
        <v>402</v>
      </c>
      <c r="F184" s="366">
        <v>39.246328000000005</v>
      </c>
      <c r="G184" s="366">
        <v>8.8786000000000005</v>
      </c>
      <c r="H184" s="359">
        <f t="shared" si="10"/>
        <v>30.367728000000007</v>
      </c>
      <c r="I184" s="360">
        <f t="shared" si="11"/>
        <v>0.77377246605083672</v>
      </c>
      <c r="J184" s="358"/>
      <c r="K184" s="358"/>
      <c r="L184" s="358"/>
      <c r="M184" s="361"/>
    </row>
    <row r="185" spans="1:13">
      <c r="A185" s="356">
        <v>182</v>
      </c>
      <c r="B185" s="356" t="s">
        <v>880</v>
      </c>
      <c r="C185" s="356" t="s">
        <v>794</v>
      </c>
      <c r="D185" s="356" t="s">
        <v>394</v>
      </c>
      <c r="E185" s="358" t="s">
        <v>405</v>
      </c>
      <c r="F185" s="366">
        <v>367.86688700000002</v>
      </c>
      <c r="G185" s="366">
        <v>85.281039000000007</v>
      </c>
      <c r="H185" s="359">
        <f t="shared" si="10"/>
        <v>282.585848</v>
      </c>
      <c r="I185" s="360">
        <f t="shared" si="11"/>
        <v>0.76817419013851063</v>
      </c>
      <c r="J185" s="358"/>
      <c r="K185" s="358"/>
      <c r="L185" s="358"/>
      <c r="M185" s="361"/>
    </row>
    <row r="186" spans="1:13">
      <c r="A186" s="356">
        <v>183</v>
      </c>
      <c r="B186" s="356" t="s">
        <v>880</v>
      </c>
      <c r="C186" s="356" t="s">
        <v>794</v>
      </c>
      <c r="D186" s="356" t="s">
        <v>394</v>
      </c>
      <c r="E186" s="358" t="s">
        <v>409</v>
      </c>
      <c r="F186" s="366">
        <v>14.625893</v>
      </c>
      <c r="G186" s="366">
        <v>3.1377599999999997</v>
      </c>
      <c r="H186" s="359">
        <f t="shared" si="10"/>
        <v>11.488132999999999</v>
      </c>
      <c r="I186" s="360">
        <f t="shared" si="11"/>
        <v>0.78546540713787527</v>
      </c>
      <c r="J186" s="358"/>
      <c r="K186" s="358"/>
      <c r="L186" s="358"/>
      <c r="M186" s="361"/>
    </row>
    <row r="187" spans="1:13">
      <c r="A187" s="356">
        <v>184</v>
      </c>
      <c r="B187" s="356" t="s">
        <v>880</v>
      </c>
      <c r="C187" s="356" t="s">
        <v>794</v>
      </c>
      <c r="D187" s="356" t="s">
        <v>394</v>
      </c>
      <c r="E187" s="358" t="s">
        <v>410</v>
      </c>
      <c r="F187" s="366">
        <v>63.846534999999996</v>
      </c>
      <c r="G187" s="366">
        <v>15.258789000000002</v>
      </c>
      <c r="H187" s="359">
        <f t="shared" si="10"/>
        <v>48.587745999999996</v>
      </c>
      <c r="I187" s="360">
        <f t="shared" si="11"/>
        <v>0.76100834602848844</v>
      </c>
      <c r="J187" s="358"/>
      <c r="K187" s="358"/>
      <c r="L187" s="358"/>
      <c r="M187" s="361"/>
    </row>
    <row r="188" spans="1:13">
      <c r="A188" s="356">
        <v>185</v>
      </c>
      <c r="B188" s="356" t="s">
        <v>880</v>
      </c>
      <c r="C188" s="356" t="s">
        <v>794</v>
      </c>
      <c r="D188" s="356" t="s">
        <v>394</v>
      </c>
      <c r="E188" s="358" t="s">
        <v>414</v>
      </c>
      <c r="F188" s="366">
        <v>27.630247999999998</v>
      </c>
      <c r="G188" s="366">
        <v>7.0887779999999996</v>
      </c>
      <c r="H188" s="359">
        <f t="shared" si="10"/>
        <v>20.541469999999997</v>
      </c>
      <c r="I188" s="360">
        <f t="shared" si="11"/>
        <v>0.743441390754075</v>
      </c>
      <c r="J188" s="358"/>
      <c r="K188" s="358"/>
      <c r="L188" s="358"/>
      <c r="M188" s="361"/>
    </row>
    <row r="189" spans="1:13">
      <c r="A189" s="356">
        <v>186</v>
      </c>
      <c r="B189" s="356" t="s">
        <v>880</v>
      </c>
      <c r="C189" s="356" t="s">
        <v>794</v>
      </c>
      <c r="D189" s="356" t="s">
        <v>394</v>
      </c>
      <c r="E189" s="358" t="s">
        <v>427</v>
      </c>
      <c r="F189" s="366">
        <v>20.787524999999999</v>
      </c>
      <c r="G189" s="366">
        <v>4.9435900000000004</v>
      </c>
      <c r="H189" s="359">
        <f t="shared" si="10"/>
        <v>15.843934999999998</v>
      </c>
      <c r="I189" s="360">
        <f t="shared" si="11"/>
        <v>0.76218477187640177</v>
      </c>
      <c r="J189" s="358"/>
      <c r="K189" s="358"/>
      <c r="L189" s="358"/>
      <c r="M189" s="361"/>
    </row>
    <row r="190" spans="1:13">
      <c r="A190" s="356">
        <v>187</v>
      </c>
      <c r="B190" s="356" t="s">
        <v>880</v>
      </c>
      <c r="C190" s="356" t="s">
        <v>794</v>
      </c>
      <c r="D190" s="356" t="s">
        <v>394</v>
      </c>
      <c r="E190" s="358" t="s">
        <v>490</v>
      </c>
      <c r="F190" s="366">
        <v>9.6373809999999995</v>
      </c>
      <c r="G190" s="366">
        <v>2.0249519999999999</v>
      </c>
      <c r="H190" s="359">
        <f t="shared" si="10"/>
        <v>7.6124289999999997</v>
      </c>
      <c r="I190" s="360">
        <f t="shared" si="11"/>
        <v>0.78988565461923732</v>
      </c>
      <c r="J190" s="358"/>
      <c r="K190" s="358"/>
      <c r="L190" s="358"/>
      <c r="M190" s="361"/>
    </row>
    <row r="191" spans="1:13">
      <c r="A191" s="356">
        <v>188</v>
      </c>
      <c r="B191" s="356" t="s">
        <v>880</v>
      </c>
      <c r="C191" s="356" t="s">
        <v>794</v>
      </c>
      <c r="D191" s="356" t="s">
        <v>394</v>
      </c>
      <c r="E191" s="358" t="s">
        <v>387</v>
      </c>
      <c r="F191" s="366">
        <v>68.325291000000007</v>
      </c>
      <c r="G191" s="366">
        <v>16.582892000000001</v>
      </c>
      <c r="H191" s="359">
        <f t="shared" si="10"/>
        <v>51.742399000000006</v>
      </c>
      <c r="I191" s="360">
        <f t="shared" si="11"/>
        <v>0.75729496710083533</v>
      </c>
      <c r="J191" s="358"/>
      <c r="K191" s="358"/>
      <c r="L191" s="358"/>
      <c r="M191" s="361"/>
    </row>
    <row r="192" spans="1:13">
      <c r="A192" s="356">
        <v>189</v>
      </c>
      <c r="B192" s="356" t="s">
        <v>880</v>
      </c>
      <c r="C192" s="356" t="s">
        <v>794</v>
      </c>
      <c r="D192" s="356" t="s">
        <v>394</v>
      </c>
      <c r="E192" s="358" t="s">
        <v>491</v>
      </c>
      <c r="F192" s="366">
        <v>14.99639</v>
      </c>
      <c r="G192" s="366">
        <v>3.2063999999999999</v>
      </c>
      <c r="H192" s="359">
        <f t="shared" si="10"/>
        <v>11.78999</v>
      </c>
      <c r="I192" s="360">
        <f t="shared" si="11"/>
        <v>0.78618854270927863</v>
      </c>
      <c r="J192" s="358"/>
      <c r="K192" s="358"/>
      <c r="L192" s="358"/>
      <c r="M192" s="361"/>
    </row>
    <row r="193" spans="1:13">
      <c r="A193" s="356">
        <v>190</v>
      </c>
      <c r="B193" s="356" t="s">
        <v>880</v>
      </c>
      <c r="C193" s="356" t="s">
        <v>794</v>
      </c>
      <c r="D193" s="356" t="s">
        <v>394</v>
      </c>
      <c r="E193" s="358" t="s">
        <v>442</v>
      </c>
      <c r="F193" s="366">
        <v>19.952707</v>
      </c>
      <c r="G193" s="366">
        <v>4.1200320000000001</v>
      </c>
      <c r="H193" s="359">
        <f t="shared" si="10"/>
        <v>15.832675</v>
      </c>
      <c r="I193" s="360">
        <f t="shared" si="11"/>
        <v>0.79351012371404039</v>
      </c>
      <c r="J193" s="358"/>
      <c r="K193" s="358"/>
      <c r="L193" s="358"/>
      <c r="M193" s="361"/>
    </row>
    <row r="194" spans="1:13">
      <c r="A194" s="356">
        <v>191</v>
      </c>
      <c r="B194" s="356" t="s">
        <v>880</v>
      </c>
      <c r="C194" s="356" t="s">
        <v>794</v>
      </c>
      <c r="D194" s="356" t="s">
        <v>397</v>
      </c>
      <c r="E194" s="358" t="s">
        <v>400</v>
      </c>
      <c r="F194" s="366">
        <v>198.32839199999998</v>
      </c>
      <c r="G194" s="366">
        <v>44.539766</v>
      </c>
      <c r="H194" s="359">
        <f t="shared" si="10"/>
        <v>153.78862599999997</v>
      </c>
      <c r="I194" s="360">
        <f t="shared" si="11"/>
        <v>0.77542415611376503</v>
      </c>
      <c r="J194" s="358"/>
      <c r="K194" s="358"/>
      <c r="L194" s="358"/>
      <c r="M194" s="361"/>
    </row>
    <row r="195" spans="1:13">
      <c r="A195" s="356">
        <v>192</v>
      </c>
      <c r="B195" s="356" t="s">
        <v>880</v>
      </c>
      <c r="C195" s="356" t="s">
        <v>794</v>
      </c>
      <c r="D195" s="356" t="s">
        <v>397</v>
      </c>
      <c r="E195" s="358" t="s">
        <v>412</v>
      </c>
      <c r="F195" s="366">
        <v>77.277704</v>
      </c>
      <c r="G195" s="366">
        <v>16.705002</v>
      </c>
      <c r="H195" s="359">
        <f t="shared" si="10"/>
        <v>60.572702</v>
      </c>
      <c r="I195" s="360">
        <f t="shared" si="11"/>
        <v>0.78383154344233619</v>
      </c>
      <c r="J195" s="358"/>
      <c r="K195" s="358"/>
      <c r="L195" s="358"/>
      <c r="M195" s="361"/>
    </row>
    <row r="196" spans="1:13">
      <c r="A196" s="356">
        <v>193</v>
      </c>
      <c r="B196" s="356" t="s">
        <v>880</v>
      </c>
      <c r="C196" s="356" t="s">
        <v>794</v>
      </c>
      <c r="D196" s="356" t="s">
        <v>397</v>
      </c>
      <c r="E196" s="358" t="s">
        <v>413</v>
      </c>
      <c r="F196" s="366">
        <v>64.732033999999999</v>
      </c>
      <c r="G196" s="366">
        <v>14.200248</v>
      </c>
      <c r="H196" s="359">
        <f t="shared" si="10"/>
        <v>50.531785999999997</v>
      </c>
      <c r="I196" s="360">
        <f t="shared" si="11"/>
        <v>0.78063028268198709</v>
      </c>
      <c r="J196" s="358"/>
      <c r="K196" s="358"/>
      <c r="L196" s="358"/>
      <c r="M196" s="361"/>
    </row>
    <row r="197" spans="1:13">
      <c r="A197" s="356">
        <v>194</v>
      </c>
      <c r="B197" s="356" t="s">
        <v>880</v>
      </c>
      <c r="C197" s="356" t="s">
        <v>794</v>
      </c>
      <c r="D197" s="356" t="s">
        <v>397</v>
      </c>
      <c r="E197" s="358" t="s">
        <v>421</v>
      </c>
      <c r="F197" s="366">
        <v>28.417277000000002</v>
      </c>
      <c r="G197" s="366">
        <v>6.4648080000000006</v>
      </c>
      <c r="H197" s="359">
        <f t="shared" ref="H197:H244" si="12">F197-G197</f>
        <v>21.952469000000001</v>
      </c>
      <c r="I197" s="360">
        <f t="shared" ref="I197:I244" si="13">H197/F197</f>
        <v>0.77250431137367592</v>
      </c>
      <c r="J197" s="358"/>
      <c r="K197" s="358"/>
      <c r="L197" s="358"/>
      <c r="M197" s="361"/>
    </row>
    <row r="198" spans="1:13">
      <c r="A198" s="356">
        <v>195</v>
      </c>
      <c r="B198" s="356" t="s">
        <v>880</v>
      </c>
      <c r="C198" s="356" t="s">
        <v>794</v>
      </c>
      <c r="D198" s="356" t="s">
        <v>397</v>
      </c>
      <c r="E198" s="358" t="s">
        <v>424</v>
      </c>
      <c r="F198" s="366">
        <v>26.747021999999998</v>
      </c>
      <c r="G198" s="366">
        <v>5.9181359999999996</v>
      </c>
      <c r="H198" s="359">
        <f t="shared" si="12"/>
        <v>20.828885999999997</v>
      </c>
      <c r="I198" s="360">
        <f t="shared" si="13"/>
        <v>0.77873663841903595</v>
      </c>
      <c r="J198" s="358"/>
      <c r="K198" s="358"/>
      <c r="L198" s="358"/>
      <c r="M198" s="361"/>
    </row>
    <row r="199" spans="1:13">
      <c r="A199" s="356">
        <v>196</v>
      </c>
      <c r="B199" s="356" t="s">
        <v>880</v>
      </c>
      <c r="C199" s="356" t="s">
        <v>794</v>
      </c>
      <c r="D199" s="356" t="s">
        <v>397</v>
      </c>
      <c r="E199" s="358" t="s">
        <v>877</v>
      </c>
      <c r="F199" s="366">
        <v>33.732106999999999</v>
      </c>
      <c r="G199" s="366">
        <v>7.8915119999999996</v>
      </c>
      <c r="H199" s="359">
        <f t="shared" si="12"/>
        <v>25.840595</v>
      </c>
      <c r="I199" s="360">
        <f t="shared" si="13"/>
        <v>0.76605339239555958</v>
      </c>
      <c r="J199" s="358"/>
      <c r="K199" s="358"/>
      <c r="L199" s="358"/>
      <c r="M199" s="361"/>
    </row>
    <row r="200" spans="1:13">
      <c r="A200" s="356">
        <v>197</v>
      </c>
      <c r="B200" s="356" t="s">
        <v>880</v>
      </c>
      <c r="C200" s="356" t="s">
        <v>794</v>
      </c>
      <c r="D200" s="356" t="s">
        <v>397</v>
      </c>
      <c r="E200" s="358" t="s">
        <v>878</v>
      </c>
      <c r="F200" s="366">
        <v>19.025839000000001</v>
      </c>
      <c r="G200" s="366">
        <v>4.1033520000000001</v>
      </c>
      <c r="H200" s="359">
        <f t="shared" si="12"/>
        <v>14.922487</v>
      </c>
      <c r="I200" s="360">
        <f t="shared" si="13"/>
        <v>0.78432740863622352</v>
      </c>
      <c r="J200" s="358"/>
      <c r="K200" s="358"/>
      <c r="L200" s="358"/>
      <c r="M200" s="361"/>
    </row>
    <row r="201" spans="1:13">
      <c r="A201" s="356">
        <v>198</v>
      </c>
      <c r="B201" s="356" t="s">
        <v>880</v>
      </c>
      <c r="C201" s="356" t="s">
        <v>794</v>
      </c>
      <c r="D201" s="356" t="s">
        <v>397</v>
      </c>
      <c r="E201" s="358" t="s">
        <v>936</v>
      </c>
      <c r="F201" s="366">
        <v>18.010619999999999</v>
      </c>
      <c r="G201" s="366">
        <v>4.0700640000000003</v>
      </c>
      <c r="H201" s="359">
        <f t="shared" si="12"/>
        <v>13.940555999999999</v>
      </c>
      <c r="I201" s="360">
        <f t="shared" si="13"/>
        <v>0.774018662322563</v>
      </c>
      <c r="J201" s="358"/>
      <c r="K201" s="358"/>
      <c r="L201" s="358"/>
      <c r="M201" s="361"/>
    </row>
    <row r="202" spans="1:13">
      <c r="A202" s="356">
        <v>199</v>
      </c>
      <c r="B202" s="356" t="s">
        <v>880</v>
      </c>
      <c r="C202" s="356" t="s">
        <v>794</v>
      </c>
      <c r="D202" s="356" t="s">
        <v>397</v>
      </c>
      <c r="E202" s="358" t="s">
        <v>1022</v>
      </c>
      <c r="F202" s="366">
        <v>5.3929910000000003</v>
      </c>
      <c r="G202" s="366">
        <v>1.204944</v>
      </c>
      <c r="H202" s="359">
        <f t="shared" si="12"/>
        <v>4.1880470000000001</v>
      </c>
      <c r="I202" s="360">
        <f t="shared" si="13"/>
        <v>0.7765722212404953</v>
      </c>
      <c r="J202" s="358"/>
      <c r="K202" s="358"/>
      <c r="L202" s="358"/>
      <c r="M202" s="361"/>
    </row>
    <row r="203" spans="1:13">
      <c r="A203" s="356">
        <v>200</v>
      </c>
      <c r="B203" s="356" t="s">
        <v>880</v>
      </c>
      <c r="C203" s="356" t="s">
        <v>794</v>
      </c>
      <c r="D203" s="356" t="s">
        <v>397</v>
      </c>
      <c r="E203" s="358" t="s">
        <v>1092</v>
      </c>
      <c r="F203" s="366">
        <v>5.3454160000000002</v>
      </c>
      <c r="G203" s="366">
        <v>1.2747600000000001</v>
      </c>
      <c r="H203" s="359">
        <f t="shared" si="12"/>
        <v>4.0706559999999996</v>
      </c>
      <c r="I203" s="360">
        <f t="shared" si="13"/>
        <v>0.7615227701641929</v>
      </c>
      <c r="J203" s="358"/>
      <c r="K203" s="358"/>
      <c r="L203" s="358"/>
      <c r="M203" s="361"/>
    </row>
    <row r="204" spans="1:13">
      <c r="A204" s="356">
        <v>201</v>
      </c>
      <c r="B204" s="356" t="s">
        <v>880</v>
      </c>
      <c r="C204" s="356" t="s">
        <v>794</v>
      </c>
      <c r="D204" s="356" t="s">
        <v>398</v>
      </c>
      <c r="E204" s="358" t="s">
        <v>428</v>
      </c>
      <c r="F204" s="366">
        <v>36.198388999999999</v>
      </c>
      <c r="G204" s="366">
        <v>8.4624660000000009</v>
      </c>
      <c r="H204" s="359">
        <f t="shared" si="12"/>
        <v>27.735923</v>
      </c>
      <c r="I204" s="360">
        <f t="shared" si="13"/>
        <v>0.76621981713053589</v>
      </c>
      <c r="J204" s="358"/>
      <c r="K204" s="358"/>
      <c r="L204" s="358"/>
      <c r="M204" s="361"/>
    </row>
    <row r="205" spans="1:13">
      <c r="A205" s="356">
        <v>202</v>
      </c>
      <c r="B205" s="356" t="s">
        <v>880</v>
      </c>
      <c r="C205" s="356" t="s">
        <v>794</v>
      </c>
      <c r="D205" s="356" t="s">
        <v>398</v>
      </c>
      <c r="E205" s="358" t="s">
        <v>439</v>
      </c>
      <c r="F205" s="366">
        <v>38.648921999999999</v>
      </c>
      <c r="G205" s="366">
        <v>9.3185219999999997</v>
      </c>
      <c r="H205" s="359">
        <f t="shared" si="12"/>
        <v>29.330399999999997</v>
      </c>
      <c r="I205" s="360">
        <f t="shared" si="13"/>
        <v>0.75889309409457784</v>
      </c>
      <c r="J205" s="358"/>
      <c r="K205" s="358"/>
      <c r="L205" s="358"/>
      <c r="M205" s="361"/>
    </row>
    <row r="206" spans="1:13">
      <c r="A206" s="356">
        <v>203</v>
      </c>
      <c r="B206" s="356" t="s">
        <v>880</v>
      </c>
      <c r="C206" s="356" t="s">
        <v>794</v>
      </c>
      <c r="D206" s="356" t="s">
        <v>398</v>
      </c>
      <c r="E206" s="358" t="s">
        <v>872</v>
      </c>
      <c r="F206" s="366">
        <v>8.2823360000000008</v>
      </c>
      <c r="G206" s="366">
        <v>1.9630560000000001</v>
      </c>
      <c r="H206" s="359">
        <f t="shared" si="12"/>
        <v>6.3192800000000009</v>
      </c>
      <c r="I206" s="360">
        <f t="shared" si="13"/>
        <v>0.76298281064665818</v>
      </c>
      <c r="J206" s="358"/>
      <c r="K206" s="358"/>
      <c r="L206" s="358"/>
      <c r="M206" s="361"/>
    </row>
    <row r="207" spans="1:13">
      <c r="A207" s="356">
        <v>204</v>
      </c>
      <c r="B207" s="356" t="s">
        <v>880</v>
      </c>
      <c r="C207" s="356" t="s">
        <v>794</v>
      </c>
      <c r="D207" s="356" t="s">
        <v>398</v>
      </c>
      <c r="E207" s="358" t="s">
        <v>492</v>
      </c>
      <c r="F207" s="366">
        <v>9.8268310000000003</v>
      </c>
      <c r="G207" s="366">
        <v>2.5562040000000001</v>
      </c>
      <c r="H207" s="359">
        <f t="shared" si="12"/>
        <v>7.2706270000000002</v>
      </c>
      <c r="I207" s="360">
        <f t="shared" si="13"/>
        <v>0.73987504211683297</v>
      </c>
      <c r="J207" s="358"/>
      <c r="K207" s="358"/>
      <c r="L207" s="358"/>
      <c r="M207" s="361"/>
    </row>
    <row r="208" spans="1:13">
      <c r="A208" s="356">
        <v>205</v>
      </c>
      <c r="B208" s="356" t="s">
        <v>880</v>
      </c>
      <c r="C208" s="356" t="s">
        <v>794</v>
      </c>
      <c r="D208" s="356" t="s">
        <v>398</v>
      </c>
      <c r="E208" s="358" t="s">
        <v>952</v>
      </c>
      <c r="F208" s="366">
        <v>16.559576</v>
      </c>
      <c r="G208" s="366">
        <v>3.8082239999999996</v>
      </c>
      <c r="H208" s="359">
        <f t="shared" si="12"/>
        <v>12.751352000000001</v>
      </c>
      <c r="I208" s="360">
        <f t="shared" si="13"/>
        <v>0.77002889445961664</v>
      </c>
      <c r="J208" s="358"/>
      <c r="K208" s="358"/>
      <c r="L208" s="358"/>
      <c r="M208" s="361"/>
    </row>
    <row r="209" spans="1:13">
      <c r="A209" s="356">
        <v>206</v>
      </c>
      <c r="B209" s="356" t="s">
        <v>880</v>
      </c>
      <c r="C209" s="356" t="s">
        <v>794</v>
      </c>
      <c r="D209" s="356" t="s">
        <v>398</v>
      </c>
      <c r="E209" s="358" t="s">
        <v>998</v>
      </c>
      <c r="F209" s="366">
        <v>2.5801069999999999</v>
      </c>
      <c r="G209" s="366">
        <v>0.55543199999999993</v>
      </c>
      <c r="H209" s="359">
        <f t="shared" si="12"/>
        <v>2.0246750000000002</v>
      </c>
      <c r="I209" s="360">
        <f t="shared" si="13"/>
        <v>0.78472520713288263</v>
      </c>
      <c r="J209" s="358"/>
      <c r="K209" s="358"/>
      <c r="L209" s="358"/>
      <c r="M209" s="361"/>
    </row>
    <row r="210" spans="1:13">
      <c r="A210" s="356">
        <v>207</v>
      </c>
      <c r="B210" s="356" t="s">
        <v>880</v>
      </c>
      <c r="C210" s="356" t="s">
        <v>794</v>
      </c>
      <c r="D210" s="356" t="s">
        <v>398</v>
      </c>
      <c r="E210" s="358" t="s">
        <v>1093</v>
      </c>
      <c r="F210" s="366">
        <v>3.5715400000000002</v>
      </c>
      <c r="G210" s="366">
        <v>0.75842399999999999</v>
      </c>
      <c r="H210" s="359">
        <f t="shared" si="12"/>
        <v>2.8131159999999999</v>
      </c>
      <c r="I210" s="360">
        <f t="shared" si="13"/>
        <v>0.7876479053853519</v>
      </c>
      <c r="J210" s="358"/>
      <c r="K210" s="358"/>
      <c r="L210" s="358"/>
      <c r="M210" s="361"/>
    </row>
    <row r="211" spans="1:13">
      <c r="A211" s="356">
        <v>208</v>
      </c>
      <c r="B211" s="356" t="s">
        <v>880</v>
      </c>
      <c r="C211" s="356" t="s">
        <v>794</v>
      </c>
      <c r="D211" s="356" t="s">
        <v>398</v>
      </c>
      <c r="E211" s="358" t="s">
        <v>999</v>
      </c>
      <c r="F211" s="366">
        <v>13.099327000000001</v>
      </c>
      <c r="G211" s="366">
        <v>3.0056880000000001</v>
      </c>
      <c r="H211" s="359">
        <f t="shared" si="12"/>
        <v>10.093639</v>
      </c>
      <c r="I211" s="360">
        <f t="shared" si="13"/>
        <v>0.7705463799781469</v>
      </c>
      <c r="J211" s="358"/>
      <c r="K211" s="358"/>
      <c r="L211" s="358"/>
      <c r="M211" s="361"/>
    </row>
    <row r="212" spans="1:13">
      <c r="A212" s="356">
        <v>209</v>
      </c>
      <c r="B212" s="356" t="s">
        <v>880</v>
      </c>
      <c r="C212" s="356" t="s">
        <v>794</v>
      </c>
      <c r="D212" s="356" t="s">
        <v>398</v>
      </c>
      <c r="E212" s="358" t="s">
        <v>1023</v>
      </c>
      <c r="F212" s="366">
        <v>6.2569919999999994</v>
      </c>
      <c r="G212" s="366">
        <v>1.3973040000000001</v>
      </c>
      <c r="H212" s="359">
        <f t="shared" si="12"/>
        <v>4.8596879999999993</v>
      </c>
      <c r="I212" s="360">
        <f t="shared" si="13"/>
        <v>0.7766811912177608</v>
      </c>
      <c r="J212" s="358"/>
      <c r="K212" s="358"/>
      <c r="L212" s="358"/>
      <c r="M212" s="361"/>
    </row>
    <row r="213" spans="1:13">
      <c r="A213" s="356">
        <v>210</v>
      </c>
      <c r="B213" s="356" t="s">
        <v>880</v>
      </c>
      <c r="C213" s="356" t="s">
        <v>794</v>
      </c>
      <c r="D213" s="356" t="s">
        <v>395</v>
      </c>
      <c r="E213" s="358" t="s">
        <v>406</v>
      </c>
      <c r="F213" s="366">
        <v>21.305876999999999</v>
      </c>
      <c r="G213" s="366">
        <v>5.1715439999999999</v>
      </c>
      <c r="H213" s="359">
        <f t="shared" si="12"/>
        <v>16.134332999999998</v>
      </c>
      <c r="I213" s="360">
        <f t="shared" si="13"/>
        <v>0.75727147960161412</v>
      </c>
      <c r="J213" s="358"/>
      <c r="K213" s="358"/>
      <c r="L213" s="358"/>
      <c r="M213" s="361"/>
    </row>
    <row r="214" spans="1:13">
      <c r="A214" s="356">
        <v>211</v>
      </c>
      <c r="B214" s="356" t="s">
        <v>880</v>
      </c>
      <c r="C214" s="356" t="s">
        <v>794</v>
      </c>
      <c r="D214" s="356" t="s">
        <v>395</v>
      </c>
      <c r="E214" s="358" t="s">
        <v>407</v>
      </c>
      <c r="F214" s="366">
        <v>33.329180000000001</v>
      </c>
      <c r="G214" s="366">
        <v>8.2486979999999992</v>
      </c>
      <c r="H214" s="359">
        <f t="shared" si="12"/>
        <v>25.080482000000003</v>
      </c>
      <c r="I214" s="360">
        <f t="shared" si="13"/>
        <v>0.75250822252452665</v>
      </c>
      <c r="J214" s="358"/>
      <c r="K214" s="358"/>
      <c r="L214" s="358"/>
      <c r="M214" s="361"/>
    </row>
    <row r="215" spans="1:13">
      <c r="A215" s="356">
        <v>212</v>
      </c>
      <c r="B215" s="356" t="s">
        <v>880</v>
      </c>
      <c r="C215" s="356" t="s">
        <v>794</v>
      </c>
      <c r="D215" s="356" t="s">
        <v>395</v>
      </c>
      <c r="E215" s="358" t="s">
        <v>426</v>
      </c>
      <c r="F215" s="366">
        <v>89.711004000000003</v>
      </c>
      <c r="G215" s="366">
        <v>20.808555999999999</v>
      </c>
      <c r="H215" s="359">
        <f t="shared" si="12"/>
        <v>68.902448000000007</v>
      </c>
      <c r="I215" s="360">
        <f t="shared" si="13"/>
        <v>0.76804901213679433</v>
      </c>
      <c r="J215" s="358"/>
      <c r="K215" s="358"/>
      <c r="L215" s="358"/>
      <c r="M215" s="361"/>
    </row>
    <row r="216" spans="1:13">
      <c r="A216" s="356">
        <v>213</v>
      </c>
      <c r="B216" s="356" t="s">
        <v>880</v>
      </c>
      <c r="C216" s="356" t="s">
        <v>794</v>
      </c>
      <c r="D216" s="356" t="s">
        <v>395</v>
      </c>
      <c r="E216" s="358" t="s">
        <v>431</v>
      </c>
      <c r="F216" s="366">
        <v>36.481875000000002</v>
      </c>
      <c r="G216" s="366">
        <v>8.9131800000000005</v>
      </c>
      <c r="H216" s="359">
        <f t="shared" si="12"/>
        <v>27.568695000000002</v>
      </c>
      <c r="I216" s="360">
        <f t="shared" si="13"/>
        <v>0.75568196535951071</v>
      </c>
      <c r="J216" s="358"/>
      <c r="K216" s="358"/>
      <c r="L216" s="358"/>
      <c r="M216" s="361"/>
    </row>
    <row r="217" spans="1:13">
      <c r="A217" s="356">
        <v>214</v>
      </c>
      <c r="B217" s="356" t="s">
        <v>880</v>
      </c>
      <c r="C217" s="356" t="s">
        <v>794</v>
      </c>
      <c r="D217" s="356" t="s">
        <v>395</v>
      </c>
      <c r="E217" s="358" t="s">
        <v>432</v>
      </c>
      <c r="F217" s="366">
        <v>14.041487</v>
      </c>
      <c r="G217" s="366">
        <v>3.0890880000000003</v>
      </c>
      <c r="H217" s="359">
        <f t="shared" si="12"/>
        <v>10.952399</v>
      </c>
      <c r="I217" s="360">
        <f t="shared" si="13"/>
        <v>0.78000278745406382</v>
      </c>
      <c r="J217" s="358"/>
      <c r="K217" s="358"/>
      <c r="L217" s="358"/>
      <c r="M217" s="361"/>
    </row>
    <row r="218" spans="1:13">
      <c r="A218" s="356">
        <v>215</v>
      </c>
      <c r="B218" s="356" t="s">
        <v>880</v>
      </c>
      <c r="C218" s="356" t="s">
        <v>794</v>
      </c>
      <c r="D218" s="356" t="s">
        <v>395</v>
      </c>
      <c r="E218" s="358" t="s">
        <v>437</v>
      </c>
      <c r="F218" s="366">
        <v>48.149946999999997</v>
      </c>
      <c r="G218" s="366">
        <v>11.33085</v>
      </c>
      <c r="H218" s="359">
        <f t="shared" si="12"/>
        <v>36.819096999999999</v>
      </c>
      <c r="I218" s="360">
        <f t="shared" si="13"/>
        <v>0.76467575343333194</v>
      </c>
      <c r="J218" s="358"/>
      <c r="K218" s="358"/>
      <c r="L218" s="358"/>
      <c r="M218" s="361"/>
    </row>
    <row r="219" spans="1:13">
      <c r="A219" s="356">
        <v>216</v>
      </c>
      <c r="B219" s="356" t="s">
        <v>880</v>
      </c>
      <c r="C219" s="356" t="s">
        <v>794</v>
      </c>
      <c r="D219" s="356" t="s">
        <v>395</v>
      </c>
      <c r="E219" s="358" t="s">
        <v>438</v>
      </c>
      <c r="F219" s="366">
        <v>25.428106</v>
      </c>
      <c r="G219" s="366">
        <v>5.937792</v>
      </c>
      <c r="H219" s="359">
        <f t="shared" si="12"/>
        <v>19.490313999999998</v>
      </c>
      <c r="I219" s="360">
        <f t="shared" si="13"/>
        <v>0.76648705176862164</v>
      </c>
      <c r="J219" s="358"/>
      <c r="K219" s="358"/>
      <c r="L219" s="358"/>
      <c r="M219" s="361"/>
    </row>
    <row r="220" spans="1:13">
      <c r="A220" s="356">
        <v>217</v>
      </c>
      <c r="B220" s="356" t="s">
        <v>880</v>
      </c>
      <c r="C220" s="356" t="s">
        <v>794</v>
      </c>
      <c r="D220" s="356" t="s">
        <v>395</v>
      </c>
      <c r="E220" s="358" t="s">
        <v>493</v>
      </c>
      <c r="F220" s="366">
        <v>17.187397000000001</v>
      </c>
      <c r="G220" s="366">
        <v>4.248882</v>
      </c>
      <c r="H220" s="359">
        <f t="shared" si="12"/>
        <v>12.938515000000001</v>
      </c>
      <c r="I220" s="360">
        <f t="shared" si="13"/>
        <v>0.75279083854291606</v>
      </c>
      <c r="J220" s="358"/>
      <c r="K220" s="358"/>
      <c r="L220" s="358"/>
      <c r="M220" s="361"/>
    </row>
    <row r="221" spans="1:13">
      <c r="A221" s="356">
        <v>218</v>
      </c>
      <c r="B221" s="356" t="s">
        <v>880</v>
      </c>
      <c r="C221" s="356" t="s">
        <v>794</v>
      </c>
      <c r="D221" s="356" t="s">
        <v>395</v>
      </c>
      <c r="E221" s="358" t="s">
        <v>924</v>
      </c>
      <c r="F221" s="366">
        <v>20.944991000000002</v>
      </c>
      <c r="G221" s="366">
        <v>4.7833440000000005</v>
      </c>
      <c r="H221" s="359">
        <f t="shared" si="12"/>
        <v>16.161647000000002</v>
      </c>
      <c r="I221" s="360">
        <f t="shared" si="13"/>
        <v>0.77162348744862197</v>
      </c>
      <c r="J221" s="358"/>
      <c r="K221" s="358"/>
      <c r="L221" s="358"/>
      <c r="M221" s="361"/>
    </row>
    <row r="222" spans="1:13">
      <c r="A222" s="356">
        <v>219</v>
      </c>
      <c r="B222" s="356" t="s">
        <v>880</v>
      </c>
      <c r="C222" s="356" t="s">
        <v>794</v>
      </c>
      <c r="D222" s="356" t="s">
        <v>395</v>
      </c>
      <c r="E222" s="358" t="s">
        <v>953</v>
      </c>
      <c r="F222" s="366">
        <v>74.772956000000008</v>
      </c>
      <c r="G222" s="366">
        <v>18.640272</v>
      </c>
      <c r="H222" s="359">
        <f t="shared" si="12"/>
        <v>56.132684000000012</v>
      </c>
      <c r="I222" s="360">
        <f t="shared" si="13"/>
        <v>0.75070837108539623</v>
      </c>
      <c r="J222" s="358"/>
      <c r="K222" s="358"/>
      <c r="L222" s="358"/>
      <c r="M222" s="361"/>
    </row>
    <row r="223" spans="1:13">
      <c r="A223" s="356">
        <v>220</v>
      </c>
      <c r="B223" s="356" t="s">
        <v>880</v>
      </c>
      <c r="C223" s="356" t="s">
        <v>794</v>
      </c>
      <c r="D223" s="356" t="s">
        <v>395</v>
      </c>
      <c r="E223" s="358" t="s">
        <v>1000</v>
      </c>
      <c r="F223" s="366">
        <v>20.700319</v>
      </c>
      <c r="G223" s="366">
        <v>5.0696279999999998</v>
      </c>
      <c r="H223" s="359">
        <f t="shared" si="12"/>
        <v>15.630691000000001</v>
      </c>
      <c r="I223" s="360">
        <f t="shared" si="13"/>
        <v>0.75509420893465462</v>
      </c>
      <c r="J223" s="358"/>
      <c r="K223" s="358"/>
      <c r="L223" s="358"/>
      <c r="M223" s="361"/>
    </row>
    <row r="224" spans="1:13">
      <c r="A224" s="356">
        <v>221</v>
      </c>
      <c r="B224" s="356" t="s">
        <v>880</v>
      </c>
      <c r="C224" s="356" t="s">
        <v>794</v>
      </c>
      <c r="D224" s="356" t="s">
        <v>395</v>
      </c>
      <c r="E224" s="358" t="s">
        <v>1024</v>
      </c>
      <c r="F224" s="366">
        <v>3.82131</v>
      </c>
      <c r="G224" s="366">
        <v>0.87369599999999992</v>
      </c>
      <c r="H224" s="359">
        <f t="shared" si="12"/>
        <v>2.9476140000000002</v>
      </c>
      <c r="I224" s="360">
        <f t="shared" si="13"/>
        <v>0.77136217684511332</v>
      </c>
      <c r="J224" s="358"/>
      <c r="K224" s="358"/>
      <c r="L224" s="358"/>
      <c r="M224" s="361"/>
    </row>
    <row r="225" spans="1:13">
      <c r="A225" s="356">
        <v>222</v>
      </c>
      <c r="B225" s="356" t="s">
        <v>880</v>
      </c>
      <c r="C225" s="356" t="s">
        <v>794</v>
      </c>
      <c r="D225" s="356" t="s">
        <v>395</v>
      </c>
      <c r="E225" s="358" t="s">
        <v>1001</v>
      </c>
      <c r="F225" s="366">
        <v>8.8600349999999999</v>
      </c>
      <c r="G225" s="366">
        <v>2.0507520000000001</v>
      </c>
      <c r="H225" s="359">
        <f t="shared" si="12"/>
        <v>6.8092829999999998</v>
      </c>
      <c r="I225" s="360">
        <f t="shared" si="13"/>
        <v>0.76853906333327127</v>
      </c>
      <c r="J225" s="358"/>
      <c r="K225" s="358"/>
      <c r="L225" s="358"/>
      <c r="M225" s="361"/>
    </row>
    <row r="226" spans="1:13">
      <c r="A226" s="356">
        <v>223</v>
      </c>
      <c r="B226" s="356" t="s">
        <v>880</v>
      </c>
      <c r="C226" s="356" t="s">
        <v>794</v>
      </c>
      <c r="D226" s="356" t="s">
        <v>395</v>
      </c>
      <c r="E226" s="358" t="s">
        <v>1025</v>
      </c>
      <c r="F226" s="366">
        <v>12.680495000000001</v>
      </c>
      <c r="G226" s="366">
        <v>2.9925839999999999</v>
      </c>
      <c r="H226" s="359">
        <f t="shared" si="12"/>
        <v>9.6879109999999997</v>
      </c>
      <c r="I226" s="360">
        <f t="shared" si="13"/>
        <v>0.76400101100154205</v>
      </c>
      <c r="J226" s="358"/>
      <c r="K226" s="358"/>
      <c r="L226" s="358"/>
      <c r="M226" s="361"/>
    </row>
    <row r="227" spans="1:13">
      <c r="A227" s="356">
        <v>224</v>
      </c>
      <c r="B227" s="356" t="s">
        <v>880</v>
      </c>
      <c r="C227" s="356" t="s">
        <v>794</v>
      </c>
      <c r="D227" s="356" t="s">
        <v>395</v>
      </c>
      <c r="E227" s="358" t="s">
        <v>1026</v>
      </c>
      <c r="F227" s="366">
        <v>2.0321419999999999</v>
      </c>
      <c r="G227" s="366">
        <v>0.46483199999999997</v>
      </c>
      <c r="H227" s="359">
        <f t="shared" si="12"/>
        <v>1.56731</v>
      </c>
      <c r="I227" s="360">
        <f t="shared" si="13"/>
        <v>0.77126007926611428</v>
      </c>
      <c r="J227" s="358"/>
      <c r="K227" s="358"/>
      <c r="L227" s="358"/>
      <c r="M227" s="361"/>
    </row>
    <row r="228" spans="1:13">
      <c r="A228" s="356">
        <v>225</v>
      </c>
      <c r="B228" s="356" t="s">
        <v>880</v>
      </c>
      <c r="C228" s="356" t="s">
        <v>794</v>
      </c>
      <c r="D228" s="356" t="s">
        <v>395</v>
      </c>
      <c r="E228" s="358" t="s">
        <v>1094</v>
      </c>
      <c r="F228" s="366">
        <v>23.928636999999998</v>
      </c>
      <c r="G228" s="366">
        <v>5.4608639999999999</v>
      </c>
      <c r="H228" s="359">
        <f t="shared" si="12"/>
        <v>18.467772999999998</v>
      </c>
      <c r="I228" s="360">
        <f t="shared" si="13"/>
        <v>0.77178541343579243</v>
      </c>
      <c r="J228" s="358"/>
      <c r="K228" s="358"/>
      <c r="L228" s="358"/>
      <c r="M228" s="361"/>
    </row>
    <row r="229" spans="1:13">
      <c r="A229" s="356">
        <v>226</v>
      </c>
      <c r="B229" s="356" t="s">
        <v>880</v>
      </c>
      <c r="C229" s="356" t="s">
        <v>794</v>
      </c>
      <c r="D229" s="356" t="s">
        <v>396</v>
      </c>
      <c r="E229" s="358" t="s">
        <v>411</v>
      </c>
      <c r="F229" s="366">
        <v>17.972451</v>
      </c>
      <c r="G229" s="366">
        <v>4.5661139999999998</v>
      </c>
      <c r="H229" s="359">
        <f t="shared" si="12"/>
        <v>13.406337000000001</v>
      </c>
      <c r="I229" s="360">
        <f t="shared" si="13"/>
        <v>0.74593815835135679</v>
      </c>
      <c r="J229" s="358"/>
      <c r="K229" s="358"/>
      <c r="L229" s="358"/>
      <c r="M229" s="361"/>
    </row>
    <row r="230" spans="1:13">
      <c r="A230" s="356">
        <v>227</v>
      </c>
      <c r="B230" s="356" t="s">
        <v>880</v>
      </c>
      <c r="C230" s="356" t="s">
        <v>794</v>
      </c>
      <c r="D230" s="356" t="s">
        <v>396</v>
      </c>
      <c r="E230" s="358" t="s">
        <v>422</v>
      </c>
      <c r="F230" s="366">
        <v>7.8592199999999997</v>
      </c>
      <c r="G230" s="366">
        <v>1.982046</v>
      </c>
      <c r="H230" s="359">
        <f t="shared" si="12"/>
        <v>5.8771740000000001</v>
      </c>
      <c r="I230" s="360">
        <f t="shared" si="13"/>
        <v>0.74780627085130591</v>
      </c>
      <c r="J230" s="358"/>
      <c r="K230" s="358"/>
      <c r="L230" s="358"/>
      <c r="M230" s="361"/>
    </row>
    <row r="231" spans="1:13">
      <c r="A231" s="356">
        <v>228</v>
      </c>
      <c r="B231" s="356" t="s">
        <v>880</v>
      </c>
      <c r="C231" s="356" t="s">
        <v>794</v>
      </c>
      <c r="D231" s="356" t="s">
        <v>396</v>
      </c>
      <c r="E231" s="358" t="s">
        <v>871</v>
      </c>
      <c r="F231" s="366">
        <v>15.774585</v>
      </c>
      <c r="G231" s="366">
        <v>3.6084779999999999</v>
      </c>
      <c r="H231" s="359">
        <f t="shared" si="12"/>
        <v>12.166107</v>
      </c>
      <c r="I231" s="360">
        <f t="shared" si="13"/>
        <v>0.77124735769593944</v>
      </c>
      <c r="J231" s="358"/>
      <c r="K231" s="358"/>
      <c r="L231" s="358"/>
      <c r="M231" s="361"/>
    </row>
    <row r="232" spans="1:13">
      <c r="A232" s="356">
        <v>229</v>
      </c>
      <c r="B232" s="356" t="s">
        <v>880</v>
      </c>
      <c r="C232" s="356" t="s">
        <v>794</v>
      </c>
      <c r="D232" s="356" t="s">
        <v>396</v>
      </c>
      <c r="E232" s="358" t="s">
        <v>429</v>
      </c>
      <c r="F232" s="366">
        <v>12.795921</v>
      </c>
      <c r="G232" s="366">
        <v>3.450942</v>
      </c>
      <c r="H232" s="359">
        <f t="shared" si="12"/>
        <v>9.3449790000000004</v>
      </c>
      <c r="I232" s="360">
        <f t="shared" si="13"/>
        <v>0.73030921338135801</v>
      </c>
      <c r="J232" s="358"/>
      <c r="K232" s="358"/>
      <c r="L232" s="358"/>
      <c r="M232" s="361"/>
    </row>
    <row r="233" spans="1:13">
      <c r="A233" s="356">
        <v>230</v>
      </c>
      <c r="B233" s="356" t="s">
        <v>880</v>
      </c>
      <c r="C233" s="356" t="s">
        <v>794</v>
      </c>
      <c r="D233" s="356" t="s">
        <v>396</v>
      </c>
      <c r="E233" s="358" t="s">
        <v>433</v>
      </c>
      <c r="F233" s="366">
        <v>25.302799</v>
      </c>
      <c r="G233" s="366">
        <v>5.9728110000000001</v>
      </c>
      <c r="H233" s="359">
        <f t="shared" si="12"/>
        <v>19.329988</v>
      </c>
      <c r="I233" s="360">
        <f t="shared" si="13"/>
        <v>0.76394662898756771</v>
      </c>
      <c r="J233" s="358"/>
      <c r="K233" s="358"/>
      <c r="L233" s="358"/>
      <c r="M233" s="361"/>
    </row>
    <row r="234" spans="1:13">
      <c r="A234" s="356">
        <v>231</v>
      </c>
      <c r="B234" s="356" t="s">
        <v>880</v>
      </c>
      <c r="C234" s="356" t="s">
        <v>794</v>
      </c>
      <c r="D234" s="356" t="s">
        <v>396</v>
      </c>
      <c r="E234" s="358" t="s">
        <v>440</v>
      </c>
      <c r="F234" s="366">
        <v>14.832000000000001</v>
      </c>
      <c r="G234" s="366">
        <v>3.7310819999999998</v>
      </c>
      <c r="H234" s="359">
        <f t="shared" si="12"/>
        <v>11.100918</v>
      </c>
      <c r="I234" s="360">
        <f t="shared" si="13"/>
        <v>0.74844377022653719</v>
      </c>
      <c r="J234" s="358"/>
      <c r="K234" s="358"/>
      <c r="L234" s="358"/>
      <c r="M234" s="361"/>
    </row>
    <row r="235" spans="1:13">
      <c r="A235" s="356">
        <v>232</v>
      </c>
      <c r="B235" s="356" t="s">
        <v>880</v>
      </c>
      <c r="C235" s="356" t="s">
        <v>794</v>
      </c>
      <c r="D235" s="356" t="s">
        <v>396</v>
      </c>
      <c r="E235" s="358" t="s">
        <v>879</v>
      </c>
      <c r="F235" s="366">
        <v>50.489629999999998</v>
      </c>
      <c r="G235" s="366">
        <v>11.875589999999999</v>
      </c>
      <c r="H235" s="359">
        <f t="shared" si="12"/>
        <v>38.614040000000003</v>
      </c>
      <c r="I235" s="360">
        <f t="shared" si="13"/>
        <v>0.76479150273036278</v>
      </c>
      <c r="J235" s="358"/>
      <c r="K235" s="358"/>
      <c r="L235" s="358"/>
      <c r="M235" s="361"/>
    </row>
    <row r="236" spans="1:13">
      <c r="A236" s="356">
        <v>233</v>
      </c>
      <c r="B236" s="356" t="s">
        <v>880</v>
      </c>
      <c r="C236" s="356" t="s">
        <v>794</v>
      </c>
      <c r="D236" s="356" t="s">
        <v>396</v>
      </c>
      <c r="E236" s="358" t="s">
        <v>937</v>
      </c>
      <c r="F236" s="366">
        <v>22.623717000000003</v>
      </c>
      <c r="G236" s="366">
        <v>5.2432080000000001</v>
      </c>
      <c r="H236" s="359">
        <f t="shared" si="12"/>
        <v>17.380509000000004</v>
      </c>
      <c r="I236" s="360">
        <f t="shared" si="13"/>
        <v>0.76824285770547796</v>
      </c>
      <c r="J236" s="358"/>
      <c r="K236" s="358"/>
      <c r="L236" s="358"/>
      <c r="M236" s="361"/>
    </row>
    <row r="237" spans="1:13">
      <c r="A237" s="356">
        <v>234</v>
      </c>
      <c r="B237" s="356" t="s">
        <v>880</v>
      </c>
      <c r="C237" s="356" t="s">
        <v>794</v>
      </c>
      <c r="D237" s="356" t="s">
        <v>396</v>
      </c>
      <c r="E237" s="358" t="s">
        <v>954</v>
      </c>
      <c r="F237" s="366">
        <v>120.817273</v>
      </c>
      <c r="G237" s="366">
        <v>28.704720000000002</v>
      </c>
      <c r="H237" s="359">
        <f t="shared" si="12"/>
        <v>92.112552999999991</v>
      </c>
      <c r="I237" s="360">
        <f t="shared" si="13"/>
        <v>0.76241211800898689</v>
      </c>
      <c r="J237" s="358"/>
      <c r="K237" s="358"/>
      <c r="L237" s="358"/>
      <c r="M237" s="361"/>
    </row>
    <row r="238" spans="1:13">
      <c r="A238" s="356">
        <v>235</v>
      </c>
      <c r="B238" s="356" t="s">
        <v>880</v>
      </c>
      <c r="C238" s="356" t="s">
        <v>794</v>
      </c>
      <c r="D238" s="356" t="s">
        <v>396</v>
      </c>
      <c r="E238" s="358" t="s">
        <v>955</v>
      </c>
      <c r="F238" s="366">
        <v>35.464353000000003</v>
      </c>
      <c r="G238" s="366">
        <v>8.1078360000000007</v>
      </c>
      <c r="H238" s="359">
        <f t="shared" si="12"/>
        <v>27.356517000000004</v>
      </c>
      <c r="I238" s="360">
        <f t="shared" si="13"/>
        <v>0.77138068753150524</v>
      </c>
      <c r="J238" s="358"/>
      <c r="K238" s="358"/>
      <c r="L238" s="358"/>
      <c r="M238" s="361"/>
    </row>
    <row r="239" spans="1:13">
      <c r="A239" s="356">
        <v>236</v>
      </c>
      <c r="B239" s="356" t="s">
        <v>880</v>
      </c>
      <c r="C239" s="356" t="s">
        <v>794</v>
      </c>
      <c r="D239" s="356" t="s">
        <v>396</v>
      </c>
      <c r="E239" s="358" t="s">
        <v>956</v>
      </c>
      <c r="F239" s="366">
        <v>29.073557000000001</v>
      </c>
      <c r="G239" s="366">
        <v>6.911886</v>
      </c>
      <c r="H239" s="359">
        <f t="shared" si="12"/>
        <v>22.161671000000002</v>
      </c>
      <c r="I239" s="360">
        <f t="shared" si="13"/>
        <v>0.76226211330110039</v>
      </c>
      <c r="J239" s="358"/>
      <c r="K239" s="358"/>
      <c r="L239" s="358"/>
      <c r="M239" s="361"/>
    </row>
    <row r="240" spans="1:13">
      <c r="A240" s="356">
        <v>237</v>
      </c>
      <c r="B240" s="356" t="s">
        <v>880</v>
      </c>
      <c r="C240" s="356" t="s">
        <v>794</v>
      </c>
      <c r="D240" s="356" t="s">
        <v>396</v>
      </c>
      <c r="E240" s="358" t="s">
        <v>1002</v>
      </c>
      <c r="F240" s="366">
        <v>16.065134</v>
      </c>
      <c r="G240" s="366">
        <v>3.7270500000000002</v>
      </c>
      <c r="H240" s="359">
        <f t="shared" si="12"/>
        <v>12.338084</v>
      </c>
      <c r="I240" s="360">
        <f t="shared" si="13"/>
        <v>0.76800380252041467</v>
      </c>
      <c r="J240" s="358"/>
      <c r="K240" s="358"/>
      <c r="L240" s="358"/>
      <c r="M240" s="361"/>
    </row>
    <row r="241" spans="1:13">
      <c r="A241" s="356">
        <v>238</v>
      </c>
      <c r="B241" s="356" t="s">
        <v>880</v>
      </c>
      <c r="C241" s="356" t="s">
        <v>794</v>
      </c>
      <c r="D241" s="356" t="s">
        <v>396</v>
      </c>
      <c r="E241" s="358" t="s">
        <v>1061</v>
      </c>
      <c r="F241" s="366">
        <v>20.910159</v>
      </c>
      <c r="G241" s="366">
        <v>5.2614960000000002</v>
      </c>
      <c r="H241" s="359">
        <f t="shared" si="12"/>
        <v>15.648662999999999</v>
      </c>
      <c r="I241" s="360">
        <f t="shared" si="13"/>
        <v>0.74837608838842395</v>
      </c>
      <c r="J241" s="358"/>
      <c r="K241" s="358"/>
      <c r="L241" s="358"/>
      <c r="M241" s="361"/>
    </row>
    <row r="242" spans="1:13">
      <c r="A242" s="356">
        <v>239</v>
      </c>
      <c r="B242" s="356" t="s">
        <v>880</v>
      </c>
      <c r="C242" s="356" t="s">
        <v>794</v>
      </c>
      <c r="D242" s="356" t="s">
        <v>396</v>
      </c>
      <c r="E242" s="358" t="s">
        <v>1062</v>
      </c>
      <c r="F242" s="366">
        <v>11.805451</v>
      </c>
      <c r="G242" s="366">
        <v>2.7046559999999999</v>
      </c>
      <c r="H242" s="359">
        <f t="shared" si="12"/>
        <v>9.1007949999999997</v>
      </c>
      <c r="I242" s="360">
        <f t="shared" si="13"/>
        <v>0.77089769802102437</v>
      </c>
      <c r="J242" s="358"/>
      <c r="K242" s="358"/>
      <c r="L242" s="358"/>
      <c r="M242" s="361"/>
    </row>
    <row r="243" spans="1:13">
      <c r="A243" s="356">
        <v>240</v>
      </c>
      <c r="B243" s="356" t="s">
        <v>880</v>
      </c>
      <c r="C243" s="356" t="s">
        <v>794</v>
      </c>
      <c r="D243" s="356" t="s">
        <v>396</v>
      </c>
      <c r="E243" s="358" t="s">
        <v>1003</v>
      </c>
      <c r="F243" s="366">
        <v>8.267892999999999</v>
      </c>
      <c r="G243" s="366">
        <v>1.9523279999999998</v>
      </c>
      <c r="H243" s="359">
        <f t="shared" si="12"/>
        <v>6.3155649999999994</v>
      </c>
      <c r="I243" s="360">
        <f t="shared" si="13"/>
        <v>0.76386631999228827</v>
      </c>
      <c r="J243" s="358"/>
      <c r="K243" s="358"/>
      <c r="L243" s="358"/>
      <c r="M243" s="361"/>
    </row>
    <row r="244" spans="1:13">
      <c r="A244" s="356">
        <v>241</v>
      </c>
      <c r="B244" s="356" t="s">
        <v>880</v>
      </c>
      <c r="C244" s="356" t="s">
        <v>794</v>
      </c>
      <c r="D244" s="356" t="s">
        <v>396</v>
      </c>
      <c r="E244" s="358" t="s">
        <v>1063</v>
      </c>
      <c r="F244" s="366">
        <v>5.6385129999999997</v>
      </c>
      <c r="G244" s="366">
        <v>1.2262440000000001</v>
      </c>
      <c r="H244" s="359">
        <f t="shared" si="12"/>
        <v>4.4122689999999993</v>
      </c>
      <c r="I244" s="360">
        <f t="shared" si="13"/>
        <v>0.78252351284815691</v>
      </c>
      <c r="J244" s="358"/>
      <c r="K244" s="358"/>
      <c r="L244" s="358"/>
      <c r="M244" s="361"/>
    </row>
  </sheetData>
  <autoFilter ref="A3:S244"/>
  <mergeCells count="3">
    <mergeCell ref="A1:M1"/>
    <mergeCell ref="N2:O2"/>
    <mergeCell ref="P2:Q2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5"/>
  <sheetViews>
    <sheetView zoomScale="112" zoomScaleNormal="112" workbookViewId="0">
      <selection activeCell="G13" sqref="G13"/>
    </sheetView>
  </sheetViews>
  <sheetFormatPr defaultRowHeight="13.5"/>
  <cols>
    <col min="2" max="2" width="12.73046875" customWidth="1"/>
    <col min="3" max="3" width="19.1328125" customWidth="1"/>
    <col min="4" max="4" width="16.1328125" customWidth="1"/>
    <col min="5" max="5" width="14.86328125" customWidth="1"/>
  </cols>
  <sheetData>
    <row r="1" spans="1:5" ht="20.25">
      <c r="A1" s="425" t="s">
        <v>494</v>
      </c>
      <c r="B1" s="425"/>
      <c r="C1" s="425"/>
      <c r="D1" s="425"/>
      <c r="E1" s="425"/>
    </row>
    <row r="2" spans="1:5" ht="27.75">
      <c r="A2" s="265"/>
      <c r="B2" s="265"/>
      <c r="C2" s="265"/>
      <c r="D2" s="265"/>
      <c r="E2" s="266" t="s">
        <v>495</v>
      </c>
    </row>
    <row r="3" spans="1:5">
      <c r="A3" s="267" t="s">
        <v>496</v>
      </c>
      <c r="B3" s="267" t="s">
        <v>497</v>
      </c>
      <c r="C3" s="267" t="s">
        <v>498</v>
      </c>
      <c r="D3" s="267" t="s">
        <v>499</v>
      </c>
      <c r="E3" s="267" t="s">
        <v>122</v>
      </c>
    </row>
    <row r="4" spans="1:5">
      <c r="A4" s="267"/>
      <c r="B4" s="267"/>
      <c r="C4" s="267"/>
      <c r="D4" s="267"/>
      <c r="E4" s="267"/>
    </row>
    <row r="5" spans="1:5">
      <c r="A5" s="267"/>
      <c r="B5" s="267"/>
      <c r="C5" s="267"/>
      <c r="D5" s="267"/>
      <c r="E5" s="267"/>
    </row>
    <row r="6" spans="1:5">
      <c r="A6" s="267"/>
      <c r="B6" s="267"/>
      <c r="C6" s="267"/>
      <c r="D6" s="267"/>
      <c r="E6" s="267"/>
    </row>
    <row r="7" spans="1:5">
      <c r="A7" s="267"/>
      <c r="B7" s="267"/>
      <c r="C7" s="267"/>
      <c r="D7" s="267"/>
      <c r="E7" s="267"/>
    </row>
    <row r="8" spans="1:5">
      <c r="A8" s="267"/>
      <c r="B8" s="267"/>
      <c r="C8" s="267"/>
      <c r="D8" s="267"/>
      <c r="E8" s="267"/>
    </row>
    <row r="9" spans="1:5">
      <c r="A9" s="267"/>
      <c r="B9" s="267"/>
      <c r="C9" s="267"/>
      <c r="D9" s="267"/>
      <c r="E9" s="267"/>
    </row>
    <row r="10" spans="1:5">
      <c r="A10" s="267"/>
      <c r="B10" s="267"/>
      <c r="C10" s="267"/>
      <c r="D10" s="267"/>
      <c r="E10" s="267"/>
    </row>
    <row r="11" spans="1:5">
      <c r="A11" s="267"/>
      <c r="B11" s="267"/>
      <c r="C11" s="267"/>
      <c r="D11" s="267"/>
      <c r="E11" s="267"/>
    </row>
    <row r="12" spans="1:5">
      <c r="A12" s="267"/>
      <c r="B12" s="267"/>
      <c r="C12" s="267"/>
      <c r="D12" s="267"/>
      <c r="E12" s="267"/>
    </row>
    <row r="13" spans="1:5">
      <c r="A13" s="267"/>
      <c r="B13" s="267"/>
      <c r="C13" s="267"/>
      <c r="D13" s="267"/>
      <c r="E13" s="267"/>
    </row>
    <row r="14" spans="1:5">
      <c r="A14" s="267"/>
      <c r="B14" s="267"/>
      <c r="C14" s="267"/>
      <c r="D14" s="267"/>
      <c r="E14" s="267"/>
    </row>
    <row r="15" spans="1:5">
      <c r="A15" s="267"/>
      <c r="B15" s="267"/>
      <c r="C15" s="267"/>
      <c r="D15" s="267"/>
      <c r="E15" s="267"/>
    </row>
    <row r="16" spans="1:5">
      <c r="A16" s="267"/>
      <c r="B16" s="267"/>
      <c r="C16" s="267"/>
      <c r="D16" s="267"/>
      <c r="E16" s="267"/>
    </row>
    <row r="17" spans="1:5">
      <c r="A17" s="267"/>
      <c r="B17" s="267"/>
      <c r="C17" s="267"/>
      <c r="D17" s="267"/>
      <c r="E17" s="267"/>
    </row>
    <row r="18" spans="1:5">
      <c r="A18" s="267"/>
      <c r="B18" s="267"/>
      <c r="C18" s="267"/>
      <c r="D18" s="267"/>
      <c r="E18" s="267"/>
    </row>
    <row r="19" spans="1:5">
      <c r="A19" s="267"/>
      <c r="B19" s="267"/>
      <c r="C19" s="267"/>
      <c r="D19" s="267"/>
      <c r="E19" s="267"/>
    </row>
    <row r="20" spans="1:5">
      <c r="A20" s="267"/>
      <c r="B20" s="267"/>
      <c r="C20" s="267"/>
      <c r="D20" s="267"/>
      <c r="E20" s="267"/>
    </row>
    <row r="21" spans="1:5">
      <c r="A21" s="267"/>
      <c r="B21" s="267"/>
      <c r="C21" s="267"/>
      <c r="D21" s="267"/>
      <c r="E21" s="267"/>
    </row>
    <row r="22" spans="1:5">
      <c r="A22" s="267"/>
      <c r="B22" s="267"/>
      <c r="C22" s="267"/>
      <c r="D22" s="267"/>
      <c r="E22" s="267"/>
    </row>
    <row r="23" spans="1:5">
      <c r="A23" s="267"/>
      <c r="B23" s="267"/>
      <c r="C23" s="267"/>
      <c r="D23" s="267"/>
      <c r="E23" s="267"/>
    </row>
    <row r="24" spans="1:5">
      <c r="A24" s="267"/>
      <c r="B24" s="267"/>
      <c r="C24" s="267"/>
      <c r="D24" s="267"/>
      <c r="E24" s="267"/>
    </row>
    <row r="25" spans="1:5">
      <c r="A25" s="267"/>
      <c r="B25" s="267"/>
      <c r="C25" s="267"/>
      <c r="D25" s="267"/>
      <c r="E25" s="267"/>
    </row>
    <row r="26" spans="1:5">
      <c r="A26" s="267"/>
      <c r="B26" s="267"/>
      <c r="C26" s="267"/>
      <c r="D26" s="267"/>
      <c r="E26" s="267"/>
    </row>
    <row r="27" spans="1:5">
      <c r="A27" s="267"/>
      <c r="B27" s="267"/>
      <c r="C27" s="267"/>
      <c r="D27" s="267"/>
      <c r="E27" s="267"/>
    </row>
    <row r="28" spans="1:5">
      <c r="A28" s="267"/>
      <c r="B28" s="267"/>
      <c r="C28" s="267"/>
      <c r="D28" s="267"/>
      <c r="E28" s="267"/>
    </row>
    <row r="29" spans="1:5">
      <c r="A29" s="267"/>
      <c r="B29" s="267"/>
      <c r="C29" s="267"/>
      <c r="D29" s="267"/>
      <c r="E29" s="267"/>
    </row>
    <row r="30" spans="1:5">
      <c r="A30" s="267"/>
      <c r="B30" s="267"/>
      <c r="C30" s="267"/>
      <c r="D30" s="267"/>
      <c r="E30" s="267"/>
    </row>
    <row r="31" spans="1:5">
      <c r="A31" s="267"/>
      <c r="B31" s="267"/>
      <c r="C31" s="267"/>
      <c r="D31" s="267"/>
      <c r="E31" s="267"/>
    </row>
    <row r="32" spans="1:5">
      <c r="A32" s="267"/>
      <c r="B32" s="267"/>
      <c r="C32" s="267"/>
      <c r="D32" s="267"/>
      <c r="E32" s="267"/>
    </row>
    <row r="33" spans="1:5">
      <c r="A33" s="267"/>
      <c r="B33" s="267"/>
      <c r="C33" s="267"/>
      <c r="D33" s="267"/>
      <c r="E33" s="267"/>
    </row>
    <row r="34" spans="1:5">
      <c r="A34" s="267"/>
      <c r="B34" s="267"/>
      <c r="C34" s="267"/>
      <c r="D34" s="267"/>
      <c r="E34" s="267"/>
    </row>
    <row r="35" spans="1:5" ht="53.45" customHeight="1">
      <c r="A35" s="484" t="s">
        <v>500</v>
      </c>
      <c r="B35" s="484"/>
      <c r="C35" s="484"/>
      <c r="D35" s="484"/>
      <c r="E35" s="484"/>
    </row>
  </sheetData>
  <mergeCells count="2">
    <mergeCell ref="A1:E1"/>
    <mergeCell ref="A35:E35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F12" sqref="F12"/>
    </sheetView>
  </sheetViews>
  <sheetFormatPr defaultRowHeight="13.5"/>
  <sheetData>
    <row r="1" spans="1:18" ht="20.25">
      <c r="B1" s="485" t="s">
        <v>685</v>
      </c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</row>
    <row r="2" spans="1:18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 t="s">
        <v>686</v>
      </c>
      <c r="R2" s="268"/>
    </row>
    <row r="3" spans="1:18">
      <c r="A3" s="268"/>
      <c r="B3" s="269" t="s">
        <v>501</v>
      </c>
      <c r="C3" s="269" t="s">
        <v>502</v>
      </c>
      <c r="D3" s="269" t="s">
        <v>503</v>
      </c>
      <c r="E3" s="269" t="s">
        <v>504</v>
      </c>
      <c r="F3" s="269" t="s">
        <v>505</v>
      </c>
      <c r="G3" s="269" t="s">
        <v>506</v>
      </c>
      <c r="H3" s="269" t="s">
        <v>507</v>
      </c>
      <c r="I3" s="270" t="s">
        <v>508</v>
      </c>
      <c r="J3" s="270" t="s">
        <v>509</v>
      </c>
      <c r="K3" s="270" t="s">
        <v>510</v>
      </c>
      <c r="L3" s="270" t="s">
        <v>511</v>
      </c>
      <c r="M3" s="270" t="s">
        <v>512</v>
      </c>
      <c r="N3" s="270" t="s">
        <v>513</v>
      </c>
      <c r="O3" s="270" t="s">
        <v>514</v>
      </c>
      <c r="P3" s="270" t="s">
        <v>515</v>
      </c>
      <c r="Q3" s="270" t="s">
        <v>516</v>
      </c>
      <c r="R3" s="268"/>
    </row>
    <row r="4" spans="1:18">
      <c r="A4" s="268"/>
      <c r="B4" s="271" t="s">
        <v>517</v>
      </c>
      <c r="C4" s="272" t="s">
        <v>518</v>
      </c>
      <c r="D4" s="272" t="s">
        <v>519</v>
      </c>
      <c r="E4" s="272" t="s">
        <v>520</v>
      </c>
      <c r="F4" s="272" t="s">
        <v>521</v>
      </c>
      <c r="G4" s="272" t="s">
        <v>522</v>
      </c>
      <c r="H4" s="271" t="s">
        <v>443</v>
      </c>
      <c r="I4" s="273"/>
      <c r="J4" s="273"/>
      <c r="K4" s="273"/>
      <c r="L4" s="274"/>
      <c r="M4" s="274"/>
      <c r="N4" s="274"/>
      <c r="O4" s="274"/>
      <c r="P4" s="274"/>
      <c r="Q4" s="275"/>
      <c r="R4" s="268"/>
    </row>
    <row r="5" spans="1:18">
      <c r="A5" s="268"/>
      <c r="B5" s="271" t="s">
        <v>523</v>
      </c>
      <c r="C5" s="272" t="s">
        <v>524</v>
      </c>
      <c r="D5" s="272" t="s">
        <v>525</v>
      </c>
      <c r="E5" s="272" t="s">
        <v>526</v>
      </c>
      <c r="F5" s="272" t="s">
        <v>527</v>
      </c>
      <c r="G5" s="272" t="s">
        <v>528</v>
      </c>
      <c r="H5" s="271" t="s">
        <v>529</v>
      </c>
      <c r="I5" s="273"/>
      <c r="J5" s="273"/>
      <c r="K5" s="273"/>
      <c r="L5" s="274"/>
      <c r="M5" s="274"/>
      <c r="N5" s="273"/>
      <c r="O5" s="273"/>
      <c r="P5" s="274"/>
      <c r="Q5" s="276"/>
      <c r="R5" s="268"/>
    </row>
    <row r="6" spans="1:18">
      <c r="A6" s="268"/>
      <c r="B6" s="271" t="s">
        <v>530</v>
      </c>
      <c r="C6" s="272" t="s">
        <v>531</v>
      </c>
      <c r="D6" s="272" t="s">
        <v>532</v>
      </c>
      <c r="E6" s="272" t="s">
        <v>533</v>
      </c>
      <c r="F6" s="272" t="s">
        <v>534</v>
      </c>
      <c r="G6" s="272" t="s">
        <v>535</v>
      </c>
      <c r="H6" s="271" t="s">
        <v>536</v>
      </c>
      <c r="I6" s="273"/>
      <c r="J6" s="273"/>
      <c r="K6" s="273"/>
      <c r="L6" s="274"/>
      <c r="M6" s="273"/>
      <c r="N6" s="273"/>
      <c r="O6" s="273"/>
      <c r="P6" s="273"/>
      <c r="Q6" s="275"/>
      <c r="R6" s="268"/>
    </row>
    <row r="7" spans="1:18">
      <c r="A7" s="268"/>
      <c r="B7" s="271" t="s">
        <v>537</v>
      </c>
      <c r="C7" s="272" t="s">
        <v>538</v>
      </c>
      <c r="D7" s="272" t="s">
        <v>539</v>
      </c>
      <c r="E7" s="272" t="s">
        <v>540</v>
      </c>
      <c r="F7" s="272" t="s">
        <v>534</v>
      </c>
      <c r="G7" s="272" t="s">
        <v>535</v>
      </c>
      <c r="H7" s="271" t="s">
        <v>536</v>
      </c>
      <c r="I7" s="273"/>
      <c r="J7" s="273"/>
      <c r="K7" s="273"/>
      <c r="L7" s="274"/>
      <c r="M7" s="273"/>
      <c r="N7" s="273"/>
      <c r="O7" s="273"/>
      <c r="P7" s="273"/>
      <c r="Q7" s="275"/>
      <c r="R7" s="268"/>
    </row>
    <row r="8" spans="1:18">
      <c r="A8" s="268"/>
      <c r="B8" s="271" t="s">
        <v>541</v>
      </c>
      <c r="C8" s="272" t="s">
        <v>542</v>
      </c>
      <c r="D8" s="272" t="s">
        <v>543</v>
      </c>
      <c r="E8" s="272" t="s">
        <v>544</v>
      </c>
      <c r="F8" s="272" t="s">
        <v>545</v>
      </c>
      <c r="G8" s="272" t="s">
        <v>546</v>
      </c>
      <c r="H8" s="271" t="s">
        <v>547</v>
      </c>
      <c r="I8" s="273"/>
      <c r="J8" s="273"/>
      <c r="K8" s="273"/>
      <c r="L8" s="274"/>
      <c r="M8" s="274"/>
      <c r="N8" s="274"/>
      <c r="O8" s="274"/>
      <c r="P8" s="274"/>
      <c r="Q8" s="276"/>
      <c r="R8" s="268"/>
    </row>
    <row r="9" spans="1:18">
      <c r="A9" s="268"/>
      <c r="B9" s="271" t="s">
        <v>548</v>
      </c>
      <c r="C9" s="272" t="s">
        <v>549</v>
      </c>
      <c r="D9" s="272" t="s">
        <v>550</v>
      </c>
      <c r="E9" s="272" t="s">
        <v>551</v>
      </c>
      <c r="F9" s="272" t="s">
        <v>552</v>
      </c>
      <c r="G9" s="272" t="s">
        <v>553</v>
      </c>
      <c r="H9" s="271" t="s">
        <v>554</v>
      </c>
      <c r="I9" s="273"/>
      <c r="J9" s="273"/>
      <c r="K9" s="273"/>
      <c r="L9" s="274"/>
      <c r="M9" s="273"/>
      <c r="N9" s="274"/>
      <c r="O9" s="274"/>
      <c r="P9" s="273"/>
      <c r="Q9" s="275"/>
      <c r="R9" s="268"/>
    </row>
    <row r="10" spans="1:18">
      <c r="A10" s="268"/>
      <c r="B10" s="271" t="s">
        <v>555</v>
      </c>
      <c r="C10" s="272" t="s">
        <v>556</v>
      </c>
      <c r="D10" s="272" t="s">
        <v>557</v>
      </c>
      <c r="E10" s="272" t="s">
        <v>558</v>
      </c>
      <c r="F10" s="272" t="s">
        <v>559</v>
      </c>
      <c r="G10" s="272" t="s">
        <v>560</v>
      </c>
      <c r="H10" s="271" t="s">
        <v>561</v>
      </c>
      <c r="I10" s="273"/>
      <c r="J10" s="273"/>
      <c r="K10" s="273"/>
      <c r="L10" s="274"/>
      <c r="M10" s="273"/>
      <c r="N10" s="274"/>
      <c r="O10" s="274"/>
      <c r="P10" s="274"/>
      <c r="Q10" s="275"/>
      <c r="R10" s="268"/>
    </row>
    <row r="11" spans="1:18">
      <c r="A11" s="268"/>
      <c r="B11" s="271" t="s">
        <v>562</v>
      </c>
      <c r="C11" s="272" t="s">
        <v>563</v>
      </c>
      <c r="D11" s="272" t="s">
        <v>549</v>
      </c>
      <c r="E11" s="272" t="s">
        <v>549</v>
      </c>
      <c r="F11" s="272" t="s">
        <v>564</v>
      </c>
      <c r="G11" s="272" t="s">
        <v>565</v>
      </c>
      <c r="H11" s="271" t="s">
        <v>566</v>
      </c>
      <c r="I11" s="273"/>
      <c r="J11" s="273"/>
      <c r="K11" s="273"/>
      <c r="L11" s="274"/>
      <c r="M11" s="274"/>
      <c r="N11" s="274"/>
      <c r="O11" s="274"/>
      <c r="P11" s="274"/>
      <c r="Q11" s="275"/>
      <c r="R11" s="268"/>
    </row>
    <row r="12" spans="1:18">
      <c r="A12" s="268"/>
      <c r="B12" s="271" t="s">
        <v>567</v>
      </c>
      <c r="C12" s="272" t="s">
        <v>549</v>
      </c>
      <c r="D12" s="272" t="s">
        <v>568</v>
      </c>
      <c r="E12" s="272" t="s">
        <v>569</v>
      </c>
      <c r="F12" s="272" t="s">
        <v>570</v>
      </c>
      <c r="G12" s="272" t="s">
        <v>571</v>
      </c>
      <c r="H12" s="271" t="s">
        <v>572</v>
      </c>
      <c r="I12" s="273"/>
      <c r="J12" s="273"/>
      <c r="K12" s="273"/>
      <c r="L12" s="274"/>
      <c r="M12" s="274"/>
      <c r="N12" s="274"/>
      <c r="O12" s="274"/>
      <c r="P12" s="274"/>
      <c r="Q12" s="276"/>
      <c r="R12" s="268"/>
    </row>
    <row r="13" spans="1:18">
      <c r="A13" s="268"/>
      <c r="B13" s="271" t="s">
        <v>573</v>
      </c>
      <c r="C13" s="272" t="s">
        <v>549</v>
      </c>
      <c r="D13" s="272" t="s">
        <v>574</v>
      </c>
      <c r="E13" s="272" t="s">
        <v>575</v>
      </c>
      <c r="F13" s="272" t="s">
        <v>576</v>
      </c>
      <c r="G13" s="272" t="s">
        <v>577</v>
      </c>
      <c r="H13" s="271" t="s">
        <v>578</v>
      </c>
      <c r="I13" s="273"/>
      <c r="J13" s="273"/>
      <c r="K13" s="273"/>
      <c r="L13" s="274"/>
      <c r="M13" s="273"/>
      <c r="N13" s="274"/>
      <c r="O13" s="274"/>
      <c r="P13" s="274"/>
      <c r="Q13" s="275"/>
      <c r="R13" s="268"/>
    </row>
    <row r="14" spans="1:18">
      <c r="A14" s="268"/>
      <c r="B14" s="271" t="s">
        <v>579</v>
      </c>
      <c r="C14" s="272" t="s">
        <v>580</v>
      </c>
      <c r="D14" s="272" t="s">
        <v>581</v>
      </c>
      <c r="E14" s="272" t="s">
        <v>582</v>
      </c>
      <c r="F14" s="272" t="s">
        <v>583</v>
      </c>
      <c r="G14" s="272" t="s">
        <v>522</v>
      </c>
      <c r="H14" s="271" t="s">
        <v>443</v>
      </c>
      <c r="I14" s="273"/>
      <c r="J14" s="273"/>
      <c r="K14" s="273"/>
      <c r="L14" s="274"/>
      <c r="M14" s="274"/>
      <c r="N14" s="274"/>
      <c r="O14" s="274"/>
      <c r="P14" s="274"/>
      <c r="Q14" s="276"/>
      <c r="R14" s="268"/>
    </row>
    <row r="15" spans="1:18">
      <c r="A15" s="268"/>
      <c r="B15" s="271" t="s">
        <v>584</v>
      </c>
      <c r="C15" s="272" t="s">
        <v>585</v>
      </c>
      <c r="D15" s="272" t="s">
        <v>586</v>
      </c>
      <c r="E15" s="272" t="s">
        <v>587</v>
      </c>
      <c r="F15" s="272" t="s">
        <v>588</v>
      </c>
      <c r="G15" s="272" t="s">
        <v>565</v>
      </c>
      <c r="H15" s="271" t="s">
        <v>566</v>
      </c>
      <c r="I15" s="273"/>
      <c r="J15" s="273"/>
      <c r="K15" s="273"/>
      <c r="L15" s="274"/>
      <c r="M15" s="273"/>
      <c r="N15" s="274"/>
      <c r="O15" s="274"/>
      <c r="P15" s="274"/>
      <c r="Q15" s="275"/>
      <c r="R15" s="268"/>
    </row>
    <row r="16" spans="1:18">
      <c r="A16" s="268"/>
      <c r="B16" s="271" t="s">
        <v>589</v>
      </c>
      <c r="C16" s="272" t="s">
        <v>590</v>
      </c>
      <c r="D16" s="272" t="s">
        <v>591</v>
      </c>
      <c r="E16" s="272" t="s">
        <v>592</v>
      </c>
      <c r="F16" s="272" t="s">
        <v>593</v>
      </c>
      <c r="G16" s="272" t="s">
        <v>565</v>
      </c>
      <c r="H16" s="271" t="s">
        <v>566</v>
      </c>
      <c r="I16" s="273"/>
      <c r="J16" s="273"/>
      <c r="K16" s="273"/>
      <c r="L16" s="274"/>
      <c r="M16" s="274"/>
      <c r="N16" s="274"/>
      <c r="O16" s="274"/>
      <c r="P16" s="274"/>
      <c r="Q16" s="276"/>
      <c r="R16" s="268"/>
    </row>
    <row r="17" spans="1:18">
      <c r="A17" s="268"/>
      <c r="B17" s="271" t="s">
        <v>594</v>
      </c>
      <c r="C17" s="272" t="s">
        <v>542</v>
      </c>
      <c r="D17" s="272" t="s">
        <v>543</v>
      </c>
      <c r="E17" s="272" t="s">
        <v>544</v>
      </c>
      <c r="F17" s="272" t="s">
        <v>595</v>
      </c>
      <c r="G17" s="272" t="s">
        <v>546</v>
      </c>
      <c r="H17" s="271" t="s">
        <v>547</v>
      </c>
      <c r="I17" s="273"/>
      <c r="J17" s="273"/>
      <c r="K17" s="273"/>
      <c r="L17" s="274"/>
      <c r="M17" s="274"/>
      <c r="N17" s="274"/>
      <c r="O17" s="274"/>
      <c r="P17" s="274"/>
      <c r="Q17" s="276"/>
      <c r="R17" s="268"/>
    </row>
    <row r="18" spans="1:18">
      <c r="A18" s="268"/>
      <c r="B18" s="271" t="s">
        <v>596</v>
      </c>
      <c r="C18" s="272" t="s">
        <v>597</v>
      </c>
      <c r="D18" s="272" t="s">
        <v>598</v>
      </c>
      <c r="E18" s="272" t="s">
        <v>599</v>
      </c>
      <c r="F18" s="272" t="s">
        <v>600</v>
      </c>
      <c r="G18" s="272" t="s">
        <v>565</v>
      </c>
      <c r="H18" s="271" t="s">
        <v>566</v>
      </c>
      <c r="I18" s="273"/>
      <c r="J18" s="273"/>
      <c r="K18" s="273"/>
      <c r="L18" s="274"/>
      <c r="M18" s="273"/>
      <c r="N18" s="274"/>
      <c r="O18" s="274"/>
      <c r="P18" s="274"/>
      <c r="Q18" s="275"/>
      <c r="R18" s="268"/>
    </row>
    <row r="19" spans="1:18">
      <c r="A19" s="268"/>
      <c r="B19" s="271" t="s">
        <v>601</v>
      </c>
      <c r="C19" s="272" t="s">
        <v>602</v>
      </c>
      <c r="D19" s="272" t="s">
        <v>603</v>
      </c>
      <c r="E19" s="272" t="s">
        <v>604</v>
      </c>
      <c r="F19" s="272" t="s">
        <v>534</v>
      </c>
      <c r="G19" s="272" t="s">
        <v>605</v>
      </c>
      <c r="H19" s="271" t="s">
        <v>606</v>
      </c>
      <c r="I19" s="273"/>
      <c r="J19" s="273"/>
      <c r="K19" s="273"/>
      <c r="L19" s="274"/>
      <c r="M19" s="274"/>
      <c r="N19" s="274"/>
      <c r="O19" s="274"/>
      <c r="P19" s="274"/>
      <c r="Q19" s="275"/>
      <c r="R19" s="268"/>
    </row>
    <row r="20" spans="1:18">
      <c r="A20" s="268"/>
      <c r="B20" s="271" t="s">
        <v>607</v>
      </c>
      <c r="C20" s="272" t="s">
        <v>608</v>
      </c>
      <c r="D20" s="272" t="s">
        <v>609</v>
      </c>
      <c r="E20" s="272" t="s">
        <v>610</v>
      </c>
      <c r="F20" s="272" t="s">
        <v>611</v>
      </c>
      <c r="G20" s="272" t="s">
        <v>612</v>
      </c>
      <c r="H20" s="271" t="s">
        <v>613</v>
      </c>
      <c r="I20" s="273"/>
      <c r="J20" s="273"/>
      <c r="K20" s="273"/>
      <c r="L20" s="274"/>
      <c r="M20" s="273"/>
      <c r="N20" s="274"/>
      <c r="O20" s="274"/>
      <c r="P20" s="274"/>
      <c r="Q20" s="275"/>
      <c r="R20" s="268"/>
    </row>
    <row r="21" spans="1:18">
      <c r="A21" s="268"/>
      <c r="B21" s="271" t="s">
        <v>614</v>
      </c>
      <c r="C21" s="272" t="s">
        <v>615</v>
      </c>
      <c r="D21" s="272" t="s">
        <v>549</v>
      </c>
      <c r="E21" s="272" t="s">
        <v>549</v>
      </c>
      <c r="F21" s="272" t="s">
        <v>616</v>
      </c>
      <c r="G21" s="272" t="s">
        <v>565</v>
      </c>
      <c r="H21" s="271" t="s">
        <v>566</v>
      </c>
      <c r="I21" s="273"/>
      <c r="J21" s="273"/>
      <c r="K21" s="273"/>
      <c r="L21" s="274"/>
      <c r="M21" s="274"/>
      <c r="N21" s="274"/>
      <c r="O21" s="274"/>
      <c r="P21" s="274"/>
      <c r="Q21" s="276"/>
      <c r="R21" s="268"/>
    </row>
    <row r="22" spans="1:18">
      <c r="A22" s="268"/>
      <c r="B22" s="271" t="s">
        <v>617</v>
      </c>
      <c r="C22" s="272" t="s">
        <v>618</v>
      </c>
      <c r="D22" s="272" t="s">
        <v>619</v>
      </c>
      <c r="E22" s="272" t="s">
        <v>620</v>
      </c>
      <c r="F22" s="272" t="s">
        <v>534</v>
      </c>
      <c r="G22" s="272" t="s">
        <v>621</v>
      </c>
      <c r="H22" s="271" t="s">
        <v>622</v>
      </c>
      <c r="I22" s="273"/>
      <c r="J22" s="273"/>
      <c r="K22" s="273"/>
      <c r="L22" s="274"/>
      <c r="M22" s="273"/>
      <c r="N22" s="274"/>
      <c r="O22" s="274"/>
      <c r="P22" s="274"/>
      <c r="Q22" s="275"/>
      <c r="R22" s="268"/>
    </row>
    <row r="23" spans="1:18">
      <c r="A23" s="268"/>
      <c r="B23" s="271" t="s">
        <v>623</v>
      </c>
      <c r="C23" s="272" t="s">
        <v>624</v>
      </c>
      <c r="D23" s="272" t="s">
        <v>549</v>
      </c>
      <c r="E23" s="272" t="s">
        <v>549</v>
      </c>
      <c r="F23" s="272" t="s">
        <v>625</v>
      </c>
      <c r="G23" s="272" t="s">
        <v>571</v>
      </c>
      <c r="H23" s="271" t="s">
        <v>572</v>
      </c>
      <c r="I23" s="273"/>
      <c r="J23" s="273"/>
      <c r="K23" s="273"/>
      <c r="L23" s="274"/>
      <c r="M23" s="273"/>
      <c r="N23" s="274"/>
      <c r="O23" s="274"/>
      <c r="P23" s="274"/>
      <c r="Q23" s="275"/>
      <c r="R23" s="268"/>
    </row>
    <row r="24" spans="1:18">
      <c r="A24" s="268"/>
      <c r="B24" s="271" t="s">
        <v>626</v>
      </c>
      <c r="C24" s="272" t="s">
        <v>627</v>
      </c>
      <c r="D24" s="272" t="s">
        <v>549</v>
      </c>
      <c r="E24" s="272" t="s">
        <v>549</v>
      </c>
      <c r="F24" s="272" t="s">
        <v>628</v>
      </c>
      <c r="G24" s="272" t="s">
        <v>577</v>
      </c>
      <c r="H24" s="271" t="s">
        <v>578</v>
      </c>
      <c r="I24" s="273"/>
      <c r="J24" s="273"/>
      <c r="K24" s="273"/>
      <c r="L24" s="274"/>
      <c r="M24" s="273"/>
      <c r="N24" s="274"/>
      <c r="O24" s="274"/>
      <c r="P24" s="274"/>
      <c r="Q24" s="275"/>
      <c r="R24" s="268"/>
    </row>
    <row r="25" spans="1:18">
      <c r="A25" s="268"/>
      <c r="B25" s="271" t="s">
        <v>629</v>
      </c>
      <c r="C25" s="272" t="s">
        <v>630</v>
      </c>
      <c r="D25" s="272" t="s">
        <v>631</v>
      </c>
      <c r="E25" s="272" t="s">
        <v>632</v>
      </c>
      <c r="F25" s="272" t="s">
        <v>633</v>
      </c>
      <c r="G25" s="272" t="s">
        <v>565</v>
      </c>
      <c r="H25" s="271" t="s">
        <v>566</v>
      </c>
      <c r="I25" s="273"/>
      <c r="J25" s="273"/>
      <c r="K25" s="273"/>
      <c r="L25" s="274"/>
      <c r="M25" s="274"/>
      <c r="N25" s="274"/>
      <c r="O25" s="274"/>
      <c r="P25" s="274"/>
      <c r="Q25" s="276"/>
      <c r="R25" s="268"/>
    </row>
    <row r="26" spans="1:18">
      <c r="A26" s="268"/>
      <c r="B26" s="271" t="s">
        <v>634</v>
      </c>
      <c r="C26" s="272" t="s">
        <v>635</v>
      </c>
      <c r="D26" s="272" t="s">
        <v>636</v>
      </c>
      <c r="E26" s="272" t="s">
        <v>637</v>
      </c>
      <c r="F26" s="272" t="s">
        <v>616</v>
      </c>
      <c r="G26" s="272" t="s">
        <v>571</v>
      </c>
      <c r="H26" s="271" t="s">
        <v>572</v>
      </c>
      <c r="I26" s="273"/>
      <c r="J26" s="273"/>
      <c r="K26" s="273"/>
      <c r="L26" s="274"/>
      <c r="M26" s="274"/>
      <c r="N26" s="274"/>
      <c r="O26" s="274"/>
      <c r="P26" s="274"/>
      <c r="Q26" s="275"/>
      <c r="R26" s="268"/>
    </row>
    <row r="27" spans="1:18">
      <c r="A27" s="268"/>
      <c r="B27" s="271" t="s">
        <v>638</v>
      </c>
      <c r="C27" s="272" t="s">
        <v>639</v>
      </c>
      <c r="D27" s="272" t="s">
        <v>640</v>
      </c>
      <c r="E27" s="272" t="s">
        <v>641</v>
      </c>
      <c r="F27" s="272" t="s">
        <v>642</v>
      </c>
      <c r="G27" s="272" t="s">
        <v>522</v>
      </c>
      <c r="H27" s="271" t="s">
        <v>443</v>
      </c>
      <c r="I27" s="273"/>
      <c r="J27" s="273"/>
      <c r="K27" s="273"/>
      <c r="L27" s="274"/>
      <c r="M27" s="274"/>
      <c r="N27" s="274"/>
      <c r="O27" s="274"/>
      <c r="P27" s="274"/>
      <c r="Q27" s="275"/>
      <c r="R27" s="268"/>
    </row>
    <row r="28" spans="1:18">
      <c r="A28" s="268"/>
      <c r="B28" s="271" t="s">
        <v>643</v>
      </c>
      <c r="C28" s="272" t="s">
        <v>644</v>
      </c>
      <c r="D28" s="272" t="s">
        <v>645</v>
      </c>
      <c r="E28" s="272" t="s">
        <v>646</v>
      </c>
      <c r="F28" s="272" t="s">
        <v>647</v>
      </c>
      <c r="G28" s="272" t="s">
        <v>565</v>
      </c>
      <c r="H28" s="271" t="s">
        <v>566</v>
      </c>
      <c r="I28" s="273"/>
      <c r="J28" s="273"/>
      <c r="K28" s="273"/>
      <c r="L28" s="274"/>
      <c r="M28" s="274"/>
      <c r="N28" s="274"/>
      <c r="O28" s="274"/>
      <c r="P28" s="274"/>
      <c r="Q28" s="276"/>
      <c r="R28" s="268"/>
    </row>
    <row r="29" spans="1:18">
      <c r="A29" s="268"/>
      <c r="B29" s="271" t="s">
        <v>648</v>
      </c>
      <c r="C29" s="272" t="s">
        <v>649</v>
      </c>
      <c r="D29" s="272" t="s">
        <v>650</v>
      </c>
      <c r="E29" s="272" t="s">
        <v>651</v>
      </c>
      <c r="F29" s="272" t="s">
        <v>593</v>
      </c>
      <c r="G29" s="272" t="s">
        <v>571</v>
      </c>
      <c r="H29" s="271" t="s">
        <v>572</v>
      </c>
      <c r="I29" s="273"/>
      <c r="J29" s="273"/>
      <c r="K29" s="273"/>
      <c r="L29" s="274"/>
      <c r="M29" s="273"/>
      <c r="N29" s="274"/>
      <c r="O29" s="274"/>
      <c r="P29" s="274"/>
      <c r="Q29" s="275"/>
      <c r="R29" s="268"/>
    </row>
    <row r="30" spans="1:18">
      <c r="A30" s="268"/>
      <c r="B30" s="271" t="s">
        <v>652</v>
      </c>
      <c r="C30" s="272" t="s">
        <v>653</v>
      </c>
      <c r="D30" s="272" t="s">
        <v>654</v>
      </c>
      <c r="E30" s="272" t="s">
        <v>655</v>
      </c>
      <c r="F30" s="272" t="s">
        <v>656</v>
      </c>
      <c r="G30" s="272" t="s">
        <v>528</v>
      </c>
      <c r="H30" s="271" t="s">
        <v>529</v>
      </c>
      <c r="I30" s="273"/>
      <c r="J30" s="273"/>
      <c r="K30" s="273"/>
      <c r="L30" s="274"/>
      <c r="M30" s="273"/>
      <c r="N30" s="274"/>
      <c r="O30" s="274"/>
      <c r="P30" s="274"/>
      <c r="Q30" s="275"/>
      <c r="R30" s="268"/>
    </row>
    <row r="31" spans="1:18">
      <c r="A31" s="268"/>
      <c r="B31" s="271" t="s">
        <v>657</v>
      </c>
      <c r="C31" s="272" t="s">
        <v>658</v>
      </c>
      <c r="D31" s="272" t="s">
        <v>549</v>
      </c>
      <c r="E31" s="272" t="s">
        <v>549</v>
      </c>
      <c r="F31" s="272" t="s">
        <v>659</v>
      </c>
      <c r="G31" s="272" t="s">
        <v>565</v>
      </c>
      <c r="H31" s="271" t="s">
        <v>566</v>
      </c>
      <c r="I31" s="273"/>
      <c r="J31" s="273"/>
      <c r="K31" s="273"/>
      <c r="L31" s="274"/>
      <c r="M31" s="274"/>
      <c r="N31" s="274"/>
      <c r="O31" s="274"/>
      <c r="P31" s="274"/>
      <c r="Q31" s="276"/>
      <c r="R31" s="268"/>
    </row>
    <row r="32" spans="1:18">
      <c r="A32" s="268"/>
      <c r="B32" s="271" t="s">
        <v>660</v>
      </c>
      <c r="C32" s="272" t="s">
        <v>661</v>
      </c>
      <c r="D32" s="272" t="s">
        <v>662</v>
      </c>
      <c r="E32" s="272" t="s">
        <v>663</v>
      </c>
      <c r="F32" s="272" t="s">
        <v>595</v>
      </c>
      <c r="G32" s="272" t="s">
        <v>577</v>
      </c>
      <c r="H32" s="271" t="s">
        <v>578</v>
      </c>
      <c r="I32" s="273"/>
      <c r="J32" s="273"/>
      <c r="K32" s="273"/>
      <c r="L32" s="274"/>
      <c r="M32" s="274"/>
      <c r="N32" s="274"/>
      <c r="O32" s="274"/>
      <c r="P32" s="274"/>
      <c r="Q32" s="275"/>
      <c r="R32" s="268"/>
    </row>
    <row r="33" spans="1:18">
      <c r="A33" s="268"/>
      <c r="B33" s="271" t="s">
        <v>664</v>
      </c>
      <c r="C33" s="272" t="s">
        <v>665</v>
      </c>
      <c r="D33" s="272" t="s">
        <v>549</v>
      </c>
      <c r="E33" s="272" t="s">
        <v>549</v>
      </c>
      <c r="F33" s="272" t="s">
        <v>534</v>
      </c>
      <c r="G33" s="272" t="s">
        <v>565</v>
      </c>
      <c r="H33" s="271" t="s">
        <v>566</v>
      </c>
      <c r="I33" s="273"/>
      <c r="J33" s="273"/>
      <c r="K33" s="273"/>
      <c r="L33" s="274"/>
      <c r="M33" s="274"/>
      <c r="N33" s="274"/>
      <c r="O33" s="274"/>
      <c r="P33" s="274"/>
      <c r="Q33" s="276"/>
      <c r="R33" s="268"/>
    </row>
    <row r="34" spans="1:18">
      <c r="A34" s="268"/>
      <c r="B34" s="271" t="s">
        <v>666</v>
      </c>
      <c r="C34" s="272" t="s">
        <v>667</v>
      </c>
      <c r="D34" s="272" t="s">
        <v>668</v>
      </c>
      <c r="E34" s="272" t="s">
        <v>669</v>
      </c>
      <c r="F34" s="272" t="s">
        <v>670</v>
      </c>
      <c r="G34" s="272" t="s">
        <v>565</v>
      </c>
      <c r="H34" s="271" t="s">
        <v>566</v>
      </c>
      <c r="I34" s="273"/>
      <c r="J34" s="273"/>
      <c r="K34" s="273"/>
      <c r="L34" s="274"/>
      <c r="M34" s="274"/>
      <c r="N34" s="274"/>
      <c r="O34" s="274"/>
      <c r="P34" s="274"/>
      <c r="Q34" s="275"/>
      <c r="R34" s="268"/>
    </row>
    <row r="35" spans="1:18">
      <c r="A35" s="268"/>
      <c r="B35" s="271" t="s">
        <v>671</v>
      </c>
      <c r="C35" s="272" t="s">
        <v>672</v>
      </c>
      <c r="D35" s="272" t="s">
        <v>673</v>
      </c>
      <c r="E35" s="272" t="s">
        <v>674</v>
      </c>
      <c r="F35" s="272" t="s">
        <v>675</v>
      </c>
      <c r="G35" s="272" t="s">
        <v>522</v>
      </c>
      <c r="H35" s="271" t="s">
        <v>443</v>
      </c>
      <c r="I35" s="273"/>
      <c r="J35" s="273"/>
      <c r="K35" s="273"/>
      <c r="L35" s="274"/>
      <c r="M35" s="273"/>
      <c r="N35" s="274"/>
      <c r="O35" s="274"/>
      <c r="P35" s="274"/>
      <c r="Q35" s="275"/>
      <c r="R35" s="268"/>
    </row>
    <row r="36" spans="1:18">
      <c r="A36" s="268"/>
      <c r="B36" s="271" t="s">
        <v>676</v>
      </c>
      <c r="C36" s="272" t="s">
        <v>677</v>
      </c>
      <c r="D36" s="272" t="s">
        <v>678</v>
      </c>
      <c r="E36" s="272" t="s">
        <v>679</v>
      </c>
      <c r="F36" s="272" t="s">
        <v>659</v>
      </c>
      <c r="G36" s="272" t="s">
        <v>565</v>
      </c>
      <c r="H36" s="271" t="s">
        <v>566</v>
      </c>
      <c r="I36" s="273"/>
      <c r="J36" s="273"/>
      <c r="K36" s="273"/>
      <c r="L36" s="274"/>
      <c r="M36" s="273"/>
      <c r="N36" s="274"/>
      <c r="O36" s="274"/>
      <c r="P36" s="274"/>
      <c r="Q36" s="275"/>
      <c r="R36" s="268"/>
    </row>
    <row r="37" spans="1:18">
      <c r="A37" s="268"/>
      <c r="B37" s="271" t="s">
        <v>680</v>
      </c>
      <c r="C37" s="272" t="s">
        <v>681</v>
      </c>
      <c r="D37" s="272" t="s">
        <v>682</v>
      </c>
      <c r="E37" s="272" t="s">
        <v>683</v>
      </c>
      <c r="F37" s="272" t="s">
        <v>684</v>
      </c>
      <c r="G37" s="272" t="s">
        <v>553</v>
      </c>
      <c r="H37" s="271" t="s">
        <v>554</v>
      </c>
      <c r="I37" s="273"/>
      <c r="J37" s="273"/>
      <c r="K37" s="273"/>
      <c r="L37" s="274"/>
      <c r="M37" s="273"/>
      <c r="N37" s="274"/>
      <c r="O37" s="274"/>
      <c r="P37" s="274"/>
      <c r="Q37" s="275"/>
      <c r="R37" s="268"/>
    </row>
  </sheetData>
  <mergeCells count="1">
    <mergeCell ref="B1:Q1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L18" sqref="L18"/>
    </sheetView>
  </sheetViews>
  <sheetFormatPr defaultRowHeight="13.5"/>
  <cols>
    <col min="1" max="1" width="14.265625" customWidth="1"/>
    <col min="2" max="2" width="32.46484375" customWidth="1"/>
    <col min="3" max="6" width="17.1328125" customWidth="1"/>
    <col min="7" max="7" width="10.73046875" customWidth="1"/>
    <col min="8" max="8" width="17.265625" customWidth="1"/>
    <col min="9" max="9" width="19" customWidth="1"/>
  </cols>
  <sheetData>
    <row r="1" spans="1:9" ht="42.95" customHeight="1">
      <c r="A1" s="486" t="s">
        <v>687</v>
      </c>
      <c r="B1" s="486"/>
      <c r="C1" s="486"/>
      <c r="D1" s="486"/>
      <c r="E1" s="486"/>
      <c r="F1" s="486"/>
      <c r="G1" s="486"/>
      <c r="H1" s="486"/>
      <c r="I1" s="486"/>
    </row>
    <row r="2" spans="1:9" ht="15.95" customHeight="1">
      <c r="A2" s="277"/>
      <c r="B2" s="277"/>
      <c r="C2" s="277"/>
      <c r="D2" s="277"/>
      <c r="E2" s="277"/>
      <c r="F2" s="277"/>
      <c r="G2" s="278"/>
      <c r="H2" s="278"/>
      <c r="I2" s="279" t="s">
        <v>688</v>
      </c>
    </row>
    <row r="3" spans="1:9" s="282" customFormat="1" ht="25.5" customHeight="1">
      <c r="A3" s="280" t="s">
        <v>689</v>
      </c>
      <c r="B3" s="280" t="s">
        <v>690</v>
      </c>
      <c r="C3" s="280" t="s">
        <v>691</v>
      </c>
      <c r="D3" s="280" t="s">
        <v>692</v>
      </c>
      <c r="E3" s="280" t="s">
        <v>693</v>
      </c>
      <c r="F3" s="280" t="s">
        <v>694</v>
      </c>
      <c r="G3" s="281" t="s">
        <v>695</v>
      </c>
      <c r="H3" s="281" t="s">
        <v>696</v>
      </c>
      <c r="I3" s="281" t="s">
        <v>697</v>
      </c>
    </row>
    <row r="4" spans="1:9" s="282" customFormat="1" ht="15.75">
      <c r="A4" s="283">
        <v>8008010101</v>
      </c>
      <c r="B4" s="284" t="s">
        <v>698</v>
      </c>
      <c r="C4" s="285" t="s">
        <v>699</v>
      </c>
      <c r="D4" s="285"/>
      <c r="E4" s="285"/>
      <c r="F4" s="285"/>
      <c r="G4" s="286"/>
      <c r="H4" s="286"/>
      <c r="I4" s="286"/>
    </row>
    <row r="5" spans="1:9" s="282" customFormat="1">
      <c r="A5" s="287">
        <v>8008010102</v>
      </c>
      <c r="B5" s="288" t="s">
        <v>700</v>
      </c>
      <c r="C5" s="289" t="s">
        <v>701</v>
      </c>
      <c r="D5" s="289"/>
      <c r="E5" s="289"/>
      <c r="F5" s="289"/>
      <c r="G5" s="290"/>
      <c r="H5" s="290"/>
      <c r="I5" s="290"/>
    </row>
    <row r="6" spans="1:9" s="282" customFormat="1">
      <c r="A6" s="287">
        <v>8008010103</v>
      </c>
      <c r="B6" s="288" t="s">
        <v>702</v>
      </c>
      <c r="C6" s="289" t="s">
        <v>703</v>
      </c>
      <c r="D6" s="289"/>
      <c r="E6" s="289"/>
      <c r="F6" s="289"/>
      <c r="G6" s="290"/>
      <c r="H6" s="290"/>
      <c r="I6" s="290"/>
    </row>
    <row r="7" spans="1:9" s="282" customFormat="1" ht="27">
      <c r="A7" s="287">
        <v>8008010104</v>
      </c>
      <c r="B7" s="288" t="s">
        <v>704</v>
      </c>
      <c r="C7" s="289" t="s">
        <v>705</v>
      </c>
      <c r="D7" s="289"/>
      <c r="E7" s="289"/>
      <c r="F7" s="289"/>
      <c r="G7" s="290"/>
      <c r="H7" s="290"/>
      <c r="I7" s="290"/>
    </row>
    <row r="8" spans="1:9" s="282" customFormat="1" ht="27">
      <c r="A8" s="287">
        <v>8008010105</v>
      </c>
      <c r="B8" s="288" t="s">
        <v>706</v>
      </c>
      <c r="C8" s="289" t="s">
        <v>707</v>
      </c>
      <c r="D8" s="289"/>
      <c r="E8" s="289"/>
      <c r="F8" s="289"/>
      <c r="G8" s="290"/>
      <c r="H8" s="290"/>
      <c r="I8" s="290"/>
    </row>
    <row r="9" spans="1:9" s="282" customFormat="1">
      <c r="A9" s="287">
        <v>8008010106</v>
      </c>
      <c r="B9" s="288" t="s">
        <v>708</v>
      </c>
      <c r="C9" s="289" t="s">
        <v>709</v>
      </c>
      <c r="D9" s="289"/>
      <c r="E9" s="289"/>
      <c r="F9" s="289"/>
      <c r="G9" s="290"/>
      <c r="H9" s="290"/>
      <c r="I9" s="290"/>
    </row>
    <row r="10" spans="1:9" s="282" customFormat="1">
      <c r="A10" s="287">
        <v>8008010107</v>
      </c>
      <c r="B10" s="288" t="s">
        <v>536</v>
      </c>
      <c r="C10" s="289" t="s">
        <v>710</v>
      </c>
      <c r="D10" s="289"/>
      <c r="E10" s="289"/>
      <c r="F10" s="289"/>
      <c r="G10" s="290"/>
      <c r="H10" s="290"/>
      <c r="I10" s="290"/>
    </row>
    <row r="11" spans="1:9" s="282" customFormat="1" ht="27">
      <c r="A11" s="287">
        <v>8008010108</v>
      </c>
      <c r="B11" s="288" t="s">
        <v>711</v>
      </c>
      <c r="C11" s="289" t="s">
        <v>712</v>
      </c>
      <c r="D11" s="289"/>
      <c r="E11" s="289"/>
      <c r="F11" s="289"/>
      <c r="G11" s="290"/>
      <c r="H11" s="290"/>
      <c r="I11" s="290"/>
    </row>
    <row r="12" spans="1:9" s="282" customFormat="1" ht="27">
      <c r="A12" s="287">
        <v>8008010110</v>
      </c>
      <c r="B12" s="288" t="s">
        <v>713</v>
      </c>
      <c r="C12" s="289" t="s">
        <v>714</v>
      </c>
      <c r="D12" s="289"/>
      <c r="E12" s="289"/>
      <c r="F12" s="289"/>
      <c r="G12" s="290"/>
      <c r="H12" s="290"/>
      <c r="I12" s="290"/>
    </row>
    <row r="13" spans="1:9" s="282" customFormat="1" ht="27">
      <c r="A13" s="287">
        <v>8008020101</v>
      </c>
      <c r="B13" s="288" t="s">
        <v>715</v>
      </c>
      <c r="C13" s="289" t="s">
        <v>716</v>
      </c>
      <c r="D13" s="289"/>
      <c r="E13" s="289"/>
      <c r="F13" s="289"/>
      <c r="G13" s="290"/>
      <c r="H13" s="290"/>
      <c r="I13" s="290"/>
    </row>
    <row r="14" spans="1:9" s="282" customFormat="1">
      <c r="A14" s="287"/>
      <c r="B14" s="288" t="s">
        <v>717</v>
      </c>
      <c r="C14" s="289" t="s">
        <v>718</v>
      </c>
      <c r="D14" s="289"/>
      <c r="E14" s="289"/>
      <c r="F14" s="289"/>
      <c r="G14" s="290"/>
      <c r="H14" s="290"/>
      <c r="I14" s="290"/>
    </row>
    <row r="15" spans="1:9" s="282" customFormat="1" ht="67.5">
      <c r="A15" s="287">
        <v>8008020102</v>
      </c>
      <c r="B15" s="288" t="s">
        <v>719</v>
      </c>
      <c r="C15" s="289" t="s">
        <v>720</v>
      </c>
      <c r="D15" s="291" t="s">
        <v>721</v>
      </c>
      <c r="E15" s="291" t="s">
        <v>722</v>
      </c>
      <c r="F15" s="289"/>
      <c r="G15" s="290"/>
      <c r="H15" s="290"/>
      <c r="I15" s="290"/>
    </row>
    <row r="16" spans="1:9" s="282" customFormat="1" ht="40.5">
      <c r="A16" s="287">
        <v>8008020103</v>
      </c>
      <c r="B16" s="288" t="s">
        <v>723</v>
      </c>
      <c r="C16" s="289" t="s">
        <v>724</v>
      </c>
      <c r="D16" s="291" t="s">
        <v>725</v>
      </c>
      <c r="E16" s="291" t="s">
        <v>722</v>
      </c>
      <c r="F16" s="289"/>
      <c r="G16" s="290"/>
      <c r="H16" s="290"/>
      <c r="I16" s="290"/>
    </row>
    <row r="17" spans="1:9" s="282" customFormat="1">
      <c r="A17" s="287">
        <v>8008020104</v>
      </c>
      <c r="B17" s="288" t="s">
        <v>726</v>
      </c>
      <c r="C17" s="289" t="s">
        <v>727</v>
      </c>
      <c r="D17" s="291" t="s">
        <v>725</v>
      </c>
      <c r="E17" s="291" t="s">
        <v>722</v>
      </c>
      <c r="F17" s="289"/>
      <c r="G17" s="290"/>
      <c r="H17" s="290"/>
      <c r="I17" s="290"/>
    </row>
    <row r="18" spans="1:9" s="282" customFormat="1">
      <c r="A18" s="287">
        <v>8008020105</v>
      </c>
      <c r="B18" s="288" t="s">
        <v>728</v>
      </c>
      <c r="C18" s="289" t="s">
        <v>701</v>
      </c>
      <c r="D18" s="291" t="s">
        <v>725</v>
      </c>
      <c r="E18" s="291" t="s">
        <v>722</v>
      </c>
      <c r="F18" s="289"/>
      <c r="G18" s="290"/>
      <c r="H18" s="290"/>
      <c r="I18" s="290"/>
    </row>
    <row r="19" spans="1:9" s="282" customFormat="1" ht="27">
      <c r="A19" s="287">
        <v>8008020106</v>
      </c>
      <c r="B19" s="288" t="s">
        <v>729</v>
      </c>
      <c r="C19" s="289" t="s">
        <v>730</v>
      </c>
      <c r="D19" s="291" t="s">
        <v>721</v>
      </c>
      <c r="E19" s="291" t="s">
        <v>722</v>
      </c>
      <c r="F19" s="289"/>
      <c r="G19" s="290"/>
      <c r="H19" s="290"/>
      <c r="I19" s="290"/>
    </row>
    <row r="20" spans="1:9" s="282" customFormat="1" ht="27">
      <c r="A20" s="287"/>
      <c r="B20" s="288" t="s">
        <v>731</v>
      </c>
      <c r="C20" s="289"/>
      <c r="D20" s="291" t="s">
        <v>732</v>
      </c>
      <c r="E20" s="291" t="s">
        <v>733</v>
      </c>
      <c r="F20" s="289"/>
      <c r="G20" s="290"/>
      <c r="H20" s="290"/>
      <c r="I20" s="290"/>
    </row>
    <row r="21" spans="1:9" s="282" customFormat="1" ht="27">
      <c r="A21" s="287"/>
      <c r="B21" s="288" t="s">
        <v>734</v>
      </c>
      <c r="C21" s="289"/>
      <c r="D21" s="291" t="s">
        <v>735</v>
      </c>
      <c r="E21" s="291" t="s">
        <v>736</v>
      </c>
      <c r="F21" s="289"/>
      <c r="G21" s="290"/>
      <c r="H21" s="290"/>
      <c r="I21" s="290"/>
    </row>
    <row r="22" spans="1:9" s="282" customFormat="1" ht="27">
      <c r="A22" s="287"/>
      <c r="B22" s="288" t="s">
        <v>737</v>
      </c>
      <c r="C22" s="289"/>
      <c r="D22" s="292" t="s">
        <v>738</v>
      </c>
      <c r="E22" s="291" t="s">
        <v>739</v>
      </c>
      <c r="F22" s="289"/>
      <c r="G22" s="290"/>
      <c r="H22" s="290"/>
      <c r="I22" s="290"/>
    </row>
    <row r="23" spans="1:9" s="282" customFormat="1" ht="27">
      <c r="A23" s="287">
        <v>8008010109</v>
      </c>
      <c r="B23" s="288" t="s">
        <v>547</v>
      </c>
      <c r="C23" s="289" t="s">
        <v>740</v>
      </c>
      <c r="D23" s="289"/>
      <c r="E23" s="289"/>
      <c r="F23" s="289"/>
      <c r="G23" s="290"/>
      <c r="H23" s="290"/>
      <c r="I23" s="290"/>
    </row>
    <row r="24" spans="1:9" s="282" customFormat="1" ht="27">
      <c r="A24" s="287">
        <v>8010010101</v>
      </c>
      <c r="B24" s="288" t="s">
        <v>741</v>
      </c>
      <c r="C24" s="289" t="s">
        <v>742</v>
      </c>
      <c r="D24" s="289"/>
      <c r="E24" s="289"/>
      <c r="F24" s="289"/>
      <c r="G24" s="290"/>
      <c r="H24" s="290"/>
      <c r="I24" s="290"/>
    </row>
    <row r="25" spans="1:9" s="282" customFormat="1" ht="67.5">
      <c r="A25" s="287">
        <v>8010020101</v>
      </c>
      <c r="B25" s="288" t="s">
        <v>743</v>
      </c>
      <c r="C25" s="289" t="s">
        <v>744</v>
      </c>
      <c r="D25" s="289"/>
      <c r="E25" s="289"/>
      <c r="F25" s="289"/>
      <c r="G25" s="290"/>
      <c r="H25" s="290"/>
      <c r="I25" s="290"/>
    </row>
    <row r="26" spans="1:9" s="282" customFormat="1" ht="40.5">
      <c r="A26" s="287">
        <v>8010030101</v>
      </c>
      <c r="B26" s="288" t="s">
        <v>745</v>
      </c>
      <c r="C26" s="289" t="s">
        <v>746</v>
      </c>
      <c r="D26" s="289"/>
      <c r="E26" s="289"/>
      <c r="F26" s="289"/>
      <c r="G26" s="290"/>
      <c r="H26" s="290"/>
      <c r="I26" s="290"/>
    </row>
    <row r="27" spans="1:9" s="282" customFormat="1" ht="27">
      <c r="A27" s="287">
        <v>8010080101</v>
      </c>
      <c r="B27" s="288" t="s">
        <v>747</v>
      </c>
      <c r="C27" s="289" t="s">
        <v>748</v>
      </c>
      <c r="D27" s="289"/>
      <c r="E27" s="289"/>
      <c r="F27" s="289"/>
      <c r="G27" s="290"/>
      <c r="H27" s="290"/>
      <c r="I27" s="290"/>
    </row>
    <row r="28" spans="1:9" s="282" customFormat="1" ht="94.5">
      <c r="A28" s="287">
        <v>8011010101</v>
      </c>
      <c r="B28" s="288" t="s">
        <v>749</v>
      </c>
      <c r="C28" s="289" t="s">
        <v>750</v>
      </c>
      <c r="D28" s="289"/>
      <c r="E28" s="289"/>
      <c r="F28" s="289"/>
      <c r="G28" s="290"/>
      <c r="H28" s="290"/>
      <c r="I28" s="290"/>
    </row>
    <row r="29" spans="1:9" s="282" customFormat="1" ht="40.5">
      <c r="A29" s="287">
        <v>8011020101</v>
      </c>
      <c r="B29" s="288" t="s">
        <v>751</v>
      </c>
      <c r="C29" s="289" t="s">
        <v>752</v>
      </c>
      <c r="D29" s="289"/>
      <c r="E29" s="289"/>
      <c r="F29" s="289"/>
      <c r="G29" s="290"/>
      <c r="H29" s="290"/>
      <c r="I29" s="290"/>
    </row>
    <row r="30" spans="1:9" s="282" customFormat="1" ht="27">
      <c r="A30" s="287">
        <v>8011030101</v>
      </c>
      <c r="B30" s="288" t="s">
        <v>753</v>
      </c>
      <c r="C30" s="289" t="s">
        <v>754</v>
      </c>
      <c r="D30" s="289"/>
      <c r="E30" s="289"/>
      <c r="F30" s="289"/>
      <c r="G30" s="290"/>
      <c r="H30" s="290"/>
      <c r="I30" s="290"/>
    </row>
    <row r="31" spans="1:9" s="282" customFormat="1" ht="27">
      <c r="A31" s="287">
        <v>8011040101</v>
      </c>
      <c r="B31" s="288" t="s">
        <v>755</v>
      </c>
      <c r="C31" s="289" t="s">
        <v>756</v>
      </c>
      <c r="D31" s="289"/>
      <c r="E31" s="289"/>
      <c r="F31" s="289"/>
      <c r="G31" s="290"/>
      <c r="H31" s="290"/>
      <c r="I31" s="290"/>
    </row>
    <row r="32" spans="1:9" s="282" customFormat="1" ht="27">
      <c r="A32" s="287">
        <v>8011050101</v>
      </c>
      <c r="B32" s="288" t="s">
        <v>757</v>
      </c>
      <c r="C32" s="289" t="s">
        <v>758</v>
      </c>
      <c r="D32" s="289"/>
      <c r="E32" s="289"/>
      <c r="F32" s="289"/>
      <c r="G32" s="290"/>
      <c r="H32" s="290"/>
      <c r="I32" s="290"/>
    </row>
    <row r="33" spans="1:9" s="282" customFormat="1">
      <c r="A33" s="287">
        <v>8011060101</v>
      </c>
      <c r="B33" s="288" t="s">
        <v>759</v>
      </c>
      <c r="C33" s="289" t="s">
        <v>760</v>
      </c>
      <c r="D33" s="289"/>
      <c r="E33" s="289"/>
      <c r="F33" s="289"/>
      <c r="G33" s="290"/>
      <c r="H33" s="290"/>
      <c r="I33" s="290"/>
    </row>
    <row r="34" spans="1:9" s="282" customFormat="1" ht="27">
      <c r="A34" s="287">
        <v>8011070101</v>
      </c>
      <c r="B34" s="288" t="s">
        <v>761</v>
      </c>
      <c r="C34" s="289" t="s">
        <v>762</v>
      </c>
      <c r="D34" s="289"/>
      <c r="E34" s="289"/>
      <c r="F34" s="289"/>
      <c r="G34" s="290"/>
      <c r="H34" s="290"/>
      <c r="I34" s="290"/>
    </row>
    <row r="35" spans="1:9" s="282" customFormat="1" ht="54">
      <c r="A35" s="287">
        <v>8212010101</v>
      </c>
      <c r="B35" s="288" t="s">
        <v>763</v>
      </c>
      <c r="C35" s="289" t="s">
        <v>764</v>
      </c>
      <c r="D35" s="289"/>
      <c r="E35" s="289"/>
      <c r="F35" s="289"/>
      <c r="G35" s="290"/>
      <c r="H35" s="290"/>
      <c r="I35" s="290"/>
    </row>
    <row r="36" spans="1:9" s="282" customFormat="1" ht="54">
      <c r="A36" s="287">
        <v>8212020101</v>
      </c>
      <c r="B36" s="288" t="s">
        <v>765</v>
      </c>
      <c r="C36" s="289" t="s">
        <v>766</v>
      </c>
      <c r="D36" s="289"/>
      <c r="E36" s="289"/>
      <c r="F36" s="289"/>
      <c r="G36" s="290"/>
      <c r="H36" s="290"/>
      <c r="I36" s="290"/>
    </row>
  </sheetData>
  <mergeCells count="1">
    <mergeCell ref="A1:I1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8" sqref="L18"/>
    </sheetView>
  </sheetViews>
  <sheetFormatPr defaultColWidth="9" defaultRowHeight="15.4"/>
  <cols>
    <col min="1" max="1" width="9" style="293"/>
    <col min="2" max="2" width="9.86328125" style="293" customWidth="1"/>
    <col min="3" max="3" width="12" style="293" customWidth="1"/>
    <col min="4" max="4" width="13" style="293" customWidth="1"/>
    <col min="5" max="5" width="12" style="293" customWidth="1"/>
    <col min="6" max="6" width="12.3984375" style="293" customWidth="1"/>
    <col min="7" max="7" width="8.86328125" style="293" hidden="1" customWidth="1"/>
    <col min="8" max="8" width="12.3984375" style="293" customWidth="1"/>
    <col min="9" max="9" width="11.73046875" style="293" customWidth="1"/>
    <col min="10" max="10" width="12.265625" style="293" bestFit="1" customWidth="1"/>
    <col min="11" max="11" width="12.46484375" style="293" customWidth="1"/>
    <col min="12" max="13" width="11.59765625" style="293" bestFit="1" customWidth="1"/>
    <col min="14" max="14" width="22.59765625" style="293" customWidth="1"/>
    <col min="15" max="16384" width="9" style="293"/>
  </cols>
  <sheetData>
    <row r="1" spans="1:15">
      <c r="A1" s="493" t="s">
        <v>767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</row>
    <row r="2" spans="1:15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</row>
    <row r="3" spans="1:15" ht="21.4" thickBo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5" t="s">
        <v>768</v>
      </c>
    </row>
    <row r="4" spans="1:15" s="296" customFormat="1" ht="15">
      <c r="A4" s="494" t="s">
        <v>769</v>
      </c>
      <c r="B4" s="496" t="s">
        <v>257</v>
      </c>
      <c r="C4" s="498" t="s">
        <v>770</v>
      </c>
      <c r="D4" s="500" t="s">
        <v>771</v>
      </c>
      <c r="E4" s="501"/>
      <c r="F4" s="501"/>
      <c r="G4" s="502"/>
      <c r="H4" s="500" t="s">
        <v>772</v>
      </c>
      <c r="I4" s="501"/>
      <c r="J4" s="501"/>
      <c r="K4" s="502"/>
      <c r="L4" s="503" t="s">
        <v>773</v>
      </c>
      <c r="M4" s="503" t="s">
        <v>774</v>
      </c>
      <c r="N4" s="498" t="s">
        <v>775</v>
      </c>
      <c r="O4" s="487"/>
    </row>
    <row r="5" spans="1:15" s="296" customFormat="1" ht="25.9" thickBot="1">
      <c r="A5" s="495"/>
      <c r="B5" s="497"/>
      <c r="C5" s="499"/>
      <c r="D5" s="297" t="s">
        <v>776</v>
      </c>
      <c r="E5" s="298" t="s">
        <v>777</v>
      </c>
      <c r="F5" s="299" t="s">
        <v>778</v>
      </c>
      <c r="G5" s="300" t="s">
        <v>779</v>
      </c>
      <c r="H5" s="297" t="s">
        <v>780</v>
      </c>
      <c r="I5" s="298" t="s">
        <v>781</v>
      </c>
      <c r="J5" s="298" t="s">
        <v>782</v>
      </c>
      <c r="K5" s="300" t="s">
        <v>783</v>
      </c>
      <c r="L5" s="504"/>
      <c r="M5" s="504"/>
      <c r="N5" s="499"/>
      <c r="O5" s="487"/>
    </row>
    <row r="6" spans="1:15" s="296" customFormat="1" ht="15">
      <c r="A6" s="488">
        <v>1000</v>
      </c>
      <c r="B6" s="301" t="s">
        <v>265</v>
      </c>
      <c r="C6" s="302"/>
      <c r="D6" s="303"/>
      <c r="E6" s="303"/>
      <c r="F6" s="303">
        <f t="shared" ref="F6:F16" si="0">D6+E6</f>
        <v>0</v>
      </c>
      <c r="G6" s="303"/>
      <c r="H6" s="303"/>
      <c r="I6" s="303"/>
      <c r="J6" s="303">
        <f t="shared" ref="J6:J16" si="1">H6+I6</f>
        <v>0</v>
      </c>
      <c r="K6" s="304"/>
      <c r="L6" s="305">
        <f t="shared" ref="L6:L16" si="2">F6-J6-K6</f>
        <v>0</v>
      </c>
      <c r="M6" s="304">
        <f>C6+L6</f>
        <v>0</v>
      </c>
      <c r="N6" s="306"/>
    </row>
    <row r="7" spans="1:15" s="296" customFormat="1" ht="15">
      <c r="A7" s="489"/>
      <c r="B7" s="307" t="s">
        <v>784</v>
      </c>
      <c r="C7" s="308"/>
      <c r="D7" s="309"/>
      <c r="E7" s="309"/>
      <c r="F7" s="309">
        <f t="shared" si="0"/>
        <v>0</v>
      </c>
      <c r="G7" s="309"/>
      <c r="H7" s="309"/>
      <c r="I7" s="309"/>
      <c r="J7" s="309">
        <f t="shared" si="1"/>
        <v>0</v>
      </c>
      <c r="K7" s="310"/>
      <c r="L7" s="305">
        <f t="shared" si="2"/>
        <v>0</v>
      </c>
      <c r="M7" s="311">
        <f t="shared" ref="M7:M16" si="3">C7+L7</f>
        <v>0</v>
      </c>
      <c r="N7" s="312"/>
    </row>
    <row r="8" spans="1:15" s="296" customFormat="1" ht="15">
      <c r="A8" s="489"/>
      <c r="B8" s="307" t="s">
        <v>785</v>
      </c>
      <c r="C8" s="308"/>
      <c r="D8" s="309"/>
      <c r="E8" s="309"/>
      <c r="F8" s="309">
        <f t="shared" si="0"/>
        <v>0</v>
      </c>
      <c r="G8" s="309"/>
      <c r="H8" s="309"/>
      <c r="I8" s="309"/>
      <c r="J8" s="309">
        <f t="shared" si="1"/>
        <v>0</v>
      </c>
      <c r="K8" s="310"/>
      <c r="L8" s="305">
        <f t="shared" si="2"/>
        <v>0</v>
      </c>
      <c r="M8" s="310">
        <f t="shared" si="3"/>
        <v>0</v>
      </c>
      <c r="N8" s="313"/>
    </row>
    <row r="9" spans="1:15" s="296" customFormat="1" ht="15">
      <c r="A9" s="489"/>
      <c r="B9" s="314" t="s">
        <v>786</v>
      </c>
      <c r="C9" s="308"/>
      <c r="D9" s="309"/>
      <c r="E9" s="309"/>
      <c r="F9" s="309">
        <f t="shared" si="0"/>
        <v>0</v>
      </c>
      <c r="G9" s="309"/>
      <c r="H9" s="309"/>
      <c r="I9" s="309"/>
      <c r="J9" s="309">
        <f t="shared" si="1"/>
        <v>0</v>
      </c>
      <c r="K9" s="310"/>
      <c r="L9" s="305">
        <f t="shared" si="2"/>
        <v>0</v>
      </c>
      <c r="M9" s="310">
        <f t="shared" si="3"/>
        <v>0</v>
      </c>
      <c r="N9" s="315"/>
    </row>
    <row r="10" spans="1:15" s="296" customFormat="1" ht="15">
      <c r="A10" s="489"/>
      <c r="B10" s="314" t="s">
        <v>109</v>
      </c>
      <c r="C10" s="308"/>
      <c r="D10" s="309"/>
      <c r="E10" s="309"/>
      <c r="F10" s="309">
        <f t="shared" si="0"/>
        <v>0</v>
      </c>
      <c r="G10" s="309"/>
      <c r="H10" s="309"/>
      <c r="I10" s="309"/>
      <c r="J10" s="309">
        <f t="shared" si="1"/>
        <v>0</v>
      </c>
      <c r="K10" s="310"/>
      <c r="L10" s="305">
        <f t="shared" si="2"/>
        <v>0</v>
      </c>
      <c r="M10" s="310">
        <f t="shared" si="3"/>
        <v>0</v>
      </c>
      <c r="N10" s="315"/>
    </row>
    <row r="11" spans="1:15" s="296" customFormat="1" thickBot="1">
      <c r="A11" s="489"/>
      <c r="B11" s="307" t="s">
        <v>787</v>
      </c>
      <c r="C11" s="308"/>
      <c r="D11" s="309"/>
      <c r="E11" s="309"/>
      <c r="F11" s="309">
        <f t="shared" si="0"/>
        <v>0</v>
      </c>
      <c r="G11" s="309"/>
      <c r="H11" s="309"/>
      <c r="I11" s="309"/>
      <c r="J11" s="309">
        <f t="shared" si="1"/>
        <v>0</v>
      </c>
      <c r="K11" s="310"/>
      <c r="L11" s="305">
        <f t="shared" si="2"/>
        <v>0</v>
      </c>
      <c r="M11" s="310">
        <f t="shared" si="3"/>
        <v>0</v>
      </c>
      <c r="N11" s="315"/>
    </row>
    <row r="12" spans="1:15" s="296" customFormat="1" ht="15">
      <c r="A12" s="490">
        <v>2000</v>
      </c>
      <c r="B12" s="301" t="s">
        <v>265</v>
      </c>
      <c r="C12" s="316"/>
      <c r="D12" s="303"/>
      <c r="E12" s="303"/>
      <c r="F12" s="303">
        <f t="shared" si="0"/>
        <v>0</v>
      </c>
      <c r="G12" s="303"/>
      <c r="H12" s="303"/>
      <c r="I12" s="303"/>
      <c r="J12" s="303">
        <f t="shared" si="1"/>
        <v>0</v>
      </c>
      <c r="K12" s="304"/>
      <c r="L12" s="317">
        <f t="shared" si="2"/>
        <v>0</v>
      </c>
      <c r="M12" s="304">
        <f t="shared" si="3"/>
        <v>0</v>
      </c>
      <c r="N12" s="306"/>
    </row>
    <row r="13" spans="1:15" s="296" customFormat="1" ht="15">
      <c r="A13" s="491"/>
      <c r="B13" s="307" t="s">
        <v>784</v>
      </c>
      <c r="C13" s="318"/>
      <c r="D13" s="309"/>
      <c r="E13" s="309"/>
      <c r="F13" s="309">
        <f t="shared" si="0"/>
        <v>0</v>
      </c>
      <c r="G13" s="309"/>
      <c r="H13" s="309"/>
      <c r="I13" s="309"/>
      <c r="J13" s="309">
        <f t="shared" si="1"/>
        <v>0</v>
      </c>
      <c r="K13" s="310"/>
      <c r="L13" s="305">
        <f t="shared" si="2"/>
        <v>0</v>
      </c>
      <c r="M13" s="310">
        <f t="shared" si="3"/>
        <v>0</v>
      </c>
      <c r="N13" s="313"/>
    </row>
    <row r="14" spans="1:15" s="296" customFormat="1" ht="15">
      <c r="A14" s="491"/>
      <c r="B14" s="307" t="s">
        <v>785</v>
      </c>
      <c r="C14" s="318"/>
      <c r="D14" s="309"/>
      <c r="E14" s="309"/>
      <c r="F14" s="309">
        <f t="shared" si="0"/>
        <v>0</v>
      </c>
      <c r="G14" s="309"/>
      <c r="H14" s="309"/>
      <c r="I14" s="309"/>
      <c r="J14" s="309">
        <f t="shared" si="1"/>
        <v>0</v>
      </c>
      <c r="K14" s="319"/>
      <c r="L14" s="305">
        <f t="shared" si="2"/>
        <v>0</v>
      </c>
      <c r="M14" s="319">
        <f t="shared" si="3"/>
        <v>0</v>
      </c>
      <c r="N14" s="312"/>
    </row>
    <row r="15" spans="1:15" s="296" customFormat="1" ht="15">
      <c r="A15" s="491"/>
      <c r="B15" s="307" t="s">
        <v>786</v>
      </c>
      <c r="C15" s="318"/>
      <c r="D15" s="309"/>
      <c r="E15" s="309"/>
      <c r="F15" s="309">
        <f t="shared" si="0"/>
        <v>0</v>
      </c>
      <c r="G15" s="309"/>
      <c r="H15" s="309"/>
      <c r="I15" s="309"/>
      <c r="J15" s="309">
        <f t="shared" si="1"/>
        <v>0</v>
      </c>
      <c r="K15" s="319"/>
      <c r="L15" s="305">
        <f t="shared" si="2"/>
        <v>0</v>
      </c>
      <c r="M15" s="310">
        <f t="shared" si="3"/>
        <v>0</v>
      </c>
      <c r="N15" s="312"/>
    </row>
    <row r="16" spans="1:15" s="296" customFormat="1" thickBot="1">
      <c r="A16" s="492"/>
      <c r="B16" s="320" t="s">
        <v>788</v>
      </c>
      <c r="C16" s="321"/>
      <c r="D16" s="322"/>
      <c r="E16" s="322"/>
      <c r="F16" s="322">
        <f t="shared" si="0"/>
        <v>0</v>
      </c>
      <c r="G16" s="322"/>
      <c r="H16" s="322"/>
      <c r="I16" s="322"/>
      <c r="J16" s="322">
        <f t="shared" si="1"/>
        <v>0</v>
      </c>
      <c r="K16" s="323"/>
      <c r="L16" s="324">
        <f t="shared" si="2"/>
        <v>0</v>
      </c>
      <c r="M16" s="323">
        <f t="shared" si="3"/>
        <v>0</v>
      </c>
      <c r="N16" s="325"/>
    </row>
    <row r="19" spans="4:9">
      <c r="D19" s="293" t="s">
        <v>132</v>
      </c>
      <c r="I19" s="293" t="s">
        <v>789</v>
      </c>
    </row>
  </sheetData>
  <mergeCells count="12">
    <mergeCell ref="O4:O5"/>
    <mergeCell ref="A6:A11"/>
    <mergeCell ref="A12:A16"/>
    <mergeCell ref="A1:N2"/>
    <mergeCell ref="A4:A5"/>
    <mergeCell ref="B4:B5"/>
    <mergeCell ref="C4:C5"/>
    <mergeCell ref="D4:G4"/>
    <mergeCell ref="H4:K4"/>
    <mergeCell ref="L4:L5"/>
    <mergeCell ref="M4:M5"/>
    <mergeCell ref="N4:N5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4"/>
  <sheetViews>
    <sheetView workbookViewId="0">
      <pane xSplit="1" ySplit="3" topLeftCell="B4" activePane="bottomRight" state="frozen"/>
      <selection activeCell="O8" sqref="A8:O10"/>
      <selection pane="topRight" activeCell="O8" sqref="A8:O10"/>
      <selection pane="bottomLeft" activeCell="O8" sqref="A8:O10"/>
      <selection pane="bottomRight" activeCell="G19" sqref="G19"/>
    </sheetView>
  </sheetViews>
  <sheetFormatPr defaultRowHeight="13.9"/>
  <cols>
    <col min="1" max="1" width="21.86328125" style="226" bestFit="1" customWidth="1"/>
    <col min="2" max="3" width="9.06640625" style="226"/>
    <col min="4" max="4" width="9.06640625" style="226" bestFit="1" customWidth="1"/>
    <col min="5" max="5" width="31.19921875" style="226" bestFit="1" customWidth="1"/>
    <col min="6" max="6" width="4.796875" style="226" bestFit="1" customWidth="1"/>
    <col min="7" max="16384" width="9.06640625" style="226"/>
  </cols>
  <sheetData>
    <row r="1" spans="1:6" ht="23.25" thickBot="1">
      <c r="A1" s="505" t="s">
        <v>203</v>
      </c>
      <c r="B1" s="505"/>
      <c r="C1" s="505"/>
      <c r="D1" s="505"/>
      <c r="E1" s="505"/>
      <c r="F1" s="505"/>
    </row>
    <row r="2" spans="1:6" ht="18.399999999999999" customHeight="1">
      <c r="A2" s="329" t="s">
        <v>790</v>
      </c>
      <c r="B2" s="338" t="s">
        <v>6</v>
      </c>
      <c r="C2" s="338" t="s">
        <v>7</v>
      </c>
      <c r="D2" s="342" t="s">
        <v>791</v>
      </c>
      <c r="E2" s="342" t="s">
        <v>792</v>
      </c>
      <c r="F2" s="344" t="s">
        <v>793</v>
      </c>
    </row>
    <row r="3" spans="1:6" ht="14.65">
      <c r="A3" s="35" t="s">
        <v>17</v>
      </c>
      <c r="B3" s="326">
        <f t="shared" ref="B3:C3" si="0">SUM(B4:B17)</f>
        <v>16362.513747000001</v>
      </c>
      <c r="C3" s="326">
        <f t="shared" si="0"/>
        <v>4761.8906879999995</v>
      </c>
      <c r="D3" s="334">
        <v>0</v>
      </c>
      <c r="E3" s="330"/>
      <c r="F3" s="350"/>
    </row>
    <row r="4" spans="1:6">
      <c r="A4" s="23" t="s">
        <v>18</v>
      </c>
      <c r="B4" s="327">
        <f>'1.02春夏利润表-调营收'!P12</f>
        <v>1028.56297</v>
      </c>
      <c r="C4" s="327">
        <f>'1.02春夏利润表-调营收'!Q12</f>
        <v>203.005549</v>
      </c>
      <c r="D4" s="333">
        <v>0</v>
      </c>
      <c r="E4" s="331"/>
      <c r="F4" s="346"/>
    </row>
    <row r="5" spans="1:6">
      <c r="A5" s="23" t="s">
        <v>19</v>
      </c>
      <c r="B5" s="327">
        <f>'1.02春夏利润表-调营收'!P13</f>
        <v>226.45299400000002</v>
      </c>
      <c r="C5" s="327">
        <f>'1.02春夏利润表-调营收'!Q13</f>
        <v>42.771944999999995</v>
      </c>
      <c r="D5" s="333">
        <v>0</v>
      </c>
      <c r="E5" s="331"/>
      <c r="F5" s="346"/>
    </row>
    <row r="6" spans="1:6">
      <c r="A6" s="23" t="s">
        <v>20</v>
      </c>
      <c r="B6" s="327">
        <f>'1.02春夏利润表-调营收'!P14</f>
        <v>0</v>
      </c>
      <c r="C6" s="327">
        <f>'1.02春夏利润表-调营收'!Q14</f>
        <v>0</v>
      </c>
      <c r="D6" s="333">
        <v>0</v>
      </c>
      <c r="E6" s="331"/>
      <c r="F6" s="346"/>
    </row>
    <row r="7" spans="1:6">
      <c r="A7" s="23" t="s">
        <v>21</v>
      </c>
      <c r="B7" s="327">
        <f>'1.02春夏利润表-调营收'!P15</f>
        <v>0</v>
      </c>
      <c r="C7" s="327">
        <f>'1.02春夏利润表-调营收'!Q15</f>
        <v>7.2800000000000004E-2</v>
      </c>
      <c r="D7" s="333">
        <v>0</v>
      </c>
      <c r="E7" s="331"/>
      <c r="F7" s="346"/>
    </row>
    <row r="8" spans="1:6">
      <c r="A8" s="23" t="s">
        <v>22</v>
      </c>
      <c r="B8" s="327">
        <f>'1.02春夏利润表-调营收'!P16</f>
        <v>3.5680019999999999</v>
      </c>
      <c r="C8" s="327">
        <f>'1.02春夏利润表-调营收'!Q16</f>
        <v>38.334165999999996</v>
      </c>
      <c r="D8" s="333">
        <v>0</v>
      </c>
      <c r="E8" s="331"/>
      <c r="F8" s="346"/>
    </row>
    <row r="9" spans="1:6">
      <c r="A9" s="23" t="s">
        <v>23</v>
      </c>
      <c r="B9" s="327">
        <f>'1.02春夏利润表-调营收'!P17</f>
        <v>8933.2307949999995</v>
      </c>
      <c r="C9" s="327">
        <f>'1.02春夏利润表-调营收'!Q17</f>
        <v>1318.669578</v>
      </c>
      <c r="D9" s="333">
        <v>0</v>
      </c>
      <c r="E9" s="331"/>
      <c r="F9" s="346"/>
    </row>
    <row r="10" spans="1:6">
      <c r="A10" s="23" t="s">
        <v>24</v>
      </c>
      <c r="B10" s="327">
        <f>'1.02春夏利润表-调营收'!P18</f>
        <v>545.38351399999999</v>
      </c>
      <c r="C10" s="327">
        <f>'1.02春夏利润表-调营收'!Q18</f>
        <v>1356.390887</v>
      </c>
      <c r="D10" s="333">
        <v>0</v>
      </c>
      <c r="E10" s="331"/>
      <c r="F10" s="346"/>
    </row>
    <row r="11" spans="1:6">
      <c r="A11" s="23" t="s">
        <v>25</v>
      </c>
      <c r="B11" s="327">
        <f>'1.02春夏利润表-调营收'!P19</f>
        <v>1938.0815973440001</v>
      </c>
      <c r="C11" s="327">
        <f>'1.02春夏利润表-调营收'!Q19</f>
        <v>779.65202799999963</v>
      </c>
      <c r="D11" s="333">
        <v>0</v>
      </c>
      <c r="E11" s="331"/>
      <c r="F11" s="346"/>
    </row>
    <row r="12" spans="1:6">
      <c r="A12" s="23" t="s">
        <v>26</v>
      </c>
      <c r="B12" s="327">
        <f>'1.02春夏利润表-调营收'!P20</f>
        <v>517.162013656</v>
      </c>
      <c r="C12" s="327">
        <f>'1.02春夏利润表-调营收'!Q20</f>
        <v>70.489570000000001</v>
      </c>
      <c r="D12" s="333">
        <v>0</v>
      </c>
      <c r="E12" s="331"/>
      <c r="F12" s="346"/>
    </row>
    <row r="13" spans="1:6">
      <c r="A13" s="23" t="s">
        <v>27</v>
      </c>
      <c r="B13" s="327">
        <f>'1.02春夏利润表-调营收'!P21</f>
        <v>3.6818000000000004E-2</v>
      </c>
      <c r="C13" s="327">
        <f>'1.02春夏利润表-调营收'!Q21</f>
        <v>0</v>
      </c>
      <c r="D13" s="333">
        <v>0</v>
      </c>
      <c r="E13" s="331"/>
      <c r="F13" s="346"/>
    </row>
    <row r="14" spans="1:6">
      <c r="A14" s="23" t="s">
        <v>28</v>
      </c>
      <c r="B14" s="327">
        <f>'1.02春夏利润表-调营收'!P22</f>
        <v>204.76611100000247</v>
      </c>
      <c r="C14" s="327">
        <f>'1.02春夏利润表-调营收'!Q22</f>
        <v>0</v>
      </c>
      <c r="D14" s="333">
        <v>0</v>
      </c>
      <c r="E14" s="331"/>
      <c r="F14" s="346"/>
    </row>
    <row r="15" spans="1:6">
      <c r="A15" s="24" t="s">
        <v>29</v>
      </c>
      <c r="B15" s="327">
        <f>'1.02春夏利润表-调营收'!P23</f>
        <v>1105.9934009999999</v>
      </c>
      <c r="C15" s="327">
        <f>'1.02春夏利润表-调营收'!Q23</f>
        <v>170.502746</v>
      </c>
      <c r="D15" s="333">
        <v>0</v>
      </c>
      <c r="E15" s="331"/>
      <c r="F15" s="346"/>
    </row>
    <row r="16" spans="1:6">
      <c r="A16" s="24" t="s">
        <v>30</v>
      </c>
      <c r="B16" s="327">
        <f>'1.02春夏利润表-调营收'!P24</f>
        <v>1859.275531</v>
      </c>
      <c r="C16" s="327">
        <f>'1.02春夏利润表-调营收'!Q24</f>
        <v>741.97530300000005</v>
      </c>
      <c r="D16" s="333">
        <v>0</v>
      </c>
      <c r="E16" s="331"/>
      <c r="F16" s="346"/>
    </row>
    <row r="17" spans="1:6">
      <c r="A17" s="23" t="s">
        <v>31</v>
      </c>
      <c r="B17" s="327">
        <f>'1.02春夏利润表-调营收'!P25</f>
        <v>0</v>
      </c>
      <c r="C17" s="327">
        <f>'1.02春夏利润表-调营收'!Q25</f>
        <v>40.026116000000002</v>
      </c>
      <c r="D17" s="333">
        <v>0</v>
      </c>
      <c r="E17" s="331"/>
      <c r="F17" s="346"/>
    </row>
    <row r="18" spans="1:6" ht="14.65">
      <c r="A18" s="35" t="s">
        <v>33</v>
      </c>
      <c r="B18" s="328">
        <f t="shared" ref="B18:C18" si="1">SUM(B19:B34)</f>
        <v>15267.231756000001</v>
      </c>
      <c r="C18" s="328">
        <f t="shared" si="1"/>
        <v>17165.623674000002</v>
      </c>
      <c r="D18" s="335">
        <f t="shared" ref="D18:D34" si="2">B18/C18-1</f>
        <v>-0.1105926562327828</v>
      </c>
      <c r="E18" s="336"/>
      <c r="F18" s="345"/>
    </row>
    <row r="19" spans="1:6">
      <c r="A19" s="25" t="s">
        <v>34</v>
      </c>
      <c r="B19" s="327">
        <f>'1.02春夏利润表-调营收'!P28</f>
        <v>61.306129000000006</v>
      </c>
      <c r="C19" s="327">
        <f>'1.02春夏利润表-调营收'!Q28</f>
        <v>12.624053999999999</v>
      </c>
      <c r="D19" s="332">
        <f t="shared" si="2"/>
        <v>3.8562948954432557</v>
      </c>
      <c r="E19" s="331"/>
      <c r="F19" s="346"/>
    </row>
    <row r="20" spans="1:6">
      <c r="A20" s="25" t="s">
        <v>35</v>
      </c>
      <c r="B20" s="327">
        <f>'1.02春夏利润表-调营收'!P29</f>
        <v>9035.2184519999992</v>
      </c>
      <c r="C20" s="327">
        <f>'1.02春夏利润表-调营收'!Q29</f>
        <v>11414.448494000002</v>
      </c>
      <c r="D20" s="333">
        <v>0</v>
      </c>
      <c r="E20" s="331"/>
      <c r="F20" s="346"/>
    </row>
    <row r="21" spans="1:6">
      <c r="A21" s="25" t="s">
        <v>36</v>
      </c>
      <c r="B21" s="327">
        <f>'1.02春夏利润表-调营收'!P30</f>
        <v>34.715297999999997</v>
      </c>
      <c r="C21" s="327">
        <f>'1.02春夏利润表-调营收'!Q30</f>
        <v>273.17215100000004</v>
      </c>
      <c r="D21" s="333">
        <v>0</v>
      </c>
      <c r="E21" s="331"/>
      <c r="F21" s="346"/>
    </row>
    <row r="22" spans="1:6">
      <c r="A22" s="25" t="s">
        <v>37</v>
      </c>
      <c r="B22" s="327">
        <f>'1.02春夏利润表-调营收'!P31</f>
        <v>1686.88958</v>
      </c>
      <c r="C22" s="327">
        <f>'1.02春夏利润表-调营收'!Q31</f>
        <v>1097.2169739999997</v>
      </c>
      <c r="D22" s="332">
        <f t="shared" si="2"/>
        <v>0.5374257051914697</v>
      </c>
      <c r="E22" s="331"/>
      <c r="F22" s="346"/>
    </row>
    <row r="23" spans="1:6">
      <c r="A23" s="25" t="s">
        <v>38</v>
      </c>
      <c r="B23" s="327">
        <f>'1.02春夏利润表-调营收'!P32</f>
        <v>237.78004799999999</v>
      </c>
      <c r="C23" s="327">
        <f>'1.02春夏利润表-调营收'!Q32</f>
        <v>188.503277</v>
      </c>
      <c r="D23" s="332">
        <f t="shared" si="2"/>
        <v>0.26141068624499297</v>
      </c>
      <c r="E23" s="331"/>
      <c r="F23" s="346"/>
    </row>
    <row r="24" spans="1:6">
      <c r="A24" s="25" t="s">
        <v>39</v>
      </c>
      <c r="B24" s="327">
        <f>'1.02春夏利润表-调营收'!P33</f>
        <v>-19.553397999999998</v>
      </c>
      <c r="C24" s="327">
        <f>'1.02春夏利润表-调营收'!Q33</f>
        <v>19.989098000000013</v>
      </c>
      <c r="D24" s="333">
        <v>0</v>
      </c>
      <c r="E24" s="331"/>
      <c r="F24" s="346"/>
    </row>
    <row r="25" spans="1:6">
      <c r="A25" s="25" t="s">
        <v>40</v>
      </c>
      <c r="B25" s="327">
        <f>'1.02春夏利润表-调营收'!P34</f>
        <v>206.392438</v>
      </c>
      <c r="C25" s="327">
        <f>'1.02春夏利润表-调营收'!Q34</f>
        <v>417.317542</v>
      </c>
      <c r="D25" s="333">
        <v>0</v>
      </c>
      <c r="E25" s="331"/>
      <c r="F25" s="346"/>
    </row>
    <row r="26" spans="1:6">
      <c r="A26" s="25" t="s">
        <v>41</v>
      </c>
      <c r="B26" s="327">
        <f>'1.02春夏利润表-调营收'!P35</f>
        <v>2238.920126</v>
      </c>
      <c r="C26" s="327">
        <f>'1.02春夏利润表-调营收'!Q35</f>
        <v>1249.7497040000001</v>
      </c>
      <c r="D26" s="332">
        <f t="shared" si="2"/>
        <v>0.79149482399077242</v>
      </c>
      <c r="E26" s="331"/>
      <c r="F26" s="346"/>
    </row>
    <row r="27" spans="1:6">
      <c r="A27" s="25" t="s">
        <v>42</v>
      </c>
      <c r="B27" s="327">
        <f>'1.02春夏利润表-调营收'!P36</f>
        <v>390.75596099999996</v>
      </c>
      <c r="C27" s="327">
        <f>'1.02春夏利润表-调营收'!Q36</f>
        <v>440.42664300000013</v>
      </c>
      <c r="D27" s="333">
        <v>0</v>
      </c>
      <c r="E27" s="331"/>
      <c r="F27" s="346"/>
    </row>
    <row r="28" spans="1:6">
      <c r="A28" s="25" t="s">
        <v>43</v>
      </c>
      <c r="B28" s="327">
        <f>'1.02春夏利润表-调营收'!P37</f>
        <v>357.91698100000008</v>
      </c>
      <c r="C28" s="327">
        <f>'1.02春夏利润表-调营收'!Q37</f>
        <v>456.11998599999993</v>
      </c>
      <c r="D28" s="332">
        <f t="shared" si="2"/>
        <v>-0.21530081560600567</v>
      </c>
      <c r="E28" s="331"/>
      <c r="F28" s="346"/>
    </row>
    <row r="29" spans="1:6">
      <c r="A29" s="25" t="s">
        <v>44</v>
      </c>
      <c r="B29" s="327">
        <f>'1.02春夏利润表-调营收'!P38</f>
        <v>0.67719799999999997</v>
      </c>
      <c r="C29" s="327">
        <f>'1.02春夏利润表-调营收'!Q38</f>
        <v>0.32441099999999995</v>
      </c>
      <c r="D29" s="333">
        <v>0</v>
      </c>
      <c r="E29" s="331"/>
      <c r="F29" s="346"/>
    </row>
    <row r="30" spans="1:6">
      <c r="A30" s="25" t="s">
        <v>45</v>
      </c>
      <c r="B30" s="327">
        <f>'1.02春夏利润表-调营收'!P39</f>
        <v>621.59222900000009</v>
      </c>
      <c r="C30" s="327">
        <f>'1.02春夏利润表-调营收'!Q39</f>
        <v>1242.000499</v>
      </c>
      <c r="D30" s="332">
        <f t="shared" si="2"/>
        <v>-0.49952336613352677</v>
      </c>
      <c r="E30" s="331"/>
      <c r="F30" s="346"/>
    </row>
    <row r="31" spans="1:6">
      <c r="A31" s="25" t="s">
        <v>46</v>
      </c>
      <c r="B31" s="327">
        <f>'1.02春夏利润表-调营收'!P40</f>
        <v>-5.120000000000801E-4</v>
      </c>
      <c r="C31" s="327">
        <f>'1.02春夏利润表-调营收'!Q40</f>
        <v>0</v>
      </c>
      <c r="D31" s="333">
        <v>0</v>
      </c>
      <c r="E31" s="331"/>
      <c r="F31" s="346"/>
    </row>
    <row r="32" spans="1:6">
      <c r="A32" s="25" t="s">
        <v>47</v>
      </c>
      <c r="B32" s="327">
        <f>'1.02春夏利润表-调营收'!P41</f>
        <v>-28.301887000000001</v>
      </c>
      <c r="C32" s="327">
        <f>'1.02春夏利润表-调营收'!Q41</f>
        <v>0</v>
      </c>
      <c r="D32" s="333">
        <v>0</v>
      </c>
      <c r="E32" s="331"/>
      <c r="F32" s="346"/>
    </row>
    <row r="33" spans="1:6">
      <c r="A33" s="25" t="s">
        <v>78</v>
      </c>
      <c r="B33" s="327">
        <f>'1.02春夏利润表-调营收'!P42</f>
        <v>427.73990100000003</v>
      </c>
      <c r="C33" s="327">
        <f>'1.02春夏利润表-调营收'!Q42</f>
        <v>317.44112999999993</v>
      </c>
      <c r="D33" s="333">
        <v>0</v>
      </c>
      <c r="E33" s="331"/>
      <c r="F33" s="346"/>
    </row>
    <row r="34" spans="1:6" ht="14.25" thickBot="1">
      <c r="A34" s="351" t="s">
        <v>51</v>
      </c>
      <c r="B34" s="340">
        <f>'1.02春夏利润表-调营收'!P43</f>
        <v>15.18321199999999</v>
      </c>
      <c r="C34" s="340">
        <f>'1.02春夏利润表-调营收'!Q43</f>
        <v>36.289711000000004</v>
      </c>
      <c r="D34" s="352">
        <f t="shared" si="2"/>
        <v>-0.581611107346653</v>
      </c>
      <c r="E34" s="348"/>
      <c r="F34" s="349"/>
    </row>
  </sheetData>
  <mergeCells count="1">
    <mergeCell ref="A1:F1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7"/>
  <sheetViews>
    <sheetView workbookViewId="0">
      <pane xSplit="1" ySplit="3" topLeftCell="B4" activePane="bottomRight" state="frozen"/>
      <selection activeCell="O8" sqref="A8:O10"/>
      <selection pane="topRight" activeCell="O8" sqref="A8:O10"/>
      <selection pane="bottomLeft" activeCell="O8" sqref="A8:O10"/>
      <selection pane="bottomRight" activeCell="I15" sqref="I15"/>
    </sheetView>
  </sheetViews>
  <sheetFormatPr defaultRowHeight="13.9"/>
  <cols>
    <col min="1" max="1" width="21.86328125" style="226" bestFit="1" customWidth="1"/>
    <col min="2" max="3" width="8.3984375" style="226" bestFit="1" customWidth="1"/>
    <col min="4" max="4" width="8" style="226" bestFit="1" customWidth="1"/>
    <col min="5" max="5" width="31.19921875" style="226" bestFit="1" customWidth="1"/>
    <col min="6" max="6" width="4.796875" style="226" bestFit="1" customWidth="1"/>
    <col min="7" max="16384" width="9.06640625" style="226"/>
  </cols>
  <sheetData>
    <row r="1" spans="1:6" ht="23.25" thickBot="1">
      <c r="A1" s="505" t="s">
        <v>203</v>
      </c>
      <c r="B1" s="505"/>
      <c r="C1" s="505"/>
      <c r="D1" s="505"/>
      <c r="E1" s="505"/>
      <c r="F1" s="505"/>
    </row>
    <row r="2" spans="1:6" ht="14.65">
      <c r="A2" s="329" t="s">
        <v>790</v>
      </c>
      <c r="B2" s="338" t="s">
        <v>6</v>
      </c>
      <c r="C2" s="341" t="s">
        <v>7</v>
      </c>
      <c r="D2" s="342" t="s">
        <v>791</v>
      </c>
      <c r="E2" s="343" t="s">
        <v>792</v>
      </c>
      <c r="F2" s="344" t="s">
        <v>793</v>
      </c>
    </row>
    <row r="3" spans="1:6" ht="14.65">
      <c r="A3" s="75" t="s">
        <v>17</v>
      </c>
      <c r="B3" s="339">
        <f>SUM(B4:B17)</f>
        <v>30246.931543000952</v>
      </c>
      <c r="C3" s="339">
        <f>SUM(C4:C17)</f>
        <v>14441.59427895</v>
      </c>
      <c r="D3" s="335">
        <f>B3/C3-1</f>
        <v>1.0944316090564001</v>
      </c>
      <c r="E3" s="336"/>
      <c r="F3" s="345"/>
    </row>
    <row r="4" spans="1:6">
      <c r="A4" s="7" t="s">
        <v>18</v>
      </c>
      <c r="B4" s="327">
        <f>'1.02货架渠道利润表-调营收'!L12</f>
        <v>757.80417699999998</v>
      </c>
      <c r="C4" s="327">
        <f>'1.02货架渠道利润表-调营收'!M12</f>
        <v>315.60894602000002</v>
      </c>
      <c r="D4" s="332">
        <f t="shared" ref="D4:D16" si="0">B4/C4-1</f>
        <v>1.4010858581682224</v>
      </c>
      <c r="E4" s="331"/>
      <c r="F4" s="346"/>
    </row>
    <row r="5" spans="1:6">
      <c r="A5" s="7" t="s">
        <v>19</v>
      </c>
      <c r="B5" s="327">
        <f>'1.02货架渠道利润表-调营收'!L13</f>
        <v>450.08059400000002</v>
      </c>
      <c r="C5" s="327">
        <f>'1.02货架渠道利润表-调营收'!M13</f>
        <v>166.06379515999998</v>
      </c>
      <c r="D5" s="332">
        <f t="shared" si="0"/>
        <v>1.7102872939062612</v>
      </c>
      <c r="E5" s="331"/>
      <c r="F5" s="346"/>
    </row>
    <row r="6" spans="1:6">
      <c r="A6" s="7" t="s">
        <v>20</v>
      </c>
      <c r="B6" s="327">
        <f>'1.02货架渠道利润表-调营收'!L14</f>
        <v>0</v>
      </c>
      <c r="C6" s="327">
        <f>'1.02货架渠道利润表-调营收'!M14</f>
        <v>0</v>
      </c>
      <c r="D6" s="333">
        <v>0</v>
      </c>
      <c r="E6" s="331"/>
      <c r="F6" s="346"/>
    </row>
    <row r="7" spans="1:6">
      <c r="A7" s="7" t="s">
        <v>21</v>
      </c>
      <c r="B7" s="327">
        <f>'1.02货架渠道利润表-调营收'!L15</f>
        <v>0</v>
      </c>
      <c r="C7" s="327">
        <f>'1.02货架渠道利润表-调营收'!M15</f>
        <v>0</v>
      </c>
      <c r="D7" s="333">
        <v>0</v>
      </c>
      <c r="E7" s="331"/>
      <c r="F7" s="346"/>
    </row>
    <row r="8" spans="1:6">
      <c r="A8" s="7" t="s">
        <v>22</v>
      </c>
      <c r="B8" s="327">
        <f>'1.02货架渠道利润表-调营收'!L16</f>
        <v>65.095742000000001</v>
      </c>
      <c r="C8" s="327">
        <f>'1.02货架渠道利润表-调营收'!M16</f>
        <v>35.563853260000002</v>
      </c>
      <c r="D8" s="332">
        <f t="shared" si="0"/>
        <v>0.83039058012354428</v>
      </c>
      <c r="E8" s="331"/>
      <c r="F8" s="346"/>
    </row>
    <row r="9" spans="1:6">
      <c r="A9" s="7" t="s">
        <v>23</v>
      </c>
      <c r="B9" s="327">
        <f>'1.02货架渠道利润表-调营收'!L17</f>
        <v>21818.121031000956</v>
      </c>
      <c r="C9" s="327">
        <f>'1.02货架渠道利润表-调营收'!M17</f>
        <v>9538.5133506400016</v>
      </c>
      <c r="D9" s="332">
        <f t="shared" si="0"/>
        <v>1.2873712316539385</v>
      </c>
      <c r="E9" s="331"/>
      <c r="F9" s="346"/>
    </row>
    <row r="10" spans="1:6">
      <c r="A10" s="7" t="s">
        <v>24</v>
      </c>
      <c r="B10" s="327">
        <f>'1.02货架渠道利润表-调营收'!L18</f>
        <v>323.933536</v>
      </c>
      <c r="C10" s="327">
        <f>'1.02货架渠道利润表-调营收'!M18</f>
        <v>1424.6278990000001</v>
      </c>
      <c r="D10" s="332">
        <f t="shared" si="0"/>
        <v>-0.77261884578606022</v>
      </c>
      <c r="E10" s="331"/>
      <c r="F10" s="346"/>
    </row>
    <row r="11" spans="1:6">
      <c r="A11" s="7" t="s">
        <v>25</v>
      </c>
      <c r="B11" s="327">
        <f>'1.02货架渠道利润表-调营收'!L19</f>
        <v>2755.4124310000002</v>
      </c>
      <c r="C11" s="327">
        <f>'1.02货架渠道利润表-调营收'!M19</f>
        <v>1384.97253271</v>
      </c>
      <c r="D11" s="332">
        <f t="shared" si="0"/>
        <v>0.98950691506382182</v>
      </c>
      <c r="E11" s="331"/>
      <c r="F11" s="346"/>
    </row>
    <row r="12" spans="1:6">
      <c r="A12" s="7" t="s">
        <v>26</v>
      </c>
      <c r="B12" s="327">
        <f>'1.02货架渠道利润表-调营收'!L20</f>
        <v>785.3953600000001</v>
      </c>
      <c r="C12" s="327">
        <f>'1.02货架渠道利润表-调营收'!M20</f>
        <v>391.86736517999998</v>
      </c>
      <c r="D12" s="332">
        <f t="shared" si="0"/>
        <v>1.0042377339568387</v>
      </c>
      <c r="E12" s="331"/>
      <c r="F12" s="346"/>
    </row>
    <row r="13" spans="1:6">
      <c r="A13" s="7" t="s">
        <v>27</v>
      </c>
      <c r="B13" s="327">
        <f>'1.02货架渠道利润表-调营收'!L21</f>
        <v>0</v>
      </c>
      <c r="C13" s="327">
        <f>'1.02货架渠道利润表-调营收'!M21</f>
        <v>0</v>
      </c>
      <c r="D13" s="333">
        <v>0</v>
      </c>
      <c r="E13" s="331"/>
      <c r="F13" s="346"/>
    </row>
    <row r="14" spans="1:6">
      <c r="A14" s="7" t="s">
        <v>28</v>
      </c>
      <c r="B14" s="327">
        <f>'1.02货架渠道利润表-调营收'!L22</f>
        <v>210.00698600000007</v>
      </c>
      <c r="C14" s="327">
        <f>'1.02货架渠道利润表-调营收'!M22</f>
        <v>46.400736089999995</v>
      </c>
      <c r="D14" s="332">
        <f t="shared" si="0"/>
        <v>3.5259408297460073</v>
      </c>
      <c r="E14" s="331"/>
      <c r="F14" s="346"/>
    </row>
    <row r="15" spans="1:6">
      <c r="A15" s="8" t="s">
        <v>29</v>
      </c>
      <c r="B15" s="327">
        <f>'1.02货架渠道利润表-调营收'!L23</f>
        <v>1490.280634</v>
      </c>
      <c r="C15" s="327">
        <f>'1.02货架渠道利润表-调营收'!M23</f>
        <v>317.96369499999997</v>
      </c>
      <c r="D15" s="332">
        <f t="shared" si="0"/>
        <v>3.6869521817577322</v>
      </c>
      <c r="E15" s="331"/>
      <c r="F15" s="346"/>
    </row>
    <row r="16" spans="1:6">
      <c r="A16" s="8" t="s">
        <v>30</v>
      </c>
      <c r="B16" s="327">
        <f>'1.02货架渠道利润表-调营收'!L24</f>
        <v>1590.8010519999998</v>
      </c>
      <c r="C16" s="327">
        <f>'1.02货架渠道利润表-调营收'!M24</f>
        <v>800.22926199999984</v>
      </c>
      <c r="D16" s="332">
        <f t="shared" si="0"/>
        <v>0.98793161852659184</v>
      </c>
      <c r="E16" s="331"/>
      <c r="F16" s="346"/>
    </row>
    <row r="17" spans="1:6" ht="14.25" thickBot="1">
      <c r="A17" s="337" t="s">
        <v>31</v>
      </c>
      <c r="B17" s="340">
        <f>'1.02货架渠道利润表-调营收'!L25</f>
        <v>0</v>
      </c>
      <c r="C17" s="340">
        <f>'1.02货架渠道利润表-调营收'!M25</f>
        <v>19.782843889999999</v>
      </c>
      <c r="D17" s="347">
        <v>0</v>
      </c>
      <c r="E17" s="348"/>
      <c r="F17" s="349"/>
    </row>
  </sheetData>
  <mergeCells count="1">
    <mergeCell ref="A1:F1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3.5"/>
  <sheetData/>
  <phoneticPr fontId="6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6"/>
  <sheetViews>
    <sheetView zoomScale="80" zoomScaleNormal="80" workbookViewId="0">
      <pane xSplit="2" ySplit="4" topLeftCell="C5" activePane="bottomRight" state="frozen"/>
      <selection activeCell="O8" sqref="A8:O10"/>
      <selection pane="topRight" activeCell="O8" sqref="A8:O10"/>
      <selection pane="bottomLeft" activeCell="O8" sqref="A8:O10"/>
      <selection pane="bottomRight" activeCell="G31" sqref="G31"/>
    </sheetView>
  </sheetViews>
  <sheetFormatPr defaultColWidth="9" defaultRowHeight="12.75"/>
  <cols>
    <col min="1" max="1" width="7.86328125" style="258" customWidth="1"/>
    <col min="2" max="2" width="8.1328125" style="258" bestFit="1" customWidth="1"/>
    <col min="3" max="22" width="8.59765625" style="258" customWidth="1"/>
    <col min="23" max="16384" width="9" style="258"/>
  </cols>
  <sheetData>
    <row r="1" spans="1:26" ht="23.25">
      <c r="A1" s="426" t="s">
        <v>1146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</row>
    <row r="2" spans="1:26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 t="s">
        <v>104</v>
      </c>
    </row>
    <row r="3" spans="1:26">
      <c r="A3" s="427" t="s">
        <v>105</v>
      </c>
      <c r="B3" s="427" t="s">
        <v>106</v>
      </c>
      <c r="C3" s="427" t="s">
        <v>1147</v>
      </c>
      <c r="D3" s="427"/>
      <c r="E3" s="427"/>
      <c r="F3" s="427"/>
      <c r="G3" s="427"/>
      <c r="H3" s="427" t="s">
        <v>938</v>
      </c>
      <c r="I3" s="427"/>
      <c r="J3" s="427"/>
      <c r="K3" s="427"/>
      <c r="L3" s="427"/>
      <c r="M3" s="427" t="s">
        <v>1148</v>
      </c>
      <c r="N3" s="427"/>
      <c r="O3" s="427"/>
      <c r="P3" s="427"/>
      <c r="Q3" s="427"/>
      <c r="R3" s="427" t="s">
        <v>939</v>
      </c>
      <c r="S3" s="427"/>
      <c r="T3" s="427"/>
      <c r="U3" s="427"/>
      <c r="V3" s="427"/>
    </row>
    <row r="4" spans="1:26" s="247" customFormat="1" ht="25.5">
      <c r="A4" s="427"/>
      <c r="B4" s="427"/>
      <c r="C4" s="246" t="s">
        <v>940</v>
      </c>
      <c r="D4" s="246" t="s">
        <v>941</v>
      </c>
      <c r="E4" s="246" t="s">
        <v>1149</v>
      </c>
      <c r="F4" s="246" t="s">
        <v>943</v>
      </c>
      <c r="G4" s="246" t="s">
        <v>1150</v>
      </c>
      <c r="H4" s="246" t="s">
        <v>940</v>
      </c>
      <c r="I4" s="246" t="s">
        <v>1151</v>
      </c>
      <c r="J4" s="246" t="s">
        <v>942</v>
      </c>
      <c r="K4" s="246" t="s">
        <v>943</v>
      </c>
      <c r="L4" s="246" t="s">
        <v>1044</v>
      </c>
      <c r="M4" s="246" t="s">
        <v>1152</v>
      </c>
      <c r="N4" s="246" t="s">
        <v>941</v>
      </c>
      <c r="O4" s="246" t="s">
        <v>1149</v>
      </c>
      <c r="P4" s="246" t="s">
        <v>943</v>
      </c>
      <c r="Q4" s="246" t="s">
        <v>1044</v>
      </c>
      <c r="R4" s="246" t="s">
        <v>940</v>
      </c>
      <c r="S4" s="246" t="s">
        <v>941</v>
      </c>
      <c r="T4" s="246" t="s">
        <v>942</v>
      </c>
      <c r="U4" s="246" t="s">
        <v>1153</v>
      </c>
      <c r="V4" s="246" t="s">
        <v>1044</v>
      </c>
    </row>
    <row r="5" spans="1:26">
      <c r="A5" s="427" t="s">
        <v>144</v>
      </c>
      <c r="B5" s="412" t="s">
        <v>108</v>
      </c>
      <c r="C5" s="248">
        <v>1670.6075000000001</v>
      </c>
      <c r="D5" s="249">
        <v>0.54063854923940025</v>
      </c>
      <c r="E5" s="248">
        <v>3090.0635967418557</v>
      </c>
      <c r="F5" s="248">
        <v>3621.5725000000002</v>
      </c>
      <c r="G5" s="249">
        <v>-0.53870659775553298</v>
      </c>
      <c r="H5" s="248">
        <v>1131.4558241999998</v>
      </c>
      <c r="I5" s="249">
        <v>0.32480961136613434</v>
      </c>
      <c r="J5" s="248">
        <v>3483.4431759612917</v>
      </c>
      <c r="K5" s="248">
        <v>2368.6595308571432</v>
      </c>
      <c r="L5" s="249">
        <v>-0.52232230531225321</v>
      </c>
      <c r="M5" s="248">
        <v>396.00953846999994</v>
      </c>
      <c r="N5" s="249">
        <v>0.32481486692996325</v>
      </c>
      <c r="O5" s="248">
        <v>1219.1853846252293</v>
      </c>
      <c r="P5" s="248">
        <v>829.04273739999985</v>
      </c>
      <c r="Q5" s="249">
        <v>-0.52232916277399144</v>
      </c>
      <c r="R5" s="248">
        <v>-84.877280999999982</v>
      </c>
      <c r="S5" s="249">
        <v>-7.7831054621473578E-2</v>
      </c>
      <c r="T5" s="248">
        <v>1090.532325596708</v>
      </c>
      <c r="U5" s="248">
        <v>714.69201499999997</v>
      </c>
      <c r="V5" s="249">
        <v>-1.1187606398540775</v>
      </c>
      <c r="W5" s="258" t="s">
        <v>1154</v>
      </c>
      <c r="X5" s="260"/>
      <c r="Z5" s="260"/>
    </row>
    <row r="6" spans="1:26">
      <c r="A6" s="427"/>
      <c r="B6" s="412" t="s">
        <v>1045</v>
      </c>
      <c r="C6" s="248">
        <v>2593.9780000000001</v>
      </c>
      <c r="D6" s="249">
        <v>0.68672921641559548</v>
      </c>
      <c r="E6" s="248">
        <v>3777.2937833333331</v>
      </c>
      <c r="F6" s="248">
        <v>1703.4734000000001</v>
      </c>
      <c r="G6" s="249">
        <v>0.52275814814601729</v>
      </c>
      <c r="H6" s="248">
        <v>1487.3368864234899</v>
      </c>
      <c r="I6" s="249">
        <v>0.44317722327250186</v>
      </c>
      <c r="J6" s="248">
        <v>3356.0770010713131</v>
      </c>
      <c r="K6" s="248">
        <v>1183.1179990000001</v>
      </c>
      <c r="L6" s="249">
        <v>0.2571331749501089</v>
      </c>
      <c r="M6" s="248">
        <v>1211.98060938</v>
      </c>
      <c r="N6" s="249">
        <v>0.56732639303261589</v>
      </c>
      <c r="O6" s="248">
        <v>2136.3021785420842</v>
      </c>
      <c r="P6" s="248">
        <v>1318.6277666000001</v>
      </c>
      <c r="Q6" s="249">
        <v>-8.0877378682069678E-2</v>
      </c>
      <c r="R6" s="248">
        <v>-682.04929099999993</v>
      </c>
      <c r="S6" s="249">
        <v>-0.45565855674685485</v>
      </c>
      <c r="T6" s="248">
        <v>1496.8429340369405</v>
      </c>
      <c r="U6" s="248">
        <v>621.11655800000005</v>
      </c>
      <c r="V6" s="249">
        <v>-2.0981019298474406</v>
      </c>
      <c r="W6" s="258" t="s">
        <v>1155</v>
      </c>
      <c r="X6" s="260"/>
      <c r="Z6" s="260"/>
    </row>
    <row r="7" spans="1:26">
      <c r="A7" s="427"/>
      <c r="B7" s="261" t="s">
        <v>109</v>
      </c>
      <c r="C7" s="251">
        <v>1092.0407</v>
      </c>
      <c r="D7" s="250">
        <v>1.3067598343476716</v>
      </c>
      <c r="E7" s="248">
        <v>835.68584777105707</v>
      </c>
      <c r="F7" s="251">
        <v>208.28460000000001</v>
      </c>
      <c r="G7" s="250">
        <v>4.2430218076612478</v>
      </c>
      <c r="H7" s="251">
        <v>549.91219999999998</v>
      </c>
      <c r="I7" s="250">
        <v>0.85065449856535746</v>
      </c>
      <c r="J7" s="248">
        <v>646.4577580291832</v>
      </c>
      <c r="K7" s="251">
        <v>438.02149999999983</v>
      </c>
      <c r="L7" s="250">
        <v>0.25544568017780001</v>
      </c>
      <c r="M7" s="251">
        <v>517.15107998999997</v>
      </c>
      <c r="N7" s="250">
        <v>1.0538586675975909</v>
      </c>
      <c r="O7" s="248">
        <v>490.72147517552202</v>
      </c>
      <c r="P7" s="251">
        <v>175.80781591999997</v>
      </c>
      <c r="Q7" s="250">
        <v>1.9415704716184274</v>
      </c>
      <c r="R7" s="251">
        <v>457.655823</v>
      </c>
      <c r="S7" s="250">
        <v>1.0537821731830612</v>
      </c>
      <c r="T7" s="248">
        <v>434.29831576824068</v>
      </c>
      <c r="U7" s="251">
        <v>151.55846199999999</v>
      </c>
      <c r="V7" s="250">
        <v>2.0196652629003324</v>
      </c>
      <c r="X7" s="260"/>
      <c r="Z7" s="260"/>
    </row>
    <row r="8" spans="1:26">
      <c r="A8" s="427"/>
      <c r="B8" s="412" t="s">
        <v>110</v>
      </c>
      <c r="C8" s="248">
        <v>5356.6262000000006</v>
      </c>
      <c r="D8" s="249">
        <v>0.69539090480966981</v>
      </c>
      <c r="E8" s="248">
        <v>7703.0432278462467</v>
      </c>
      <c r="F8" s="248">
        <v>5533.3305</v>
      </c>
      <c r="G8" s="249">
        <v>-3.1934528400210271E-2</v>
      </c>
      <c r="H8" s="248">
        <v>3168.7049106234899</v>
      </c>
      <c r="I8" s="249">
        <v>0.42328536606851969</v>
      </c>
      <c r="J8" s="248">
        <v>7485.9779350617882</v>
      </c>
      <c r="K8" s="248">
        <v>3989.7990298571431</v>
      </c>
      <c r="L8" s="249">
        <v>-0.20579836555402964</v>
      </c>
      <c r="M8" s="248">
        <v>2125.1412278400003</v>
      </c>
      <c r="N8" s="249">
        <v>0.55252879046730941</v>
      </c>
      <c r="O8" s="248">
        <v>3846.2090383428354</v>
      </c>
      <c r="P8" s="248">
        <v>2323.4783199199996</v>
      </c>
      <c r="Q8" s="249">
        <v>-8.5362144496716641E-2</v>
      </c>
      <c r="R8" s="248">
        <v>-309.27074899999985</v>
      </c>
      <c r="S8" s="249">
        <v>-0.10235081364103539</v>
      </c>
      <c r="T8" s="248">
        <v>3021.6735754018891</v>
      </c>
      <c r="U8" s="248">
        <v>1487.367035</v>
      </c>
      <c r="V8" s="249">
        <v>-1.2079316952187258</v>
      </c>
      <c r="X8" s="260"/>
    </row>
    <row r="9" spans="1:26" collapsed="1">
      <c r="A9" s="427" t="s">
        <v>111</v>
      </c>
      <c r="B9" s="412" t="s">
        <v>108</v>
      </c>
      <c r="C9" s="248"/>
      <c r="D9" s="249"/>
      <c r="E9" s="248"/>
      <c r="F9" s="248"/>
      <c r="G9" s="249"/>
      <c r="H9" s="248"/>
      <c r="I9" s="249"/>
      <c r="J9" s="248"/>
      <c r="K9" s="248"/>
      <c r="L9" s="249"/>
      <c r="M9" s="248"/>
      <c r="N9" s="249"/>
      <c r="O9" s="248"/>
      <c r="P9" s="248"/>
      <c r="Q9" s="249"/>
      <c r="R9" s="248"/>
      <c r="S9" s="249"/>
      <c r="T9" s="248"/>
      <c r="U9" s="248"/>
      <c r="V9" s="249"/>
      <c r="X9" s="260"/>
    </row>
    <row r="10" spans="1:26">
      <c r="A10" s="427"/>
      <c r="B10" s="412" t="s">
        <v>1156</v>
      </c>
      <c r="C10" s="248">
        <v>7936.5339000000004</v>
      </c>
      <c r="D10" s="249">
        <v>1.3147402834508757</v>
      </c>
      <c r="E10" s="248">
        <v>6036.5792391851837</v>
      </c>
      <c r="F10" s="248">
        <v>4970.1740500000087</v>
      </c>
      <c r="G10" s="249">
        <v>0.59683218739592969</v>
      </c>
      <c r="H10" s="248">
        <v>3511.8476474329395</v>
      </c>
      <c r="I10" s="249">
        <v>0.76432962857128095</v>
      </c>
      <c r="J10" s="248">
        <v>4594.6768464248098</v>
      </c>
      <c r="K10" s="248">
        <v>1586.2752292638834</v>
      </c>
      <c r="L10" s="249">
        <v>1.2138955350532865</v>
      </c>
      <c r="M10" s="248">
        <v>2572.3647151299997</v>
      </c>
      <c r="N10" s="249">
        <v>0.77731851831894883</v>
      </c>
      <c r="O10" s="248">
        <v>3309.2801142742219</v>
      </c>
      <c r="P10" s="248">
        <v>2741.5942718399983</v>
      </c>
      <c r="Q10" s="250">
        <v>-6.1726696195794739E-2</v>
      </c>
      <c r="R10" s="248">
        <v>850.27539999999999</v>
      </c>
      <c r="S10" s="249">
        <v>0.30017140997165126</v>
      </c>
      <c r="T10" s="248">
        <v>2832.6328616049796</v>
      </c>
      <c r="U10" s="248">
        <v>1685.7930210000013</v>
      </c>
      <c r="V10" s="249">
        <v>-0.49562289711246865</v>
      </c>
      <c r="W10" s="258" t="s">
        <v>1157</v>
      </c>
      <c r="X10" s="260"/>
    </row>
    <row r="11" spans="1:26">
      <c r="A11" s="427"/>
      <c r="B11" s="412" t="s">
        <v>109</v>
      </c>
      <c r="C11" s="248"/>
      <c r="D11" s="249"/>
      <c r="E11" s="248"/>
      <c r="F11" s="248"/>
      <c r="G11" s="249"/>
      <c r="H11" s="248"/>
      <c r="I11" s="249"/>
      <c r="J11" s="248"/>
      <c r="K11" s="248"/>
      <c r="L11" s="249"/>
      <c r="M11" s="248"/>
      <c r="N11" s="249"/>
      <c r="O11" s="248"/>
      <c r="P11" s="248"/>
      <c r="Q11" s="249"/>
      <c r="R11" s="248"/>
      <c r="S11" s="249"/>
      <c r="T11" s="248"/>
      <c r="U11" s="248"/>
      <c r="V11" s="249"/>
      <c r="X11" s="260"/>
    </row>
    <row r="12" spans="1:26">
      <c r="A12" s="427"/>
      <c r="B12" s="412" t="s">
        <v>110</v>
      </c>
      <c r="C12" s="248">
        <v>7936.5339000000004</v>
      </c>
      <c r="D12" s="249">
        <v>1.3147402834508757</v>
      </c>
      <c r="E12" s="248">
        <v>6036.5792391851837</v>
      </c>
      <c r="F12" s="248">
        <v>4970.1740500000087</v>
      </c>
      <c r="G12" s="249">
        <v>0.59683218739592969</v>
      </c>
      <c r="H12" s="248">
        <v>3511.8476474329395</v>
      </c>
      <c r="I12" s="249">
        <v>0.76432962857128095</v>
      </c>
      <c r="J12" s="248">
        <v>4594.6768464248098</v>
      </c>
      <c r="K12" s="248">
        <v>1586.2752292638834</v>
      </c>
      <c r="L12" s="249">
        <v>1.2138955350532865</v>
      </c>
      <c r="M12" s="248">
        <v>2572.3647151299997</v>
      </c>
      <c r="N12" s="249">
        <v>0.77731851831894883</v>
      </c>
      <c r="O12" s="248">
        <v>3309.2801142742219</v>
      </c>
      <c r="P12" s="248">
        <v>2741.5942718399983</v>
      </c>
      <c r="Q12" s="250">
        <v>-6.1726696195794739E-2</v>
      </c>
      <c r="R12" s="248">
        <v>850.27539999999999</v>
      </c>
      <c r="S12" s="249">
        <v>0.30017140997165126</v>
      </c>
      <c r="T12" s="248">
        <v>2832.6328616049796</v>
      </c>
      <c r="U12" s="248">
        <v>1685.7930210000013</v>
      </c>
      <c r="V12" s="249">
        <v>-0.49562289711246865</v>
      </c>
      <c r="X12" s="260"/>
    </row>
    <row r="13" spans="1:26">
      <c r="A13" s="411" t="s">
        <v>82</v>
      </c>
      <c r="B13" s="412" t="s">
        <v>1156</v>
      </c>
      <c r="C13" s="248">
        <v>10530.511900000001</v>
      </c>
      <c r="D13" s="249">
        <v>1.0730230435870847</v>
      </c>
      <c r="E13" s="248">
        <v>9813.8730225185172</v>
      </c>
      <c r="F13" s="248">
        <v>6673.6474500000086</v>
      </c>
      <c r="G13" s="250">
        <v>0.57792451262914524</v>
      </c>
      <c r="H13" s="248">
        <v>4999.184533856429</v>
      </c>
      <c r="I13" s="249">
        <v>0.62876862115795329</v>
      </c>
      <c r="J13" s="248">
        <v>7950.7538474961229</v>
      </c>
      <c r="K13" s="248">
        <v>2769.3932282638834</v>
      </c>
      <c r="L13" s="250">
        <v>0.80515518086623938</v>
      </c>
      <c r="M13" s="248">
        <v>3784.34532451</v>
      </c>
      <c r="N13" s="249">
        <v>0.69493859811874037</v>
      </c>
      <c r="O13" s="248">
        <v>5445.5822928163061</v>
      </c>
      <c r="P13" s="248"/>
      <c r="Q13" s="250" t="e">
        <v>#DIV/0!</v>
      </c>
      <c r="R13" s="248">
        <v>168.22610900000006</v>
      </c>
      <c r="S13" s="249">
        <v>3.8855999418991469E-2</v>
      </c>
      <c r="T13" s="248">
        <v>4329.4757956419198</v>
      </c>
      <c r="U13" s="248">
        <v>2306.9095790000015</v>
      </c>
      <c r="V13" s="249">
        <v>-0.92707728532952616</v>
      </c>
      <c r="X13" s="260"/>
    </row>
    <row r="14" spans="1:26" s="257" customFormat="1" ht="12.75" hidden="1" customHeight="1">
      <c r="A14" s="428" t="s">
        <v>112</v>
      </c>
      <c r="B14" s="353" t="s">
        <v>108</v>
      </c>
      <c r="C14" s="364"/>
      <c r="D14" s="365"/>
      <c r="E14" s="364"/>
      <c r="F14" s="364"/>
      <c r="G14" s="365"/>
      <c r="H14" s="364"/>
      <c r="I14" s="365"/>
      <c r="J14" s="364"/>
      <c r="K14" s="364"/>
      <c r="L14" s="365"/>
      <c r="M14" s="364"/>
      <c r="N14" s="365"/>
      <c r="O14" s="248"/>
      <c r="P14" s="364"/>
      <c r="Q14" s="249"/>
      <c r="R14" s="364"/>
      <c r="S14" s="249"/>
      <c r="T14" s="364"/>
      <c r="U14" s="364"/>
      <c r="V14" s="365"/>
    </row>
    <row r="15" spans="1:26" ht="12.75" hidden="1" customHeight="1">
      <c r="A15" s="429"/>
      <c r="B15" s="412" t="s">
        <v>109</v>
      </c>
      <c r="C15" s="248"/>
      <c r="D15" s="249"/>
      <c r="E15" s="248"/>
      <c r="F15" s="248"/>
      <c r="G15" s="249"/>
      <c r="H15" s="248"/>
      <c r="I15" s="249"/>
      <c r="J15" s="248"/>
      <c r="K15" s="248"/>
      <c r="L15" s="249"/>
      <c r="M15" s="248"/>
      <c r="N15" s="249"/>
      <c r="O15" s="248"/>
      <c r="P15" s="248"/>
      <c r="Q15" s="249"/>
      <c r="R15" s="248"/>
      <c r="S15" s="249"/>
      <c r="T15" s="248"/>
      <c r="U15" s="248"/>
      <c r="V15" s="249"/>
      <c r="X15" s="260"/>
    </row>
    <row r="16" spans="1:26" ht="12.75" hidden="1" customHeight="1">
      <c r="A16" s="430"/>
      <c r="B16" s="412" t="s">
        <v>110</v>
      </c>
      <c r="C16" s="248"/>
      <c r="D16" s="249"/>
      <c r="E16" s="248"/>
      <c r="F16" s="248"/>
      <c r="G16" s="249"/>
      <c r="H16" s="248"/>
      <c r="I16" s="249"/>
      <c r="J16" s="248"/>
      <c r="K16" s="248"/>
      <c r="L16" s="249"/>
      <c r="M16" s="248"/>
      <c r="N16" s="249"/>
      <c r="O16" s="248"/>
      <c r="P16" s="248"/>
      <c r="Q16" s="249"/>
      <c r="R16" s="248"/>
      <c r="S16" s="249"/>
      <c r="T16" s="248"/>
      <c r="U16" s="248"/>
      <c r="V16" s="249"/>
      <c r="X16" s="260"/>
    </row>
    <row r="17" spans="1:24">
      <c r="A17" s="431" t="s">
        <v>113</v>
      </c>
      <c r="B17" s="431"/>
      <c r="C17" s="248">
        <v>13293.160100000001</v>
      </c>
      <c r="D17" s="249">
        <v>0.96750548509591683</v>
      </c>
      <c r="E17" s="248">
        <v>13739.62246703143</v>
      </c>
      <c r="F17" s="248">
        <v>10503.504550000009</v>
      </c>
      <c r="G17" s="249">
        <v>0.26559283491717922</v>
      </c>
      <c r="H17" s="248">
        <v>6680.5525580564299</v>
      </c>
      <c r="I17" s="249">
        <v>0.55299589955126149</v>
      </c>
      <c r="J17" s="248">
        <v>12080.654781486599</v>
      </c>
      <c r="K17" s="248">
        <v>5576.0742591210264</v>
      </c>
      <c r="L17" s="249">
        <v>0.19807453193952007</v>
      </c>
      <c r="M17" s="248">
        <v>4697.5059429699995</v>
      </c>
      <c r="N17" s="249">
        <v>0.65648984196306515</v>
      </c>
      <c r="O17" s="248">
        <v>7155.4891526170577</v>
      </c>
      <c r="P17" s="248">
        <v>5065.0725917599975</v>
      </c>
      <c r="Q17" s="249">
        <v>-7.2568880727981178E-2</v>
      </c>
      <c r="R17" s="248">
        <v>541.00465100000019</v>
      </c>
      <c r="S17" s="249">
        <v>9.2411399509281525E-2</v>
      </c>
      <c r="T17" s="248">
        <v>5854.3064370068687</v>
      </c>
      <c r="U17" s="248">
        <v>3173.1600560000015</v>
      </c>
      <c r="V17" s="249">
        <v>-0.82950603138438095</v>
      </c>
      <c r="X17" s="260"/>
    </row>
    <row r="18" spans="1:24">
      <c r="A18" s="431" t="s">
        <v>1046</v>
      </c>
      <c r="B18" s="431"/>
      <c r="C18" s="248">
        <v>1092.0407</v>
      </c>
      <c r="D18" s="249">
        <v>1.3067598343476716</v>
      </c>
      <c r="E18" s="248">
        <v>835.68584777105707</v>
      </c>
      <c r="F18" s="248">
        <v>208.28460000000001</v>
      </c>
      <c r="G18" s="249">
        <v>4.2430218076612478</v>
      </c>
      <c r="H18" s="248">
        <v>549.91219999999998</v>
      </c>
      <c r="I18" s="249">
        <v>0.85065449856535746</v>
      </c>
      <c r="J18" s="248">
        <v>646.4577580291832</v>
      </c>
      <c r="K18" s="248">
        <v>438.02149999999983</v>
      </c>
      <c r="L18" s="249">
        <v>0.25544568017780001</v>
      </c>
      <c r="M18" s="248">
        <v>517.15107998999997</v>
      </c>
      <c r="N18" s="249">
        <v>1.0538586675975909</v>
      </c>
      <c r="O18" s="248">
        <v>490.72147517552202</v>
      </c>
      <c r="P18" s="248">
        <v>175.80781591999997</v>
      </c>
      <c r="Q18" s="249">
        <v>1.9415704716184274</v>
      </c>
      <c r="R18" s="248">
        <v>457.655823</v>
      </c>
      <c r="S18" s="249">
        <v>1.0537821731830612</v>
      </c>
      <c r="T18" s="248">
        <v>434.29831576824068</v>
      </c>
      <c r="U18" s="248">
        <v>151.55846199999999</v>
      </c>
      <c r="V18" s="249">
        <v>2.0196652629003324</v>
      </c>
      <c r="X18" s="260"/>
    </row>
    <row r="19" spans="1:24">
      <c r="A19" s="259" t="s">
        <v>1047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</row>
    <row r="21" spans="1:24">
      <c r="R21" s="262"/>
      <c r="S21" s="262"/>
    </row>
    <row r="22" spans="1:24">
      <c r="E22" s="263"/>
      <c r="H22" s="263"/>
      <c r="R22" s="262"/>
      <c r="S22" s="262"/>
    </row>
    <row r="23" spans="1:24">
      <c r="R23" s="262"/>
      <c r="S23" s="262"/>
    </row>
    <row r="25" spans="1:24">
      <c r="D25" s="260"/>
    </row>
    <row r="26" spans="1:24">
      <c r="C26" s="260"/>
      <c r="D26" s="264"/>
    </row>
  </sheetData>
  <mergeCells count="12">
    <mergeCell ref="A14:A16"/>
    <mergeCell ref="A17:B17"/>
    <mergeCell ref="A18:B18"/>
    <mergeCell ref="A5:A8"/>
    <mergeCell ref="A9:A12"/>
    <mergeCell ref="A1:V1"/>
    <mergeCell ref="A3:A4"/>
    <mergeCell ref="B3:B4"/>
    <mergeCell ref="C3:G3"/>
    <mergeCell ref="H3:L3"/>
    <mergeCell ref="M3:Q3"/>
    <mergeCell ref="R3:V3"/>
  </mergeCells>
  <phoneticPr fontId="6" type="noConversion"/>
  <pageMargins left="0.7" right="0.7" top="0.75" bottom="0.75" header="0.3" footer="0.3"/>
  <customProperties>
    <customPr name="_pios_id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3.5"/>
  <sheetData/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26"/>
  <sheetViews>
    <sheetView zoomScale="80" zoomScaleNormal="80" workbookViewId="0">
      <pane xSplit="2" ySplit="4" topLeftCell="C5" activePane="bottomRight" state="frozen"/>
      <selection activeCell="O8" sqref="A8:O10"/>
      <selection pane="topRight" activeCell="O8" sqref="A8:O10"/>
      <selection pane="bottomLeft" activeCell="O8" sqref="A8:O10"/>
      <selection pane="bottomRight" activeCell="J29" sqref="J29"/>
    </sheetView>
  </sheetViews>
  <sheetFormatPr defaultColWidth="9" defaultRowHeight="12.75"/>
  <cols>
    <col min="1" max="1" width="8.3984375" style="258" customWidth="1"/>
    <col min="2" max="2" width="8.1328125" style="258" bestFit="1" customWidth="1"/>
    <col min="3" max="3" width="9.46484375" style="258" bestFit="1" customWidth="1"/>
    <col min="4" max="4" width="8.59765625" style="258" customWidth="1"/>
    <col min="5" max="5" width="9.46484375" style="258" bestFit="1" customWidth="1"/>
    <col min="6" max="9" width="8.59765625" style="258" customWidth="1"/>
    <col min="10" max="10" width="9.46484375" style="258" bestFit="1" customWidth="1"/>
    <col min="11" max="22" width="8.59765625" style="258" customWidth="1"/>
    <col min="23" max="16384" width="9" style="258"/>
  </cols>
  <sheetData>
    <row r="1" spans="1:24" ht="23.25">
      <c r="A1" s="426" t="s">
        <v>1075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</row>
    <row r="2" spans="1:24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 t="s">
        <v>104</v>
      </c>
    </row>
    <row r="3" spans="1:24">
      <c r="A3" s="427" t="s">
        <v>105</v>
      </c>
      <c r="B3" s="427" t="s">
        <v>106</v>
      </c>
      <c r="C3" s="427" t="s">
        <v>1042</v>
      </c>
      <c r="D3" s="427"/>
      <c r="E3" s="427"/>
      <c r="F3" s="427"/>
      <c r="G3" s="427"/>
      <c r="H3" s="427" t="s">
        <v>938</v>
      </c>
      <c r="I3" s="427"/>
      <c r="J3" s="427"/>
      <c r="K3" s="427"/>
      <c r="L3" s="427"/>
      <c r="M3" s="427" t="s">
        <v>1043</v>
      </c>
      <c r="N3" s="427"/>
      <c r="O3" s="427"/>
      <c r="P3" s="427"/>
      <c r="Q3" s="427"/>
      <c r="R3" s="427" t="s">
        <v>939</v>
      </c>
      <c r="S3" s="427"/>
      <c r="T3" s="427"/>
      <c r="U3" s="427"/>
      <c r="V3" s="427"/>
    </row>
    <row r="4" spans="1:24" s="247" customFormat="1" ht="25.5">
      <c r="A4" s="427"/>
      <c r="B4" s="427"/>
      <c r="C4" s="246" t="s">
        <v>940</v>
      </c>
      <c r="D4" s="246" t="s">
        <v>941</v>
      </c>
      <c r="E4" s="246" t="s">
        <v>942</v>
      </c>
      <c r="F4" s="246" t="s">
        <v>943</v>
      </c>
      <c r="G4" s="246" t="s">
        <v>1044</v>
      </c>
      <c r="H4" s="246" t="s">
        <v>940</v>
      </c>
      <c r="I4" s="246" t="s">
        <v>1158</v>
      </c>
      <c r="J4" s="246" t="s">
        <v>942</v>
      </c>
      <c r="K4" s="246" t="s">
        <v>943</v>
      </c>
      <c r="L4" s="246" t="s">
        <v>1044</v>
      </c>
      <c r="M4" s="246" t="s">
        <v>940</v>
      </c>
      <c r="N4" s="246" t="s">
        <v>941</v>
      </c>
      <c r="O4" s="246" t="s">
        <v>1159</v>
      </c>
      <c r="P4" s="246" t="s">
        <v>943</v>
      </c>
      <c r="Q4" s="246" t="s">
        <v>1044</v>
      </c>
      <c r="R4" s="246" t="s">
        <v>940</v>
      </c>
      <c r="S4" s="246" t="s">
        <v>941</v>
      </c>
      <c r="T4" s="246" t="s">
        <v>942</v>
      </c>
      <c r="U4" s="246" t="s">
        <v>944</v>
      </c>
      <c r="V4" s="246" t="s">
        <v>1044</v>
      </c>
    </row>
    <row r="5" spans="1:24">
      <c r="A5" s="427" t="s">
        <v>144</v>
      </c>
      <c r="B5" s="412" t="s">
        <v>108</v>
      </c>
      <c r="C5" s="248">
        <v>31705.536999999997</v>
      </c>
      <c r="D5" s="249">
        <v>0.87447697757253828</v>
      </c>
      <c r="E5" s="248">
        <v>36256.571428571435</v>
      </c>
      <c r="F5" s="248">
        <v>12979.329100000001</v>
      </c>
      <c r="G5" s="249">
        <v>1.4427716375571364</v>
      </c>
      <c r="H5" s="248">
        <v>20982.785589057145</v>
      </c>
      <c r="I5" s="249">
        <v>0.65692874033949711</v>
      </c>
      <c r="J5" s="248">
        <v>31940.733142857105</v>
      </c>
      <c r="K5" s="248">
        <v>9875.8707057142856</v>
      </c>
      <c r="L5" s="249">
        <v>1.1246517106503102</v>
      </c>
      <c r="M5" s="248">
        <v>7343.9749561699991</v>
      </c>
      <c r="N5" s="249">
        <v>0.65692874033949611</v>
      </c>
      <c r="O5" s="248">
        <v>11179.256600000001</v>
      </c>
      <c r="P5" s="248">
        <v>3456.5666486</v>
      </c>
      <c r="Q5" s="249">
        <v>1.1246443950804483</v>
      </c>
      <c r="R5" s="248">
        <v>5999.4703120000004</v>
      </c>
      <c r="S5" s="249">
        <v>0.60926308250174721</v>
      </c>
      <c r="T5" s="248">
        <v>9847.0931266097105</v>
      </c>
      <c r="U5" s="248">
        <v>2979.7988350000001</v>
      </c>
      <c r="V5" s="249">
        <v>1.0133809844918611</v>
      </c>
      <c r="X5" s="260"/>
    </row>
    <row r="6" spans="1:24">
      <c r="A6" s="427"/>
      <c r="B6" s="412" t="s">
        <v>1045</v>
      </c>
      <c r="C6" s="248">
        <v>34019.430899999999</v>
      </c>
      <c r="D6" s="249">
        <v>0.85357100275553233</v>
      </c>
      <c r="E6" s="248">
        <v>39855.420100000003</v>
      </c>
      <c r="F6" s="248">
        <v>7475.31</v>
      </c>
      <c r="G6" s="249">
        <v>3.5509057015695671</v>
      </c>
      <c r="H6" s="248">
        <v>21668.767683518265</v>
      </c>
      <c r="I6" s="249">
        <v>0.71612956337467881</v>
      </c>
      <c r="J6" s="248">
        <v>30258.166666666672</v>
      </c>
      <c r="K6" s="248">
        <v>3587.35509284</v>
      </c>
      <c r="L6" s="249">
        <v>5.0403185976116349</v>
      </c>
      <c r="M6" s="248">
        <v>10842.18409318</v>
      </c>
      <c r="N6" s="249">
        <v>0.65313696932683929</v>
      </c>
      <c r="O6" s="248">
        <v>16600.169033999991</v>
      </c>
      <c r="P6" s="248">
        <v>1887.99032764</v>
      </c>
      <c r="Q6" s="249">
        <v>4.7427116730692145</v>
      </c>
      <c r="R6" s="248">
        <v>8764.2040619999989</v>
      </c>
      <c r="S6" s="249">
        <v>0.65048639769338956</v>
      </c>
      <c r="T6" s="248">
        <v>13473.308731862302</v>
      </c>
      <c r="U6" s="248">
        <v>2725.5825989999998</v>
      </c>
      <c r="V6" s="249">
        <v>2.2155341999965561</v>
      </c>
      <c r="X6" s="260"/>
    </row>
    <row r="7" spans="1:24">
      <c r="A7" s="427"/>
      <c r="B7" s="261" t="s">
        <v>109</v>
      </c>
      <c r="C7" s="248">
        <v>11285.5281</v>
      </c>
      <c r="D7" s="250">
        <v>1.3530379811760112</v>
      </c>
      <c r="E7" s="248">
        <v>8340.8804904286808</v>
      </c>
      <c r="F7" s="251">
        <v>1801.1071999999999</v>
      </c>
      <c r="G7" s="250">
        <v>5.2658836186985427</v>
      </c>
      <c r="H7" s="248">
        <v>7131.8892803090903</v>
      </c>
      <c r="I7" s="250">
        <v>0.89731873179530564</v>
      </c>
      <c r="J7" s="248">
        <v>7948.0000000000009</v>
      </c>
      <c r="K7" s="251">
        <v>1690.6433999999999</v>
      </c>
      <c r="L7" s="250">
        <v>3.2184468234454942</v>
      </c>
      <c r="M7" s="248">
        <v>5257.2405531699997</v>
      </c>
      <c r="N7" s="250">
        <v>0.87620675886166643</v>
      </c>
      <c r="O7" s="248">
        <v>6000.0000000000009</v>
      </c>
      <c r="P7" s="251">
        <v>1221.3414506299998</v>
      </c>
      <c r="Q7" s="250">
        <v>3.3044805778582047</v>
      </c>
      <c r="R7" s="248">
        <v>4636.9024010000003</v>
      </c>
      <c r="S7" s="250">
        <v>0.8757974281386508</v>
      </c>
      <c r="T7" s="248">
        <v>5294.4919133353687</v>
      </c>
      <c r="U7" s="251">
        <v>1052.8814170000001</v>
      </c>
      <c r="V7" s="250">
        <v>3.404012005655904</v>
      </c>
      <c r="X7" s="260"/>
    </row>
    <row r="8" spans="1:24">
      <c r="A8" s="427"/>
      <c r="B8" s="412" t="s">
        <v>110</v>
      </c>
      <c r="C8" s="364">
        <v>77010.495999999985</v>
      </c>
      <c r="D8" s="365">
        <v>0.91187539463044243</v>
      </c>
      <c r="E8" s="364">
        <v>84452.872019000119</v>
      </c>
      <c r="F8" s="364">
        <v>22255.746299999999</v>
      </c>
      <c r="G8" s="365">
        <v>2.4602522405640466</v>
      </c>
      <c r="H8" s="364">
        <v>49783.442552884502</v>
      </c>
      <c r="I8" s="365">
        <v>0.70970267664096331</v>
      </c>
      <c r="J8" s="364">
        <v>70146.899809523777</v>
      </c>
      <c r="K8" s="364">
        <v>15153.869198554286</v>
      </c>
      <c r="L8" s="365">
        <v>2.2851967969760461</v>
      </c>
      <c r="M8" s="364">
        <v>23443.399602519996</v>
      </c>
      <c r="N8" s="365">
        <v>0.69401415691697022</v>
      </c>
      <c r="O8" s="364">
        <v>33779.425633999992</v>
      </c>
      <c r="P8" s="364">
        <v>6565.8984268699996</v>
      </c>
      <c r="Q8" s="365">
        <v>2.5704785664336867</v>
      </c>
      <c r="R8" s="364">
        <v>19400.576774999998</v>
      </c>
      <c r="S8" s="365">
        <v>0.67798877499640686</v>
      </c>
      <c r="T8" s="364">
        <v>28614.893771807379</v>
      </c>
      <c r="U8" s="364">
        <v>6758.2628509999995</v>
      </c>
      <c r="V8" s="249">
        <v>1.8706454902282106</v>
      </c>
      <c r="X8" s="260"/>
    </row>
    <row r="9" spans="1:24" collapsed="1">
      <c r="A9" s="427" t="s">
        <v>111</v>
      </c>
      <c r="B9" s="412" t="s">
        <v>108</v>
      </c>
      <c r="C9" s="364"/>
      <c r="D9" s="406"/>
      <c r="E9" s="364"/>
      <c r="F9" s="364"/>
      <c r="G9" s="406"/>
      <c r="H9" s="364"/>
      <c r="I9" s="406"/>
      <c r="J9" s="364"/>
      <c r="K9" s="364"/>
      <c r="L9" s="406"/>
      <c r="M9" s="364"/>
      <c r="N9" s="407"/>
      <c r="O9" s="364"/>
      <c r="P9" s="364"/>
      <c r="Q9" s="406"/>
      <c r="R9" s="364"/>
      <c r="S9" s="255"/>
      <c r="T9" s="364"/>
      <c r="U9" s="364"/>
      <c r="V9" s="252"/>
      <c r="X9" s="260"/>
    </row>
    <row r="10" spans="1:24">
      <c r="A10" s="427"/>
      <c r="B10" s="412" t="s">
        <v>1045</v>
      </c>
      <c r="C10" s="364">
        <v>82201.931100000002</v>
      </c>
      <c r="D10" s="365">
        <v>1.1245908898823456</v>
      </c>
      <c r="E10" s="364">
        <v>73094.964435111106</v>
      </c>
      <c r="F10" s="364">
        <v>49450.956300000005</v>
      </c>
      <c r="G10" s="365">
        <v>0.66229204145845788</v>
      </c>
      <c r="H10" s="364">
        <v>42020.150301122012</v>
      </c>
      <c r="I10" s="365">
        <v>0.90282427649962427</v>
      </c>
      <c r="J10" s="364">
        <v>46543</v>
      </c>
      <c r="K10" s="364">
        <v>21777.720419000001</v>
      </c>
      <c r="L10" s="365">
        <v>0.92950177946363377</v>
      </c>
      <c r="M10" s="364">
        <v>26124.366243679997</v>
      </c>
      <c r="N10" s="365">
        <v>0.77656330797776518</v>
      </c>
      <c r="O10" s="364">
        <v>33641</v>
      </c>
      <c r="P10" s="364">
        <v>8879.8778663599987</v>
      </c>
      <c r="Q10" s="365">
        <v>1.9419735988315776</v>
      </c>
      <c r="R10" s="364">
        <v>21565.889573999997</v>
      </c>
      <c r="S10" s="365">
        <v>0.77942425002710602</v>
      </c>
      <c r="T10" s="364">
        <v>27669</v>
      </c>
      <c r="U10" s="364">
        <v>12400.122960000001</v>
      </c>
      <c r="V10" s="249">
        <v>0.73916739725619585</v>
      </c>
      <c r="X10" s="260"/>
    </row>
    <row r="11" spans="1:24">
      <c r="A11" s="427"/>
      <c r="B11" s="412" t="s">
        <v>109</v>
      </c>
      <c r="C11" s="248"/>
      <c r="D11" s="249"/>
      <c r="E11" s="248"/>
      <c r="F11" s="248"/>
      <c r="G11" s="252"/>
      <c r="H11" s="248"/>
      <c r="I11" s="252"/>
      <c r="J11" s="248"/>
      <c r="K11" s="248"/>
      <c r="L11" s="252"/>
      <c r="M11" s="248"/>
      <c r="N11" s="254"/>
      <c r="O11" s="248"/>
      <c r="P11" s="248"/>
      <c r="Q11" s="252"/>
      <c r="R11" s="248"/>
      <c r="S11" s="253"/>
      <c r="T11" s="248"/>
      <c r="U11" s="248"/>
      <c r="V11" s="252"/>
      <c r="X11" s="260"/>
    </row>
    <row r="12" spans="1:24">
      <c r="A12" s="427"/>
      <c r="B12" s="412" t="s">
        <v>110</v>
      </c>
      <c r="C12" s="248">
        <v>82201.931100000002</v>
      </c>
      <c r="D12" s="249">
        <v>1.1245908898823456</v>
      </c>
      <c r="E12" s="248">
        <v>73094.964435111106</v>
      </c>
      <c r="F12" s="248">
        <v>49450.956300000005</v>
      </c>
      <c r="G12" s="249">
        <v>0.66229204145845788</v>
      </c>
      <c r="H12" s="248">
        <v>42020.150301122012</v>
      </c>
      <c r="I12" s="249">
        <v>0.90282427649962427</v>
      </c>
      <c r="J12" s="248">
        <v>46543</v>
      </c>
      <c r="K12" s="248">
        <v>21777.720419000001</v>
      </c>
      <c r="L12" s="250">
        <v>0.92950177946363377</v>
      </c>
      <c r="M12" s="248">
        <v>26124.366243679997</v>
      </c>
      <c r="N12" s="249">
        <v>0.77656330797776518</v>
      </c>
      <c r="O12" s="248">
        <v>33641</v>
      </c>
      <c r="P12" s="248">
        <v>8879.8778663599987</v>
      </c>
      <c r="Q12" s="249">
        <v>1.9419735988315776</v>
      </c>
      <c r="R12" s="248">
        <v>21565.889573999997</v>
      </c>
      <c r="S12" s="249">
        <v>0.77942425002710602</v>
      </c>
      <c r="T12" s="248">
        <v>27669</v>
      </c>
      <c r="U12" s="248">
        <v>12400.122960000001</v>
      </c>
      <c r="V12" s="249">
        <v>0.73916739725619585</v>
      </c>
      <c r="X12" s="260"/>
    </row>
    <row r="13" spans="1:24">
      <c r="A13" s="411" t="s">
        <v>82</v>
      </c>
      <c r="B13" s="412" t="s">
        <v>1045</v>
      </c>
      <c r="C13" s="248">
        <v>116221.36199999999</v>
      </c>
      <c r="D13" s="249">
        <v>1.0289594185832283</v>
      </c>
      <c r="E13" s="248">
        <v>112950.38453511111</v>
      </c>
      <c r="F13" s="248">
        <v>56926.266300000003</v>
      </c>
      <c r="G13" s="249">
        <v>1.0416122390236575</v>
      </c>
      <c r="H13" s="248">
        <v>63688.917984640277</v>
      </c>
      <c r="I13" s="249">
        <v>0.82927018883793358</v>
      </c>
      <c r="J13" s="248">
        <v>76801.166666666672</v>
      </c>
      <c r="K13" s="248">
        <v>25365.075511840001</v>
      </c>
      <c r="L13" s="250">
        <v>1.5108901392748204</v>
      </c>
      <c r="M13" s="248">
        <v>36966.550336859997</v>
      </c>
      <c r="N13" s="249">
        <v>0.73578204981343909</v>
      </c>
      <c r="O13" s="248">
        <v>50241.169033999991</v>
      </c>
      <c r="P13" s="248">
        <v>10767.868193999999</v>
      </c>
      <c r="Q13" s="249">
        <v>2.4330426107424175</v>
      </c>
      <c r="R13" s="248">
        <v>30330.093635999998</v>
      </c>
      <c r="S13" s="249">
        <v>0.73719960232837212</v>
      </c>
      <c r="T13" s="248">
        <v>41142.3087318623</v>
      </c>
      <c r="U13" s="248">
        <v>15125.705559</v>
      </c>
      <c r="V13" s="249">
        <v>1.0052019072890905</v>
      </c>
      <c r="X13" s="260"/>
    </row>
    <row r="14" spans="1:24" s="257" customFormat="1" ht="12.75" hidden="1" customHeight="1">
      <c r="A14" s="428" t="s">
        <v>112</v>
      </c>
      <c r="B14" s="353" t="s">
        <v>108</v>
      </c>
      <c r="C14" s="364"/>
      <c r="D14" s="255"/>
      <c r="E14" s="364"/>
      <c r="F14" s="364"/>
      <c r="G14" s="255"/>
      <c r="H14" s="364"/>
      <c r="I14" s="255"/>
      <c r="J14" s="364"/>
      <c r="K14" s="364"/>
      <c r="L14" s="255"/>
      <c r="M14" s="364"/>
      <c r="N14" s="256"/>
      <c r="O14" s="248"/>
      <c r="P14" s="364"/>
      <c r="Q14" s="252"/>
      <c r="R14" s="364"/>
      <c r="S14" s="253"/>
      <c r="T14" s="364"/>
      <c r="U14" s="364"/>
      <c r="V14" s="255"/>
    </row>
    <row r="15" spans="1:24" ht="12.75" hidden="1" customHeight="1">
      <c r="A15" s="429"/>
      <c r="B15" s="412" t="s">
        <v>109</v>
      </c>
      <c r="C15" s="248"/>
      <c r="D15" s="252"/>
      <c r="E15" s="248"/>
      <c r="F15" s="248"/>
      <c r="G15" s="252"/>
      <c r="H15" s="248"/>
      <c r="I15" s="252"/>
      <c r="J15" s="248"/>
      <c r="K15" s="248"/>
      <c r="L15" s="252"/>
      <c r="M15" s="248"/>
      <c r="N15" s="254"/>
      <c r="O15" s="248"/>
      <c r="P15" s="248"/>
      <c r="Q15" s="252"/>
      <c r="R15" s="248"/>
      <c r="S15" s="253"/>
      <c r="T15" s="248"/>
      <c r="U15" s="248"/>
      <c r="V15" s="252"/>
      <c r="X15" s="260"/>
    </row>
    <row r="16" spans="1:24" ht="12.75" hidden="1" customHeight="1">
      <c r="A16" s="430"/>
      <c r="B16" s="412" t="s">
        <v>110</v>
      </c>
      <c r="C16" s="248"/>
      <c r="D16" s="252"/>
      <c r="E16" s="248"/>
      <c r="F16" s="248"/>
      <c r="G16" s="252"/>
      <c r="H16" s="248"/>
      <c r="I16" s="252"/>
      <c r="J16" s="248"/>
      <c r="K16" s="248"/>
      <c r="L16" s="252"/>
      <c r="M16" s="248"/>
      <c r="N16" s="254"/>
      <c r="O16" s="248"/>
      <c r="P16" s="248"/>
      <c r="Q16" s="252"/>
      <c r="R16" s="248"/>
      <c r="S16" s="253"/>
      <c r="T16" s="248"/>
      <c r="U16" s="248"/>
      <c r="V16" s="252"/>
      <c r="X16" s="260"/>
    </row>
    <row r="17" spans="1:24">
      <c r="A17" s="431" t="s">
        <v>113</v>
      </c>
      <c r="B17" s="431"/>
      <c r="C17" s="248">
        <v>159212.42709999997</v>
      </c>
      <c r="D17" s="252">
        <v>1.0105656204702855</v>
      </c>
      <c r="E17" s="248">
        <v>157547.83645411121</v>
      </c>
      <c r="F17" s="248">
        <v>71706.702600000004</v>
      </c>
      <c r="G17" s="252">
        <v>1.2203283839187433</v>
      </c>
      <c r="H17" s="248">
        <v>91803.592854006507</v>
      </c>
      <c r="I17" s="252">
        <v>0.7867312681205495</v>
      </c>
      <c r="J17" s="248">
        <v>116689.89980952378</v>
      </c>
      <c r="K17" s="248">
        <v>36931.589617554288</v>
      </c>
      <c r="L17" s="252">
        <v>1.4857742058947419</v>
      </c>
      <c r="M17" s="248">
        <v>49567.765846199996</v>
      </c>
      <c r="N17" s="254">
        <v>0.7352039887034334</v>
      </c>
      <c r="O17" s="248">
        <v>67420.425633999985</v>
      </c>
      <c r="P17" s="248">
        <v>15445.776293229999</v>
      </c>
      <c r="Q17" s="252">
        <v>2.2091469476950745</v>
      </c>
      <c r="R17" s="248">
        <v>40966.466348999995</v>
      </c>
      <c r="S17" s="253">
        <v>0.72785416224206068</v>
      </c>
      <c r="T17" s="248">
        <v>56283.893771807379</v>
      </c>
      <c r="U17" s="248">
        <v>19158.385811</v>
      </c>
      <c r="V17" s="252">
        <v>1.1383046960813705</v>
      </c>
      <c r="X17" s="260"/>
    </row>
    <row r="18" spans="1:24">
      <c r="A18" s="431" t="s">
        <v>1046</v>
      </c>
      <c r="B18" s="431"/>
      <c r="C18" s="248">
        <v>11285.5281</v>
      </c>
      <c r="D18" s="252">
        <v>1.3530379811760112</v>
      </c>
      <c r="E18" s="248">
        <v>8340.8804904286808</v>
      </c>
      <c r="F18" s="248">
        <v>1801.1071999999999</v>
      </c>
      <c r="G18" s="252">
        <v>5.2658836186985427</v>
      </c>
      <c r="H18" s="248">
        <v>7131.8892803090903</v>
      </c>
      <c r="I18" s="252">
        <v>0.89731873179530564</v>
      </c>
      <c r="J18" s="248">
        <v>7948.0000000000009</v>
      </c>
      <c r="K18" s="248">
        <v>1690.6433999999999</v>
      </c>
      <c r="L18" s="252">
        <v>3.2184468234454942</v>
      </c>
      <c r="M18" s="248">
        <v>5257.2405531699997</v>
      </c>
      <c r="N18" s="254">
        <v>0.87620675886166643</v>
      </c>
      <c r="O18" s="248">
        <v>6000.0000000000009</v>
      </c>
      <c r="P18" s="248">
        <v>1221.3414506299998</v>
      </c>
      <c r="Q18" s="252">
        <v>3.3044805778582047</v>
      </c>
      <c r="R18" s="248">
        <v>4636.9024010000003</v>
      </c>
      <c r="S18" s="253">
        <v>0.8757974281386508</v>
      </c>
      <c r="T18" s="248">
        <v>5294.4919133353687</v>
      </c>
      <c r="U18" s="248">
        <v>1052.8814170000001</v>
      </c>
      <c r="V18" s="252">
        <v>3.404012005655904</v>
      </c>
      <c r="X18" s="260"/>
    </row>
    <row r="19" spans="1:24">
      <c r="A19" s="259" t="s">
        <v>1047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</row>
    <row r="21" spans="1:24">
      <c r="A21" s="354"/>
      <c r="K21" s="263"/>
      <c r="R21" s="262"/>
      <c r="S21" s="262"/>
    </row>
    <row r="22" spans="1:24">
      <c r="E22" s="355"/>
      <c r="F22" s="263"/>
      <c r="H22" s="355"/>
      <c r="K22" s="263"/>
      <c r="M22" s="355"/>
      <c r="N22" s="355"/>
      <c r="O22" s="355"/>
      <c r="R22" s="355"/>
      <c r="S22" s="355"/>
      <c r="T22" s="355"/>
    </row>
    <row r="23" spans="1:24">
      <c r="C23" s="263"/>
      <c r="E23" s="355"/>
      <c r="H23" s="355"/>
      <c r="M23" s="263"/>
      <c r="O23" s="355"/>
      <c r="R23" s="355"/>
      <c r="S23" s="355"/>
      <c r="T23" s="355"/>
    </row>
    <row r="25" spans="1:24">
      <c r="D25" s="260"/>
      <c r="S25" s="264"/>
    </row>
    <row r="26" spans="1:24">
      <c r="C26" s="260"/>
      <c r="D26" s="264"/>
    </row>
  </sheetData>
  <mergeCells count="12">
    <mergeCell ref="A5:A8"/>
    <mergeCell ref="A9:A12"/>
    <mergeCell ref="A14:A16"/>
    <mergeCell ref="A17:B17"/>
    <mergeCell ref="A18:B18"/>
    <mergeCell ref="A1:V1"/>
    <mergeCell ref="A3:A4"/>
    <mergeCell ref="B3:B4"/>
    <mergeCell ref="C3:G3"/>
    <mergeCell ref="H3:L3"/>
    <mergeCell ref="M3:Q3"/>
    <mergeCell ref="R3:V3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R69"/>
  <sheetViews>
    <sheetView tabSelected="1" zoomScale="80" zoomScaleNormal="80" workbookViewId="0">
      <pane xSplit="1" ySplit="4" topLeftCell="CF44" activePane="bottomRight" state="frozen"/>
      <selection activeCell="O8" sqref="A8:O10"/>
      <selection pane="topRight" activeCell="O8" sqref="A8:O10"/>
      <selection pane="bottomLeft" activeCell="O8" sqref="A8:O10"/>
      <selection pane="bottomRight" activeCell="A50" sqref="A50:XFD50"/>
    </sheetView>
  </sheetViews>
  <sheetFormatPr defaultColWidth="9" defaultRowHeight="15" outlineLevelCol="1"/>
  <cols>
    <col min="1" max="1" width="23.86328125" style="26" bestFit="1" customWidth="1"/>
    <col min="2" max="17" width="9.59765625" style="31" customWidth="1"/>
    <col min="18" max="18" width="9" style="26" customWidth="1"/>
    <col min="19" max="31" width="21.59765625" style="26" customWidth="1" outlineLevel="1"/>
    <col min="32" max="33" width="21.59765625" style="26" customWidth="1"/>
    <col min="34" max="46" width="21.59765625" style="26" customWidth="1" outlineLevel="1"/>
    <col min="47" max="48" width="21.59765625" style="26" customWidth="1"/>
    <col min="49" max="61" width="21.59765625" style="26" customWidth="1" outlineLevel="1"/>
    <col min="62" max="63" width="21.59765625" style="26" customWidth="1"/>
    <col min="64" max="76" width="21.59765625" style="26" customWidth="1" outlineLevel="1"/>
    <col min="77" max="78" width="21.59765625" style="26" customWidth="1"/>
    <col min="79" max="91" width="21.59765625" style="26" customWidth="1" outlineLevel="1"/>
    <col min="92" max="93" width="21.59765625" style="26" customWidth="1"/>
    <col min="94" max="106" width="21.59765625" style="26" customWidth="1" outlineLevel="1"/>
    <col min="107" max="107" width="21.59765625" style="26" customWidth="1"/>
    <col min="108" max="108" width="9" style="26" customWidth="1"/>
    <col min="109" max="121" width="21.59765625" style="26" customWidth="1" outlineLevel="1"/>
    <col min="122" max="122" width="21.59765625" style="26" customWidth="1"/>
    <col min="123" max="123" width="9" style="26" customWidth="1"/>
    <col min="124" max="136" width="21.59765625" style="26" customWidth="1" outlineLevel="1"/>
    <col min="137" max="137" width="21.59765625" style="26" customWidth="1"/>
    <col min="138" max="139" width="9" style="26" customWidth="1"/>
    <col min="140" max="143" width="9.59765625" style="26" customWidth="1"/>
    <col min="144" max="145" width="9" style="26" customWidth="1"/>
    <col min="146" max="16384" width="9" style="26"/>
  </cols>
  <sheetData>
    <row r="1" spans="1:148" ht="36.75" customHeight="1">
      <c r="A1" s="437" t="s">
        <v>1074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</row>
    <row r="2" spans="1:148" ht="16.5" customHeight="1" thickBot="1">
      <c r="A2" s="1"/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4"/>
      <c r="N2" s="1"/>
      <c r="O2" s="1"/>
      <c r="P2" s="4"/>
      <c r="Q2" s="18" t="s">
        <v>49</v>
      </c>
    </row>
    <row r="3" spans="1:148" s="40" customFormat="1" ht="21" customHeight="1">
      <c r="A3" s="438" t="s">
        <v>0</v>
      </c>
      <c r="B3" s="435" t="s">
        <v>1</v>
      </c>
      <c r="C3" s="435"/>
      <c r="D3" s="435"/>
      <c r="E3" s="435"/>
      <c r="F3" s="435" t="s">
        <v>2</v>
      </c>
      <c r="G3" s="435"/>
      <c r="H3" s="435"/>
      <c r="I3" s="435"/>
      <c r="J3" s="435" t="s">
        <v>3</v>
      </c>
      <c r="K3" s="435"/>
      <c r="L3" s="435"/>
      <c r="M3" s="435"/>
      <c r="N3" s="435" t="s">
        <v>4</v>
      </c>
      <c r="O3" s="435"/>
      <c r="P3" s="435"/>
      <c r="Q3" s="436"/>
      <c r="R3" s="26"/>
      <c r="S3" s="432" t="s">
        <v>68</v>
      </c>
      <c r="T3" s="433"/>
      <c r="U3" s="433"/>
      <c r="V3" s="433"/>
      <c r="W3" s="433"/>
      <c r="X3" s="433"/>
      <c r="Y3" s="433"/>
      <c r="Z3" s="433"/>
      <c r="AA3" s="433"/>
      <c r="AB3" s="433"/>
      <c r="AC3" s="433"/>
      <c r="AD3" s="433"/>
      <c r="AE3" s="440"/>
      <c r="AF3" s="434"/>
      <c r="AG3" s="26"/>
      <c r="AH3" s="432" t="s">
        <v>69</v>
      </c>
      <c r="AI3" s="433"/>
      <c r="AJ3" s="433"/>
      <c r="AK3" s="433"/>
      <c r="AL3" s="433"/>
      <c r="AM3" s="433"/>
      <c r="AN3" s="433"/>
      <c r="AO3" s="433"/>
      <c r="AP3" s="433"/>
      <c r="AQ3" s="433"/>
      <c r="AR3" s="433"/>
      <c r="AS3" s="433"/>
      <c r="AT3" s="440"/>
      <c r="AU3" s="434"/>
      <c r="AV3" s="26"/>
      <c r="AW3" s="432" t="s">
        <v>70</v>
      </c>
      <c r="AX3" s="433"/>
      <c r="AY3" s="433"/>
      <c r="AZ3" s="433"/>
      <c r="BA3" s="433"/>
      <c r="BB3" s="433"/>
      <c r="BC3" s="433"/>
      <c r="BD3" s="433"/>
      <c r="BE3" s="433"/>
      <c r="BF3" s="433"/>
      <c r="BG3" s="433"/>
      <c r="BH3" s="433"/>
      <c r="BI3" s="433"/>
      <c r="BJ3" s="434"/>
      <c r="BK3" s="26"/>
      <c r="BL3" s="432" t="s">
        <v>71</v>
      </c>
      <c r="BM3" s="433"/>
      <c r="BN3" s="433"/>
      <c r="BO3" s="433"/>
      <c r="BP3" s="433"/>
      <c r="BQ3" s="433"/>
      <c r="BR3" s="433"/>
      <c r="BS3" s="433"/>
      <c r="BT3" s="433"/>
      <c r="BU3" s="433"/>
      <c r="BV3" s="433"/>
      <c r="BW3" s="433"/>
      <c r="BX3" s="433"/>
      <c r="BY3" s="434"/>
      <c r="BZ3" s="26"/>
      <c r="CA3" s="432" t="s">
        <v>73</v>
      </c>
      <c r="CB3" s="433"/>
      <c r="CC3" s="433"/>
      <c r="CD3" s="433"/>
      <c r="CE3" s="433"/>
      <c r="CF3" s="433"/>
      <c r="CG3" s="433"/>
      <c r="CH3" s="433"/>
      <c r="CI3" s="433"/>
      <c r="CJ3" s="433"/>
      <c r="CK3" s="433"/>
      <c r="CL3" s="433"/>
      <c r="CM3" s="433"/>
      <c r="CN3" s="434"/>
      <c r="CO3" s="26"/>
      <c r="CP3" s="432" t="s">
        <v>72</v>
      </c>
      <c r="CQ3" s="433"/>
      <c r="CR3" s="433"/>
      <c r="CS3" s="433"/>
      <c r="CT3" s="433"/>
      <c r="CU3" s="433"/>
      <c r="CV3" s="433"/>
      <c r="CW3" s="433"/>
      <c r="CX3" s="433"/>
      <c r="CY3" s="433"/>
      <c r="CZ3" s="433"/>
      <c r="DA3" s="433"/>
      <c r="DB3" s="433"/>
      <c r="DC3" s="434"/>
      <c r="DD3" s="26"/>
      <c r="DE3" s="432" t="s">
        <v>76</v>
      </c>
      <c r="DF3" s="433"/>
      <c r="DG3" s="433"/>
      <c r="DH3" s="433"/>
      <c r="DI3" s="433"/>
      <c r="DJ3" s="433"/>
      <c r="DK3" s="433"/>
      <c r="DL3" s="433"/>
      <c r="DM3" s="433"/>
      <c r="DN3" s="433"/>
      <c r="DO3" s="433"/>
      <c r="DP3" s="433"/>
      <c r="DQ3" s="433"/>
      <c r="DR3" s="434"/>
      <c r="DS3" s="26"/>
      <c r="DT3" s="432" t="s">
        <v>77</v>
      </c>
      <c r="DU3" s="433"/>
      <c r="DV3" s="433"/>
      <c r="DW3" s="433"/>
      <c r="DX3" s="433"/>
      <c r="DY3" s="433"/>
      <c r="DZ3" s="433"/>
      <c r="EA3" s="433"/>
      <c r="EB3" s="433"/>
      <c r="EC3" s="433"/>
      <c r="ED3" s="433"/>
      <c r="EE3" s="433"/>
      <c r="EF3" s="433"/>
      <c r="EG3" s="434"/>
      <c r="EI3" s="26"/>
      <c r="EJ3" s="26"/>
      <c r="EK3" s="26"/>
      <c r="EL3" s="26"/>
      <c r="EM3" s="26"/>
      <c r="EN3" s="26"/>
      <c r="EO3" s="26"/>
      <c r="EP3" s="26"/>
      <c r="EQ3" s="26"/>
      <c r="ER3" s="26"/>
    </row>
    <row r="4" spans="1:148" s="40" customFormat="1" ht="21.75" customHeight="1">
      <c r="A4" s="439"/>
      <c r="B4" s="36" t="s">
        <v>50</v>
      </c>
      <c r="C4" s="36" t="s">
        <v>5</v>
      </c>
      <c r="D4" s="36" t="s">
        <v>6</v>
      </c>
      <c r="E4" s="36" t="s">
        <v>7</v>
      </c>
      <c r="F4" s="36" t="s">
        <v>50</v>
      </c>
      <c r="G4" s="36" t="s">
        <v>5</v>
      </c>
      <c r="H4" s="36" t="s">
        <v>6</v>
      </c>
      <c r="I4" s="36" t="s">
        <v>7</v>
      </c>
      <c r="J4" s="36" t="s">
        <v>50</v>
      </c>
      <c r="K4" s="36" t="s">
        <v>8</v>
      </c>
      <c r="L4" s="36" t="s">
        <v>9</v>
      </c>
      <c r="M4" s="36" t="s">
        <v>10</v>
      </c>
      <c r="N4" s="36" t="s">
        <v>50</v>
      </c>
      <c r="O4" s="36" t="s">
        <v>5</v>
      </c>
      <c r="P4" s="36" t="s">
        <v>6</v>
      </c>
      <c r="Q4" s="37" t="s">
        <v>7</v>
      </c>
      <c r="R4" s="26"/>
      <c r="S4" s="39" t="s">
        <v>55</v>
      </c>
      <c r="T4" s="36" t="s">
        <v>56</v>
      </c>
      <c r="U4" s="36" t="s">
        <v>57</v>
      </c>
      <c r="V4" s="36" t="s">
        <v>58</v>
      </c>
      <c r="W4" s="36" t="s">
        <v>59</v>
      </c>
      <c r="X4" s="36" t="s">
        <v>60</v>
      </c>
      <c r="Y4" s="36" t="s">
        <v>61</v>
      </c>
      <c r="Z4" s="36" t="s">
        <v>62</v>
      </c>
      <c r="AA4" s="36" t="s">
        <v>63</v>
      </c>
      <c r="AB4" s="36" t="s">
        <v>64</v>
      </c>
      <c r="AC4" s="36" t="s">
        <v>65</v>
      </c>
      <c r="AD4" s="36" t="s">
        <v>66</v>
      </c>
      <c r="AE4" s="71" t="s">
        <v>74</v>
      </c>
      <c r="AF4" s="37" t="s">
        <v>67</v>
      </c>
      <c r="AG4" s="26"/>
      <c r="AH4" s="39" t="s">
        <v>55</v>
      </c>
      <c r="AI4" s="36" t="s">
        <v>56</v>
      </c>
      <c r="AJ4" s="36" t="s">
        <v>57</v>
      </c>
      <c r="AK4" s="36" t="s">
        <v>58</v>
      </c>
      <c r="AL4" s="36" t="s">
        <v>59</v>
      </c>
      <c r="AM4" s="36" t="s">
        <v>60</v>
      </c>
      <c r="AN4" s="36" t="s">
        <v>61</v>
      </c>
      <c r="AO4" s="36" t="s">
        <v>62</v>
      </c>
      <c r="AP4" s="36" t="s">
        <v>63</v>
      </c>
      <c r="AQ4" s="36" t="s">
        <v>64</v>
      </c>
      <c r="AR4" s="36" t="s">
        <v>65</v>
      </c>
      <c r="AS4" s="36" t="s">
        <v>66</v>
      </c>
      <c r="AT4" s="71" t="s">
        <v>74</v>
      </c>
      <c r="AU4" s="37" t="s">
        <v>67</v>
      </c>
      <c r="AV4" s="26"/>
      <c r="AW4" s="39" t="s">
        <v>55</v>
      </c>
      <c r="AX4" s="36" t="s">
        <v>56</v>
      </c>
      <c r="AY4" s="36" t="s">
        <v>57</v>
      </c>
      <c r="AZ4" s="36" t="s">
        <v>58</v>
      </c>
      <c r="BA4" s="36" t="s">
        <v>59</v>
      </c>
      <c r="BB4" s="36" t="s">
        <v>60</v>
      </c>
      <c r="BC4" s="36" t="s">
        <v>61</v>
      </c>
      <c r="BD4" s="36" t="s">
        <v>62</v>
      </c>
      <c r="BE4" s="36" t="s">
        <v>63</v>
      </c>
      <c r="BF4" s="36" t="s">
        <v>64</v>
      </c>
      <c r="BG4" s="36" t="s">
        <v>65</v>
      </c>
      <c r="BH4" s="36" t="s">
        <v>66</v>
      </c>
      <c r="BI4" s="36" t="s">
        <v>74</v>
      </c>
      <c r="BJ4" s="37" t="s">
        <v>67</v>
      </c>
      <c r="BK4" s="26"/>
      <c r="BL4" s="39" t="s">
        <v>55</v>
      </c>
      <c r="BM4" s="36" t="s">
        <v>56</v>
      </c>
      <c r="BN4" s="36" t="s">
        <v>57</v>
      </c>
      <c r="BO4" s="36" t="s">
        <v>58</v>
      </c>
      <c r="BP4" s="36" t="s">
        <v>59</v>
      </c>
      <c r="BQ4" s="36" t="s">
        <v>60</v>
      </c>
      <c r="BR4" s="36" t="s">
        <v>61</v>
      </c>
      <c r="BS4" s="36" t="s">
        <v>62</v>
      </c>
      <c r="BT4" s="36" t="s">
        <v>63</v>
      </c>
      <c r="BU4" s="36" t="s">
        <v>64</v>
      </c>
      <c r="BV4" s="36" t="s">
        <v>65</v>
      </c>
      <c r="BW4" s="36" t="s">
        <v>66</v>
      </c>
      <c r="BX4" s="36" t="s">
        <v>74</v>
      </c>
      <c r="BY4" s="37" t="s">
        <v>67</v>
      </c>
      <c r="BZ4" s="26"/>
      <c r="CA4" s="39" t="s">
        <v>55</v>
      </c>
      <c r="CB4" s="36" t="s">
        <v>56</v>
      </c>
      <c r="CC4" s="36" t="s">
        <v>57</v>
      </c>
      <c r="CD4" s="36" t="s">
        <v>58</v>
      </c>
      <c r="CE4" s="36" t="s">
        <v>59</v>
      </c>
      <c r="CF4" s="36" t="s">
        <v>60</v>
      </c>
      <c r="CG4" s="36" t="s">
        <v>61</v>
      </c>
      <c r="CH4" s="36" t="s">
        <v>62</v>
      </c>
      <c r="CI4" s="36" t="s">
        <v>63</v>
      </c>
      <c r="CJ4" s="36" t="s">
        <v>64</v>
      </c>
      <c r="CK4" s="36" t="s">
        <v>65</v>
      </c>
      <c r="CL4" s="36" t="s">
        <v>66</v>
      </c>
      <c r="CM4" s="36" t="s">
        <v>75</v>
      </c>
      <c r="CN4" s="37" t="s">
        <v>67</v>
      </c>
      <c r="CO4" s="26"/>
      <c r="CP4" s="39" t="s">
        <v>55</v>
      </c>
      <c r="CQ4" s="36" t="s">
        <v>56</v>
      </c>
      <c r="CR4" s="36" t="s">
        <v>57</v>
      </c>
      <c r="CS4" s="36" t="s">
        <v>58</v>
      </c>
      <c r="CT4" s="36" t="s">
        <v>59</v>
      </c>
      <c r="CU4" s="36" t="s">
        <v>60</v>
      </c>
      <c r="CV4" s="36" t="s">
        <v>61</v>
      </c>
      <c r="CW4" s="36" t="s">
        <v>62</v>
      </c>
      <c r="CX4" s="36" t="s">
        <v>63</v>
      </c>
      <c r="CY4" s="36" t="s">
        <v>64</v>
      </c>
      <c r="CZ4" s="36" t="s">
        <v>65</v>
      </c>
      <c r="DA4" s="36" t="s">
        <v>66</v>
      </c>
      <c r="DB4" s="36" t="s">
        <v>74</v>
      </c>
      <c r="DC4" s="37" t="s">
        <v>67</v>
      </c>
      <c r="DD4" s="26"/>
      <c r="DE4" s="39" t="s">
        <v>55</v>
      </c>
      <c r="DF4" s="36" t="s">
        <v>56</v>
      </c>
      <c r="DG4" s="36" t="s">
        <v>57</v>
      </c>
      <c r="DH4" s="36" t="s">
        <v>58</v>
      </c>
      <c r="DI4" s="36" t="s">
        <v>59</v>
      </c>
      <c r="DJ4" s="36" t="s">
        <v>60</v>
      </c>
      <c r="DK4" s="36" t="s">
        <v>61</v>
      </c>
      <c r="DL4" s="36" t="s">
        <v>62</v>
      </c>
      <c r="DM4" s="36" t="s">
        <v>63</v>
      </c>
      <c r="DN4" s="36" t="s">
        <v>64</v>
      </c>
      <c r="DO4" s="36" t="s">
        <v>65</v>
      </c>
      <c r="DP4" s="36" t="s">
        <v>66</v>
      </c>
      <c r="DQ4" s="36" t="s">
        <v>74</v>
      </c>
      <c r="DR4" s="37" t="s">
        <v>67</v>
      </c>
      <c r="DS4" s="26"/>
      <c r="DT4" s="39" t="s">
        <v>55</v>
      </c>
      <c r="DU4" s="36" t="s">
        <v>56</v>
      </c>
      <c r="DV4" s="36" t="s">
        <v>57</v>
      </c>
      <c r="DW4" s="36" t="s">
        <v>58</v>
      </c>
      <c r="DX4" s="36" t="s">
        <v>59</v>
      </c>
      <c r="DY4" s="36" t="s">
        <v>60</v>
      </c>
      <c r="DZ4" s="36" t="s">
        <v>61</v>
      </c>
      <c r="EA4" s="36" t="s">
        <v>62</v>
      </c>
      <c r="EB4" s="36" t="s">
        <v>63</v>
      </c>
      <c r="EC4" s="36" t="s">
        <v>64</v>
      </c>
      <c r="ED4" s="36" t="s">
        <v>65</v>
      </c>
      <c r="EE4" s="36" t="s">
        <v>66</v>
      </c>
      <c r="EF4" s="36" t="s">
        <v>74</v>
      </c>
      <c r="EG4" s="37" t="s">
        <v>67</v>
      </c>
      <c r="EI4" s="26" t="s">
        <v>79</v>
      </c>
      <c r="EJ4" s="26" t="s">
        <v>86</v>
      </c>
      <c r="EK4" s="26" t="s">
        <v>80</v>
      </c>
      <c r="EL4" s="26" t="s">
        <v>87</v>
      </c>
      <c r="EM4" s="26" t="s">
        <v>85</v>
      </c>
      <c r="EN4" s="26"/>
      <c r="EO4" s="26"/>
      <c r="EP4" s="26"/>
      <c r="EQ4" s="26"/>
      <c r="ER4" s="26"/>
    </row>
    <row r="5" spans="1:148">
      <c r="A5" s="5" t="s">
        <v>11</v>
      </c>
      <c r="B5" s="41">
        <f>AD5/10000</f>
        <v>1670.6075000000001</v>
      </c>
      <c r="C5" s="42">
        <f>AS5/10000</f>
        <v>3621.5725000000002</v>
      </c>
      <c r="D5" s="41">
        <f>AE5/10000</f>
        <v>31705.537</v>
      </c>
      <c r="E5" s="42">
        <f>AT5/10000</f>
        <v>12979.310299999999</v>
      </c>
      <c r="F5" s="43">
        <f>BH5/10000</f>
        <v>2593.9780000000001</v>
      </c>
      <c r="G5" s="43">
        <f>BW5/10000</f>
        <v>1703.4734000000001</v>
      </c>
      <c r="H5" s="43">
        <f>BI5/10000</f>
        <v>34019.430899999999</v>
      </c>
      <c r="I5" s="43">
        <f>BX5/10000</f>
        <v>7475.31</v>
      </c>
      <c r="J5" s="43">
        <f>CL5/10000</f>
        <v>1092.0407</v>
      </c>
      <c r="K5" s="43">
        <f>DA5/10000</f>
        <v>208.28460000000001</v>
      </c>
      <c r="L5" s="43">
        <f>CM5/10000</f>
        <v>11285.5281</v>
      </c>
      <c r="M5" s="43">
        <f>DB5/10000</f>
        <v>1801.126</v>
      </c>
      <c r="N5" s="43">
        <f>B5+F5+J5</f>
        <v>5356.6262000000006</v>
      </c>
      <c r="O5" s="43">
        <f t="shared" ref="O5:O8" si="0">C5+G5+K5</f>
        <v>5533.3305</v>
      </c>
      <c r="P5" s="43">
        <f t="shared" ref="P5:P8" si="1">D5+H5+L5</f>
        <v>77010.495999999999</v>
      </c>
      <c r="Q5" s="44">
        <f t="shared" ref="Q5:Q8" si="2">E5+I5+M5</f>
        <v>22255.746299999999</v>
      </c>
      <c r="S5" s="45">
        <v>24939540</v>
      </c>
      <c r="T5" s="46">
        <v>18281152</v>
      </c>
      <c r="U5" s="46">
        <v>70853569</v>
      </c>
      <c r="V5" s="46">
        <v>22098428</v>
      </c>
      <c r="W5" s="46">
        <v>18000901</v>
      </c>
      <c r="X5" s="46">
        <v>48270647</v>
      </c>
      <c r="Y5" s="46">
        <v>17282041</v>
      </c>
      <c r="Z5" s="46">
        <v>15917599</v>
      </c>
      <c r="AA5" s="46">
        <v>29633824</v>
      </c>
      <c r="AB5" s="46">
        <v>15247733</v>
      </c>
      <c r="AC5" s="46">
        <v>19823861</v>
      </c>
      <c r="AD5" s="46">
        <v>16706075</v>
      </c>
      <c r="AE5" s="72">
        <f>S5+T5+U5+V5+W5+X5+Y5+Z5+AA5+AB5+AC5+AD5</f>
        <v>317055370</v>
      </c>
      <c r="AF5" s="47">
        <f>SUM(S5:AD5)</f>
        <v>317055370</v>
      </c>
      <c r="AH5" s="45"/>
      <c r="AI5" s="46"/>
      <c r="AJ5" s="46"/>
      <c r="AK5" s="46"/>
      <c r="AL5" s="46"/>
      <c r="AM5" s="46"/>
      <c r="AN5" s="46"/>
      <c r="AO5" s="46"/>
      <c r="AP5" s="46">
        <v>30409281</v>
      </c>
      <c r="AQ5" s="46">
        <v>34943088</v>
      </c>
      <c r="AR5" s="46">
        <v>28225009</v>
      </c>
      <c r="AS5" s="46">
        <v>36215725</v>
      </c>
      <c r="AT5" s="72">
        <f>AH5+AI5+AJ5+AK5+AL5+AM5+AN5+AO5+AP5+AQ5+AR5+AS5</f>
        <v>129793103</v>
      </c>
      <c r="AU5" s="47">
        <f>SUM(AH5:AS5)</f>
        <v>129793103</v>
      </c>
      <c r="AW5" s="45">
        <v>29581922</v>
      </c>
      <c r="AX5" s="46">
        <v>12355652</v>
      </c>
      <c r="AY5" s="46">
        <v>35283965</v>
      </c>
      <c r="AZ5" s="46">
        <v>30862374</v>
      </c>
      <c r="BA5" s="46">
        <v>35374053</v>
      </c>
      <c r="BB5" s="46">
        <v>28458608</v>
      </c>
      <c r="BC5" s="46">
        <v>29384064</v>
      </c>
      <c r="BD5" s="46">
        <v>24600651</v>
      </c>
      <c r="BE5" s="46">
        <v>34215435</v>
      </c>
      <c r="BF5" s="46">
        <v>32241857</v>
      </c>
      <c r="BG5" s="46">
        <v>21895948</v>
      </c>
      <c r="BH5" s="46">
        <v>25939780</v>
      </c>
      <c r="BI5" s="46">
        <f>AW5+AX5+AY5+AZ5+BA5+BB5+BC5+BD5+BE5+BF5+BG5+BH5</f>
        <v>340194309</v>
      </c>
      <c r="BJ5" s="47">
        <f>SUM(AW5:BH5)</f>
        <v>340194309</v>
      </c>
      <c r="BL5" s="45"/>
      <c r="BM5" s="46"/>
      <c r="BN5" s="46"/>
      <c r="BO5" s="46"/>
      <c r="BP5" s="46"/>
      <c r="BQ5" s="46"/>
      <c r="BR5" s="46"/>
      <c r="BS5" s="46">
        <v>879478</v>
      </c>
      <c r="BT5" s="46">
        <v>5372784</v>
      </c>
      <c r="BU5" s="46">
        <v>34226633</v>
      </c>
      <c r="BV5" s="46">
        <v>17239471</v>
      </c>
      <c r="BW5" s="46">
        <v>17034734</v>
      </c>
      <c r="BX5" s="46">
        <f>BL5+BM5+BN5+BO5+BP5+BQ5+BR5+BS5+BT5+BU5+BV5+BW5</f>
        <v>74753100</v>
      </c>
      <c r="BY5" s="47">
        <f>SUM(BL5:BW5)</f>
        <v>74753100</v>
      </c>
      <c r="CA5" s="45">
        <v>3039963</v>
      </c>
      <c r="CB5" s="46">
        <v>1954569</v>
      </c>
      <c r="CC5" s="46">
        <v>4911654</v>
      </c>
      <c r="CD5" s="46">
        <v>3679800</v>
      </c>
      <c r="CE5" s="46">
        <v>4010770</v>
      </c>
      <c r="CF5" s="46">
        <v>6617105</v>
      </c>
      <c r="CG5" s="46">
        <v>4090879</v>
      </c>
      <c r="CH5" s="46">
        <v>6276510</v>
      </c>
      <c r="CI5" s="46">
        <v>19144176</v>
      </c>
      <c r="CJ5" s="46">
        <v>8916651</v>
      </c>
      <c r="CK5" s="46">
        <v>39292797</v>
      </c>
      <c r="CL5" s="46">
        <v>10920407</v>
      </c>
      <c r="CM5" s="46">
        <f>CA5+CB5+CC5+CD5+CE5+CF5+CG5+CH5+CI5+CJ5+CK5+CL5</f>
        <v>112855281</v>
      </c>
      <c r="CN5" s="47">
        <f>SUM(CA5:CL5)</f>
        <v>112855281</v>
      </c>
      <c r="CP5" s="45"/>
      <c r="CQ5" s="46"/>
      <c r="CR5" s="46"/>
      <c r="CS5" s="46"/>
      <c r="CT5" s="46"/>
      <c r="CU5" s="46"/>
      <c r="CV5" s="46"/>
      <c r="CW5" s="46">
        <v>1576</v>
      </c>
      <c r="CX5" s="46">
        <v>3419587</v>
      </c>
      <c r="CY5" s="46">
        <v>1570550</v>
      </c>
      <c r="CZ5" s="46">
        <v>10936701</v>
      </c>
      <c r="DA5" s="46">
        <v>2082846</v>
      </c>
      <c r="DB5" s="46">
        <f>CP5+CQ5+CR5+CS5+CT5+CU5+CV5+CW5+CX5+CY5+CZ5+DA5</f>
        <v>18011260</v>
      </c>
      <c r="DC5" s="47">
        <f>SUM(CP5:DA5)</f>
        <v>18011260</v>
      </c>
      <c r="DE5" s="45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>
        <f>DE5+DF5+DG5+DH5+DI5+DJ5+DK5+DL5+DM5+DN5+DO5+DP5</f>
        <v>0</v>
      </c>
      <c r="DR5" s="47">
        <f>SUM(DE5:DP5)</f>
        <v>0</v>
      </c>
      <c r="DT5" s="45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>
        <f>DT5+DU5+DV5+DW5+DX5+DY5+DZ5+EA5+EB5+EC5+ED5+EE5</f>
        <v>0</v>
      </c>
      <c r="EG5" s="47">
        <f>SUM(DT5:EE5)</f>
        <v>0</v>
      </c>
      <c r="EI5" s="26" t="s">
        <v>81</v>
      </c>
      <c r="EJ5" s="73">
        <v>4149.9428571428571</v>
      </c>
      <c r="EK5" s="74">
        <f>EJ5/$EJ$8</f>
        <v>0.45351291012625666</v>
      </c>
      <c r="EL5" s="73">
        <v>776.31501399999991</v>
      </c>
      <c r="EM5" s="74">
        <f>EL5/$EL$8</f>
        <v>0.55171019408072175</v>
      </c>
    </row>
    <row r="6" spans="1:148" s="51" customFormat="1">
      <c r="A6" s="21" t="s">
        <v>12</v>
      </c>
      <c r="B6" s="41">
        <f>AD6/10000</f>
        <v>0</v>
      </c>
      <c r="C6" s="42">
        <f>AS6/10000</f>
        <v>0</v>
      </c>
      <c r="D6" s="41">
        <f>AE6/10000</f>
        <v>0</v>
      </c>
      <c r="E6" s="42">
        <f t="shared" ref="E6:E8" si="3">AT6/10000</f>
        <v>0</v>
      </c>
      <c r="F6" s="43">
        <f>BH6/10000</f>
        <v>0</v>
      </c>
      <c r="G6" s="43">
        <f>BW6/10000</f>
        <v>0</v>
      </c>
      <c r="H6" s="43">
        <f t="shared" ref="H6:H8" si="4">BI6/10000</f>
        <v>0</v>
      </c>
      <c r="I6" s="43">
        <f t="shared" ref="I6:I8" si="5">BX6/10000</f>
        <v>0</v>
      </c>
      <c r="J6" s="43">
        <f>CL6/10000</f>
        <v>0</v>
      </c>
      <c r="K6" s="43">
        <f>DA6/10000</f>
        <v>0</v>
      </c>
      <c r="L6" s="43">
        <f t="shared" ref="L6:L8" si="6">CM6/10000</f>
        <v>0</v>
      </c>
      <c r="M6" s="43">
        <f t="shared" ref="M6:M8" si="7">DB6/10000</f>
        <v>0</v>
      </c>
      <c r="N6" s="42">
        <f t="shared" ref="N6:N8" si="8">B6+F6+J6</f>
        <v>0</v>
      </c>
      <c r="O6" s="42">
        <f t="shared" si="0"/>
        <v>0</v>
      </c>
      <c r="P6" s="42">
        <f t="shared" si="1"/>
        <v>0</v>
      </c>
      <c r="Q6" s="48">
        <f t="shared" si="2"/>
        <v>0</v>
      </c>
      <c r="R6" s="26"/>
      <c r="S6" s="4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72">
        <f t="shared" ref="AE6:AE8" si="9">S6+T6+U6+V6+W6+X6+Y6+Z6+AA6+AB6+AC6+AD6</f>
        <v>0</v>
      </c>
      <c r="AF6" s="47">
        <f t="shared" ref="AF6:AF8" si="10">SUM(S6:AD6)</f>
        <v>0</v>
      </c>
      <c r="AG6" s="26"/>
      <c r="AH6" s="49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72">
        <f t="shared" ref="AT6:AT8" si="11">AH6+AI6+AJ6+AK6+AL6+AM6+AN6+AO6+AP6+AQ6+AR6+AS6</f>
        <v>0</v>
      </c>
      <c r="AU6" s="47">
        <f t="shared" ref="AU6:AU8" si="12">SUM(AH6:AS6)</f>
        <v>0</v>
      </c>
      <c r="AV6" s="26"/>
      <c r="AW6" s="49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46">
        <f t="shared" ref="BI6:BI8" si="13">AW6+AX6+AY6+AZ6+BA6+BB6+BC6+BD6+BE6+BF6+BG6+BH6</f>
        <v>0</v>
      </c>
      <c r="BJ6" s="47">
        <f t="shared" ref="BJ6:BJ8" si="14">SUM(AW6:BH6)</f>
        <v>0</v>
      </c>
      <c r="BK6" s="26"/>
      <c r="BL6" s="49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46">
        <f t="shared" ref="BX6:BX8" si="15">BL6+BM6+BN6+BO6+BP6+BQ6+BR6+BS6+BT6+BU6+BV6+BW6</f>
        <v>0</v>
      </c>
      <c r="BY6" s="47">
        <f t="shared" ref="BY6:BY8" si="16">SUM(BL6:BW6)</f>
        <v>0</v>
      </c>
      <c r="BZ6" s="26"/>
      <c r="CA6" s="49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46">
        <f t="shared" ref="CM6:CM8" si="17">CA6+CB6+CC6+CD6+CE6+CF6+CG6+CH6+CI6+CJ6+CK6+CL6</f>
        <v>0</v>
      </c>
      <c r="CN6" s="47">
        <f t="shared" ref="CN6:CN8" si="18">SUM(CA6:CL6)</f>
        <v>0</v>
      </c>
      <c r="CO6" s="26"/>
      <c r="CP6" s="49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46">
        <f t="shared" ref="DB6:DB8" si="19">CP6+CQ6+CR6+CS6+CT6+CU6+CV6+CW6+CX6+CY6+CZ6+DA6</f>
        <v>0</v>
      </c>
      <c r="DC6" s="47">
        <f t="shared" ref="DC6:DC8" si="20">SUM(CP6:DA6)</f>
        <v>0</v>
      </c>
      <c r="DD6" s="26"/>
      <c r="DE6" s="49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46">
        <f t="shared" ref="DQ6:DQ8" si="21">DE6+DF6+DG6+DH6+DI6+DJ6+DK6+DL6+DM6+DN6+DO6+DP6</f>
        <v>0</v>
      </c>
      <c r="DR6" s="47">
        <f t="shared" ref="DR6:DR8" si="22">SUM(DE6:DP6)</f>
        <v>0</v>
      </c>
      <c r="DS6" s="26"/>
      <c r="DT6" s="49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46">
        <f t="shared" ref="EF6:EF8" si="23">DT6+DU6+DV6+DW6+DX6+DY6+DZ6+EA6+EB6+EC6+ED6+EE6</f>
        <v>0</v>
      </c>
      <c r="EG6" s="47">
        <f t="shared" ref="EG6:EG8" si="24">SUM(DT6:EE6)</f>
        <v>0</v>
      </c>
      <c r="EI6" s="26" t="s">
        <v>82</v>
      </c>
      <c r="EJ6" s="73">
        <v>4166.63</v>
      </c>
      <c r="EK6" s="74">
        <f t="shared" ref="EK6:EK7" si="25">EJ6/$EJ$8</f>
        <v>0.45533650986710844</v>
      </c>
      <c r="EL6" s="73">
        <v>446.25851100000006</v>
      </c>
      <c r="EM6" s="74">
        <f t="shared" ref="EM6:EM7" si="26">EL6/$EL$8</f>
        <v>0.31714621677274935</v>
      </c>
      <c r="EN6" s="26"/>
      <c r="EO6" s="26"/>
      <c r="EP6" s="26"/>
      <c r="EQ6" s="26"/>
      <c r="ER6" s="26"/>
    </row>
    <row r="7" spans="1:148">
      <c r="A7" s="22" t="s">
        <v>13</v>
      </c>
      <c r="B7" s="41">
        <f>AD7/10000</f>
        <v>-84.877281000000011</v>
      </c>
      <c r="C7" s="42">
        <f>AS7/10000</f>
        <v>714.69201500000008</v>
      </c>
      <c r="D7" s="41">
        <f>AE7/10000</f>
        <v>5999.4703119999995</v>
      </c>
      <c r="E7" s="42">
        <f t="shared" si="3"/>
        <v>2979.788575</v>
      </c>
      <c r="F7" s="43">
        <f>BH7/10000</f>
        <v>-682.04929100000004</v>
      </c>
      <c r="G7" s="43">
        <f>BW7/10000</f>
        <v>621.11655800000005</v>
      </c>
      <c r="H7" s="43">
        <f t="shared" si="4"/>
        <v>8764.2040620000007</v>
      </c>
      <c r="I7" s="43">
        <f t="shared" si="5"/>
        <v>2725.5825990000003</v>
      </c>
      <c r="J7" s="43">
        <f>CL7/10000</f>
        <v>457.65582299999994</v>
      </c>
      <c r="K7" s="43">
        <f>DA7/10000</f>
        <v>151.55846200000002</v>
      </c>
      <c r="L7" s="43">
        <f t="shared" si="6"/>
        <v>4636.9024009999994</v>
      </c>
      <c r="M7" s="43">
        <f t="shared" si="7"/>
        <v>1052.8916769999998</v>
      </c>
      <c r="N7" s="43">
        <f t="shared" si="8"/>
        <v>-309.27074900000014</v>
      </c>
      <c r="O7" s="43">
        <f t="shared" si="0"/>
        <v>1487.3670350000002</v>
      </c>
      <c r="P7" s="43">
        <f t="shared" si="1"/>
        <v>19400.576775000001</v>
      </c>
      <c r="Q7" s="44">
        <f t="shared" si="2"/>
        <v>6758.2628509999995</v>
      </c>
      <c r="S7" s="45">
        <v>5393228.1400000006</v>
      </c>
      <c r="T7" s="46">
        <v>3849962.51</v>
      </c>
      <c r="U7" s="46">
        <v>14974355.220000001</v>
      </c>
      <c r="V7" s="46">
        <v>5248120.6399999997</v>
      </c>
      <c r="W7" s="46">
        <v>4199374.42</v>
      </c>
      <c r="X7" s="46">
        <v>9844973.2699999996</v>
      </c>
      <c r="Y7" s="46">
        <v>2431516.5299999998</v>
      </c>
      <c r="Z7" s="46">
        <v>2545253.86</v>
      </c>
      <c r="AA7" s="46">
        <v>5513271.7699999996</v>
      </c>
      <c r="AB7" s="46">
        <v>3062002.2</v>
      </c>
      <c r="AC7" s="46">
        <v>3781417.37</v>
      </c>
      <c r="AD7" s="46">
        <f>3504509.19-4353282</f>
        <v>-848772.81</v>
      </c>
      <c r="AE7" s="72">
        <f t="shared" si="9"/>
        <v>59994703.119999997</v>
      </c>
      <c r="AF7" s="47">
        <f t="shared" si="10"/>
        <v>59994703.119999997</v>
      </c>
      <c r="AH7" s="45"/>
      <c r="AI7" s="46"/>
      <c r="AJ7" s="46"/>
      <c r="AK7" s="46"/>
      <c r="AL7" s="46"/>
      <c r="AM7" s="46"/>
      <c r="AN7" s="46"/>
      <c r="AO7" s="46"/>
      <c r="AP7" s="46">
        <v>7824120.8000000007</v>
      </c>
      <c r="AQ7" s="46">
        <v>7901929.6899999995</v>
      </c>
      <c r="AR7" s="46">
        <v>6924915.1099999994</v>
      </c>
      <c r="AS7" s="46">
        <v>7146920.1500000004</v>
      </c>
      <c r="AT7" s="72">
        <f t="shared" si="11"/>
        <v>29797885.75</v>
      </c>
      <c r="AU7" s="47">
        <f t="shared" si="12"/>
        <v>29797885.75</v>
      </c>
      <c r="AW7" s="45">
        <v>10320005.27</v>
      </c>
      <c r="AX7" s="46">
        <v>1325012.27</v>
      </c>
      <c r="AY7" s="46">
        <v>11676187.24</v>
      </c>
      <c r="AZ7" s="46">
        <v>8770643.0099999998</v>
      </c>
      <c r="BA7" s="46">
        <v>8757664.5199999996</v>
      </c>
      <c r="BB7" s="46">
        <v>9400574.7899999991</v>
      </c>
      <c r="BC7" s="46">
        <v>8504309.2200000007</v>
      </c>
      <c r="BD7" s="46">
        <v>8176926.2000000002</v>
      </c>
      <c r="BE7" s="46">
        <v>9123270.8100000005</v>
      </c>
      <c r="BF7" s="46">
        <v>10396425.700000001</v>
      </c>
      <c r="BG7" s="46">
        <v>8011514.5</v>
      </c>
      <c r="BH7" s="46">
        <f>8295568.09-15116061</f>
        <v>-6820492.9100000001</v>
      </c>
      <c r="BI7" s="46">
        <f t="shared" si="13"/>
        <v>87642040.620000005</v>
      </c>
      <c r="BJ7" s="47">
        <f t="shared" si="14"/>
        <v>87642040.620000005</v>
      </c>
      <c r="BL7" s="45"/>
      <c r="BM7" s="46"/>
      <c r="BN7" s="46"/>
      <c r="BO7" s="46"/>
      <c r="BP7" s="46"/>
      <c r="BQ7" s="46"/>
      <c r="BR7" s="46"/>
      <c r="BS7" s="46"/>
      <c r="BT7" s="46">
        <v>1852684.1500000001</v>
      </c>
      <c r="BU7" s="46">
        <v>13704910.379999999</v>
      </c>
      <c r="BV7" s="46">
        <v>5487065.8799999999</v>
      </c>
      <c r="BW7" s="46">
        <v>6211165.5800000001</v>
      </c>
      <c r="BX7" s="46">
        <f t="shared" si="15"/>
        <v>27255825.990000002</v>
      </c>
      <c r="BY7" s="47">
        <f t="shared" si="16"/>
        <v>27255825.990000002</v>
      </c>
      <c r="CA7" s="45">
        <v>1611098.44</v>
      </c>
      <c r="CB7" s="46">
        <v>1413753.69</v>
      </c>
      <c r="CC7" s="46">
        <v>2822094.55</v>
      </c>
      <c r="CD7" s="46">
        <v>2453804.84</v>
      </c>
      <c r="CE7" s="46">
        <v>2672511.36</v>
      </c>
      <c r="CF7" s="46">
        <v>3359401.87</v>
      </c>
      <c r="CG7" s="46">
        <v>2409853.04</v>
      </c>
      <c r="CH7" s="46">
        <v>3281095.53</v>
      </c>
      <c r="CI7" s="46">
        <v>5919947.9299999997</v>
      </c>
      <c r="CJ7" s="46">
        <v>3357226.39</v>
      </c>
      <c r="CK7" s="46">
        <v>12491678.139999999</v>
      </c>
      <c r="CL7" s="46">
        <v>4576558.2299999995</v>
      </c>
      <c r="CM7" s="46">
        <f t="shared" si="17"/>
        <v>46369024.009999998</v>
      </c>
      <c r="CN7" s="47">
        <f t="shared" si="18"/>
        <v>46369024.009999998</v>
      </c>
      <c r="CP7" s="45"/>
      <c r="CQ7" s="46"/>
      <c r="CR7" s="46"/>
      <c r="CS7" s="46"/>
      <c r="CT7" s="46"/>
      <c r="CU7" s="46"/>
      <c r="CV7" s="46"/>
      <c r="CW7" s="46">
        <v>331.03</v>
      </c>
      <c r="CX7" s="46">
        <v>2872985.01</v>
      </c>
      <c r="CY7" s="46">
        <v>1120264.6100000001</v>
      </c>
      <c r="CZ7" s="46">
        <v>5019751.5</v>
      </c>
      <c r="DA7" s="46">
        <v>1515584.62</v>
      </c>
      <c r="DB7" s="46">
        <f t="shared" si="19"/>
        <v>10528916.77</v>
      </c>
      <c r="DC7" s="47">
        <f t="shared" si="20"/>
        <v>10528916.77</v>
      </c>
      <c r="DE7" s="45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>
        <f t="shared" si="21"/>
        <v>0</v>
      </c>
      <c r="DR7" s="47">
        <f t="shared" si="22"/>
        <v>0</v>
      </c>
      <c r="DT7" s="45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>
        <f t="shared" si="23"/>
        <v>0</v>
      </c>
      <c r="EG7" s="47">
        <f t="shared" si="24"/>
        <v>0</v>
      </c>
      <c r="EI7" s="26" t="s">
        <v>83</v>
      </c>
      <c r="EJ7" s="73">
        <v>834.08804904286819</v>
      </c>
      <c r="EK7" s="74">
        <f t="shared" si="25"/>
        <v>9.115058000663491E-2</v>
      </c>
      <c r="EL7" s="73">
        <v>184.53299999999999</v>
      </c>
      <c r="EM7" s="74">
        <f t="shared" si="26"/>
        <v>0.1311435891465289</v>
      </c>
    </row>
    <row r="8" spans="1:148">
      <c r="A8" s="22" t="s">
        <v>14</v>
      </c>
      <c r="B8" s="41">
        <f>AD8/10000</f>
        <v>80.817109000000002</v>
      </c>
      <c r="C8" s="42">
        <f>AS8/10000</f>
        <v>190.98926400000002</v>
      </c>
      <c r="D8" s="41">
        <f>AE8/10000</f>
        <v>1744.4302</v>
      </c>
      <c r="E8" s="42">
        <f t="shared" si="3"/>
        <v>776.31501399999991</v>
      </c>
      <c r="F8" s="43">
        <f>BH8/10000</f>
        <v>152.43898100000001</v>
      </c>
      <c r="G8" s="43">
        <f>BW8/10000</f>
        <v>99.890152999999998</v>
      </c>
      <c r="H8" s="43">
        <f t="shared" si="4"/>
        <v>1862.3515649999999</v>
      </c>
      <c r="I8" s="43">
        <f t="shared" si="5"/>
        <v>446.25851100000006</v>
      </c>
      <c r="J8" s="43">
        <f>CL8/10000</f>
        <v>94.682518000000002</v>
      </c>
      <c r="K8" s="43">
        <f>DA8/10000</f>
        <v>20.215667</v>
      </c>
      <c r="L8" s="43">
        <f t="shared" si="6"/>
        <v>908.81286799999998</v>
      </c>
      <c r="M8" s="43">
        <f t="shared" si="7"/>
        <v>184.53299999999999</v>
      </c>
      <c r="N8" s="43">
        <f t="shared" si="8"/>
        <v>327.93860800000004</v>
      </c>
      <c r="O8" s="43">
        <f t="shared" si="0"/>
        <v>311.09508399999999</v>
      </c>
      <c r="P8" s="43">
        <f t="shared" si="1"/>
        <v>4515.5946329999997</v>
      </c>
      <c r="Q8" s="44">
        <f t="shared" si="2"/>
        <v>1407.1065249999999</v>
      </c>
      <c r="S8" s="45">
        <v>1711152.5999999999</v>
      </c>
      <c r="T8" s="46">
        <v>1171233.48</v>
      </c>
      <c r="U8" s="46">
        <v>4283319.72</v>
      </c>
      <c r="V8" s="46">
        <v>1440514.54</v>
      </c>
      <c r="W8" s="46">
        <v>1029111.37</v>
      </c>
      <c r="X8" s="46">
        <v>2415122.61</v>
      </c>
      <c r="Y8" s="46">
        <v>746519.66</v>
      </c>
      <c r="Z8" s="46">
        <v>717284.58</v>
      </c>
      <c r="AA8" s="46">
        <v>1386455.04</v>
      </c>
      <c r="AB8" s="46">
        <v>810346.06</v>
      </c>
      <c r="AC8" s="46">
        <v>925071.25</v>
      </c>
      <c r="AD8" s="46">
        <v>808171.09</v>
      </c>
      <c r="AE8" s="72">
        <f t="shared" si="9"/>
        <v>17444302</v>
      </c>
      <c r="AF8" s="47">
        <f t="shared" si="10"/>
        <v>17444302</v>
      </c>
      <c r="AH8" s="45"/>
      <c r="AI8" s="46"/>
      <c r="AJ8" s="46"/>
      <c r="AK8" s="46"/>
      <c r="AL8" s="46"/>
      <c r="AM8" s="46"/>
      <c r="AN8" s="46"/>
      <c r="AO8" s="46"/>
      <c r="AP8" s="46">
        <v>2063103.12</v>
      </c>
      <c r="AQ8" s="46">
        <v>2264353.6599999997</v>
      </c>
      <c r="AR8" s="46">
        <v>1525800.72</v>
      </c>
      <c r="AS8" s="46">
        <v>1909892.6400000001</v>
      </c>
      <c r="AT8" s="72">
        <f t="shared" si="11"/>
        <v>7763150.1399999987</v>
      </c>
      <c r="AU8" s="47">
        <f t="shared" si="12"/>
        <v>7763150.1399999987</v>
      </c>
      <c r="AW8" s="45">
        <v>1640867.81</v>
      </c>
      <c r="AX8" s="46">
        <v>226416.3</v>
      </c>
      <c r="AY8" s="46">
        <v>2047692.27</v>
      </c>
      <c r="AZ8" s="46">
        <v>1668537.07</v>
      </c>
      <c r="BA8" s="46">
        <v>1661116.8299999998</v>
      </c>
      <c r="BB8" s="46">
        <v>1887062.0499999998</v>
      </c>
      <c r="BC8" s="46">
        <v>1676086.4400000002</v>
      </c>
      <c r="BD8" s="46">
        <v>1649237.58</v>
      </c>
      <c r="BE8" s="46">
        <v>1522908.7799999998</v>
      </c>
      <c r="BF8" s="46">
        <v>1871494.6800000002</v>
      </c>
      <c r="BG8" s="46">
        <v>1247706.03</v>
      </c>
      <c r="BH8" s="46">
        <v>1524389.81</v>
      </c>
      <c r="BI8" s="46">
        <f t="shared" si="13"/>
        <v>18623515.649999999</v>
      </c>
      <c r="BJ8" s="47">
        <f t="shared" si="14"/>
        <v>18623515.649999999</v>
      </c>
      <c r="BL8" s="45"/>
      <c r="BM8" s="46"/>
      <c r="BN8" s="46"/>
      <c r="BO8" s="46"/>
      <c r="BP8" s="46"/>
      <c r="BQ8" s="46"/>
      <c r="BR8" s="46"/>
      <c r="BS8" s="46"/>
      <c r="BT8" s="46">
        <v>410418.72</v>
      </c>
      <c r="BU8" s="46">
        <v>2046400.74</v>
      </c>
      <c r="BV8" s="46">
        <v>1006864.12</v>
      </c>
      <c r="BW8" s="46">
        <v>998901.53</v>
      </c>
      <c r="BX8" s="46">
        <f t="shared" si="15"/>
        <v>4462585.1100000003</v>
      </c>
      <c r="BY8" s="47">
        <f t="shared" si="16"/>
        <v>4462585.1100000003</v>
      </c>
      <c r="CA8" s="45">
        <v>251343.35999999999</v>
      </c>
      <c r="CB8" s="46">
        <v>136404.82999999999</v>
      </c>
      <c r="CC8" s="46">
        <v>412490.83</v>
      </c>
      <c r="CD8" s="46">
        <v>385989.01000000007</v>
      </c>
      <c r="CE8" s="46">
        <v>400706.29</v>
      </c>
      <c r="CF8" s="46">
        <v>626387.21000000008</v>
      </c>
      <c r="CG8" s="46">
        <v>381258.06</v>
      </c>
      <c r="CH8" s="46">
        <v>577802.64</v>
      </c>
      <c r="CI8" s="46">
        <v>1211445.97</v>
      </c>
      <c r="CJ8" s="46">
        <v>938486.42</v>
      </c>
      <c r="CK8" s="46">
        <v>2818988.88</v>
      </c>
      <c r="CL8" s="46">
        <v>946825.18</v>
      </c>
      <c r="CM8" s="46">
        <f t="shared" si="17"/>
        <v>9088128.6799999997</v>
      </c>
      <c r="CN8" s="47">
        <f t="shared" si="18"/>
        <v>9088128.6799999997</v>
      </c>
      <c r="CP8" s="45"/>
      <c r="CQ8" s="46"/>
      <c r="CR8" s="46"/>
      <c r="CS8" s="46"/>
      <c r="CT8" s="46"/>
      <c r="CU8" s="46"/>
      <c r="CV8" s="46"/>
      <c r="CW8" s="46">
        <v>40</v>
      </c>
      <c r="CX8" s="46">
        <v>491334.6</v>
      </c>
      <c r="CY8" s="46">
        <v>153831.02000000002</v>
      </c>
      <c r="CZ8" s="46">
        <v>997967.71</v>
      </c>
      <c r="DA8" s="46">
        <v>202156.66999999998</v>
      </c>
      <c r="DB8" s="46">
        <f t="shared" si="19"/>
        <v>1845330</v>
      </c>
      <c r="DC8" s="47">
        <f t="shared" si="20"/>
        <v>1845330</v>
      </c>
      <c r="DE8" s="45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>
        <f t="shared" si="21"/>
        <v>0</v>
      </c>
      <c r="DR8" s="47">
        <f t="shared" si="22"/>
        <v>0</v>
      </c>
      <c r="DT8" s="45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>
        <f t="shared" si="23"/>
        <v>0</v>
      </c>
      <c r="EG8" s="47">
        <f t="shared" si="24"/>
        <v>0</v>
      </c>
      <c r="EI8" s="26" t="s">
        <v>84</v>
      </c>
      <c r="EJ8" s="73">
        <f>SUM(EJ5:EJ7)</f>
        <v>9150.6609061857253</v>
      </c>
      <c r="EK8" s="74">
        <f>EJ8/$EJ$8</f>
        <v>1</v>
      </c>
      <c r="EL8" s="73">
        <f>SUM(EL5:EL7)</f>
        <v>1407.1065249999999</v>
      </c>
      <c r="EM8" s="74">
        <f>EL8/$EL$8</f>
        <v>1</v>
      </c>
    </row>
    <row r="9" spans="1:148" s="40" customFormat="1">
      <c r="A9" s="35" t="s">
        <v>15</v>
      </c>
      <c r="B9" s="52">
        <f>B7-B8</f>
        <v>-165.69439</v>
      </c>
      <c r="C9" s="52">
        <f t="shared" ref="C9:Q9" si="27">C7-C8</f>
        <v>523.70275100000003</v>
      </c>
      <c r="D9" s="52">
        <f t="shared" si="27"/>
        <v>4255.0401119999997</v>
      </c>
      <c r="E9" s="52">
        <f t="shared" si="27"/>
        <v>2203.4735610000002</v>
      </c>
      <c r="F9" s="52">
        <f t="shared" si="27"/>
        <v>-834.48827200000005</v>
      </c>
      <c r="G9" s="52">
        <f t="shared" si="27"/>
        <v>521.22640500000011</v>
      </c>
      <c r="H9" s="52">
        <f t="shared" si="27"/>
        <v>6901.8524970000008</v>
      </c>
      <c r="I9" s="52">
        <f t="shared" si="27"/>
        <v>2279.3240880000003</v>
      </c>
      <c r="J9" s="52">
        <f t="shared" si="27"/>
        <v>362.97330499999993</v>
      </c>
      <c r="K9" s="52">
        <f t="shared" si="27"/>
        <v>131.34279500000002</v>
      </c>
      <c r="L9" s="52">
        <f t="shared" si="27"/>
        <v>3728.0895329999994</v>
      </c>
      <c r="M9" s="52">
        <f t="shared" si="27"/>
        <v>868.35867699999983</v>
      </c>
      <c r="N9" s="52">
        <f t="shared" si="27"/>
        <v>-637.20935700000018</v>
      </c>
      <c r="O9" s="52">
        <f t="shared" si="27"/>
        <v>1176.2719510000002</v>
      </c>
      <c r="P9" s="52">
        <f t="shared" si="27"/>
        <v>14884.982142000001</v>
      </c>
      <c r="Q9" s="53">
        <f t="shared" si="27"/>
        <v>5351.1563259999994</v>
      </c>
      <c r="R9" s="26"/>
      <c r="S9" s="54">
        <f>S7-S8</f>
        <v>3682075.540000001</v>
      </c>
      <c r="T9" s="55">
        <f t="shared" ref="T9:AF9" si="28">T7-T8</f>
        <v>2678729.0299999998</v>
      </c>
      <c r="U9" s="55">
        <f t="shared" si="28"/>
        <v>10691035.5</v>
      </c>
      <c r="V9" s="55">
        <f t="shared" si="28"/>
        <v>3807606.0999999996</v>
      </c>
      <c r="W9" s="55">
        <f t="shared" si="28"/>
        <v>3170263.05</v>
      </c>
      <c r="X9" s="55">
        <f t="shared" si="28"/>
        <v>7429850.6600000001</v>
      </c>
      <c r="Y9" s="55">
        <f t="shared" si="28"/>
        <v>1684996.8699999996</v>
      </c>
      <c r="Z9" s="55">
        <f t="shared" si="28"/>
        <v>1827969.2799999998</v>
      </c>
      <c r="AA9" s="55">
        <f t="shared" si="28"/>
        <v>4126816.7299999995</v>
      </c>
      <c r="AB9" s="55">
        <f t="shared" si="28"/>
        <v>2251656.14</v>
      </c>
      <c r="AC9" s="55">
        <f t="shared" si="28"/>
        <v>2856346.12</v>
      </c>
      <c r="AD9" s="55">
        <f t="shared" si="28"/>
        <v>-1656943.9</v>
      </c>
      <c r="AE9" s="55">
        <f t="shared" ref="AE9" si="29">AE7-AE8</f>
        <v>42550401.119999997</v>
      </c>
      <c r="AF9" s="56">
        <f t="shared" si="28"/>
        <v>42550401.119999997</v>
      </c>
      <c r="AG9" s="26"/>
      <c r="AH9" s="54">
        <f>AH7-AH8</f>
        <v>0</v>
      </c>
      <c r="AI9" s="55">
        <f t="shared" ref="AI9:AU9" si="30">AI7-AI8</f>
        <v>0</v>
      </c>
      <c r="AJ9" s="55">
        <f t="shared" si="30"/>
        <v>0</v>
      </c>
      <c r="AK9" s="55">
        <f t="shared" si="30"/>
        <v>0</v>
      </c>
      <c r="AL9" s="55">
        <f t="shared" si="30"/>
        <v>0</v>
      </c>
      <c r="AM9" s="55">
        <f t="shared" si="30"/>
        <v>0</v>
      </c>
      <c r="AN9" s="55">
        <f t="shared" si="30"/>
        <v>0</v>
      </c>
      <c r="AO9" s="55">
        <f t="shared" si="30"/>
        <v>0</v>
      </c>
      <c r="AP9" s="55">
        <f t="shared" si="30"/>
        <v>5761017.6800000006</v>
      </c>
      <c r="AQ9" s="55">
        <f t="shared" si="30"/>
        <v>5637576.0299999993</v>
      </c>
      <c r="AR9" s="55">
        <f t="shared" si="30"/>
        <v>5399114.3899999997</v>
      </c>
      <c r="AS9" s="55">
        <f t="shared" si="30"/>
        <v>5237027.51</v>
      </c>
      <c r="AT9" s="55">
        <f t="shared" si="30"/>
        <v>22034735.609999999</v>
      </c>
      <c r="AU9" s="56">
        <f t="shared" si="30"/>
        <v>22034735.609999999</v>
      </c>
      <c r="AV9" s="26"/>
      <c r="AW9" s="54">
        <f>AW7-AW8</f>
        <v>8679137.459999999</v>
      </c>
      <c r="AX9" s="55">
        <f t="shared" ref="AX9" si="31">AX7-AX8</f>
        <v>1098595.97</v>
      </c>
      <c r="AY9" s="55">
        <f t="shared" ref="AY9" si="32">AY7-AY8</f>
        <v>9628494.9700000007</v>
      </c>
      <c r="AZ9" s="55">
        <f t="shared" ref="AZ9" si="33">AZ7-AZ8</f>
        <v>7102105.9399999995</v>
      </c>
      <c r="BA9" s="55">
        <f t="shared" ref="BA9" si="34">BA7-BA8</f>
        <v>7096547.6899999995</v>
      </c>
      <c r="BB9" s="55">
        <f t="shared" ref="BB9" si="35">BB7-BB8</f>
        <v>7513512.7399999993</v>
      </c>
      <c r="BC9" s="55">
        <f t="shared" ref="BC9" si="36">BC7-BC8</f>
        <v>6828222.7800000003</v>
      </c>
      <c r="BD9" s="55">
        <f t="shared" ref="BD9" si="37">BD7-BD8</f>
        <v>6527688.6200000001</v>
      </c>
      <c r="BE9" s="55">
        <f t="shared" ref="BE9" si="38">BE7-BE8</f>
        <v>7600362.0300000012</v>
      </c>
      <c r="BF9" s="55">
        <f t="shared" ref="BF9" si="39">BF7-BF8</f>
        <v>8524931.0200000014</v>
      </c>
      <c r="BG9" s="55">
        <f t="shared" ref="BG9" si="40">BG7-BG8</f>
        <v>6763808.4699999997</v>
      </c>
      <c r="BH9" s="55">
        <f t="shared" ref="BH9:BI9" si="41">BH7-BH8</f>
        <v>-8344882.7200000007</v>
      </c>
      <c r="BI9" s="55">
        <f t="shared" si="41"/>
        <v>69018524.969999999</v>
      </c>
      <c r="BJ9" s="56">
        <f t="shared" ref="BJ9" si="42">BJ7-BJ8</f>
        <v>69018524.969999999</v>
      </c>
      <c r="BK9" s="26"/>
      <c r="BL9" s="54">
        <f>BL7-BL8</f>
        <v>0</v>
      </c>
      <c r="BM9" s="55">
        <f t="shared" ref="BM9" si="43">BM7-BM8</f>
        <v>0</v>
      </c>
      <c r="BN9" s="55">
        <f t="shared" ref="BN9" si="44">BN7-BN8</f>
        <v>0</v>
      </c>
      <c r="BO9" s="55">
        <f t="shared" ref="BO9" si="45">BO7-BO8</f>
        <v>0</v>
      </c>
      <c r="BP9" s="55">
        <f t="shared" ref="BP9" si="46">BP7-BP8</f>
        <v>0</v>
      </c>
      <c r="BQ9" s="55">
        <f t="shared" ref="BQ9" si="47">BQ7-BQ8</f>
        <v>0</v>
      </c>
      <c r="BR9" s="55">
        <f t="shared" ref="BR9" si="48">BR7-BR8</f>
        <v>0</v>
      </c>
      <c r="BS9" s="55">
        <f t="shared" ref="BS9" si="49">BS7-BS8</f>
        <v>0</v>
      </c>
      <c r="BT9" s="55">
        <f t="shared" ref="BT9" si="50">BT7-BT8</f>
        <v>1442265.4300000002</v>
      </c>
      <c r="BU9" s="55">
        <f t="shared" ref="BU9" si="51">BU7-BU8</f>
        <v>11658509.639999999</v>
      </c>
      <c r="BV9" s="55">
        <f t="shared" ref="BV9" si="52">BV7-BV8</f>
        <v>4480201.76</v>
      </c>
      <c r="BW9" s="55">
        <f t="shared" ref="BW9:BX9" si="53">BW7-BW8</f>
        <v>5212264.05</v>
      </c>
      <c r="BX9" s="55">
        <f t="shared" si="53"/>
        <v>22793240.880000003</v>
      </c>
      <c r="BY9" s="56">
        <f t="shared" ref="BY9" si="54">BY7-BY8</f>
        <v>22793240.880000003</v>
      </c>
      <c r="BZ9" s="26"/>
      <c r="CA9" s="54">
        <f>CA7-CA8</f>
        <v>1359755.08</v>
      </c>
      <c r="CB9" s="55">
        <f t="shared" ref="CB9" si="55">CB7-CB8</f>
        <v>1277348.8599999999</v>
      </c>
      <c r="CC9" s="55">
        <f t="shared" ref="CC9" si="56">CC7-CC8</f>
        <v>2409603.7199999997</v>
      </c>
      <c r="CD9" s="55">
        <f t="shared" ref="CD9" si="57">CD7-CD8</f>
        <v>2067815.8299999998</v>
      </c>
      <c r="CE9" s="55">
        <f t="shared" ref="CE9" si="58">CE7-CE8</f>
        <v>2271805.0699999998</v>
      </c>
      <c r="CF9" s="55">
        <f t="shared" ref="CF9" si="59">CF7-CF8</f>
        <v>2733014.66</v>
      </c>
      <c r="CG9" s="55">
        <f t="shared" ref="CG9" si="60">CG7-CG8</f>
        <v>2028594.98</v>
      </c>
      <c r="CH9" s="55">
        <f t="shared" ref="CH9" si="61">CH7-CH8</f>
        <v>2703292.8899999997</v>
      </c>
      <c r="CI9" s="55">
        <f t="shared" ref="CI9" si="62">CI7-CI8</f>
        <v>4708501.96</v>
      </c>
      <c r="CJ9" s="55">
        <f t="shared" ref="CJ9" si="63">CJ7-CJ8</f>
        <v>2418739.9700000002</v>
      </c>
      <c r="CK9" s="55">
        <f t="shared" ref="CK9" si="64">CK7-CK8</f>
        <v>9672689.2599999979</v>
      </c>
      <c r="CL9" s="55">
        <f t="shared" ref="CL9:CM9" si="65">CL7-CL8</f>
        <v>3629733.0499999993</v>
      </c>
      <c r="CM9" s="55">
        <f t="shared" si="65"/>
        <v>37280895.329999998</v>
      </c>
      <c r="CN9" s="56">
        <f t="shared" ref="CN9" si="66">CN7-CN8</f>
        <v>37280895.329999998</v>
      </c>
      <c r="CO9" s="26"/>
      <c r="CP9" s="54">
        <f>CP7-CP8</f>
        <v>0</v>
      </c>
      <c r="CQ9" s="55">
        <f t="shared" ref="CQ9" si="67">CQ7-CQ8</f>
        <v>0</v>
      </c>
      <c r="CR9" s="55">
        <f t="shared" ref="CR9" si="68">CR7-CR8</f>
        <v>0</v>
      </c>
      <c r="CS9" s="55">
        <f t="shared" ref="CS9" si="69">CS7-CS8</f>
        <v>0</v>
      </c>
      <c r="CT9" s="55">
        <f t="shared" ref="CT9" si="70">CT7-CT8</f>
        <v>0</v>
      </c>
      <c r="CU9" s="55">
        <f t="shared" ref="CU9" si="71">CU7-CU8</f>
        <v>0</v>
      </c>
      <c r="CV9" s="55">
        <f t="shared" ref="CV9" si="72">CV7-CV8</f>
        <v>0</v>
      </c>
      <c r="CW9" s="55">
        <f t="shared" ref="CW9" si="73">CW7-CW8</f>
        <v>291.02999999999997</v>
      </c>
      <c r="CX9" s="55">
        <f t="shared" ref="CX9" si="74">CX7-CX8</f>
        <v>2381650.4099999997</v>
      </c>
      <c r="CY9" s="55">
        <f t="shared" ref="CY9" si="75">CY7-CY8</f>
        <v>966433.59000000008</v>
      </c>
      <c r="CZ9" s="55">
        <f t="shared" ref="CZ9" si="76">CZ7-CZ8</f>
        <v>4021783.79</v>
      </c>
      <c r="DA9" s="55">
        <f t="shared" ref="DA9:DB9" si="77">DA7-DA8</f>
        <v>1313427.9500000002</v>
      </c>
      <c r="DB9" s="55">
        <f t="shared" si="77"/>
        <v>8683586.7699999996</v>
      </c>
      <c r="DC9" s="56">
        <f t="shared" ref="DC9" si="78">DC7-DC8</f>
        <v>8683586.7699999996</v>
      </c>
      <c r="DD9" s="26"/>
      <c r="DE9" s="54">
        <f>DE7-DE8</f>
        <v>0</v>
      </c>
      <c r="DF9" s="55">
        <f t="shared" ref="DF9" si="79">DF7-DF8</f>
        <v>0</v>
      </c>
      <c r="DG9" s="55">
        <f t="shared" ref="DG9" si="80">DG7-DG8</f>
        <v>0</v>
      </c>
      <c r="DH9" s="55">
        <f t="shared" ref="DH9" si="81">DH7-DH8</f>
        <v>0</v>
      </c>
      <c r="DI9" s="55">
        <f t="shared" ref="DI9" si="82">DI7-DI8</f>
        <v>0</v>
      </c>
      <c r="DJ9" s="55">
        <f t="shared" ref="DJ9" si="83">DJ7-DJ8</f>
        <v>0</v>
      </c>
      <c r="DK9" s="55">
        <f t="shared" ref="DK9" si="84">DK7-DK8</f>
        <v>0</v>
      </c>
      <c r="DL9" s="55">
        <f t="shared" ref="DL9" si="85">DL7-DL8</f>
        <v>0</v>
      </c>
      <c r="DM9" s="55">
        <f t="shared" ref="DM9" si="86">DM7-DM8</f>
        <v>0</v>
      </c>
      <c r="DN9" s="55">
        <f t="shared" ref="DN9" si="87">DN7-DN8</f>
        <v>0</v>
      </c>
      <c r="DO9" s="55">
        <f t="shared" ref="DO9" si="88">DO7-DO8</f>
        <v>0</v>
      </c>
      <c r="DP9" s="55">
        <f t="shared" ref="DP9" si="89">DP7-DP8</f>
        <v>0</v>
      </c>
      <c r="DQ9" s="55">
        <f t="shared" ref="DQ9" si="90">DQ7-DQ8</f>
        <v>0</v>
      </c>
      <c r="DR9" s="56">
        <f t="shared" ref="DR9" si="91">DR7-DR8</f>
        <v>0</v>
      </c>
      <c r="DS9" s="26"/>
      <c r="DT9" s="54">
        <f>DT7-DT8</f>
        <v>0</v>
      </c>
      <c r="DU9" s="55">
        <f t="shared" ref="DU9" si="92">DU7-DU8</f>
        <v>0</v>
      </c>
      <c r="DV9" s="55">
        <f t="shared" ref="DV9" si="93">DV7-DV8</f>
        <v>0</v>
      </c>
      <c r="DW9" s="55">
        <f t="shared" ref="DW9" si="94">DW7-DW8</f>
        <v>0</v>
      </c>
      <c r="DX9" s="55">
        <f t="shared" ref="DX9" si="95">DX7-DX8</f>
        <v>0</v>
      </c>
      <c r="DY9" s="55">
        <f t="shared" ref="DY9" si="96">DY7-DY8</f>
        <v>0</v>
      </c>
      <c r="DZ9" s="55">
        <f t="shared" ref="DZ9" si="97">DZ7-DZ8</f>
        <v>0</v>
      </c>
      <c r="EA9" s="55">
        <f t="shared" ref="EA9" si="98">EA7-EA8</f>
        <v>0</v>
      </c>
      <c r="EB9" s="55">
        <f t="shared" ref="EB9" si="99">EB7-EB8</f>
        <v>0</v>
      </c>
      <c r="EC9" s="55">
        <f t="shared" ref="EC9" si="100">EC7-EC8</f>
        <v>0</v>
      </c>
      <c r="ED9" s="55">
        <f t="shared" ref="ED9" si="101">ED7-ED8</f>
        <v>0</v>
      </c>
      <c r="EE9" s="55">
        <f t="shared" ref="EE9" si="102">EE7-EE8</f>
        <v>0</v>
      </c>
      <c r="EF9" s="55">
        <f t="shared" ref="EF9" si="103">EF7-EF8</f>
        <v>0</v>
      </c>
      <c r="EG9" s="56">
        <f t="shared" ref="EG9" si="104">EG7-EG8</f>
        <v>0</v>
      </c>
      <c r="EI9" s="26"/>
      <c r="EJ9" s="26"/>
      <c r="EK9" s="26"/>
      <c r="EL9" s="26"/>
      <c r="EM9" s="26"/>
      <c r="EN9" s="26"/>
      <c r="EO9" s="26"/>
      <c r="EP9" s="26"/>
      <c r="EQ9" s="26"/>
      <c r="ER9" s="26"/>
    </row>
    <row r="10" spans="1:148" s="40" customFormat="1">
      <c r="A10" s="35" t="s">
        <v>16</v>
      </c>
      <c r="B10" s="57">
        <f>B9/B7</f>
        <v>1.9521642075221517</v>
      </c>
      <c r="C10" s="57">
        <f t="shared" ref="C10:Q10" si="105">C9/C7</f>
        <v>0.73276703812060917</v>
      </c>
      <c r="D10" s="57">
        <f t="shared" si="105"/>
        <v>0.70923596429657609</v>
      </c>
      <c r="E10" s="57">
        <f t="shared" si="105"/>
        <v>0.73947312218283812</v>
      </c>
      <c r="F10" s="57">
        <f t="shared" si="105"/>
        <v>1.223501414064222</v>
      </c>
      <c r="G10" s="57">
        <f t="shared" si="105"/>
        <v>0.83917647708242238</v>
      </c>
      <c r="H10" s="57">
        <f t="shared" si="105"/>
        <v>0.7875047691923539</v>
      </c>
      <c r="I10" s="57">
        <f t="shared" si="105"/>
        <v>0.83627041383235656</v>
      </c>
      <c r="J10" s="57">
        <f t="shared" si="105"/>
        <v>0.79311414114794287</v>
      </c>
      <c r="K10" s="57">
        <f t="shared" si="105"/>
        <v>0.86661472587390076</v>
      </c>
      <c r="L10" s="57">
        <f t="shared" si="105"/>
        <v>0.80400431378413217</v>
      </c>
      <c r="M10" s="57">
        <f t="shared" si="105"/>
        <v>0.82473695629754695</v>
      </c>
      <c r="N10" s="57">
        <f t="shared" si="105"/>
        <v>2.0603608943308114</v>
      </c>
      <c r="O10" s="57">
        <f t="shared" si="105"/>
        <v>0.79084175144435687</v>
      </c>
      <c r="P10" s="57">
        <f t="shared" si="105"/>
        <v>0.76724431003417937</v>
      </c>
      <c r="Q10" s="58">
        <f t="shared" si="105"/>
        <v>0.7917946436795078</v>
      </c>
      <c r="R10" s="26"/>
      <c r="S10" s="54">
        <f>S9/S7</f>
        <v>0.68272200700933083</v>
      </c>
      <c r="T10" s="55">
        <f t="shared" ref="T10:AF10" si="106">T9/T7</f>
        <v>0.69578054930202426</v>
      </c>
      <c r="U10" s="55">
        <f t="shared" si="106"/>
        <v>0.71395631684500671</v>
      </c>
      <c r="V10" s="55">
        <f t="shared" si="106"/>
        <v>0.72551802086622763</v>
      </c>
      <c r="W10" s="55">
        <f t="shared" si="106"/>
        <v>0.75493698178025281</v>
      </c>
      <c r="X10" s="55">
        <f t="shared" si="106"/>
        <v>0.7546846960611403</v>
      </c>
      <c r="Y10" s="55">
        <f t="shared" si="106"/>
        <v>0.69298186922052296</v>
      </c>
      <c r="Z10" s="55">
        <f t="shared" si="106"/>
        <v>0.71818741097990124</v>
      </c>
      <c r="AA10" s="55">
        <f t="shared" si="106"/>
        <v>0.74852408917255309</v>
      </c>
      <c r="AB10" s="55">
        <f t="shared" si="106"/>
        <v>0.73535418753128268</v>
      </c>
      <c r="AC10" s="55">
        <f t="shared" si="106"/>
        <v>0.75536388621391459</v>
      </c>
      <c r="AD10" s="55">
        <f t="shared" si="106"/>
        <v>1.9521642075221517</v>
      </c>
      <c r="AE10" s="55">
        <f t="shared" ref="AE10" si="107">AE9/AE7</f>
        <v>0.70923596429657609</v>
      </c>
      <c r="AF10" s="56">
        <f t="shared" si="106"/>
        <v>0.70923596429657609</v>
      </c>
      <c r="AG10" s="26"/>
      <c r="AH10" s="54" t="e">
        <f>AH9/AH7</f>
        <v>#DIV/0!</v>
      </c>
      <c r="AI10" s="55" t="e">
        <f t="shared" ref="AI10:AU10" si="108">AI9/AI7</f>
        <v>#DIV/0!</v>
      </c>
      <c r="AJ10" s="55" t="e">
        <f t="shared" si="108"/>
        <v>#DIV/0!</v>
      </c>
      <c r="AK10" s="55" t="e">
        <f t="shared" si="108"/>
        <v>#DIV/0!</v>
      </c>
      <c r="AL10" s="55" t="e">
        <f t="shared" si="108"/>
        <v>#DIV/0!</v>
      </c>
      <c r="AM10" s="55" t="e">
        <f t="shared" si="108"/>
        <v>#DIV/0!</v>
      </c>
      <c r="AN10" s="55" t="e">
        <f t="shared" si="108"/>
        <v>#DIV/0!</v>
      </c>
      <c r="AO10" s="55" t="e">
        <f t="shared" si="108"/>
        <v>#DIV/0!</v>
      </c>
      <c r="AP10" s="55">
        <f t="shared" si="108"/>
        <v>0.73631502213002642</v>
      </c>
      <c r="AQ10" s="55">
        <f t="shared" si="108"/>
        <v>0.71344295016120296</v>
      </c>
      <c r="AR10" s="55">
        <f t="shared" si="108"/>
        <v>0.7796650650927619</v>
      </c>
      <c r="AS10" s="55">
        <f t="shared" si="108"/>
        <v>0.73276703812060917</v>
      </c>
      <c r="AT10" s="55">
        <f t="shared" si="108"/>
        <v>0.73947312218283812</v>
      </c>
      <c r="AU10" s="56">
        <f t="shared" si="108"/>
        <v>0.73947312218283812</v>
      </c>
      <c r="AV10" s="26"/>
      <c r="AW10" s="54">
        <f>AW9/AW7</f>
        <v>0.84100126239567308</v>
      </c>
      <c r="AX10" s="55">
        <f t="shared" ref="AX10" si="109">AX9/AX7</f>
        <v>0.82912135598563175</v>
      </c>
      <c r="AY10" s="55">
        <f t="shared" ref="AY10" si="110">AY9/AY7</f>
        <v>0.82462663300010597</v>
      </c>
      <c r="AZ10" s="55">
        <f t="shared" ref="AZ10" si="111">AZ9/AZ7</f>
        <v>0.80975886624303495</v>
      </c>
      <c r="BA10" s="55">
        <f t="shared" ref="BA10" si="112">BA9/BA7</f>
        <v>0.8103242221477559</v>
      </c>
      <c r="BB10" s="55">
        <f t="shared" ref="BB10" si="113">BB9/BB7</f>
        <v>0.79926099284828944</v>
      </c>
      <c r="BC10" s="55">
        <f t="shared" ref="BC10" si="114">BC9/BC7</f>
        <v>0.80291327647655786</v>
      </c>
      <c r="BD10" s="55">
        <f t="shared" ref="BD10" si="115">BD9/BD7</f>
        <v>0.79830592331871597</v>
      </c>
      <c r="BE10" s="55">
        <f t="shared" ref="BE10" si="116">BE9/BE7</f>
        <v>0.83307425464881057</v>
      </c>
      <c r="BF10" s="55">
        <f t="shared" ref="BF10" si="117">BF9/BF7</f>
        <v>0.81998672101316517</v>
      </c>
      <c r="BG10" s="55">
        <f t="shared" ref="BG10" si="118">BG9/BG7</f>
        <v>0.84426090347836225</v>
      </c>
      <c r="BH10" s="55">
        <f t="shared" ref="BH10:BI10" si="119">BH9/BH7</f>
        <v>1.223501414064222</v>
      </c>
      <c r="BI10" s="55">
        <f t="shared" si="119"/>
        <v>0.78750476919235379</v>
      </c>
      <c r="BJ10" s="56">
        <f t="shared" ref="BJ10" si="120">BJ9/BJ7</f>
        <v>0.78750476919235379</v>
      </c>
      <c r="BK10" s="26"/>
      <c r="BL10" s="54" t="e">
        <f>BL9/BL7</f>
        <v>#DIV/0!</v>
      </c>
      <c r="BM10" s="55" t="e">
        <f t="shared" ref="BM10" si="121">BM9/BM7</f>
        <v>#DIV/0!</v>
      </c>
      <c r="BN10" s="55" t="e">
        <f t="shared" ref="BN10" si="122">BN9/BN7</f>
        <v>#DIV/0!</v>
      </c>
      <c r="BO10" s="55" t="e">
        <f t="shared" ref="BO10" si="123">BO9/BO7</f>
        <v>#DIV/0!</v>
      </c>
      <c r="BP10" s="55" t="e">
        <f t="shared" ref="BP10" si="124">BP9/BP7</f>
        <v>#DIV/0!</v>
      </c>
      <c r="BQ10" s="55" t="e">
        <f t="shared" ref="BQ10" si="125">BQ9/BQ7</f>
        <v>#DIV/0!</v>
      </c>
      <c r="BR10" s="55" t="e">
        <f t="shared" ref="BR10" si="126">BR9/BR7</f>
        <v>#DIV/0!</v>
      </c>
      <c r="BS10" s="55" t="e">
        <f t="shared" ref="BS10" si="127">BS9/BS7</f>
        <v>#DIV/0!</v>
      </c>
      <c r="BT10" s="55">
        <f t="shared" ref="BT10" si="128">BT9/BT7</f>
        <v>0.77847345431222048</v>
      </c>
      <c r="BU10" s="55">
        <f t="shared" ref="BU10" si="129">BU9/BU7</f>
        <v>0.85068120233851541</v>
      </c>
      <c r="BV10" s="55">
        <f t="shared" ref="BV10" si="130">BV9/BV7</f>
        <v>0.81650227243125428</v>
      </c>
      <c r="BW10" s="55">
        <f t="shared" ref="BW10:BX10" si="131">BW9/BW7</f>
        <v>0.83917647708242227</v>
      </c>
      <c r="BX10" s="55">
        <f t="shared" si="131"/>
        <v>0.83627041383235656</v>
      </c>
      <c r="BY10" s="56">
        <f t="shared" ref="BY10" si="132">BY9/BY7</f>
        <v>0.83627041383235656</v>
      </c>
      <c r="BZ10" s="26"/>
      <c r="CA10" s="54">
        <f>CA9/CA7</f>
        <v>0.84399254958002445</v>
      </c>
      <c r="CB10" s="55">
        <f t="shared" ref="CB10" si="133">CB9/CB7</f>
        <v>0.90351584511160488</v>
      </c>
      <c r="CC10" s="55">
        <f t="shared" ref="CC10" si="134">CC9/CC7</f>
        <v>0.85383521965980902</v>
      </c>
      <c r="CD10" s="55">
        <f t="shared" ref="CD10" si="135">CD9/CD7</f>
        <v>0.84269775505047906</v>
      </c>
      <c r="CE10" s="55">
        <f t="shared" ref="CE10" si="136">CE9/CE7</f>
        <v>0.85006376549134666</v>
      </c>
      <c r="CF10" s="55">
        <f t="shared" ref="CF10" si="137">CF9/CF7</f>
        <v>0.81354204282799902</v>
      </c>
      <c r="CG10" s="55">
        <f t="shared" ref="CG10" si="138">CG9/CG7</f>
        <v>0.84179198744833006</v>
      </c>
      <c r="CH10" s="55">
        <f t="shared" ref="CH10" si="139">CH9/CH7</f>
        <v>0.82389947664827667</v>
      </c>
      <c r="CI10" s="55">
        <f t="shared" ref="CI10" si="140">CI9/CI7</f>
        <v>0.7953620565037639</v>
      </c>
      <c r="CJ10" s="55">
        <f t="shared" ref="CJ10" si="141">CJ9/CJ7</f>
        <v>0.72045780922149849</v>
      </c>
      <c r="CK10" s="55">
        <f t="shared" ref="CK10" si="142">CK9/CK7</f>
        <v>0.7743306505013744</v>
      </c>
      <c r="CL10" s="55">
        <f t="shared" ref="CL10:CM10" si="143">CL9/CL7</f>
        <v>0.79311414114794287</v>
      </c>
      <c r="CM10" s="55">
        <f t="shared" si="143"/>
        <v>0.80400431378413217</v>
      </c>
      <c r="CN10" s="56">
        <f t="shared" ref="CN10" si="144">CN9/CN7</f>
        <v>0.80400431378413217</v>
      </c>
      <c r="CO10" s="26"/>
      <c r="CP10" s="54" t="e">
        <f>CP9/CP7</f>
        <v>#DIV/0!</v>
      </c>
      <c r="CQ10" s="55" t="e">
        <f t="shared" ref="CQ10" si="145">CQ9/CQ7</f>
        <v>#DIV/0!</v>
      </c>
      <c r="CR10" s="55" t="e">
        <f t="shared" ref="CR10" si="146">CR9/CR7</f>
        <v>#DIV/0!</v>
      </c>
      <c r="CS10" s="55" t="e">
        <f t="shared" ref="CS10" si="147">CS9/CS7</f>
        <v>#DIV/0!</v>
      </c>
      <c r="CT10" s="55" t="e">
        <f t="shared" ref="CT10" si="148">CT9/CT7</f>
        <v>#DIV/0!</v>
      </c>
      <c r="CU10" s="55" t="e">
        <f t="shared" ref="CU10" si="149">CU9/CU7</f>
        <v>#DIV/0!</v>
      </c>
      <c r="CV10" s="55" t="e">
        <f t="shared" ref="CV10" si="150">CV9/CV7</f>
        <v>#DIV/0!</v>
      </c>
      <c r="CW10" s="55">
        <f t="shared" ref="CW10" si="151">CW9/CW7</f>
        <v>0.8791650303597861</v>
      </c>
      <c r="CX10" s="55">
        <f t="shared" ref="CX10" si="152">CX9/CX7</f>
        <v>0.82898114738162165</v>
      </c>
      <c r="CY10" s="55">
        <f t="shared" ref="CY10" si="153">CY9/CY7</f>
        <v>0.8626833172923315</v>
      </c>
      <c r="CZ10" s="55">
        <f t="shared" ref="CZ10" si="154">CZ9/CZ7</f>
        <v>0.80119180999298467</v>
      </c>
      <c r="DA10" s="55">
        <f t="shared" ref="DA10:DB10" si="155">DA9/DA7</f>
        <v>0.86661472587390076</v>
      </c>
      <c r="DB10" s="55">
        <f t="shared" si="155"/>
        <v>0.82473695629754706</v>
      </c>
      <c r="DC10" s="56">
        <f t="shared" ref="DC10" si="156">DC9/DC7</f>
        <v>0.82473695629754706</v>
      </c>
      <c r="DD10" s="26"/>
      <c r="DE10" s="54" t="e">
        <f>DE9/DE7</f>
        <v>#DIV/0!</v>
      </c>
      <c r="DF10" s="55" t="e">
        <f t="shared" ref="DF10" si="157">DF9/DF7</f>
        <v>#DIV/0!</v>
      </c>
      <c r="DG10" s="55" t="e">
        <f t="shared" ref="DG10" si="158">DG9/DG7</f>
        <v>#DIV/0!</v>
      </c>
      <c r="DH10" s="55" t="e">
        <f t="shared" ref="DH10" si="159">DH9/DH7</f>
        <v>#DIV/0!</v>
      </c>
      <c r="DI10" s="55" t="e">
        <f t="shared" ref="DI10" si="160">DI9/DI7</f>
        <v>#DIV/0!</v>
      </c>
      <c r="DJ10" s="55" t="e">
        <f t="shared" ref="DJ10" si="161">DJ9/DJ7</f>
        <v>#DIV/0!</v>
      </c>
      <c r="DK10" s="55" t="e">
        <f t="shared" ref="DK10" si="162">DK9/DK7</f>
        <v>#DIV/0!</v>
      </c>
      <c r="DL10" s="55" t="e">
        <f t="shared" ref="DL10" si="163">DL9/DL7</f>
        <v>#DIV/0!</v>
      </c>
      <c r="DM10" s="55" t="e">
        <f t="shared" ref="DM10" si="164">DM9/DM7</f>
        <v>#DIV/0!</v>
      </c>
      <c r="DN10" s="55" t="e">
        <f t="shared" ref="DN10" si="165">DN9/DN7</f>
        <v>#DIV/0!</v>
      </c>
      <c r="DO10" s="55" t="e">
        <f t="shared" ref="DO10" si="166">DO9/DO7</f>
        <v>#DIV/0!</v>
      </c>
      <c r="DP10" s="55" t="e">
        <f t="shared" ref="DP10" si="167">DP9/DP7</f>
        <v>#DIV/0!</v>
      </c>
      <c r="DQ10" s="55" t="e">
        <f t="shared" ref="DQ10" si="168">DQ9/DQ7</f>
        <v>#DIV/0!</v>
      </c>
      <c r="DR10" s="56" t="e">
        <f t="shared" ref="DR10" si="169">DR9/DR7</f>
        <v>#DIV/0!</v>
      </c>
      <c r="DS10" s="26"/>
      <c r="DT10" s="54" t="e">
        <f>DT9/DT7</f>
        <v>#DIV/0!</v>
      </c>
      <c r="DU10" s="55" t="e">
        <f t="shared" ref="DU10" si="170">DU9/DU7</f>
        <v>#DIV/0!</v>
      </c>
      <c r="DV10" s="55" t="e">
        <f t="shared" ref="DV10" si="171">DV9/DV7</f>
        <v>#DIV/0!</v>
      </c>
      <c r="DW10" s="55" t="e">
        <f t="shared" ref="DW10" si="172">DW9/DW7</f>
        <v>#DIV/0!</v>
      </c>
      <c r="DX10" s="55" t="e">
        <f t="shared" ref="DX10" si="173">DX9/DX7</f>
        <v>#DIV/0!</v>
      </c>
      <c r="DY10" s="55" t="e">
        <f t="shared" ref="DY10" si="174">DY9/DY7</f>
        <v>#DIV/0!</v>
      </c>
      <c r="DZ10" s="55" t="e">
        <f t="shared" ref="DZ10" si="175">DZ9/DZ7</f>
        <v>#DIV/0!</v>
      </c>
      <c r="EA10" s="55" t="e">
        <f t="shared" ref="EA10" si="176">EA9/EA7</f>
        <v>#DIV/0!</v>
      </c>
      <c r="EB10" s="55" t="e">
        <f t="shared" ref="EB10" si="177">EB9/EB7</f>
        <v>#DIV/0!</v>
      </c>
      <c r="EC10" s="55" t="e">
        <f t="shared" ref="EC10" si="178">EC9/EC7</f>
        <v>#DIV/0!</v>
      </c>
      <c r="ED10" s="55" t="e">
        <f t="shared" ref="ED10" si="179">ED9/ED7</f>
        <v>#DIV/0!</v>
      </c>
      <c r="EE10" s="55" t="e">
        <f t="shared" ref="EE10" si="180">EE9/EE7</f>
        <v>#DIV/0!</v>
      </c>
      <c r="EF10" s="55" t="e">
        <f t="shared" ref="EF10" si="181">EF9/EF7</f>
        <v>#DIV/0!</v>
      </c>
      <c r="EG10" s="56" t="e">
        <f t="shared" ref="EG10" si="182">EG9/EG7</f>
        <v>#DIV/0!</v>
      </c>
      <c r="EI10" s="26">
        <v>10000</v>
      </c>
      <c r="EJ10" s="26"/>
      <c r="EK10" s="26"/>
      <c r="EL10" s="26"/>
      <c r="EM10" s="26"/>
      <c r="EN10" s="26"/>
      <c r="EO10" s="26"/>
      <c r="EP10" s="26"/>
      <c r="EQ10" s="26"/>
      <c r="ER10" s="26"/>
    </row>
    <row r="11" spans="1:148" s="40" customFormat="1">
      <c r="A11" s="35" t="s">
        <v>17</v>
      </c>
      <c r="B11" s="59">
        <f>SUM(B12:B25)</f>
        <v>282.48349400000035</v>
      </c>
      <c r="C11" s="59">
        <f t="shared" ref="C11:Q11" si="183">SUM(C12:C25)</f>
        <v>364.51819999999987</v>
      </c>
      <c r="D11" s="59">
        <f t="shared" si="183"/>
        <v>2689.3125340000029</v>
      </c>
      <c r="E11" s="59">
        <f t="shared" si="183"/>
        <v>916.5225029999998</v>
      </c>
      <c r="F11" s="59">
        <f t="shared" si="183"/>
        <v>953.76533587400024</v>
      </c>
      <c r="G11" s="59">
        <f t="shared" si="183"/>
        <v>2265.4784220000001</v>
      </c>
      <c r="H11" s="59">
        <f t="shared" si="183"/>
        <v>9572.0134870000002</v>
      </c>
      <c r="I11" s="59">
        <f t="shared" si="183"/>
        <v>2824.0686330000003</v>
      </c>
      <c r="J11" s="59">
        <f t="shared" si="183"/>
        <v>660.29280000000017</v>
      </c>
      <c r="K11" s="59">
        <f t="shared" si="183"/>
        <v>20.729632000000006</v>
      </c>
      <c r="L11" s="59">
        <f t="shared" si="183"/>
        <v>4101.1877259999992</v>
      </c>
      <c r="M11" s="59">
        <f t="shared" si="183"/>
        <v>1021.2995520000001</v>
      </c>
      <c r="N11" s="59">
        <f t="shared" si="183"/>
        <v>1896.541629874001</v>
      </c>
      <c r="O11" s="59">
        <f t="shared" si="183"/>
        <v>2650.7262540000002</v>
      </c>
      <c r="P11" s="59">
        <f t="shared" si="183"/>
        <v>16362.513747000001</v>
      </c>
      <c r="Q11" s="60">
        <f t="shared" si="183"/>
        <v>4761.8906879999995</v>
      </c>
      <c r="R11" s="26"/>
      <c r="S11" s="54">
        <f>SUM(S12:S25)</f>
        <v>1691213.94</v>
      </c>
      <c r="T11" s="55">
        <f t="shared" ref="T11:AF11" si="184">SUM(T12:T25)</f>
        <v>1585740.4299999997</v>
      </c>
      <c r="U11" s="55">
        <f t="shared" si="184"/>
        <v>3625301.5</v>
      </c>
      <c r="V11" s="55">
        <f t="shared" si="184"/>
        <v>2030393.0400000003</v>
      </c>
      <c r="W11" s="55">
        <f t="shared" si="184"/>
        <v>1822556.8500000034</v>
      </c>
      <c r="X11" s="55">
        <f t="shared" si="184"/>
        <v>2987197.2600000035</v>
      </c>
      <c r="Y11" s="55">
        <f t="shared" si="184"/>
        <v>2012390.7900000024</v>
      </c>
      <c r="Z11" s="55">
        <f t="shared" si="184"/>
        <v>1742335.7000000034</v>
      </c>
      <c r="AA11" s="55">
        <f t="shared" si="184"/>
        <v>2417998.4800000023</v>
      </c>
      <c r="AB11" s="55">
        <f t="shared" si="184"/>
        <v>2031355.6200000034</v>
      </c>
      <c r="AC11" s="55">
        <f t="shared" si="184"/>
        <v>2121806.7900000033</v>
      </c>
      <c r="AD11" s="55">
        <f t="shared" si="184"/>
        <v>2824834.9400000041</v>
      </c>
      <c r="AE11" s="55">
        <f t="shared" ref="AE11" si="185">SUM(AE12:AE25)</f>
        <v>26893125.340000026</v>
      </c>
      <c r="AF11" s="56">
        <f t="shared" si="184"/>
        <v>26893125.340000026</v>
      </c>
      <c r="AG11" s="26"/>
      <c r="AH11" s="54">
        <f>SUM(AH12:AH25)</f>
        <v>0</v>
      </c>
      <c r="AI11" s="55">
        <f t="shared" ref="AI11:AU11" si="186">SUM(AI12:AI25)</f>
        <v>0</v>
      </c>
      <c r="AJ11" s="55">
        <f t="shared" si="186"/>
        <v>0</v>
      </c>
      <c r="AK11" s="55">
        <f t="shared" si="186"/>
        <v>0</v>
      </c>
      <c r="AL11" s="55">
        <f t="shared" si="186"/>
        <v>0</v>
      </c>
      <c r="AM11" s="55">
        <f t="shared" si="186"/>
        <v>0</v>
      </c>
      <c r="AN11" s="55">
        <f t="shared" si="186"/>
        <v>315703.99000000011</v>
      </c>
      <c r="AO11" s="55">
        <f t="shared" si="186"/>
        <v>292115.71999999997</v>
      </c>
      <c r="AP11" s="55">
        <f t="shared" si="186"/>
        <v>1026038.71</v>
      </c>
      <c r="AQ11" s="55">
        <f t="shared" si="186"/>
        <v>2069575.15</v>
      </c>
      <c r="AR11" s="55">
        <f t="shared" si="186"/>
        <v>1816609.46</v>
      </c>
      <c r="AS11" s="55">
        <f t="shared" si="186"/>
        <v>3645181.9999999991</v>
      </c>
      <c r="AT11" s="55">
        <f t="shared" si="186"/>
        <v>9165225.0299999975</v>
      </c>
      <c r="AU11" s="56">
        <f t="shared" si="186"/>
        <v>9165225.0299999975</v>
      </c>
      <c r="AV11" s="26"/>
      <c r="AW11" s="54">
        <f>SUM(AW12:AW25)</f>
        <v>6903292.9100000001</v>
      </c>
      <c r="AX11" s="55">
        <f t="shared" ref="AX11" si="187">SUM(AX12:AX25)</f>
        <v>6381917.0999999996</v>
      </c>
      <c r="AY11" s="55">
        <f t="shared" ref="AY11" si="188">SUM(AY12:AY25)</f>
        <v>6893202.4100000001</v>
      </c>
      <c r="AZ11" s="55">
        <f t="shared" ref="AZ11" si="189">SUM(AZ12:AZ25)</f>
        <v>9049151.3199999984</v>
      </c>
      <c r="BA11" s="55">
        <f t="shared" ref="BA11" si="190">SUM(BA12:BA25)</f>
        <v>8910142.7999999989</v>
      </c>
      <c r="BB11" s="55">
        <f t="shared" ref="BB11" si="191">SUM(BB12:BB25)</f>
        <v>5719530.9399999985</v>
      </c>
      <c r="BC11" s="55">
        <f t="shared" ref="BC11" si="192">SUM(BC12:BC25)</f>
        <v>8311275.4289000016</v>
      </c>
      <c r="BD11" s="55">
        <f t="shared" ref="BD11" si="193">SUM(BD12:BD25)</f>
        <v>10145588.609999999</v>
      </c>
      <c r="BE11" s="55">
        <f t="shared" ref="BE11" si="194">SUM(BE12:BE25)</f>
        <v>7316948.8499999996</v>
      </c>
      <c r="BF11" s="55">
        <f t="shared" ref="BF11" si="195">SUM(BF12:BF25)</f>
        <v>8782700.3923599999</v>
      </c>
      <c r="BG11" s="55">
        <f t="shared" ref="BG11" si="196">SUM(BG12:BG25)</f>
        <v>7768730.75</v>
      </c>
      <c r="BH11" s="55">
        <f t="shared" ref="BH11:BI11" si="197">SUM(BH12:BH25)</f>
        <v>9537653.3587400019</v>
      </c>
      <c r="BI11" s="55">
        <f t="shared" si="197"/>
        <v>95720134.870000005</v>
      </c>
      <c r="BJ11" s="56">
        <f t="shared" ref="BJ11" si="198">SUM(BJ12:BJ25)</f>
        <v>95720134.870000005</v>
      </c>
      <c r="BK11" s="26"/>
      <c r="BL11" s="54">
        <f>SUM(BL12:BL25)</f>
        <v>0</v>
      </c>
      <c r="BM11" s="55">
        <f t="shared" ref="BM11" si="199">SUM(BM12:BM25)</f>
        <v>0</v>
      </c>
      <c r="BN11" s="55">
        <f t="shared" ref="BN11" si="200">SUM(BN12:BN25)</f>
        <v>0</v>
      </c>
      <c r="BO11" s="55">
        <f t="shared" ref="BO11" si="201">SUM(BO12:BO25)</f>
        <v>0</v>
      </c>
      <c r="BP11" s="55">
        <f t="shared" ref="BP11" si="202">SUM(BP12:BP25)</f>
        <v>0</v>
      </c>
      <c r="BQ11" s="55">
        <f t="shared" ref="BQ11" si="203">SUM(BQ12:BQ25)</f>
        <v>0</v>
      </c>
      <c r="BR11" s="55">
        <f t="shared" ref="BR11" si="204">SUM(BR12:BR25)</f>
        <v>462524.88</v>
      </c>
      <c r="BS11" s="55">
        <f t="shared" ref="BS11" si="205">SUM(BS12:BS25)</f>
        <v>476755.56999999995</v>
      </c>
      <c r="BT11" s="55">
        <f t="shared" ref="BT11" si="206">SUM(BT12:BT25)</f>
        <v>445998.30999999994</v>
      </c>
      <c r="BU11" s="55">
        <f t="shared" ref="BU11" si="207">SUM(BU12:BU25)</f>
        <v>1688268.6</v>
      </c>
      <c r="BV11" s="55">
        <f t="shared" ref="BV11" si="208">SUM(BV12:BV25)</f>
        <v>2512354.75</v>
      </c>
      <c r="BW11" s="55">
        <f t="shared" ref="BW11:BX11" si="209">SUM(BW12:BW25)</f>
        <v>22654784.219999999</v>
      </c>
      <c r="BX11" s="55">
        <f t="shared" si="209"/>
        <v>28240686.330000006</v>
      </c>
      <c r="BY11" s="56">
        <f t="shared" ref="BY11" si="210">SUM(BY12:BY25)</f>
        <v>28240686.330000006</v>
      </c>
      <c r="BZ11" s="26"/>
      <c r="CA11" s="54">
        <f>SUM(CA12:CA25)</f>
        <v>1429728.19</v>
      </c>
      <c r="CB11" s="55">
        <f t="shared" ref="CB11" si="211">SUM(CB12:CB25)</f>
        <v>635085.35</v>
      </c>
      <c r="CC11" s="55">
        <f t="shared" ref="CC11" si="212">SUM(CC12:CC25)</f>
        <v>2874971.36</v>
      </c>
      <c r="CD11" s="55">
        <f t="shared" ref="CD11" si="213">SUM(CD12:CD25)</f>
        <v>2431892.34</v>
      </c>
      <c r="CE11" s="55">
        <f t="shared" ref="CE11" si="214">SUM(CE12:CE25)</f>
        <v>2405580.8000000003</v>
      </c>
      <c r="CF11" s="55">
        <f t="shared" ref="CF11" si="215">SUM(CF12:CF25)</f>
        <v>2560921.6199999992</v>
      </c>
      <c r="CG11" s="55">
        <f t="shared" ref="CG11" si="216">SUM(CG12:CG25)</f>
        <v>2000655.6400000001</v>
      </c>
      <c r="CH11" s="55">
        <f t="shared" ref="CH11" si="217">SUM(CH12:CH25)</f>
        <v>2243202.0700000003</v>
      </c>
      <c r="CI11" s="55">
        <f t="shared" ref="CI11" si="218">SUM(CI12:CI25)</f>
        <v>3572689.0999999996</v>
      </c>
      <c r="CJ11" s="55">
        <f t="shared" ref="CJ11" si="219">SUM(CJ12:CJ25)</f>
        <v>6366835.6399999987</v>
      </c>
      <c r="CK11" s="55">
        <f t="shared" ref="CK11" si="220">SUM(CK12:CK25)</f>
        <v>7887387.1500000013</v>
      </c>
      <c r="CL11" s="55">
        <f t="shared" ref="CL11:CM11" si="221">SUM(CL12:CL25)</f>
        <v>6602928</v>
      </c>
      <c r="CM11" s="55">
        <f t="shared" si="221"/>
        <v>41011877.25999999</v>
      </c>
      <c r="CN11" s="56">
        <f t="shared" ref="CN11" si="222">SUM(CN12:CN25)</f>
        <v>41011877.25999999</v>
      </c>
      <c r="CO11" s="26"/>
      <c r="CP11" s="54">
        <f>SUM(CP12:CP25)</f>
        <v>0</v>
      </c>
      <c r="CQ11" s="55">
        <f t="shared" ref="CQ11" si="223">SUM(CQ12:CQ25)</f>
        <v>0</v>
      </c>
      <c r="CR11" s="55">
        <f t="shared" ref="CR11" si="224">SUM(CR12:CR25)</f>
        <v>0</v>
      </c>
      <c r="CS11" s="55">
        <f t="shared" ref="CS11" si="225">SUM(CS12:CS25)</f>
        <v>0</v>
      </c>
      <c r="CT11" s="55">
        <f t="shared" ref="CT11" si="226">SUM(CT12:CT25)</f>
        <v>0</v>
      </c>
      <c r="CU11" s="55">
        <f t="shared" ref="CU11" si="227">SUM(CU12:CU25)</f>
        <v>0</v>
      </c>
      <c r="CV11" s="55">
        <f t="shared" ref="CV11" si="228">SUM(CV12:CV25)</f>
        <v>43585.08</v>
      </c>
      <c r="CW11" s="55">
        <f t="shared" ref="CW11" si="229">SUM(CW12:CW25)</f>
        <v>59196.94000000001</v>
      </c>
      <c r="CX11" s="55">
        <f t="shared" ref="CX11" si="230">SUM(CX12:CX25)</f>
        <v>725497.04999999993</v>
      </c>
      <c r="CY11" s="55">
        <f t="shared" ref="CY11" si="231">SUM(CY12:CY25)</f>
        <v>4584763.96</v>
      </c>
      <c r="CZ11" s="55">
        <f t="shared" ref="CZ11" si="232">SUM(CZ12:CZ25)</f>
        <v>4592656.17</v>
      </c>
      <c r="DA11" s="55">
        <f t="shared" ref="DA11:DB11" si="233">SUM(DA12:DA25)</f>
        <v>207296.32000000018</v>
      </c>
      <c r="DB11" s="55">
        <f t="shared" si="233"/>
        <v>10212995.520000001</v>
      </c>
      <c r="DC11" s="56">
        <f t="shared" ref="DC11" si="234">SUM(DC12:DC25)</f>
        <v>10212995.520000001</v>
      </c>
      <c r="DD11" s="26"/>
      <c r="DE11" s="54">
        <f>SUM(DE12:DE25)</f>
        <v>0</v>
      </c>
      <c r="DF11" s="55">
        <f t="shared" ref="DF11" si="235">SUM(DF12:DF25)</f>
        <v>0</v>
      </c>
      <c r="DG11" s="55">
        <f t="shared" ref="DG11" si="236">SUM(DG12:DG25)</f>
        <v>0</v>
      </c>
      <c r="DH11" s="55">
        <f t="shared" ref="DH11" si="237">SUM(DH12:DH25)</f>
        <v>0</v>
      </c>
      <c r="DI11" s="55">
        <f t="shared" ref="DI11" si="238">SUM(DI12:DI25)</f>
        <v>0</v>
      </c>
      <c r="DJ11" s="55">
        <f t="shared" ref="DJ11" si="239">SUM(DJ12:DJ25)</f>
        <v>0</v>
      </c>
      <c r="DK11" s="55">
        <f t="shared" ref="DK11" si="240">SUM(DK12:DK25)</f>
        <v>0</v>
      </c>
      <c r="DL11" s="55">
        <f t="shared" ref="DL11" si="241">SUM(DL12:DL25)</f>
        <v>0</v>
      </c>
      <c r="DM11" s="55">
        <f t="shared" ref="DM11" si="242">SUM(DM12:DM25)</f>
        <v>0</v>
      </c>
      <c r="DN11" s="55">
        <f t="shared" ref="DN11" si="243">SUM(DN12:DN25)</f>
        <v>0</v>
      </c>
      <c r="DO11" s="55">
        <f t="shared" ref="DO11" si="244">SUM(DO12:DO25)</f>
        <v>0</v>
      </c>
      <c r="DP11" s="55">
        <f t="shared" ref="DP11" si="245">SUM(DP12:DP25)</f>
        <v>0</v>
      </c>
      <c r="DQ11" s="55">
        <f t="shared" ref="DQ11" si="246">SUM(DQ12:DQ25)</f>
        <v>0</v>
      </c>
      <c r="DR11" s="56">
        <f t="shared" ref="DR11" si="247">SUM(DR12:DR25)</f>
        <v>0</v>
      </c>
      <c r="DS11" s="26"/>
      <c r="DT11" s="54">
        <f>SUM(DT12:DT25)</f>
        <v>0</v>
      </c>
      <c r="DU11" s="55">
        <f t="shared" ref="DU11" si="248">SUM(DU12:DU25)</f>
        <v>0</v>
      </c>
      <c r="DV11" s="55">
        <f t="shared" ref="DV11" si="249">SUM(DV12:DV25)</f>
        <v>0</v>
      </c>
      <c r="DW11" s="55">
        <f t="shared" ref="DW11" si="250">SUM(DW12:DW25)</f>
        <v>0</v>
      </c>
      <c r="DX11" s="55">
        <f t="shared" ref="DX11" si="251">SUM(DX12:DX25)</f>
        <v>0</v>
      </c>
      <c r="DY11" s="55">
        <f t="shared" ref="DY11" si="252">SUM(DY12:DY25)</f>
        <v>0</v>
      </c>
      <c r="DZ11" s="55">
        <f t="shared" ref="DZ11" si="253">SUM(DZ12:DZ25)</f>
        <v>0</v>
      </c>
      <c r="EA11" s="55">
        <f t="shared" ref="EA11" si="254">SUM(EA12:EA25)</f>
        <v>0</v>
      </c>
      <c r="EB11" s="55">
        <f t="shared" ref="EB11" si="255">SUM(EB12:EB25)</f>
        <v>0</v>
      </c>
      <c r="EC11" s="55">
        <f t="shared" ref="EC11" si="256">SUM(EC12:EC25)</f>
        <v>0</v>
      </c>
      <c r="ED11" s="55">
        <f t="shared" ref="ED11" si="257">SUM(ED12:ED25)</f>
        <v>0</v>
      </c>
      <c r="EE11" s="55">
        <f t="shared" ref="EE11" si="258">SUM(EE12:EE25)</f>
        <v>0</v>
      </c>
      <c r="EF11" s="55">
        <f t="shared" ref="EF11" si="259">SUM(EF12:EF25)</f>
        <v>0</v>
      </c>
      <c r="EG11" s="56">
        <f t="shared" ref="EG11" si="260">SUM(EG12:EG25)</f>
        <v>0</v>
      </c>
      <c r="EI11" s="26"/>
      <c r="EJ11" s="26"/>
      <c r="EK11" s="26"/>
      <c r="EL11" s="26"/>
      <c r="EM11" s="26"/>
      <c r="EN11" s="26"/>
      <c r="EO11" s="26"/>
      <c r="EP11" s="26"/>
      <c r="EQ11" s="26"/>
      <c r="ER11" s="26"/>
    </row>
    <row r="12" spans="1:148">
      <c r="A12" s="23" t="s">
        <v>18</v>
      </c>
      <c r="B12" s="41">
        <f t="shared" ref="B12:B25" si="261">AD12/10000</f>
        <v>8.541087000000001</v>
      </c>
      <c r="C12" s="42">
        <f t="shared" ref="C12:C25" si="262">AS12/10000</f>
        <v>14.295228999999997</v>
      </c>
      <c r="D12" s="41">
        <f t="shared" ref="D12:D25" si="263">AE12/10000</f>
        <v>159.88511500000001</v>
      </c>
      <c r="E12" s="42">
        <f t="shared" ref="E12:E25" si="264">AT12/10000</f>
        <v>47.338937999999992</v>
      </c>
      <c r="F12" s="43">
        <f t="shared" ref="F12:F25" si="265">BH12/10000</f>
        <v>13.756518999999997</v>
      </c>
      <c r="G12" s="43">
        <f t="shared" ref="G12:G25" si="266">BW12/10000</f>
        <v>22.763919000000005</v>
      </c>
      <c r="H12" s="43">
        <f t="shared" ref="H12:H25" si="267">BI12/10000</f>
        <v>243.25012699999999</v>
      </c>
      <c r="I12" s="43">
        <f t="shared" ref="I12:I25" si="268">BX12/10000</f>
        <v>35.059801</v>
      </c>
      <c r="J12" s="43">
        <f t="shared" ref="J12:J25" si="269">CL12/10000</f>
        <v>60.303513000000038</v>
      </c>
      <c r="K12" s="43">
        <f t="shared" ref="K12:K25" si="270">DA12/10000</f>
        <v>13.585234000000003</v>
      </c>
      <c r="L12" s="43">
        <f t="shared" ref="L12:L25" si="271">CM12/10000</f>
        <v>625.42772799999989</v>
      </c>
      <c r="M12" s="43">
        <f t="shared" ref="M12:M25" si="272">DB12/10000</f>
        <v>120.60681000000001</v>
      </c>
      <c r="N12" s="43">
        <f t="shared" ref="N12:N25" si="273">B12+F12+J12</f>
        <v>82.60111900000004</v>
      </c>
      <c r="O12" s="43">
        <f t="shared" ref="O12:O25" si="274">C12+G12+K12</f>
        <v>50.644382000000007</v>
      </c>
      <c r="P12" s="43">
        <f t="shared" ref="P12:P25" si="275">D12+H12+L12</f>
        <v>1028.56297</v>
      </c>
      <c r="Q12" s="44">
        <f t="shared" ref="Q12:Q25" si="276">E12+I12+M12</f>
        <v>203.005549</v>
      </c>
      <c r="R12" s="61"/>
      <c r="S12" s="45">
        <v>177839.37</v>
      </c>
      <c r="T12" s="46">
        <v>69922.73</v>
      </c>
      <c r="U12" s="46">
        <v>165789.51999999996</v>
      </c>
      <c r="V12" s="46">
        <v>229129.49</v>
      </c>
      <c r="W12" s="46">
        <v>145969.29999999999</v>
      </c>
      <c r="X12" s="46">
        <v>245261.63000000003</v>
      </c>
      <c r="Y12" s="46">
        <v>170141.21000000002</v>
      </c>
      <c r="Z12" s="46">
        <v>59317.549999999996</v>
      </c>
      <c r="AA12" s="46">
        <v>100941.58</v>
      </c>
      <c r="AB12" s="46">
        <v>68733.87</v>
      </c>
      <c r="AC12" s="46">
        <v>80394.03</v>
      </c>
      <c r="AD12" s="46">
        <v>85410.87000000001</v>
      </c>
      <c r="AE12" s="72">
        <f t="shared" ref="AE12:AE25" si="277">S12+T12+U12+V12+W12+X12+Y12+Z12+AA12+AB12+AC12+AD12</f>
        <v>1598851.1500000001</v>
      </c>
      <c r="AF12" s="47">
        <f t="shared" ref="AF12:AF25" si="278">SUM(S12:AD12)</f>
        <v>1598851.1500000001</v>
      </c>
      <c r="AH12" s="45"/>
      <c r="AI12" s="46"/>
      <c r="AJ12" s="46"/>
      <c r="AK12" s="46"/>
      <c r="AL12" s="46"/>
      <c r="AM12" s="46"/>
      <c r="AN12" s="46"/>
      <c r="AO12" s="46"/>
      <c r="AP12" s="46">
        <v>-1557.2</v>
      </c>
      <c r="AQ12" s="46">
        <v>146358.6</v>
      </c>
      <c r="AR12" s="46">
        <v>185635.68999999997</v>
      </c>
      <c r="AS12" s="46">
        <v>142952.28999999998</v>
      </c>
      <c r="AT12" s="72">
        <f t="shared" ref="AT12:AT25" si="279">AH12+AI12+AJ12+AK12+AL12+AM12+AN12+AO12+AP12+AQ12+AR12+AS12</f>
        <v>473389.37999999995</v>
      </c>
      <c r="AU12" s="47">
        <f t="shared" ref="AU12:AU25" si="280">SUM(AH12:AS12)</f>
        <v>473389.37999999995</v>
      </c>
      <c r="AW12" s="45">
        <v>313088.74000000005</v>
      </c>
      <c r="AX12" s="46">
        <v>205477.94000000006</v>
      </c>
      <c r="AY12" s="46">
        <v>423588.19999999995</v>
      </c>
      <c r="AZ12" s="46">
        <v>143310.34</v>
      </c>
      <c r="BA12" s="46">
        <v>243011.86999999997</v>
      </c>
      <c r="BB12" s="46">
        <v>163422.34</v>
      </c>
      <c r="BC12" s="46">
        <v>181710.14</v>
      </c>
      <c r="BD12" s="46">
        <v>159167.15999999997</v>
      </c>
      <c r="BE12" s="46">
        <v>205549</v>
      </c>
      <c r="BF12" s="46">
        <v>115940.87000000001</v>
      </c>
      <c r="BG12" s="46">
        <v>140669.48000000001</v>
      </c>
      <c r="BH12" s="46">
        <v>137565.18999999997</v>
      </c>
      <c r="BI12" s="46">
        <f t="shared" ref="BI12:BI25" si="281">AW12+AX12+AY12+AZ12+BA12+BB12+BC12+BD12+BE12+BF12+BG12+BH12</f>
        <v>2432501.27</v>
      </c>
      <c r="BJ12" s="47">
        <f t="shared" ref="BJ12:BJ25" si="282">SUM(AW12:BH12)</f>
        <v>2432501.27</v>
      </c>
      <c r="BL12" s="45"/>
      <c r="BM12" s="46"/>
      <c r="BN12" s="46"/>
      <c r="BO12" s="46"/>
      <c r="BP12" s="46"/>
      <c r="BQ12" s="46"/>
      <c r="BR12" s="46"/>
      <c r="BS12" s="46"/>
      <c r="BT12" s="46"/>
      <c r="BU12" s="46">
        <v>42743.26</v>
      </c>
      <c r="BV12" s="46">
        <v>80215.560000000012</v>
      </c>
      <c r="BW12" s="46">
        <v>227639.19000000003</v>
      </c>
      <c r="BX12" s="46">
        <f t="shared" ref="BX12:BX25" si="283">BL12+BM12+BN12+BO12+BP12+BQ12+BR12+BS12+BT12+BU12+BV12+BW12</f>
        <v>350598.01</v>
      </c>
      <c r="BY12" s="47">
        <f t="shared" ref="BY12:BY25" si="284">SUM(BL12:BW12)</f>
        <v>350598.01</v>
      </c>
      <c r="CA12" s="45">
        <v>260192.41999999987</v>
      </c>
      <c r="CB12" s="46">
        <v>85727.60000000002</v>
      </c>
      <c r="CC12" s="46">
        <v>289254.85000000009</v>
      </c>
      <c r="CD12" s="46">
        <v>353800.50999999995</v>
      </c>
      <c r="CE12" s="46">
        <v>265153.66999999993</v>
      </c>
      <c r="CF12" s="46">
        <v>366621.31</v>
      </c>
      <c r="CG12" s="46">
        <v>321238.98</v>
      </c>
      <c r="CH12" s="46">
        <v>292469.73</v>
      </c>
      <c r="CI12" s="46">
        <v>1105480.73</v>
      </c>
      <c r="CJ12" s="46">
        <v>1257517.4199999995</v>
      </c>
      <c r="CK12" s="46">
        <v>1053784.9300000002</v>
      </c>
      <c r="CL12" s="46">
        <v>603035.13000000035</v>
      </c>
      <c r="CM12" s="46">
        <f t="shared" ref="CM12:CM25" si="285">CA12+CB12+CC12+CD12+CE12+CF12+CG12+CH12+CI12+CJ12+CK12+CL12</f>
        <v>6254277.2799999993</v>
      </c>
      <c r="CN12" s="47">
        <f t="shared" ref="CN12:CN25" si="286">SUM(CA12:CL12)</f>
        <v>6254277.2799999993</v>
      </c>
      <c r="CP12" s="45">
        <v>0</v>
      </c>
      <c r="CQ12" s="46">
        <v>0</v>
      </c>
      <c r="CR12" s="46">
        <v>0</v>
      </c>
      <c r="CS12" s="46">
        <v>0</v>
      </c>
      <c r="CT12" s="46">
        <v>0</v>
      </c>
      <c r="CU12" s="46">
        <v>0</v>
      </c>
      <c r="CV12" s="46">
        <v>0</v>
      </c>
      <c r="CW12" s="46">
        <v>4884.13</v>
      </c>
      <c r="CX12" s="46">
        <v>499589.53</v>
      </c>
      <c r="CY12" s="46">
        <v>151078.03999999998</v>
      </c>
      <c r="CZ12" s="46">
        <v>414664.06000000006</v>
      </c>
      <c r="DA12" s="46">
        <v>135852.34000000003</v>
      </c>
      <c r="DB12" s="46">
        <f t="shared" ref="DB12:DB25" si="287">CP12+CQ12+CR12+CS12+CT12+CU12+CV12+CW12+CX12+CY12+CZ12+DA12</f>
        <v>1206068.1000000001</v>
      </c>
      <c r="DC12" s="47">
        <f t="shared" ref="DC12:DC25" si="288">SUM(CP12:DA12)</f>
        <v>1206068.1000000001</v>
      </c>
      <c r="DE12" s="45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>
        <f t="shared" ref="DQ12:DQ25" si="289">DE12+DF12+DG12+DH12+DI12+DJ12+DK12+DL12+DM12+DN12+DO12+DP12</f>
        <v>0</v>
      </c>
      <c r="DR12" s="47">
        <f t="shared" ref="DR12:DR25" si="290">SUM(DE12:DP12)</f>
        <v>0</v>
      </c>
      <c r="DT12" s="45">
        <v>0</v>
      </c>
      <c r="DU12" s="46">
        <v>0</v>
      </c>
      <c r="DV12" s="46">
        <v>0</v>
      </c>
      <c r="DW12" s="46">
        <v>0</v>
      </c>
      <c r="DX12" s="46">
        <v>0</v>
      </c>
      <c r="DY12" s="46">
        <v>0</v>
      </c>
      <c r="DZ12" s="46"/>
      <c r="EA12" s="46"/>
      <c r="EB12" s="46"/>
      <c r="EC12" s="46"/>
      <c r="ED12" s="46"/>
      <c r="EE12" s="46"/>
      <c r="EF12" s="46">
        <f t="shared" ref="EF12:EF25" si="291">DT12+DU12+DV12+DW12+DX12+DY12+DZ12+EA12+EB12+EC12+ED12+EE12</f>
        <v>0</v>
      </c>
      <c r="EG12" s="47">
        <f t="shared" ref="EG12:EG25" si="292">SUM(DT12:EE12)</f>
        <v>0</v>
      </c>
    </row>
    <row r="13" spans="1:148">
      <c r="A13" s="23" t="s">
        <v>19</v>
      </c>
      <c r="B13" s="41">
        <f t="shared" si="261"/>
        <v>5.6482419999999998</v>
      </c>
      <c r="C13" s="42">
        <f t="shared" si="262"/>
        <v>0</v>
      </c>
      <c r="D13" s="41">
        <f t="shared" si="263"/>
        <v>11.887896</v>
      </c>
      <c r="E13" s="42">
        <f t="shared" si="264"/>
        <v>8.1000000000000003E-2</v>
      </c>
      <c r="F13" s="43">
        <f t="shared" si="265"/>
        <v>6.7373000000000002E-2</v>
      </c>
      <c r="G13" s="43">
        <f t="shared" si="266"/>
        <v>22.386012999999995</v>
      </c>
      <c r="H13" s="43">
        <f t="shared" si="267"/>
        <v>204.29798400000001</v>
      </c>
      <c r="I13" s="43">
        <f t="shared" si="268"/>
        <v>38.576289999999993</v>
      </c>
      <c r="J13" s="43">
        <f t="shared" si="269"/>
        <v>1.5402979999999999</v>
      </c>
      <c r="K13" s="43">
        <f t="shared" si="270"/>
        <v>4.114655</v>
      </c>
      <c r="L13" s="43">
        <f t="shared" si="271"/>
        <v>10.267113999999998</v>
      </c>
      <c r="M13" s="43">
        <f t="shared" si="272"/>
        <v>4.114655</v>
      </c>
      <c r="N13" s="43">
        <f t="shared" si="273"/>
        <v>7.2559129999999996</v>
      </c>
      <c r="O13" s="43">
        <f t="shared" si="274"/>
        <v>26.500667999999994</v>
      </c>
      <c r="P13" s="43">
        <f t="shared" si="275"/>
        <v>226.45299400000002</v>
      </c>
      <c r="Q13" s="44">
        <f t="shared" si="276"/>
        <v>42.771944999999995</v>
      </c>
      <c r="S13" s="45"/>
      <c r="T13" s="46">
        <v>20129.309999999998</v>
      </c>
      <c r="U13" s="46">
        <v>32233.53</v>
      </c>
      <c r="V13" s="46"/>
      <c r="W13" s="46"/>
      <c r="X13" s="46">
        <v>10033.700000000001</v>
      </c>
      <c r="Y13" s="46"/>
      <c r="Z13" s="46"/>
      <c r="AA13" s="46"/>
      <c r="AB13" s="46"/>
      <c r="AC13" s="46"/>
      <c r="AD13" s="46">
        <v>56482.42</v>
      </c>
      <c r="AE13" s="72">
        <f t="shared" si="277"/>
        <v>118878.95999999999</v>
      </c>
      <c r="AF13" s="47">
        <f t="shared" si="278"/>
        <v>118878.95999999999</v>
      </c>
      <c r="AH13" s="45"/>
      <c r="AI13" s="46"/>
      <c r="AJ13" s="46"/>
      <c r="AK13" s="46"/>
      <c r="AL13" s="46"/>
      <c r="AM13" s="46"/>
      <c r="AN13" s="46"/>
      <c r="AO13" s="46"/>
      <c r="AP13" s="46"/>
      <c r="AQ13" s="46">
        <v>810</v>
      </c>
      <c r="AR13" s="46"/>
      <c r="AS13" s="46"/>
      <c r="AT13" s="72">
        <f t="shared" si="279"/>
        <v>810</v>
      </c>
      <c r="AU13" s="47">
        <f t="shared" si="280"/>
        <v>810</v>
      </c>
      <c r="AW13" s="45">
        <v>28580.74</v>
      </c>
      <c r="AX13" s="46">
        <v>179268.34000000003</v>
      </c>
      <c r="AY13" s="46">
        <v>72304.900000000009</v>
      </c>
      <c r="AZ13" s="46">
        <v>-13915.110000000004</v>
      </c>
      <c r="BA13" s="46">
        <f>551359.94+118310.03</f>
        <v>669669.97</v>
      </c>
      <c r="BB13" s="46">
        <v>290220.91999999993</v>
      </c>
      <c r="BC13" s="46">
        <v>33950.800000000003</v>
      </c>
      <c r="BD13" s="46">
        <v>-442.18</v>
      </c>
      <c r="BE13" s="46">
        <v>124990.20999999998</v>
      </c>
      <c r="BF13" s="46">
        <v>414773.18</v>
      </c>
      <c r="BG13" s="46">
        <f>239575.89+3328.45</f>
        <v>242904.34000000003</v>
      </c>
      <c r="BH13" s="46">
        <f>-46.27+720</f>
        <v>673.73</v>
      </c>
      <c r="BI13" s="46">
        <f t="shared" si="281"/>
        <v>2042979.84</v>
      </c>
      <c r="BJ13" s="47">
        <f t="shared" si="282"/>
        <v>2042979.84</v>
      </c>
      <c r="BL13" s="45"/>
      <c r="BM13" s="46"/>
      <c r="BN13" s="46"/>
      <c r="BO13" s="46"/>
      <c r="BP13" s="46"/>
      <c r="BQ13" s="46"/>
      <c r="BR13" s="46"/>
      <c r="BS13" s="46"/>
      <c r="BT13" s="46"/>
      <c r="BU13" s="46">
        <v>37551.72</v>
      </c>
      <c r="BV13" s="46">
        <v>124351.05000000002</v>
      </c>
      <c r="BW13" s="46">
        <v>223860.12999999995</v>
      </c>
      <c r="BX13" s="46">
        <f t="shared" si="283"/>
        <v>385762.89999999997</v>
      </c>
      <c r="BY13" s="47">
        <f t="shared" si="284"/>
        <v>385762.89999999997</v>
      </c>
      <c r="CA13" s="45"/>
      <c r="CB13" s="46"/>
      <c r="CC13" s="46">
        <v>1061.7</v>
      </c>
      <c r="CD13" s="46"/>
      <c r="CE13" s="46"/>
      <c r="CF13" s="46"/>
      <c r="CG13" s="46"/>
      <c r="CH13" s="46"/>
      <c r="CI13" s="46">
        <v>84991.98</v>
      </c>
      <c r="CJ13" s="46">
        <v>1118.9000000000001</v>
      </c>
      <c r="CK13" s="46">
        <v>95.58</v>
      </c>
      <c r="CL13" s="46">
        <v>15402.98</v>
      </c>
      <c r="CM13" s="46">
        <f t="shared" si="285"/>
        <v>102671.13999999998</v>
      </c>
      <c r="CN13" s="47">
        <f t="shared" si="286"/>
        <v>102671.13999999998</v>
      </c>
      <c r="CP13" s="45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>
        <v>41146.550000000003</v>
      </c>
      <c r="DB13" s="46">
        <f t="shared" si="287"/>
        <v>41146.550000000003</v>
      </c>
      <c r="DC13" s="47">
        <f t="shared" si="288"/>
        <v>41146.550000000003</v>
      </c>
      <c r="DE13" s="45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>
        <f t="shared" si="289"/>
        <v>0</v>
      </c>
      <c r="DR13" s="47">
        <f t="shared" si="290"/>
        <v>0</v>
      </c>
      <c r="DT13" s="45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>
        <f t="shared" si="291"/>
        <v>0</v>
      </c>
      <c r="EG13" s="47">
        <f t="shared" si="292"/>
        <v>0</v>
      </c>
    </row>
    <row r="14" spans="1:148">
      <c r="A14" s="23" t="s">
        <v>20</v>
      </c>
      <c r="B14" s="41">
        <f t="shared" si="261"/>
        <v>0</v>
      </c>
      <c r="C14" s="42">
        <f t="shared" si="262"/>
        <v>0</v>
      </c>
      <c r="D14" s="41">
        <f t="shared" si="263"/>
        <v>0</v>
      </c>
      <c r="E14" s="42">
        <f t="shared" si="264"/>
        <v>0</v>
      </c>
      <c r="F14" s="43">
        <f t="shared" si="265"/>
        <v>0</v>
      </c>
      <c r="G14" s="43">
        <f t="shared" si="266"/>
        <v>0</v>
      </c>
      <c r="H14" s="43">
        <f t="shared" si="267"/>
        <v>0</v>
      </c>
      <c r="I14" s="43">
        <f t="shared" si="268"/>
        <v>0</v>
      </c>
      <c r="J14" s="43">
        <f t="shared" si="269"/>
        <v>0</v>
      </c>
      <c r="K14" s="43">
        <f t="shared" si="270"/>
        <v>0</v>
      </c>
      <c r="L14" s="43">
        <f t="shared" si="271"/>
        <v>0</v>
      </c>
      <c r="M14" s="43">
        <f t="shared" si="272"/>
        <v>0</v>
      </c>
      <c r="N14" s="43">
        <f t="shared" si="273"/>
        <v>0</v>
      </c>
      <c r="O14" s="43">
        <f t="shared" si="274"/>
        <v>0</v>
      </c>
      <c r="P14" s="43">
        <f t="shared" si="275"/>
        <v>0</v>
      </c>
      <c r="Q14" s="44">
        <f t="shared" si="276"/>
        <v>0</v>
      </c>
      <c r="S14" s="45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72">
        <f t="shared" si="277"/>
        <v>0</v>
      </c>
      <c r="AF14" s="47">
        <f t="shared" si="278"/>
        <v>0</v>
      </c>
      <c r="AH14" s="45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72">
        <f t="shared" si="279"/>
        <v>0</v>
      </c>
      <c r="AU14" s="47">
        <f t="shared" si="280"/>
        <v>0</v>
      </c>
      <c r="AW14" s="45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>
        <f t="shared" si="281"/>
        <v>0</v>
      </c>
      <c r="BJ14" s="47">
        <f t="shared" si="282"/>
        <v>0</v>
      </c>
      <c r="BL14" s="45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>
        <f t="shared" si="283"/>
        <v>0</v>
      </c>
      <c r="BY14" s="47">
        <f t="shared" si="284"/>
        <v>0</v>
      </c>
      <c r="CA14" s="45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>
        <f t="shared" si="285"/>
        <v>0</v>
      </c>
      <c r="CN14" s="47">
        <f t="shared" si="286"/>
        <v>0</v>
      </c>
      <c r="CP14" s="45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>
        <f t="shared" si="287"/>
        <v>0</v>
      </c>
      <c r="DC14" s="47">
        <f t="shared" si="288"/>
        <v>0</v>
      </c>
      <c r="DE14" s="45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>
        <f t="shared" si="289"/>
        <v>0</v>
      </c>
      <c r="DR14" s="47">
        <f t="shared" si="290"/>
        <v>0</v>
      </c>
      <c r="DT14" s="45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>
        <f t="shared" si="291"/>
        <v>0</v>
      </c>
      <c r="EG14" s="47">
        <f t="shared" si="292"/>
        <v>0</v>
      </c>
    </row>
    <row r="15" spans="1:148">
      <c r="A15" s="23" t="s">
        <v>21</v>
      </c>
      <c r="B15" s="41">
        <f t="shared" si="261"/>
        <v>0</v>
      </c>
      <c r="C15" s="42">
        <f t="shared" si="262"/>
        <v>0</v>
      </c>
      <c r="D15" s="41">
        <f t="shared" si="263"/>
        <v>0</v>
      </c>
      <c r="E15" s="42">
        <f t="shared" si="264"/>
        <v>0</v>
      </c>
      <c r="F15" s="43">
        <f t="shared" si="265"/>
        <v>0</v>
      </c>
      <c r="G15" s="43">
        <f t="shared" si="266"/>
        <v>0</v>
      </c>
      <c r="H15" s="43">
        <f t="shared" si="267"/>
        <v>0</v>
      </c>
      <c r="I15" s="43">
        <f t="shared" si="268"/>
        <v>0</v>
      </c>
      <c r="J15" s="43">
        <f t="shared" si="269"/>
        <v>0</v>
      </c>
      <c r="K15" s="43">
        <f t="shared" si="270"/>
        <v>0</v>
      </c>
      <c r="L15" s="43">
        <f t="shared" si="271"/>
        <v>0</v>
      </c>
      <c r="M15" s="43">
        <f t="shared" si="272"/>
        <v>7.2800000000000004E-2</v>
      </c>
      <c r="N15" s="43">
        <f t="shared" si="273"/>
        <v>0</v>
      </c>
      <c r="O15" s="43">
        <f t="shared" si="274"/>
        <v>0</v>
      </c>
      <c r="P15" s="43">
        <f t="shared" si="275"/>
        <v>0</v>
      </c>
      <c r="Q15" s="44">
        <f t="shared" si="276"/>
        <v>7.2800000000000004E-2</v>
      </c>
      <c r="S15" s="45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72">
        <f t="shared" si="277"/>
        <v>0</v>
      </c>
      <c r="AF15" s="47">
        <f t="shared" si="278"/>
        <v>0</v>
      </c>
      <c r="AH15" s="45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72">
        <f t="shared" si="279"/>
        <v>0</v>
      </c>
      <c r="AU15" s="47">
        <f t="shared" si="280"/>
        <v>0</v>
      </c>
      <c r="AW15" s="45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>
        <f t="shared" si="281"/>
        <v>0</v>
      </c>
      <c r="BJ15" s="47">
        <f t="shared" si="282"/>
        <v>0</v>
      </c>
      <c r="BL15" s="45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>
        <f t="shared" si="283"/>
        <v>0</v>
      </c>
      <c r="BY15" s="47">
        <f t="shared" si="284"/>
        <v>0</v>
      </c>
      <c r="CA15" s="45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>
        <f t="shared" si="285"/>
        <v>0</v>
      </c>
      <c r="CN15" s="47">
        <f t="shared" si="286"/>
        <v>0</v>
      </c>
      <c r="CP15" s="45"/>
      <c r="CQ15" s="46"/>
      <c r="CR15" s="46"/>
      <c r="CS15" s="46"/>
      <c r="CT15" s="46"/>
      <c r="CU15" s="46"/>
      <c r="CV15" s="46"/>
      <c r="CW15" s="46"/>
      <c r="CX15" s="46">
        <v>25000</v>
      </c>
      <c r="CY15" s="46">
        <v>-25000</v>
      </c>
      <c r="CZ15" s="46">
        <v>728</v>
      </c>
      <c r="DA15" s="46"/>
      <c r="DB15" s="46">
        <f t="shared" si="287"/>
        <v>728</v>
      </c>
      <c r="DC15" s="47">
        <f t="shared" si="288"/>
        <v>728</v>
      </c>
      <c r="DE15" s="45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>
        <f t="shared" si="289"/>
        <v>0</v>
      </c>
      <c r="DR15" s="47">
        <f t="shared" si="290"/>
        <v>0</v>
      </c>
      <c r="DT15" s="45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>
        <f t="shared" si="291"/>
        <v>0</v>
      </c>
      <c r="EG15" s="47">
        <f t="shared" si="292"/>
        <v>0</v>
      </c>
    </row>
    <row r="16" spans="1:148">
      <c r="A16" s="23" t="s">
        <v>22</v>
      </c>
      <c r="B16" s="41">
        <f t="shared" si="261"/>
        <v>0</v>
      </c>
      <c r="C16" s="42">
        <f t="shared" si="262"/>
        <v>16.299222</v>
      </c>
      <c r="D16" s="41">
        <f t="shared" si="263"/>
        <v>1.6953819999999999</v>
      </c>
      <c r="E16" s="42">
        <f t="shared" si="264"/>
        <v>16.299222</v>
      </c>
      <c r="F16" s="43">
        <f t="shared" si="265"/>
        <v>0</v>
      </c>
      <c r="G16" s="43">
        <f t="shared" si="266"/>
        <v>21.918082000000002</v>
      </c>
      <c r="H16" s="43">
        <f t="shared" si="267"/>
        <v>1.8726199999999997</v>
      </c>
      <c r="I16" s="43">
        <f t="shared" si="268"/>
        <v>22.034943999999999</v>
      </c>
      <c r="J16" s="43">
        <f t="shared" si="269"/>
        <v>0</v>
      </c>
      <c r="K16" s="43">
        <f t="shared" si="270"/>
        <v>-1.241379</v>
      </c>
      <c r="L16" s="43">
        <f t="shared" si="271"/>
        <v>0</v>
      </c>
      <c r="M16" s="43">
        <f t="shared" si="272"/>
        <v>0</v>
      </c>
      <c r="N16" s="43">
        <f t="shared" si="273"/>
        <v>0</v>
      </c>
      <c r="O16" s="43">
        <f t="shared" si="274"/>
        <v>36.975924999999997</v>
      </c>
      <c r="P16" s="43">
        <f t="shared" si="275"/>
        <v>3.5680019999999999</v>
      </c>
      <c r="Q16" s="44">
        <f t="shared" si="276"/>
        <v>38.334165999999996</v>
      </c>
      <c r="S16" s="45"/>
      <c r="T16" s="46">
        <v>210</v>
      </c>
      <c r="U16" s="46"/>
      <c r="V16" s="46"/>
      <c r="W16" s="46">
        <v>7075.47</v>
      </c>
      <c r="X16" s="46"/>
      <c r="Y16" s="46"/>
      <c r="Z16" s="46">
        <v>6124.35</v>
      </c>
      <c r="AA16" s="46"/>
      <c r="AB16" s="46">
        <v>3544</v>
      </c>
      <c r="AC16" s="46"/>
      <c r="AD16" s="46"/>
      <c r="AE16" s="72">
        <f t="shared" si="277"/>
        <v>16953.82</v>
      </c>
      <c r="AF16" s="47">
        <f t="shared" si="278"/>
        <v>16953.82</v>
      </c>
      <c r="AH16" s="45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>
        <v>162992.22</v>
      </c>
      <c r="AT16" s="72">
        <f t="shared" si="279"/>
        <v>162992.22</v>
      </c>
      <c r="AU16" s="47">
        <f t="shared" si="280"/>
        <v>162992.22</v>
      </c>
      <c r="AW16" s="45">
        <v>9723.4599999999991</v>
      </c>
      <c r="AX16" s="46"/>
      <c r="AY16" s="46">
        <v>9002.74</v>
      </c>
      <c r="AZ16" s="46"/>
      <c r="BA16" s="46"/>
      <c r="BB16" s="46"/>
      <c r="BC16" s="46"/>
      <c r="BD16" s="46"/>
      <c r="BE16" s="46"/>
      <c r="BF16" s="46"/>
      <c r="BG16" s="46"/>
      <c r="BH16" s="46"/>
      <c r="BI16" s="46">
        <f t="shared" si="281"/>
        <v>18726.199999999997</v>
      </c>
      <c r="BJ16" s="47">
        <f t="shared" si="282"/>
        <v>18726.199999999997</v>
      </c>
      <c r="BL16" s="45"/>
      <c r="BM16" s="46"/>
      <c r="BN16" s="46"/>
      <c r="BO16" s="46"/>
      <c r="BP16" s="46"/>
      <c r="BQ16" s="46"/>
      <c r="BR16" s="46"/>
      <c r="BS16" s="46"/>
      <c r="BT16" s="46"/>
      <c r="BU16" s="46">
        <v>1168.6199999999999</v>
      </c>
      <c r="BV16" s="46"/>
      <c r="BW16" s="46">
        <v>219180.82</v>
      </c>
      <c r="BX16" s="46">
        <f t="shared" si="283"/>
        <v>220349.44</v>
      </c>
      <c r="BY16" s="47">
        <f t="shared" si="284"/>
        <v>220349.44</v>
      </c>
      <c r="CA16" s="45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>
        <f t="shared" si="285"/>
        <v>0</v>
      </c>
      <c r="CN16" s="47">
        <f t="shared" si="286"/>
        <v>0</v>
      </c>
      <c r="CP16" s="45"/>
      <c r="CQ16" s="46"/>
      <c r="CR16" s="46"/>
      <c r="CS16" s="46"/>
      <c r="CT16" s="46"/>
      <c r="CU16" s="46"/>
      <c r="CV16" s="46"/>
      <c r="CW16" s="46"/>
      <c r="CX16" s="46"/>
      <c r="CY16" s="46"/>
      <c r="CZ16" s="46">
        <v>12413.79</v>
      </c>
      <c r="DA16" s="46">
        <v>-12413.79</v>
      </c>
      <c r="DB16" s="46">
        <f t="shared" si="287"/>
        <v>0</v>
      </c>
      <c r="DC16" s="47">
        <f t="shared" si="288"/>
        <v>0</v>
      </c>
      <c r="DE16" s="45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>
        <f t="shared" si="289"/>
        <v>0</v>
      </c>
      <c r="DR16" s="47">
        <f t="shared" si="290"/>
        <v>0</v>
      </c>
      <c r="DT16" s="45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>
        <f t="shared" si="291"/>
        <v>0</v>
      </c>
      <c r="EG16" s="47">
        <f t="shared" si="292"/>
        <v>0</v>
      </c>
    </row>
    <row r="17" spans="1:148">
      <c r="A17" s="23" t="s">
        <v>23</v>
      </c>
      <c r="B17" s="41">
        <f t="shared" si="261"/>
        <v>0</v>
      </c>
      <c r="C17" s="42">
        <f t="shared" si="262"/>
        <v>0</v>
      </c>
      <c r="D17" s="41">
        <f t="shared" si="263"/>
        <v>0</v>
      </c>
      <c r="E17" s="42">
        <f t="shared" si="264"/>
        <v>0</v>
      </c>
      <c r="F17" s="43">
        <f t="shared" si="265"/>
        <v>801.3476400000003</v>
      </c>
      <c r="G17" s="43">
        <f t="shared" si="266"/>
        <v>624.98072200000001</v>
      </c>
      <c r="H17" s="43">
        <f t="shared" si="267"/>
        <v>6760.1305590000002</v>
      </c>
      <c r="I17" s="43">
        <f t="shared" si="268"/>
        <v>717.79550400000005</v>
      </c>
      <c r="J17" s="43">
        <f t="shared" si="269"/>
        <v>375.09867100000002</v>
      </c>
      <c r="K17" s="43">
        <f t="shared" si="270"/>
        <v>-126.422793</v>
      </c>
      <c r="L17" s="43">
        <f t="shared" si="271"/>
        <v>2173.1002359999998</v>
      </c>
      <c r="M17" s="43">
        <f t="shared" si="272"/>
        <v>600.87407400000006</v>
      </c>
      <c r="N17" s="43">
        <f t="shared" si="273"/>
        <v>1176.4463110000004</v>
      </c>
      <c r="O17" s="43">
        <f t="shared" si="274"/>
        <v>498.557929</v>
      </c>
      <c r="P17" s="43">
        <f t="shared" si="275"/>
        <v>8933.2307949999995</v>
      </c>
      <c r="Q17" s="44">
        <f t="shared" si="276"/>
        <v>1318.669578</v>
      </c>
      <c r="S17" s="45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72">
        <f t="shared" si="277"/>
        <v>0</v>
      </c>
      <c r="AF17" s="47">
        <f t="shared" si="278"/>
        <v>0</v>
      </c>
      <c r="AH17" s="45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72">
        <f t="shared" si="279"/>
        <v>0</v>
      </c>
      <c r="AU17" s="47">
        <f t="shared" si="280"/>
        <v>0</v>
      </c>
      <c r="AW17" s="45">
        <v>5045751.21</v>
      </c>
      <c r="AX17" s="46">
        <v>2323447.46</v>
      </c>
      <c r="AY17" s="46">
        <v>3566623.9400000004</v>
      </c>
      <c r="AZ17" s="46">
        <v>7618031.4799999977</v>
      </c>
      <c r="BA17" s="46">
        <v>6572010.8699999992</v>
      </c>
      <c r="BB17" s="46">
        <v>4395081.9899999984</v>
      </c>
      <c r="BC17" s="46">
        <v>4239255.9300000016</v>
      </c>
      <c r="BD17" s="46">
        <v>8180147.5800000001</v>
      </c>
      <c r="BE17" s="46">
        <v>4806688.08</v>
      </c>
      <c r="BF17" s="46">
        <v>6875589.1300000008</v>
      </c>
      <c r="BG17" s="46">
        <v>5965201.5200000005</v>
      </c>
      <c r="BH17" s="46">
        <v>8013476.4000000032</v>
      </c>
      <c r="BI17" s="46">
        <f t="shared" si="281"/>
        <v>67601305.590000004</v>
      </c>
      <c r="BJ17" s="47">
        <f t="shared" si="282"/>
        <v>67601305.590000004</v>
      </c>
      <c r="BL17" s="45"/>
      <c r="BM17" s="46"/>
      <c r="BN17" s="46"/>
      <c r="BO17" s="46"/>
      <c r="BP17" s="46"/>
      <c r="BQ17" s="46"/>
      <c r="BR17" s="46"/>
      <c r="BS17" s="46"/>
      <c r="BT17" s="46"/>
      <c r="BU17" s="46">
        <f>113000+3525</f>
        <v>116525</v>
      </c>
      <c r="BV17" s="46">
        <f>928147.82-113000-3525</f>
        <v>811622.82</v>
      </c>
      <c r="BW17" s="46">
        <v>6249807.2200000007</v>
      </c>
      <c r="BX17" s="46">
        <f t="shared" si="283"/>
        <v>7177955.040000001</v>
      </c>
      <c r="BY17" s="47">
        <f t="shared" si="284"/>
        <v>7177955.040000001</v>
      </c>
      <c r="CA17" s="45">
        <f>603783.81+10.35</f>
        <v>603794.16</v>
      </c>
      <c r="CB17" s="46">
        <v>362870.27</v>
      </c>
      <c r="CC17" s="46">
        <v>1690207.76</v>
      </c>
      <c r="CD17" s="46">
        <f>4.72+1383958.73</f>
        <v>1383963.45</v>
      </c>
      <c r="CE17" s="46">
        <v>1302234.3800000001</v>
      </c>
      <c r="CF17" s="46">
        <v>1506841.0999999992</v>
      </c>
      <c r="CG17" s="46">
        <f>1648420.1-697876.95</f>
        <v>950543.15000000014</v>
      </c>
      <c r="CH17" s="46">
        <v>1005990.58</v>
      </c>
      <c r="CI17" s="46">
        <f>1216050.83-94079.57</f>
        <v>1121971.26</v>
      </c>
      <c r="CJ17" s="46">
        <v>3678123.4899999998</v>
      </c>
      <c r="CK17" s="46">
        <f>2547869.76+24000+104.69+1801501.6</f>
        <v>4373476.05</v>
      </c>
      <c r="CL17" s="46">
        <f>255.13+82547.17+3648184.41+20000</f>
        <v>3750986.71</v>
      </c>
      <c r="CM17" s="46">
        <f t="shared" si="285"/>
        <v>21731002.359999999</v>
      </c>
      <c r="CN17" s="47">
        <f t="shared" si="286"/>
        <v>21731002.359999999</v>
      </c>
      <c r="CP17" s="45"/>
      <c r="CQ17" s="46"/>
      <c r="CR17" s="46"/>
      <c r="CS17" s="46"/>
      <c r="CT17" s="46"/>
      <c r="CU17" s="46"/>
      <c r="CV17" s="46"/>
      <c r="CW17" s="46">
        <v>15072.29</v>
      </c>
      <c r="CX17" s="46">
        <v>846.31999999999971</v>
      </c>
      <c r="CY17" s="46">
        <f>4.72+1871968.83+2370000</f>
        <v>4241973.55</v>
      </c>
      <c r="CZ17" s="46">
        <f>5385076.51-2370000</f>
        <v>3015076.51</v>
      </c>
      <c r="DA17" s="46">
        <f>42.01-1264269.94</f>
        <v>-1264227.93</v>
      </c>
      <c r="DB17" s="46">
        <f t="shared" si="287"/>
        <v>6008740.7400000002</v>
      </c>
      <c r="DC17" s="47">
        <f t="shared" si="288"/>
        <v>6008740.7400000002</v>
      </c>
      <c r="DE17" s="45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>
        <f t="shared" si="289"/>
        <v>0</v>
      </c>
      <c r="DR17" s="47">
        <f t="shared" si="290"/>
        <v>0</v>
      </c>
      <c r="DT17" s="45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>
        <f t="shared" si="291"/>
        <v>0</v>
      </c>
      <c r="EG17" s="47">
        <f t="shared" si="292"/>
        <v>0</v>
      </c>
    </row>
    <row r="18" spans="1:148">
      <c r="A18" s="23" t="s">
        <v>24</v>
      </c>
      <c r="B18" s="41">
        <f t="shared" si="261"/>
        <v>3.6117999999999997E-2</v>
      </c>
      <c r="C18" s="42">
        <f t="shared" si="262"/>
        <v>7.6329509999999994</v>
      </c>
      <c r="D18" s="41">
        <f t="shared" si="263"/>
        <v>4.9125130000000006</v>
      </c>
      <c r="E18" s="42">
        <f t="shared" si="264"/>
        <v>7.6329509999999994</v>
      </c>
      <c r="F18" s="43">
        <f t="shared" si="265"/>
        <v>-99.831992000000014</v>
      </c>
      <c r="G18" s="43">
        <f t="shared" si="266"/>
        <v>1274.3330880000001</v>
      </c>
      <c r="H18" s="43">
        <f t="shared" si="267"/>
        <v>153.45130999999995</v>
      </c>
      <c r="I18" s="43">
        <f t="shared" si="268"/>
        <v>1282.0550880000001</v>
      </c>
      <c r="J18" s="43">
        <f t="shared" si="269"/>
        <v>97.124537000000018</v>
      </c>
      <c r="K18" s="43">
        <f t="shared" si="270"/>
        <v>38.505363000000003</v>
      </c>
      <c r="L18" s="43">
        <f t="shared" si="271"/>
        <v>387.01969100000002</v>
      </c>
      <c r="M18" s="43">
        <f t="shared" si="272"/>
        <v>66.702848000000003</v>
      </c>
      <c r="N18" s="43">
        <f t="shared" si="273"/>
        <v>-2.6713369999999941</v>
      </c>
      <c r="O18" s="43">
        <f t="shared" si="274"/>
        <v>1320.4714020000001</v>
      </c>
      <c r="P18" s="43">
        <f t="shared" si="275"/>
        <v>545.38351399999999</v>
      </c>
      <c r="Q18" s="44">
        <f t="shared" si="276"/>
        <v>1356.390887</v>
      </c>
      <c r="S18" s="45"/>
      <c r="T18" s="46">
        <v>22241.38</v>
      </c>
      <c r="U18" s="46">
        <v>-20846.55</v>
      </c>
      <c r="V18" s="46">
        <v>415.25000000000006</v>
      </c>
      <c r="W18" s="46"/>
      <c r="X18" s="46">
        <v>8793.6500000000015</v>
      </c>
      <c r="Y18" s="46">
        <v>18121.349999999999</v>
      </c>
      <c r="Z18" s="46">
        <v>16250.01</v>
      </c>
      <c r="AA18" s="46">
        <v>1748.46</v>
      </c>
      <c r="AB18" s="46">
        <v>41.32</v>
      </c>
      <c r="AC18" s="46">
        <v>1999.08</v>
      </c>
      <c r="AD18" s="46">
        <v>361.18</v>
      </c>
      <c r="AE18" s="72">
        <f t="shared" si="277"/>
        <v>49125.130000000005</v>
      </c>
      <c r="AF18" s="47">
        <f t="shared" si="278"/>
        <v>49125.130000000005</v>
      </c>
      <c r="AH18" s="45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>
        <v>76329.509999999995</v>
      </c>
      <c r="AT18" s="72">
        <f t="shared" si="279"/>
        <v>76329.509999999995</v>
      </c>
      <c r="AU18" s="47">
        <f t="shared" si="280"/>
        <v>76329.509999999995</v>
      </c>
      <c r="AW18" s="45">
        <v>140235.85</v>
      </c>
      <c r="AX18" s="46">
        <v>1795500</v>
      </c>
      <c r="AY18" s="46">
        <f>-234137.26+1453918.01</f>
        <v>1219780.75</v>
      </c>
      <c r="AZ18" s="46">
        <v>-54758.250000000109</v>
      </c>
      <c r="BA18" s="46">
        <v>-90000</v>
      </c>
      <c r="BB18" s="46">
        <v>-43741.75</v>
      </c>
      <c r="BC18" s="46">
        <v>-22666.000000000258</v>
      </c>
      <c r="BD18" s="46">
        <v>-45365.419999999933</v>
      </c>
      <c r="BE18" s="46">
        <v>-152755.53000000003</v>
      </c>
      <c r="BF18" s="46">
        <v>-149622.46999999997</v>
      </c>
      <c r="BG18" s="46">
        <v>-63774.160000000033</v>
      </c>
      <c r="BH18" s="46">
        <v>-998319.92000000016</v>
      </c>
      <c r="BI18" s="46">
        <f t="shared" si="281"/>
        <v>1534513.0999999994</v>
      </c>
      <c r="BJ18" s="47">
        <f t="shared" si="282"/>
        <v>1534513.0999999994</v>
      </c>
      <c r="BL18" s="45"/>
      <c r="BM18" s="46"/>
      <c r="BN18" s="46"/>
      <c r="BO18" s="46"/>
      <c r="BP18" s="46"/>
      <c r="BQ18" s="46"/>
      <c r="BR18" s="46"/>
      <c r="BS18" s="46"/>
      <c r="BT18" s="46"/>
      <c r="BU18" s="46"/>
      <c r="BV18" s="46">
        <v>77220</v>
      </c>
      <c r="BW18" s="46">
        <v>12743330.880000001</v>
      </c>
      <c r="BX18" s="46">
        <f t="shared" si="283"/>
        <v>12820550.880000001</v>
      </c>
      <c r="BY18" s="47">
        <f t="shared" si="284"/>
        <v>12820550.880000001</v>
      </c>
      <c r="CA18" s="45">
        <v>147584.58000000002</v>
      </c>
      <c r="CB18" s="46">
        <v>689.66</v>
      </c>
      <c r="CC18" s="46">
        <v>313082.94</v>
      </c>
      <c r="CD18" s="46">
        <v>290536.12</v>
      </c>
      <c r="CE18" s="46">
        <v>278776.66000000009</v>
      </c>
      <c r="CF18" s="46">
        <v>202098.83999999997</v>
      </c>
      <c r="CG18" s="46">
        <v>251995.85</v>
      </c>
      <c r="CH18" s="46">
        <v>357703.52999999997</v>
      </c>
      <c r="CI18" s="46">
        <v>297673.84999999992</v>
      </c>
      <c r="CJ18" s="46">
        <v>537714.14999999991</v>
      </c>
      <c r="CK18" s="46">
        <v>221095.36000000002</v>
      </c>
      <c r="CL18" s="46">
        <v>971245.37000000011</v>
      </c>
      <c r="CM18" s="46">
        <f t="shared" si="285"/>
        <v>3870196.91</v>
      </c>
      <c r="CN18" s="47">
        <f t="shared" si="286"/>
        <v>3870196.91</v>
      </c>
      <c r="CP18" s="45"/>
      <c r="CQ18" s="46"/>
      <c r="CR18" s="46"/>
      <c r="CS18" s="46"/>
      <c r="CT18" s="46"/>
      <c r="CU18" s="46"/>
      <c r="CV18" s="46"/>
      <c r="CW18" s="46">
        <v>876</v>
      </c>
      <c r="CX18" s="46">
        <v>4930.5</v>
      </c>
      <c r="CY18" s="46">
        <v>99901.21</v>
      </c>
      <c r="CZ18" s="46">
        <v>176267.14</v>
      </c>
      <c r="DA18" s="46">
        <v>385053.63</v>
      </c>
      <c r="DB18" s="46">
        <f t="shared" si="287"/>
        <v>667028.47999999998</v>
      </c>
      <c r="DC18" s="47">
        <f t="shared" si="288"/>
        <v>667028.47999999998</v>
      </c>
      <c r="DE18" s="45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>
        <f t="shared" si="289"/>
        <v>0</v>
      </c>
      <c r="DR18" s="47">
        <f t="shared" si="290"/>
        <v>0</v>
      </c>
      <c r="DT18" s="45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>
        <f t="shared" si="291"/>
        <v>0</v>
      </c>
      <c r="EG18" s="47">
        <f t="shared" si="292"/>
        <v>0</v>
      </c>
    </row>
    <row r="19" spans="1:148">
      <c r="A19" s="23" t="s">
        <v>25</v>
      </c>
      <c r="B19" s="41">
        <f t="shared" si="261"/>
        <v>144.08376999999999</v>
      </c>
      <c r="C19" s="42">
        <f t="shared" si="262"/>
        <v>110.70274999999988</v>
      </c>
      <c r="D19" s="41">
        <f t="shared" si="263"/>
        <v>790.23869100000002</v>
      </c>
      <c r="E19" s="42">
        <f t="shared" si="264"/>
        <v>247.27097699999987</v>
      </c>
      <c r="F19" s="43">
        <f t="shared" si="265"/>
        <v>141.08848303799999</v>
      </c>
      <c r="G19" s="43">
        <f t="shared" si="266"/>
        <v>189.96984399999982</v>
      </c>
      <c r="H19" s="43">
        <f t="shared" si="267"/>
        <v>700.59958034399995</v>
      </c>
      <c r="I19" s="43">
        <f t="shared" si="268"/>
        <v>415.17260399999981</v>
      </c>
      <c r="J19" s="43">
        <f t="shared" si="269"/>
        <v>63.480864999999987</v>
      </c>
      <c r="K19" s="43">
        <f t="shared" si="270"/>
        <v>80.636600000000001</v>
      </c>
      <c r="L19" s="43">
        <f t="shared" si="271"/>
        <v>447.24332599999997</v>
      </c>
      <c r="M19" s="43">
        <f t="shared" si="272"/>
        <v>117.20844699999999</v>
      </c>
      <c r="N19" s="43">
        <f t="shared" si="273"/>
        <v>348.653118038</v>
      </c>
      <c r="O19" s="43">
        <f t="shared" si="274"/>
        <v>381.30919399999971</v>
      </c>
      <c r="P19" s="43">
        <f t="shared" si="275"/>
        <v>1938.0815973440001</v>
      </c>
      <c r="Q19" s="44">
        <f t="shared" si="276"/>
        <v>779.65202799999963</v>
      </c>
      <c r="S19" s="45">
        <f>615019.73-185127.74</f>
        <v>429891.99</v>
      </c>
      <c r="T19" s="46">
        <v>592088.66999999981</v>
      </c>
      <c r="U19" s="46">
        <v>469559.30999999988</v>
      </c>
      <c r="V19" s="46">
        <f>629233.44-27966.28</f>
        <v>601267.15999999992</v>
      </c>
      <c r="W19" s="46">
        <v>573267.47000000009</v>
      </c>
      <c r="X19" s="46">
        <v>532764.76000000013</v>
      </c>
      <c r="Y19" s="46">
        <v>694337.95999999973</v>
      </c>
      <c r="Z19" s="46">
        <v>610427.88000000012</v>
      </c>
      <c r="AA19" s="46">
        <v>629323.25</v>
      </c>
      <c r="AB19" s="46">
        <v>744924.02000000025</v>
      </c>
      <c r="AC19" s="46">
        <v>583696.74000000022</v>
      </c>
      <c r="AD19" s="46">
        <v>1440837.7</v>
      </c>
      <c r="AE19" s="72">
        <f t="shared" si="277"/>
        <v>7902386.9100000001</v>
      </c>
      <c r="AF19" s="47">
        <f t="shared" si="278"/>
        <v>7902386.9100000001</v>
      </c>
      <c r="AH19" s="45"/>
      <c r="AI19" s="46"/>
      <c r="AJ19" s="46"/>
      <c r="AK19" s="46"/>
      <c r="AL19" s="46"/>
      <c r="AM19" s="46"/>
      <c r="AN19" s="46">
        <v>305371.47000000009</v>
      </c>
      <c r="AO19" s="46">
        <v>217567.31999999998</v>
      </c>
      <c r="AP19" s="46">
        <v>226709.92999999996</v>
      </c>
      <c r="AQ19" s="46">
        <v>367358.25</v>
      </c>
      <c r="AR19" s="46">
        <v>248675.29999999996</v>
      </c>
      <c r="AS19" s="46">
        <v>1107027.4999999988</v>
      </c>
      <c r="AT19" s="72">
        <f t="shared" si="279"/>
        <v>2472709.7699999986</v>
      </c>
      <c r="AU19" s="47">
        <f t="shared" si="280"/>
        <v>2472709.7699999986</v>
      </c>
      <c r="AW19" s="45">
        <f>848572.92-389214.29</f>
        <v>459358.63000000006</v>
      </c>
      <c r="AX19" s="46">
        <v>738399.50000000012</v>
      </c>
      <c r="AY19" s="46">
        <v>22011.909999999996</v>
      </c>
      <c r="AZ19" s="46">
        <f>3924.53-207651.55</f>
        <v>-203727.02</v>
      </c>
      <c r="BA19" s="46"/>
      <c r="BB19" s="46"/>
      <c r="BC19" s="46">
        <v>1950599.4942999999</v>
      </c>
      <c r="BD19" s="46">
        <v>600037.75</v>
      </c>
      <c r="BE19" s="46">
        <v>618052.19999999995</v>
      </c>
      <c r="BF19" s="46">
        <v>699731.41876000003</v>
      </c>
      <c r="BG19" s="46">
        <v>710647.09</v>
      </c>
      <c r="BH19" s="46">
        <v>1410884.8303799999</v>
      </c>
      <c r="BI19" s="46">
        <f t="shared" si="281"/>
        <v>7005995.8034399999</v>
      </c>
      <c r="BJ19" s="47">
        <f t="shared" si="282"/>
        <v>7005995.8034399999</v>
      </c>
      <c r="BL19" s="45"/>
      <c r="BM19" s="46"/>
      <c r="BN19" s="46"/>
      <c r="BO19" s="46"/>
      <c r="BP19" s="46"/>
      <c r="BQ19" s="46"/>
      <c r="BR19" s="46">
        <v>442195.15</v>
      </c>
      <c r="BS19" s="46">
        <v>355531.94999999995</v>
      </c>
      <c r="BT19" s="46">
        <v>362883.41</v>
      </c>
      <c r="BU19" s="46">
        <v>568379.27</v>
      </c>
      <c r="BV19" s="46">
        <v>523037.82000000007</v>
      </c>
      <c r="BW19" s="46">
        <v>1899698.4399999983</v>
      </c>
      <c r="BX19" s="46">
        <f t="shared" si="283"/>
        <v>4151726.0399999982</v>
      </c>
      <c r="BY19" s="47">
        <f t="shared" si="284"/>
        <v>4151726.0399999982</v>
      </c>
      <c r="CA19" s="45">
        <f>223790.55+30025</f>
        <v>253815.55</v>
      </c>
      <c r="CB19" s="46">
        <v>104374.95</v>
      </c>
      <c r="CC19" s="46">
        <v>397206.48999999993</v>
      </c>
      <c r="CD19" s="46">
        <f>231274.99+5008.24</f>
        <v>236283.22999999998</v>
      </c>
      <c r="CE19" s="46">
        <v>439914.27</v>
      </c>
      <c r="CF19" s="46">
        <v>351952.02000000008</v>
      </c>
      <c r="CG19" s="46">
        <v>261442.08</v>
      </c>
      <c r="CH19" s="46">
        <v>435857.62</v>
      </c>
      <c r="CI19" s="46">
        <v>273455.88</v>
      </c>
      <c r="CJ19" s="46">
        <v>526951.31999999995</v>
      </c>
      <c r="CK19" s="46">
        <v>556371.20000000007</v>
      </c>
      <c r="CL19" s="46">
        <v>634808.64999999991</v>
      </c>
      <c r="CM19" s="46">
        <f t="shared" si="285"/>
        <v>4472433.26</v>
      </c>
      <c r="CN19" s="47">
        <f t="shared" si="286"/>
        <v>4472433.26</v>
      </c>
      <c r="CP19" s="45"/>
      <c r="CQ19" s="46"/>
      <c r="CR19" s="46"/>
      <c r="CS19" s="46"/>
      <c r="CT19" s="46"/>
      <c r="CU19" s="46"/>
      <c r="CV19" s="46">
        <v>42804.1</v>
      </c>
      <c r="CW19" s="46">
        <v>28682.29</v>
      </c>
      <c r="CX19" s="46">
        <v>51143.8</v>
      </c>
      <c r="CY19" s="46">
        <v>33585.770000000004</v>
      </c>
      <c r="CZ19" s="46">
        <v>209502.51</v>
      </c>
      <c r="DA19" s="46">
        <v>806366</v>
      </c>
      <c r="DB19" s="46">
        <f t="shared" si="287"/>
        <v>1172084.47</v>
      </c>
      <c r="DC19" s="47">
        <f t="shared" si="288"/>
        <v>1172084.47</v>
      </c>
      <c r="DE19" s="45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>
        <f t="shared" si="289"/>
        <v>0</v>
      </c>
      <c r="DR19" s="47">
        <f t="shared" si="290"/>
        <v>0</v>
      </c>
      <c r="DT19" s="45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>
        <f t="shared" si="291"/>
        <v>0</v>
      </c>
      <c r="EG19" s="47">
        <f t="shared" si="292"/>
        <v>0</v>
      </c>
    </row>
    <row r="20" spans="1:148">
      <c r="A20" s="23" t="s">
        <v>26</v>
      </c>
      <c r="B20" s="41">
        <f t="shared" si="261"/>
        <v>26.990955000000021</v>
      </c>
      <c r="C20" s="42">
        <f t="shared" si="262"/>
        <v>8.685319999999999</v>
      </c>
      <c r="D20" s="41">
        <f t="shared" si="263"/>
        <v>234.26066700000004</v>
      </c>
      <c r="E20" s="42">
        <f t="shared" si="264"/>
        <v>27.918082999999996</v>
      </c>
      <c r="F20" s="43">
        <f t="shared" si="265"/>
        <v>34.836049835999994</v>
      </c>
      <c r="G20" s="43">
        <f t="shared" si="266"/>
        <v>15.014664000000002</v>
      </c>
      <c r="H20" s="43">
        <f t="shared" si="267"/>
        <v>211.69901865600002</v>
      </c>
      <c r="I20" s="43">
        <f t="shared" si="268"/>
        <v>32.502780000000001</v>
      </c>
      <c r="J20" s="43">
        <f t="shared" si="269"/>
        <v>25.261061999999999</v>
      </c>
      <c r="K20" s="43">
        <f t="shared" si="270"/>
        <v>1.6602029999999999</v>
      </c>
      <c r="L20" s="43">
        <f t="shared" si="271"/>
        <v>71.202328000000009</v>
      </c>
      <c r="M20" s="43">
        <f t="shared" si="272"/>
        <v>10.068707</v>
      </c>
      <c r="N20" s="43">
        <f t="shared" si="273"/>
        <v>87.08806683600001</v>
      </c>
      <c r="O20" s="43">
        <f t="shared" si="274"/>
        <v>25.360187</v>
      </c>
      <c r="P20" s="43">
        <f t="shared" si="275"/>
        <v>517.162013656</v>
      </c>
      <c r="Q20" s="44">
        <f t="shared" si="276"/>
        <v>70.489570000000001</v>
      </c>
      <c r="S20" s="45">
        <v>170770.95999999996</v>
      </c>
      <c r="T20" s="46">
        <v>99335.950000000026</v>
      </c>
      <c r="U20" s="46">
        <v>165599.45000000001</v>
      </c>
      <c r="V20" s="46">
        <v>175861.08999999997</v>
      </c>
      <c r="W20" s="46">
        <v>178104.39000000004</v>
      </c>
      <c r="X20" s="46">
        <v>195586.07</v>
      </c>
      <c r="Y20" s="46">
        <v>86498.38</v>
      </c>
      <c r="Z20" s="46">
        <v>201643.94999999998</v>
      </c>
      <c r="AA20" s="46">
        <v>301540.46000000002</v>
      </c>
      <c r="AB20" s="46">
        <v>209450.35</v>
      </c>
      <c r="AC20" s="46">
        <v>288306.07</v>
      </c>
      <c r="AD20" s="46">
        <v>269909.55000000022</v>
      </c>
      <c r="AE20" s="72">
        <f t="shared" si="277"/>
        <v>2342606.6700000004</v>
      </c>
      <c r="AF20" s="47">
        <f t="shared" si="278"/>
        <v>2342606.6700000004</v>
      </c>
      <c r="AH20" s="45"/>
      <c r="AI20" s="46"/>
      <c r="AJ20" s="46"/>
      <c r="AK20" s="46"/>
      <c r="AL20" s="46"/>
      <c r="AM20" s="46"/>
      <c r="AN20" s="46">
        <v>10332.52</v>
      </c>
      <c r="AO20" s="46">
        <v>74548.400000000009</v>
      </c>
      <c r="AP20" s="46">
        <v>41385.800000000003</v>
      </c>
      <c r="AQ20" s="46">
        <v>34019.749999999993</v>
      </c>
      <c r="AR20" s="46">
        <v>32041.160000000007</v>
      </c>
      <c r="AS20" s="46">
        <v>86853.199999999983</v>
      </c>
      <c r="AT20" s="72">
        <f t="shared" si="279"/>
        <v>279180.82999999996</v>
      </c>
      <c r="AU20" s="47">
        <f t="shared" si="280"/>
        <v>279180.82999999996</v>
      </c>
      <c r="AW20" s="45">
        <v>5494.0499999999993</v>
      </c>
      <c r="AX20" s="46"/>
      <c r="AY20" s="46">
        <v>14446.72</v>
      </c>
      <c r="AZ20" s="46"/>
      <c r="BA20" s="46"/>
      <c r="BB20" s="46">
        <v>368.16</v>
      </c>
      <c r="BC20" s="46">
        <v>896444.20460000006</v>
      </c>
      <c r="BD20" s="46">
        <v>238910.7</v>
      </c>
      <c r="BE20" s="46">
        <v>209041.69</v>
      </c>
      <c r="BF20" s="46">
        <v>171781.89360000001</v>
      </c>
      <c r="BG20" s="46">
        <v>232142.27</v>
      </c>
      <c r="BH20" s="46">
        <v>348360.49835999997</v>
      </c>
      <c r="BI20" s="46">
        <f t="shared" si="281"/>
        <v>2116990.1865600003</v>
      </c>
      <c r="BJ20" s="47">
        <f t="shared" si="282"/>
        <v>2116990.1865600003</v>
      </c>
      <c r="BL20" s="45"/>
      <c r="BM20" s="46"/>
      <c r="BN20" s="46"/>
      <c r="BO20" s="46"/>
      <c r="BP20" s="46"/>
      <c r="BQ20" s="46"/>
      <c r="BR20" s="46">
        <v>20329.729999999996</v>
      </c>
      <c r="BS20" s="46">
        <v>65463.88</v>
      </c>
      <c r="BT20" s="46">
        <v>10031.5</v>
      </c>
      <c r="BU20" s="46">
        <v>31472.02</v>
      </c>
      <c r="BV20" s="46">
        <v>47584.030000000006</v>
      </c>
      <c r="BW20" s="46">
        <f>149649.44+497.2</f>
        <v>150146.64000000001</v>
      </c>
      <c r="BX20" s="46">
        <f t="shared" si="283"/>
        <v>325027.80000000005</v>
      </c>
      <c r="BY20" s="47">
        <f t="shared" si="284"/>
        <v>325027.80000000005</v>
      </c>
      <c r="CA20" s="45">
        <f>35685.23+1855.53</f>
        <v>37540.76</v>
      </c>
      <c r="CB20" s="46">
        <f>1500+1307.84</f>
        <v>2807.84</v>
      </c>
      <c r="CC20" s="46">
        <f>20486.03+2322.43</f>
        <v>22808.46</v>
      </c>
      <c r="CD20" s="46">
        <f>34903.34+3593.39</f>
        <v>38496.729999999996</v>
      </c>
      <c r="CE20" s="46">
        <f>12647.29+2057.94</f>
        <v>14705.230000000001</v>
      </c>
      <c r="CF20" s="46">
        <f>14006.82+2147.79</f>
        <v>16154.61</v>
      </c>
      <c r="CG20" s="46">
        <f>15146.4+2461.51</f>
        <v>17607.91</v>
      </c>
      <c r="CH20" s="46">
        <f>10391.09+11513.05</f>
        <v>21904.14</v>
      </c>
      <c r="CI20" s="46">
        <f>10922.91+38839.75+407.17</f>
        <v>50169.83</v>
      </c>
      <c r="CJ20" s="46">
        <f>7826.1+66271.54+2555.67</f>
        <v>76653.31</v>
      </c>
      <c r="CK20" s="46">
        <f>27459.33+129780.9+3323.61</f>
        <v>160563.83999999997</v>
      </c>
      <c r="CL20" s="46">
        <f>18671.48+230961.4+2977.74</f>
        <v>252610.62</v>
      </c>
      <c r="CM20" s="46">
        <f t="shared" si="285"/>
        <v>712023.28</v>
      </c>
      <c r="CN20" s="47">
        <f t="shared" si="286"/>
        <v>712023.28</v>
      </c>
      <c r="CP20" s="45"/>
      <c r="CQ20" s="46"/>
      <c r="CR20" s="46"/>
      <c r="CS20" s="46"/>
      <c r="CT20" s="46"/>
      <c r="CU20" s="46"/>
      <c r="CV20" s="46">
        <v>780.98</v>
      </c>
      <c r="CW20" s="46">
        <v>9492.2300000000014</v>
      </c>
      <c r="CX20" s="46">
        <v>2270.08</v>
      </c>
      <c r="CY20" s="46">
        <v>42086.29</v>
      </c>
      <c r="CZ20" s="46">
        <v>29455.460000000003</v>
      </c>
      <c r="DA20" s="46">
        <v>16602.03</v>
      </c>
      <c r="DB20" s="46">
        <f t="shared" si="287"/>
        <v>100687.07</v>
      </c>
      <c r="DC20" s="47">
        <f t="shared" si="288"/>
        <v>100687.07</v>
      </c>
      <c r="DE20" s="45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>
        <f t="shared" si="289"/>
        <v>0</v>
      </c>
      <c r="DR20" s="47">
        <f t="shared" si="290"/>
        <v>0</v>
      </c>
      <c r="DT20" s="45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>
        <f t="shared" si="291"/>
        <v>0</v>
      </c>
      <c r="EG20" s="47">
        <f t="shared" si="292"/>
        <v>0</v>
      </c>
    </row>
    <row r="21" spans="1:148">
      <c r="A21" s="23" t="s">
        <v>27</v>
      </c>
      <c r="B21" s="41">
        <f t="shared" si="261"/>
        <v>3.6818000000000004E-2</v>
      </c>
      <c r="C21" s="42">
        <f t="shared" si="262"/>
        <v>0</v>
      </c>
      <c r="D21" s="41">
        <f t="shared" si="263"/>
        <v>3.6818000000000004E-2</v>
      </c>
      <c r="E21" s="42">
        <f t="shared" si="264"/>
        <v>0</v>
      </c>
      <c r="F21" s="43">
        <f t="shared" si="265"/>
        <v>0</v>
      </c>
      <c r="G21" s="43">
        <f t="shared" si="266"/>
        <v>0</v>
      </c>
      <c r="H21" s="43">
        <f t="shared" si="267"/>
        <v>0</v>
      </c>
      <c r="I21" s="43">
        <f t="shared" si="268"/>
        <v>0</v>
      </c>
      <c r="J21" s="43">
        <f t="shared" si="269"/>
        <v>0</v>
      </c>
      <c r="K21" s="43">
        <f t="shared" si="270"/>
        <v>0</v>
      </c>
      <c r="L21" s="43">
        <f t="shared" si="271"/>
        <v>0</v>
      </c>
      <c r="M21" s="43">
        <f t="shared" si="272"/>
        <v>0</v>
      </c>
      <c r="N21" s="43">
        <f t="shared" si="273"/>
        <v>3.6818000000000004E-2</v>
      </c>
      <c r="O21" s="43">
        <f t="shared" si="274"/>
        <v>0</v>
      </c>
      <c r="P21" s="43">
        <f t="shared" si="275"/>
        <v>3.6818000000000004E-2</v>
      </c>
      <c r="Q21" s="44">
        <f t="shared" si="276"/>
        <v>0</v>
      </c>
      <c r="S21" s="45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>
        <v>368.18</v>
      </c>
      <c r="AE21" s="72">
        <f t="shared" si="277"/>
        <v>368.18</v>
      </c>
      <c r="AF21" s="47">
        <f t="shared" si="278"/>
        <v>368.18</v>
      </c>
      <c r="AH21" s="4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72">
        <f t="shared" si="279"/>
        <v>0</v>
      </c>
      <c r="AU21" s="47">
        <f t="shared" si="280"/>
        <v>0</v>
      </c>
      <c r="AW21" s="45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>
        <f t="shared" si="281"/>
        <v>0</v>
      </c>
      <c r="BJ21" s="47">
        <f t="shared" si="282"/>
        <v>0</v>
      </c>
      <c r="BL21" s="45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>
        <f t="shared" si="283"/>
        <v>0</v>
      </c>
      <c r="BY21" s="47">
        <f t="shared" si="284"/>
        <v>0</v>
      </c>
      <c r="CA21" s="45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>
        <f t="shared" si="285"/>
        <v>0</v>
      </c>
      <c r="CN21" s="47">
        <f t="shared" si="286"/>
        <v>0</v>
      </c>
      <c r="CP21" s="45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>
        <f t="shared" si="287"/>
        <v>0</v>
      </c>
      <c r="DC21" s="47">
        <f t="shared" si="288"/>
        <v>0</v>
      </c>
      <c r="DE21" s="45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>
        <f t="shared" si="289"/>
        <v>0</v>
      </c>
      <c r="DR21" s="47">
        <f t="shared" si="290"/>
        <v>0</v>
      </c>
      <c r="DT21" s="45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>
        <f t="shared" si="291"/>
        <v>0</v>
      </c>
      <c r="EG21" s="47">
        <f t="shared" si="292"/>
        <v>0</v>
      </c>
    </row>
    <row r="22" spans="1:148">
      <c r="A22" s="23" t="s">
        <v>28</v>
      </c>
      <c r="B22" s="41">
        <f t="shared" si="261"/>
        <v>19.479011000000362</v>
      </c>
      <c r="C22" s="42">
        <f t="shared" si="262"/>
        <v>0</v>
      </c>
      <c r="D22" s="41">
        <f t="shared" si="263"/>
        <v>200.15202600000248</v>
      </c>
      <c r="E22" s="42">
        <f t="shared" si="264"/>
        <v>0</v>
      </c>
      <c r="F22" s="43">
        <f t="shared" si="265"/>
        <v>0.70781600000000022</v>
      </c>
      <c r="G22" s="43">
        <f t="shared" si="266"/>
        <v>0</v>
      </c>
      <c r="H22" s="43">
        <f t="shared" si="267"/>
        <v>4.6140850000000011</v>
      </c>
      <c r="I22" s="43">
        <f t="shared" si="268"/>
        <v>0</v>
      </c>
      <c r="J22" s="43">
        <f t="shared" si="269"/>
        <v>0</v>
      </c>
      <c r="K22" s="43">
        <f t="shared" si="270"/>
        <v>0</v>
      </c>
      <c r="L22" s="43">
        <f t="shared" si="271"/>
        <v>0</v>
      </c>
      <c r="M22" s="43">
        <f t="shared" si="272"/>
        <v>0</v>
      </c>
      <c r="N22" s="43">
        <f t="shared" si="273"/>
        <v>20.186827000000363</v>
      </c>
      <c r="O22" s="43">
        <f t="shared" si="274"/>
        <v>0</v>
      </c>
      <c r="P22" s="43">
        <f t="shared" si="275"/>
        <v>204.76611100000247</v>
      </c>
      <c r="Q22" s="44">
        <f t="shared" si="276"/>
        <v>0</v>
      </c>
      <c r="S22" s="45"/>
      <c r="T22" s="46"/>
      <c r="U22" s="46">
        <v>261795.65999999989</v>
      </c>
      <c r="V22" s="46">
        <v>130900.12000000036</v>
      </c>
      <c r="W22" s="46">
        <v>245312.95000000318</v>
      </c>
      <c r="X22" s="46">
        <v>188108.59000000323</v>
      </c>
      <c r="Y22" s="46">
        <v>201462.61000000287</v>
      </c>
      <c r="Z22" s="46">
        <v>194789.60000000332</v>
      </c>
      <c r="AA22" s="46">
        <v>194785.4700000021</v>
      </c>
      <c r="AB22" s="46">
        <v>194789.5900000032</v>
      </c>
      <c r="AC22" s="46">
        <v>194785.56000000326</v>
      </c>
      <c r="AD22" s="46">
        <v>194790.11000000362</v>
      </c>
      <c r="AE22" s="72">
        <f t="shared" si="277"/>
        <v>2001520.2600000249</v>
      </c>
      <c r="AF22" s="47">
        <f t="shared" si="278"/>
        <v>2001520.2600000249</v>
      </c>
      <c r="AH22" s="4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72">
        <f t="shared" si="279"/>
        <v>0</v>
      </c>
      <c r="AU22" s="47">
        <f t="shared" si="280"/>
        <v>0</v>
      </c>
      <c r="AW22" s="45"/>
      <c r="AX22" s="46"/>
      <c r="AY22" s="46"/>
      <c r="AZ22" s="46"/>
      <c r="BA22" s="46"/>
      <c r="BB22" s="46"/>
      <c r="BC22" s="46">
        <v>11817.360000000002</v>
      </c>
      <c r="BD22" s="46">
        <v>7713.8700000000026</v>
      </c>
      <c r="BE22" s="46">
        <v>6510.550000000002</v>
      </c>
      <c r="BF22" s="46">
        <v>6510.3000000000038</v>
      </c>
      <c r="BG22" s="46">
        <v>6510.6100000000024</v>
      </c>
      <c r="BH22" s="46">
        <v>7078.1600000000017</v>
      </c>
      <c r="BI22" s="46">
        <f t="shared" si="281"/>
        <v>46140.850000000013</v>
      </c>
      <c r="BJ22" s="47">
        <f t="shared" si="282"/>
        <v>46140.850000000013</v>
      </c>
      <c r="BL22" s="45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>
        <f t="shared" si="283"/>
        <v>0</v>
      </c>
      <c r="BY22" s="47">
        <f t="shared" si="284"/>
        <v>0</v>
      </c>
      <c r="CA22" s="45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>
        <f t="shared" si="285"/>
        <v>0</v>
      </c>
      <c r="CN22" s="47">
        <f t="shared" si="286"/>
        <v>0</v>
      </c>
      <c r="CP22" s="45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>
        <f t="shared" si="287"/>
        <v>0</v>
      </c>
      <c r="DC22" s="47">
        <f t="shared" si="288"/>
        <v>0</v>
      </c>
      <c r="DE22" s="45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>
        <f t="shared" si="289"/>
        <v>0</v>
      </c>
      <c r="DR22" s="47">
        <f t="shared" si="290"/>
        <v>0</v>
      </c>
      <c r="DT22" s="45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>
        <f t="shared" si="291"/>
        <v>0</v>
      </c>
      <c r="EG22" s="47">
        <f t="shared" si="292"/>
        <v>0</v>
      </c>
    </row>
    <row r="23" spans="1:148">
      <c r="A23" s="24" t="s">
        <v>29</v>
      </c>
      <c r="B23" s="41">
        <f t="shared" si="261"/>
        <v>42.829543999999999</v>
      </c>
      <c r="C23" s="42">
        <f t="shared" si="262"/>
        <v>96.576459999999997</v>
      </c>
      <c r="D23" s="41">
        <f t="shared" si="263"/>
        <v>695.23637999999994</v>
      </c>
      <c r="E23" s="42">
        <f t="shared" si="264"/>
        <v>135.99194800000001</v>
      </c>
      <c r="F23" s="43">
        <f t="shared" si="265"/>
        <v>17.241278999999999</v>
      </c>
      <c r="G23" s="43">
        <f t="shared" si="266"/>
        <v>5.503908</v>
      </c>
      <c r="H23" s="43">
        <f t="shared" si="267"/>
        <v>305.46027299999997</v>
      </c>
      <c r="I23" s="43">
        <f t="shared" si="268"/>
        <v>21.522264</v>
      </c>
      <c r="J23" s="43">
        <f t="shared" si="269"/>
        <v>10.378505000000001</v>
      </c>
      <c r="K23" s="43">
        <f t="shared" si="270"/>
        <v>1.9050669999999998</v>
      </c>
      <c r="L23" s="43">
        <f t="shared" si="271"/>
        <v>105.29674799999999</v>
      </c>
      <c r="M23" s="43">
        <f t="shared" si="272"/>
        <v>12.988534</v>
      </c>
      <c r="N23" s="43">
        <f t="shared" si="273"/>
        <v>70.449327999999994</v>
      </c>
      <c r="O23" s="43">
        <f t="shared" si="274"/>
        <v>103.985435</v>
      </c>
      <c r="P23" s="43">
        <f t="shared" si="275"/>
        <v>1105.9934009999999</v>
      </c>
      <c r="Q23" s="44">
        <f t="shared" si="276"/>
        <v>170.502746</v>
      </c>
      <c r="S23" s="45">
        <v>625709</v>
      </c>
      <c r="T23" s="46">
        <v>499517.22</v>
      </c>
      <c r="U23" s="46">
        <v>1493501.22</v>
      </c>
      <c r="V23" s="46">
        <v>360660.9</v>
      </c>
      <c r="W23" s="46">
        <v>305973.73</v>
      </c>
      <c r="X23" s="46">
        <v>1025332.74</v>
      </c>
      <c r="Y23" s="46">
        <v>411858.41</v>
      </c>
      <c r="Z23" s="46">
        <v>309938.8</v>
      </c>
      <c r="AA23" s="46">
        <v>637829.80000000005</v>
      </c>
      <c r="AB23" s="46">
        <v>348035.96</v>
      </c>
      <c r="AC23" s="46">
        <v>505710.57999999996</v>
      </c>
      <c r="AD23" s="46">
        <v>428295.44</v>
      </c>
      <c r="AE23" s="72">
        <f t="shared" si="277"/>
        <v>6952363.7999999998</v>
      </c>
      <c r="AF23" s="47">
        <f t="shared" si="278"/>
        <v>6952363.7999999998</v>
      </c>
      <c r="AH23" s="45"/>
      <c r="AI23" s="46"/>
      <c r="AJ23" s="46"/>
      <c r="AK23" s="46"/>
      <c r="AL23" s="46"/>
      <c r="AM23" s="46"/>
      <c r="AN23" s="46"/>
      <c r="AO23" s="46"/>
      <c r="AP23" s="46">
        <v>76375.679999999993</v>
      </c>
      <c r="AQ23" s="46">
        <v>196007.04000000001</v>
      </c>
      <c r="AR23" s="46">
        <v>121772.16</v>
      </c>
      <c r="AS23" s="46">
        <v>965764.6</v>
      </c>
      <c r="AT23" s="72">
        <f t="shared" si="279"/>
        <v>1359919.48</v>
      </c>
      <c r="AU23" s="47">
        <f t="shared" si="280"/>
        <v>1359919.48</v>
      </c>
      <c r="AW23" s="45">
        <v>144058.07999999999</v>
      </c>
      <c r="AX23" s="46">
        <v>85612.63</v>
      </c>
      <c r="AY23" s="46">
        <v>417002.89</v>
      </c>
      <c r="AZ23" s="46">
        <v>201465.12</v>
      </c>
      <c r="BA23" s="46">
        <v>350144.54000000004</v>
      </c>
      <c r="BB23" s="46">
        <v>410116.77999999997</v>
      </c>
      <c r="BC23" s="46">
        <v>203051.46</v>
      </c>
      <c r="BD23" s="46">
        <v>218726.00999999998</v>
      </c>
      <c r="BE23" s="46">
        <v>275832.55</v>
      </c>
      <c r="BF23" s="46">
        <v>438878.32</v>
      </c>
      <c r="BG23" s="46">
        <v>137301.56</v>
      </c>
      <c r="BH23" s="46">
        <v>172412.78999999998</v>
      </c>
      <c r="BI23" s="46">
        <f t="shared" si="281"/>
        <v>3054602.73</v>
      </c>
      <c r="BJ23" s="47">
        <f t="shared" si="282"/>
        <v>3054602.73</v>
      </c>
      <c r="BL23" s="45"/>
      <c r="BM23" s="46"/>
      <c r="BN23" s="46"/>
      <c r="BO23" s="46"/>
      <c r="BP23" s="46"/>
      <c r="BQ23" s="46"/>
      <c r="BR23" s="46"/>
      <c r="BS23" s="46"/>
      <c r="BT23" s="46"/>
      <c r="BU23" s="46">
        <v>24228</v>
      </c>
      <c r="BV23" s="46">
        <v>135955.56</v>
      </c>
      <c r="BW23" s="46">
        <v>55039.08</v>
      </c>
      <c r="BX23" s="46">
        <f t="shared" si="283"/>
        <v>215222.64</v>
      </c>
      <c r="BY23" s="47">
        <f t="shared" si="284"/>
        <v>215222.64</v>
      </c>
      <c r="CA23" s="45">
        <v>16703.310000000001</v>
      </c>
      <c r="CB23" s="46">
        <v>24190.86</v>
      </c>
      <c r="CC23" s="46">
        <v>46339.39</v>
      </c>
      <c r="CD23" s="46">
        <v>7019.1699999999992</v>
      </c>
      <c r="CE23" s="46">
        <v>9069.3000000000011</v>
      </c>
      <c r="CF23" s="46">
        <v>12857.72</v>
      </c>
      <c r="CG23" s="46">
        <v>7950.05</v>
      </c>
      <c r="CH23" s="46">
        <v>26755.89</v>
      </c>
      <c r="CI23" s="46">
        <v>58305.96</v>
      </c>
      <c r="CJ23" s="46">
        <v>17529.13</v>
      </c>
      <c r="CK23" s="46">
        <v>722461.65</v>
      </c>
      <c r="CL23" s="46">
        <v>103785.05</v>
      </c>
      <c r="CM23" s="46">
        <f t="shared" si="285"/>
        <v>1052967.48</v>
      </c>
      <c r="CN23" s="47">
        <f t="shared" si="286"/>
        <v>1052967.48</v>
      </c>
      <c r="CP23" s="45"/>
      <c r="CQ23" s="46"/>
      <c r="CR23" s="46"/>
      <c r="CS23" s="46"/>
      <c r="CT23" s="46"/>
      <c r="CU23" s="46"/>
      <c r="CV23" s="46"/>
      <c r="CW23" s="46">
        <v>190</v>
      </c>
      <c r="CX23" s="46">
        <v>2945.47</v>
      </c>
      <c r="CY23" s="46">
        <v>3794.95</v>
      </c>
      <c r="CZ23" s="46">
        <v>103904.25</v>
      </c>
      <c r="DA23" s="46">
        <v>19050.669999999998</v>
      </c>
      <c r="DB23" s="46">
        <f t="shared" si="287"/>
        <v>129885.34</v>
      </c>
      <c r="DC23" s="47">
        <f t="shared" si="288"/>
        <v>129885.34</v>
      </c>
      <c r="DE23" s="45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>
        <f t="shared" si="289"/>
        <v>0</v>
      </c>
      <c r="DR23" s="47">
        <f t="shared" si="290"/>
        <v>0</v>
      </c>
      <c r="DT23" s="45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>
        <f t="shared" si="291"/>
        <v>0</v>
      </c>
      <c r="EG23" s="47">
        <f t="shared" si="292"/>
        <v>0</v>
      </c>
    </row>
    <row r="24" spans="1:148">
      <c r="A24" s="24" t="s">
        <v>30</v>
      </c>
      <c r="B24" s="41">
        <f t="shared" si="261"/>
        <v>34.837949000000002</v>
      </c>
      <c r="C24" s="42">
        <f t="shared" si="262"/>
        <v>101.91260200000001</v>
      </c>
      <c r="D24" s="41">
        <f t="shared" si="263"/>
        <v>591.00704600000006</v>
      </c>
      <c r="E24" s="42">
        <f t="shared" si="264"/>
        <v>425.57571799999999</v>
      </c>
      <c r="F24" s="43">
        <f t="shared" si="265"/>
        <v>44.552168000000002</v>
      </c>
      <c r="G24" s="43">
        <f t="shared" si="266"/>
        <v>76.658056000000002</v>
      </c>
      <c r="H24" s="43">
        <f t="shared" si="267"/>
        <v>986.63792999999987</v>
      </c>
      <c r="I24" s="43">
        <f t="shared" si="268"/>
        <v>247.39923200000004</v>
      </c>
      <c r="J24" s="43">
        <f t="shared" si="269"/>
        <v>27.105349</v>
      </c>
      <c r="K24" s="43">
        <f t="shared" si="270"/>
        <v>7.1922820000000005</v>
      </c>
      <c r="L24" s="43">
        <f t="shared" si="271"/>
        <v>281.63055499999996</v>
      </c>
      <c r="M24" s="43">
        <f t="shared" si="272"/>
        <v>69.000353000000004</v>
      </c>
      <c r="N24" s="43">
        <f t="shared" si="273"/>
        <v>106.49546600000001</v>
      </c>
      <c r="O24" s="43">
        <f t="shared" si="274"/>
        <v>185.76294000000001</v>
      </c>
      <c r="P24" s="43">
        <f t="shared" si="275"/>
        <v>1859.275531</v>
      </c>
      <c r="Q24" s="44">
        <f t="shared" si="276"/>
        <v>741.97530300000005</v>
      </c>
      <c r="S24" s="45">
        <v>287002.62</v>
      </c>
      <c r="T24" s="46">
        <v>282295.17</v>
      </c>
      <c r="U24" s="46">
        <v>1057669.3600000001</v>
      </c>
      <c r="V24" s="46">
        <v>532159.03</v>
      </c>
      <c r="W24" s="46">
        <v>366853.54</v>
      </c>
      <c r="X24" s="46">
        <v>781316.12000000011</v>
      </c>
      <c r="Y24" s="46">
        <v>429970.87</v>
      </c>
      <c r="Z24" s="46">
        <v>343843.56000000006</v>
      </c>
      <c r="AA24" s="46">
        <v>551829.46</v>
      </c>
      <c r="AB24" s="46">
        <v>461836.51</v>
      </c>
      <c r="AC24" s="46">
        <v>466914.73000000004</v>
      </c>
      <c r="AD24" s="46">
        <v>348379.49000000005</v>
      </c>
      <c r="AE24" s="72">
        <f t="shared" si="277"/>
        <v>5910070.4600000009</v>
      </c>
      <c r="AF24" s="47">
        <f t="shared" si="278"/>
        <v>5910070.4600000009</v>
      </c>
      <c r="AH24" s="45"/>
      <c r="AI24" s="46"/>
      <c r="AJ24" s="46"/>
      <c r="AK24" s="46"/>
      <c r="AL24" s="46"/>
      <c r="AM24" s="46"/>
      <c r="AN24" s="46"/>
      <c r="AO24" s="46"/>
      <c r="AP24" s="46">
        <v>683124.5</v>
      </c>
      <c r="AQ24" s="46">
        <v>1325021.51</v>
      </c>
      <c r="AR24" s="46">
        <v>1228485.1500000001</v>
      </c>
      <c r="AS24" s="46">
        <v>1019126.02</v>
      </c>
      <c r="AT24" s="72">
        <f t="shared" si="279"/>
        <v>4255757.18</v>
      </c>
      <c r="AU24" s="47">
        <f t="shared" si="280"/>
        <v>4255757.18</v>
      </c>
      <c r="AW24" s="45">
        <v>757002.15</v>
      </c>
      <c r="AX24" s="46">
        <v>1054211.23</v>
      </c>
      <c r="AY24" s="46">
        <v>1148440.3600000001</v>
      </c>
      <c r="AZ24" s="46">
        <v>1358744.76</v>
      </c>
      <c r="BA24" s="46">
        <v>1165305.55</v>
      </c>
      <c r="BB24" s="46">
        <v>504062.5</v>
      </c>
      <c r="BC24" s="46">
        <v>817112.04</v>
      </c>
      <c r="BD24" s="46">
        <v>786693.14000000013</v>
      </c>
      <c r="BE24" s="46">
        <v>1223040.1000000001</v>
      </c>
      <c r="BF24" s="46">
        <v>209117.75</v>
      </c>
      <c r="BG24" s="46">
        <v>397128.04</v>
      </c>
      <c r="BH24" s="46">
        <v>445521.68000000005</v>
      </c>
      <c r="BI24" s="46">
        <f t="shared" si="281"/>
        <v>9866379.2999999989</v>
      </c>
      <c r="BJ24" s="47">
        <f t="shared" si="282"/>
        <v>9866379.2999999989</v>
      </c>
      <c r="BL24" s="45"/>
      <c r="BM24" s="46"/>
      <c r="BN24" s="46"/>
      <c r="BO24" s="46"/>
      <c r="BP24" s="46"/>
      <c r="BQ24" s="46"/>
      <c r="BR24" s="46"/>
      <c r="BS24" s="46">
        <v>55759.74</v>
      </c>
      <c r="BT24" s="46">
        <v>73083.399999999994</v>
      </c>
      <c r="BU24" s="46">
        <v>866200.71</v>
      </c>
      <c r="BV24" s="46">
        <v>712367.91000000015</v>
      </c>
      <c r="BW24" s="46">
        <v>766580.56</v>
      </c>
      <c r="BX24" s="46">
        <f t="shared" si="283"/>
        <v>2473992.3200000003</v>
      </c>
      <c r="BY24" s="47">
        <f t="shared" si="284"/>
        <v>2473992.3200000003</v>
      </c>
      <c r="CA24" s="45">
        <v>110097.41</v>
      </c>
      <c r="CB24" s="46">
        <v>54424.17</v>
      </c>
      <c r="CC24" s="46">
        <v>115009.77</v>
      </c>
      <c r="CD24" s="46">
        <v>121793.13</v>
      </c>
      <c r="CE24" s="46">
        <v>95727.29</v>
      </c>
      <c r="CF24" s="46">
        <v>104396.01999999999</v>
      </c>
      <c r="CG24" s="46">
        <f>126858.78+63018.84</f>
        <v>189877.62</v>
      </c>
      <c r="CH24" s="46">
        <v>102520.58</v>
      </c>
      <c r="CI24" s="46">
        <v>580639.61</v>
      </c>
      <c r="CJ24" s="46">
        <v>271227.92000000004</v>
      </c>
      <c r="CK24" s="46">
        <v>799538.54</v>
      </c>
      <c r="CL24" s="46">
        <v>271053.49</v>
      </c>
      <c r="CM24" s="46">
        <f t="shared" si="285"/>
        <v>2816305.55</v>
      </c>
      <c r="CN24" s="47">
        <f t="shared" si="286"/>
        <v>2816305.55</v>
      </c>
      <c r="CP24" s="45"/>
      <c r="CQ24" s="46"/>
      <c r="CR24" s="46"/>
      <c r="CS24" s="46"/>
      <c r="CT24" s="46"/>
      <c r="CU24" s="46"/>
      <c r="CV24" s="46"/>
      <c r="CW24" s="46"/>
      <c r="CX24" s="46">
        <v>48771.350000000006</v>
      </c>
      <c r="CY24" s="46">
        <v>127344.15000000001</v>
      </c>
      <c r="CZ24" s="46">
        <v>441965.20999999996</v>
      </c>
      <c r="DA24" s="46">
        <v>71922.820000000007</v>
      </c>
      <c r="DB24" s="46">
        <f t="shared" si="287"/>
        <v>690003.53</v>
      </c>
      <c r="DC24" s="47">
        <f t="shared" si="288"/>
        <v>690003.53</v>
      </c>
      <c r="DE24" s="45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>
        <f t="shared" si="289"/>
        <v>0</v>
      </c>
      <c r="DR24" s="47">
        <f t="shared" si="290"/>
        <v>0</v>
      </c>
      <c r="DT24" s="45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>
        <f t="shared" si="291"/>
        <v>0</v>
      </c>
      <c r="EG24" s="47">
        <f t="shared" si="292"/>
        <v>0</v>
      </c>
    </row>
    <row r="25" spans="1:148">
      <c r="A25" s="23" t="s">
        <v>31</v>
      </c>
      <c r="B25" s="41">
        <f t="shared" si="261"/>
        <v>0</v>
      </c>
      <c r="C25" s="42">
        <f t="shared" si="262"/>
        <v>8.413666000000001</v>
      </c>
      <c r="D25" s="41">
        <f t="shared" si="263"/>
        <v>0</v>
      </c>
      <c r="E25" s="42">
        <f t="shared" si="264"/>
        <v>8.413666000000001</v>
      </c>
      <c r="F25" s="43">
        <f t="shared" si="265"/>
        <v>0</v>
      </c>
      <c r="G25" s="43">
        <f t="shared" si="266"/>
        <v>11.950125999999999</v>
      </c>
      <c r="H25" s="43">
        <f t="shared" si="267"/>
        <v>0</v>
      </c>
      <c r="I25" s="43">
        <f t="shared" si="268"/>
        <v>11.950125999999999</v>
      </c>
      <c r="J25" s="43">
        <f t="shared" si="269"/>
        <v>0</v>
      </c>
      <c r="K25" s="43">
        <f t="shared" si="270"/>
        <v>0.7944</v>
      </c>
      <c r="L25" s="43">
        <f t="shared" si="271"/>
        <v>0</v>
      </c>
      <c r="M25" s="43">
        <f t="shared" si="272"/>
        <v>19.662323999999998</v>
      </c>
      <c r="N25" s="43">
        <f t="shared" si="273"/>
        <v>0</v>
      </c>
      <c r="O25" s="43">
        <f t="shared" si="274"/>
        <v>21.158192</v>
      </c>
      <c r="P25" s="43">
        <f t="shared" si="275"/>
        <v>0</v>
      </c>
      <c r="Q25" s="44">
        <f t="shared" si="276"/>
        <v>40.026116000000002</v>
      </c>
      <c r="S25" s="45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72">
        <f t="shared" si="277"/>
        <v>0</v>
      </c>
      <c r="AF25" s="47">
        <f t="shared" si="278"/>
        <v>0</v>
      </c>
      <c r="AH25" s="4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>
        <v>84136.66</v>
      </c>
      <c r="AT25" s="72">
        <f t="shared" si="279"/>
        <v>84136.66</v>
      </c>
      <c r="AU25" s="47">
        <f t="shared" si="280"/>
        <v>84136.66</v>
      </c>
      <c r="AW25" s="45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>
        <f t="shared" si="281"/>
        <v>0</v>
      </c>
      <c r="BJ25" s="47">
        <f t="shared" si="282"/>
        <v>0</v>
      </c>
      <c r="BL25" s="45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>
        <v>119501.26</v>
      </c>
      <c r="BX25" s="46">
        <f t="shared" si="283"/>
        <v>119501.26</v>
      </c>
      <c r="BY25" s="47">
        <f t="shared" si="284"/>
        <v>119501.26</v>
      </c>
      <c r="CA25" s="45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>
        <f t="shared" si="285"/>
        <v>0</v>
      </c>
      <c r="CN25" s="47">
        <f t="shared" si="286"/>
        <v>0</v>
      </c>
      <c r="CP25" s="45"/>
      <c r="CQ25" s="46"/>
      <c r="CR25" s="46"/>
      <c r="CS25" s="46"/>
      <c r="CT25" s="46"/>
      <c r="CU25" s="46"/>
      <c r="CV25" s="46"/>
      <c r="CW25" s="46"/>
      <c r="CX25" s="46">
        <v>90000</v>
      </c>
      <c r="CY25" s="46">
        <v>-90000</v>
      </c>
      <c r="CZ25" s="46">
        <v>188679.24</v>
      </c>
      <c r="DA25" s="46">
        <v>7944</v>
      </c>
      <c r="DB25" s="46">
        <f t="shared" si="287"/>
        <v>196623.24</v>
      </c>
      <c r="DC25" s="47">
        <f t="shared" si="288"/>
        <v>196623.24</v>
      </c>
      <c r="DE25" s="45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>
        <f t="shared" si="289"/>
        <v>0</v>
      </c>
      <c r="DR25" s="47">
        <f t="shared" si="290"/>
        <v>0</v>
      </c>
      <c r="DT25" s="45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>
        <f t="shared" si="291"/>
        <v>0</v>
      </c>
      <c r="EG25" s="47">
        <f t="shared" si="292"/>
        <v>0</v>
      </c>
    </row>
    <row r="26" spans="1:148" s="40" customFormat="1">
      <c r="A26" s="35" t="s">
        <v>32</v>
      </c>
      <c r="B26" s="52">
        <f>B9-B11</f>
        <v>-448.17788400000035</v>
      </c>
      <c r="C26" s="52">
        <f t="shared" ref="C26:Q26" si="293">C9-C11</f>
        <v>159.18455100000017</v>
      </c>
      <c r="D26" s="52">
        <f t="shared" si="293"/>
        <v>1565.7275779999968</v>
      </c>
      <c r="E26" s="52">
        <f t="shared" si="293"/>
        <v>1286.9510580000006</v>
      </c>
      <c r="F26" s="52">
        <f t="shared" si="293"/>
        <v>-1788.2536078740004</v>
      </c>
      <c r="G26" s="52">
        <f t="shared" si="293"/>
        <v>-1744.252017</v>
      </c>
      <c r="H26" s="52">
        <f t="shared" si="293"/>
        <v>-2670.1609899999994</v>
      </c>
      <c r="I26" s="52">
        <f t="shared" si="293"/>
        <v>-544.74454500000002</v>
      </c>
      <c r="J26" s="52">
        <f t="shared" si="293"/>
        <v>-297.31949500000024</v>
      </c>
      <c r="K26" s="52">
        <f t="shared" si="293"/>
        <v>110.61316300000001</v>
      </c>
      <c r="L26" s="52">
        <f t="shared" si="293"/>
        <v>-373.09819299999981</v>
      </c>
      <c r="M26" s="52">
        <f t="shared" si="293"/>
        <v>-152.94087500000023</v>
      </c>
      <c r="N26" s="52">
        <f t="shared" si="293"/>
        <v>-2533.7509868740012</v>
      </c>
      <c r="O26" s="52">
        <f t="shared" si="293"/>
        <v>-1474.454303</v>
      </c>
      <c r="P26" s="52">
        <f t="shared" si="293"/>
        <v>-1477.5316050000001</v>
      </c>
      <c r="Q26" s="53">
        <f t="shared" si="293"/>
        <v>589.26563799999985</v>
      </c>
      <c r="R26" s="26"/>
      <c r="S26" s="54">
        <f>S9-S11</f>
        <v>1990861.600000001</v>
      </c>
      <c r="T26" s="55">
        <f t="shared" ref="T26:AF26" si="294">T9-T11</f>
        <v>1092988.6000000001</v>
      </c>
      <c r="U26" s="55">
        <f t="shared" si="294"/>
        <v>7065734</v>
      </c>
      <c r="V26" s="55">
        <f t="shared" si="294"/>
        <v>1777213.0599999994</v>
      </c>
      <c r="W26" s="55">
        <f t="shared" si="294"/>
        <v>1347706.1999999965</v>
      </c>
      <c r="X26" s="55">
        <f t="shared" si="294"/>
        <v>4442653.3999999966</v>
      </c>
      <c r="Y26" s="55">
        <f t="shared" si="294"/>
        <v>-327393.92000000272</v>
      </c>
      <c r="Z26" s="55">
        <f t="shared" si="294"/>
        <v>85633.579999996349</v>
      </c>
      <c r="AA26" s="55">
        <f t="shared" si="294"/>
        <v>1708818.2499999972</v>
      </c>
      <c r="AB26" s="55">
        <f t="shared" si="294"/>
        <v>220300.51999999676</v>
      </c>
      <c r="AC26" s="55">
        <f t="shared" si="294"/>
        <v>734539.32999999681</v>
      </c>
      <c r="AD26" s="55">
        <f t="shared" si="294"/>
        <v>-4481778.8400000036</v>
      </c>
      <c r="AE26" s="55">
        <f t="shared" ref="AE26" si="295">AE9-AE11</f>
        <v>15657275.779999971</v>
      </c>
      <c r="AF26" s="56">
        <f t="shared" si="294"/>
        <v>15657275.779999971</v>
      </c>
      <c r="AG26" s="26"/>
      <c r="AH26" s="54">
        <f>AH9-AH11</f>
        <v>0</v>
      </c>
      <c r="AI26" s="55">
        <f t="shared" ref="AI26:AU26" si="296">AI9-AI11</f>
        <v>0</v>
      </c>
      <c r="AJ26" s="55">
        <f t="shared" si="296"/>
        <v>0</v>
      </c>
      <c r="AK26" s="55">
        <f t="shared" si="296"/>
        <v>0</v>
      </c>
      <c r="AL26" s="55">
        <f t="shared" si="296"/>
        <v>0</v>
      </c>
      <c r="AM26" s="55">
        <f t="shared" si="296"/>
        <v>0</v>
      </c>
      <c r="AN26" s="55">
        <f t="shared" si="296"/>
        <v>-315703.99000000011</v>
      </c>
      <c r="AO26" s="55">
        <f t="shared" si="296"/>
        <v>-292115.71999999997</v>
      </c>
      <c r="AP26" s="55">
        <f t="shared" si="296"/>
        <v>4734978.9700000007</v>
      </c>
      <c r="AQ26" s="55">
        <f t="shared" si="296"/>
        <v>3568000.8799999994</v>
      </c>
      <c r="AR26" s="55">
        <f t="shared" si="296"/>
        <v>3582504.9299999997</v>
      </c>
      <c r="AS26" s="55">
        <f t="shared" si="296"/>
        <v>1591845.5100000007</v>
      </c>
      <c r="AT26" s="55">
        <f t="shared" ref="AT26" si="297">AT9-AT11</f>
        <v>12869510.580000002</v>
      </c>
      <c r="AU26" s="56">
        <f t="shared" si="296"/>
        <v>12869510.580000002</v>
      </c>
      <c r="AV26" s="26"/>
      <c r="AW26" s="54">
        <f>AW9-AW11</f>
        <v>1775844.5499999989</v>
      </c>
      <c r="AX26" s="55">
        <f t="shared" ref="AX26:BJ26" si="298">AX9-AX11</f>
        <v>-5283321.13</v>
      </c>
      <c r="AY26" s="55">
        <f t="shared" si="298"/>
        <v>2735292.5600000005</v>
      </c>
      <c r="AZ26" s="55">
        <f t="shared" si="298"/>
        <v>-1947045.379999999</v>
      </c>
      <c r="BA26" s="55">
        <f t="shared" si="298"/>
        <v>-1813595.1099999994</v>
      </c>
      <c r="BB26" s="55">
        <f t="shared" si="298"/>
        <v>1793981.8000000007</v>
      </c>
      <c r="BC26" s="55">
        <f t="shared" si="298"/>
        <v>-1483052.6489000013</v>
      </c>
      <c r="BD26" s="55">
        <f t="shared" si="298"/>
        <v>-3617899.9899999993</v>
      </c>
      <c r="BE26" s="55">
        <f t="shared" si="298"/>
        <v>283413.18000000156</v>
      </c>
      <c r="BF26" s="55">
        <f t="shared" si="298"/>
        <v>-257769.37235999852</v>
      </c>
      <c r="BG26" s="55">
        <f t="shared" si="298"/>
        <v>-1004922.2800000003</v>
      </c>
      <c r="BH26" s="55">
        <f t="shared" si="298"/>
        <v>-17882536.078740001</v>
      </c>
      <c r="BI26" s="55">
        <f t="shared" ref="BI26" si="299">BI9-BI11</f>
        <v>-26701609.900000006</v>
      </c>
      <c r="BJ26" s="56">
        <f t="shared" si="298"/>
        <v>-26701609.900000006</v>
      </c>
      <c r="BK26" s="26"/>
      <c r="BL26" s="54">
        <f>BL9-BL11</f>
        <v>0</v>
      </c>
      <c r="BM26" s="55">
        <f t="shared" ref="BM26:BY26" si="300">BM9-BM11</f>
        <v>0</v>
      </c>
      <c r="BN26" s="55">
        <f t="shared" si="300"/>
        <v>0</v>
      </c>
      <c r="BO26" s="55">
        <f t="shared" si="300"/>
        <v>0</v>
      </c>
      <c r="BP26" s="55">
        <f t="shared" si="300"/>
        <v>0</v>
      </c>
      <c r="BQ26" s="55">
        <f t="shared" si="300"/>
        <v>0</v>
      </c>
      <c r="BR26" s="55">
        <f t="shared" si="300"/>
        <v>-462524.88</v>
      </c>
      <c r="BS26" s="55">
        <f t="shared" si="300"/>
        <v>-476755.56999999995</v>
      </c>
      <c r="BT26" s="55">
        <f t="shared" si="300"/>
        <v>996267.12000000023</v>
      </c>
      <c r="BU26" s="55">
        <f t="shared" si="300"/>
        <v>9970241.0399999991</v>
      </c>
      <c r="BV26" s="55">
        <f t="shared" si="300"/>
        <v>1967847.0099999998</v>
      </c>
      <c r="BW26" s="55">
        <f t="shared" si="300"/>
        <v>-17442520.169999998</v>
      </c>
      <c r="BX26" s="55">
        <f t="shared" ref="BX26" si="301">BX9-BX11</f>
        <v>-5447445.450000003</v>
      </c>
      <c r="BY26" s="56">
        <f t="shared" si="300"/>
        <v>-5447445.450000003</v>
      </c>
      <c r="BZ26" s="26"/>
      <c r="CA26" s="54">
        <f>CA9-CA11</f>
        <v>-69973.10999999987</v>
      </c>
      <c r="CB26" s="55">
        <f t="shared" ref="CB26:CN26" si="302">CB9-CB11</f>
        <v>642263.50999999989</v>
      </c>
      <c r="CC26" s="55">
        <f t="shared" si="302"/>
        <v>-465367.64000000013</v>
      </c>
      <c r="CD26" s="55">
        <f t="shared" si="302"/>
        <v>-364076.51</v>
      </c>
      <c r="CE26" s="55">
        <f t="shared" si="302"/>
        <v>-133775.73000000045</v>
      </c>
      <c r="CF26" s="55">
        <f t="shared" si="302"/>
        <v>172093.04000000097</v>
      </c>
      <c r="CG26" s="55">
        <f t="shared" si="302"/>
        <v>27939.339999999851</v>
      </c>
      <c r="CH26" s="55">
        <f t="shared" si="302"/>
        <v>460090.81999999937</v>
      </c>
      <c r="CI26" s="55">
        <f t="shared" si="302"/>
        <v>1135812.8600000003</v>
      </c>
      <c r="CJ26" s="55">
        <f t="shared" si="302"/>
        <v>-3948095.6699999985</v>
      </c>
      <c r="CK26" s="55">
        <f t="shared" si="302"/>
        <v>1785302.1099999966</v>
      </c>
      <c r="CL26" s="55">
        <f t="shared" si="302"/>
        <v>-2973194.9500000007</v>
      </c>
      <c r="CM26" s="55">
        <f t="shared" ref="CM26" si="303">CM9-CM11</f>
        <v>-3730981.9299999923</v>
      </c>
      <c r="CN26" s="56">
        <f t="shared" si="302"/>
        <v>-3730981.9299999923</v>
      </c>
      <c r="CO26" s="26"/>
      <c r="CP26" s="54">
        <f>CP9-CP11</f>
        <v>0</v>
      </c>
      <c r="CQ26" s="55">
        <f t="shared" ref="CQ26:DC26" si="304">CQ9-CQ11</f>
        <v>0</v>
      </c>
      <c r="CR26" s="55">
        <f t="shared" si="304"/>
        <v>0</v>
      </c>
      <c r="CS26" s="55">
        <f t="shared" si="304"/>
        <v>0</v>
      </c>
      <c r="CT26" s="55">
        <f t="shared" si="304"/>
        <v>0</v>
      </c>
      <c r="CU26" s="55">
        <f t="shared" si="304"/>
        <v>0</v>
      </c>
      <c r="CV26" s="55">
        <f t="shared" si="304"/>
        <v>-43585.08</v>
      </c>
      <c r="CW26" s="55">
        <f t="shared" si="304"/>
        <v>-58905.910000000011</v>
      </c>
      <c r="CX26" s="55">
        <f t="shared" si="304"/>
        <v>1656153.3599999999</v>
      </c>
      <c r="CY26" s="55">
        <f t="shared" si="304"/>
        <v>-3618330.37</v>
      </c>
      <c r="CZ26" s="55">
        <f t="shared" si="304"/>
        <v>-570872.37999999989</v>
      </c>
      <c r="DA26" s="55">
        <f t="shared" si="304"/>
        <v>1106131.6299999999</v>
      </c>
      <c r="DB26" s="55">
        <f t="shared" ref="DB26" si="305">DB9-DB11</f>
        <v>-1529408.7500000019</v>
      </c>
      <c r="DC26" s="56">
        <f t="shared" si="304"/>
        <v>-1529408.7500000019</v>
      </c>
      <c r="DD26" s="26"/>
      <c r="DE26" s="54">
        <f>DE9-DE11</f>
        <v>0</v>
      </c>
      <c r="DF26" s="55">
        <f t="shared" ref="DF26:DR26" si="306">DF9-DF11</f>
        <v>0</v>
      </c>
      <c r="DG26" s="55">
        <f t="shared" si="306"/>
        <v>0</v>
      </c>
      <c r="DH26" s="55">
        <f t="shared" si="306"/>
        <v>0</v>
      </c>
      <c r="DI26" s="55">
        <f t="shared" si="306"/>
        <v>0</v>
      </c>
      <c r="DJ26" s="55">
        <f t="shared" si="306"/>
        <v>0</v>
      </c>
      <c r="DK26" s="55">
        <f t="shared" si="306"/>
        <v>0</v>
      </c>
      <c r="DL26" s="55">
        <f t="shared" si="306"/>
        <v>0</v>
      </c>
      <c r="DM26" s="55">
        <f t="shared" si="306"/>
        <v>0</v>
      </c>
      <c r="DN26" s="55">
        <f t="shared" si="306"/>
        <v>0</v>
      </c>
      <c r="DO26" s="55">
        <f t="shared" si="306"/>
        <v>0</v>
      </c>
      <c r="DP26" s="55">
        <f t="shared" si="306"/>
        <v>0</v>
      </c>
      <c r="DQ26" s="55">
        <f t="shared" si="306"/>
        <v>0</v>
      </c>
      <c r="DR26" s="56">
        <f t="shared" si="306"/>
        <v>0</v>
      </c>
      <c r="DS26" s="26"/>
      <c r="DT26" s="54">
        <f>DT9-DT11</f>
        <v>0</v>
      </c>
      <c r="DU26" s="55">
        <f t="shared" ref="DU26:EG26" si="307">DU9-DU11</f>
        <v>0</v>
      </c>
      <c r="DV26" s="55">
        <f t="shared" si="307"/>
        <v>0</v>
      </c>
      <c r="DW26" s="55">
        <f t="shared" si="307"/>
        <v>0</v>
      </c>
      <c r="DX26" s="55">
        <f t="shared" si="307"/>
        <v>0</v>
      </c>
      <c r="DY26" s="55">
        <f t="shared" si="307"/>
        <v>0</v>
      </c>
      <c r="DZ26" s="55">
        <f t="shared" si="307"/>
        <v>0</v>
      </c>
      <c r="EA26" s="55">
        <f t="shared" si="307"/>
        <v>0</v>
      </c>
      <c r="EB26" s="55">
        <f t="shared" si="307"/>
        <v>0</v>
      </c>
      <c r="EC26" s="55">
        <f t="shared" si="307"/>
        <v>0</v>
      </c>
      <c r="ED26" s="55">
        <f t="shared" si="307"/>
        <v>0</v>
      </c>
      <c r="EE26" s="55">
        <f t="shared" si="307"/>
        <v>0</v>
      </c>
      <c r="EF26" s="55">
        <f t="shared" si="307"/>
        <v>0</v>
      </c>
      <c r="EG26" s="56">
        <f t="shared" si="307"/>
        <v>0</v>
      </c>
      <c r="EI26" s="26"/>
      <c r="EJ26" s="26"/>
      <c r="EK26" s="26"/>
      <c r="EL26" s="26"/>
      <c r="EM26" s="26"/>
      <c r="EN26" s="26"/>
      <c r="EO26" s="26"/>
      <c r="EP26" s="26"/>
      <c r="EQ26" s="26"/>
      <c r="ER26" s="26"/>
    </row>
    <row r="27" spans="1:148" s="40" customFormat="1">
      <c r="A27" s="35" t="s">
        <v>33</v>
      </c>
      <c r="B27" s="62">
        <f>SUM(B28:B43)</f>
        <v>988.53040037276696</v>
      </c>
      <c r="C27" s="62">
        <f t="shared" ref="C27:L27" si="308">SUM(C28:C43)</f>
        <v>1983.4257729530325</v>
      </c>
      <c r="D27" s="62">
        <f t="shared" si="308"/>
        <v>6923.8867032355593</v>
      </c>
      <c r="E27" s="62">
        <f t="shared" si="308"/>
        <v>9470.4495686991722</v>
      </c>
      <c r="F27" s="62">
        <f t="shared" si="308"/>
        <v>992.50533414354311</v>
      </c>
      <c r="G27" s="62">
        <f t="shared" si="308"/>
        <v>1140.1565294433999</v>
      </c>
      <c r="H27" s="62">
        <f t="shared" si="308"/>
        <v>6951.7280231093264</v>
      </c>
      <c r="I27" s="62">
        <f t="shared" si="308"/>
        <v>5444.0126067538413</v>
      </c>
      <c r="J27" s="62">
        <f t="shared" si="308"/>
        <v>198.68258948369021</v>
      </c>
      <c r="K27" s="62">
        <f t="shared" si="308"/>
        <v>471.46776960356715</v>
      </c>
      <c r="L27" s="62">
        <f t="shared" si="308"/>
        <v>1391.6170296551152</v>
      </c>
      <c r="M27" s="62">
        <f t="shared" ref="M27" si="309">SUM(M28:M43)</f>
        <v>2251.161498546986</v>
      </c>
      <c r="N27" s="62">
        <f t="shared" ref="N27" si="310">SUM(N28:N43)</f>
        <v>2179.7183240000008</v>
      </c>
      <c r="O27" s="62">
        <f t="shared" ref="O27" si="311">SUM(O28:O43)</f>
        <v>3595.0500719999991</v>
      </c>
      <c r="P27" s="62">
        <f t="shared" ref="P27" si="312">SUM(P28:P43)</f>
        <v>15267.231756000001</v>
      </c>
      <c r="Q27" s="63">
        <f t="shared" ref="Q27" si="313">SUM(Q28:Q43)</f>
        <v>17165.623674000002</v>
      </c>
      <c r="R27" s="26"/>
      <c r="S27" s="54">
        <f>SUM(S28:S43)</f>
        <v>3930092.8612152827</v>
      </c>
      <c r="T27" s="55">
        <f t="shared" ref="T27:AF27" si="314">SUM(T28:T43)</f>
        <v>-1866097.6890969365</v>
      </c>
      <c r="U27" s="55">
        <f t="shared" si="314"/>
        <v>2962648.4048238853</v>
      </c>
      <c r="V27" s="55">
        <f t="shared" si="314"/>
        <v>3904752.1289520953</v>
      </c>
      <c r="W27" s="55">
        <f t="shared" si="314"/>
        <v>1602946.3876237823</v>
      </c>
      <c r="X27" s="55">
        <f t="shared" si="314"/>
        <v>6963074.823640557</v>
      </c>
      <c r="Y27" s="55">
        <f t="shared" si="314"/>
        <v>8916632.1736016944</v>
      </c>
      <c r="Z27" s="55">
        <f t="shared" si="314"/>
        <v>7968888.5538528943</v>
      </c>
      <c r="AA27" s="55">
        <f t="shared" si="314"/>
        <v>8892177.8595321234</v>
      </c>
      <c r="AB27" s="55">
        <f t="shared" si="314"/>
        <v>8508012.6288973205</v>
      </c>
      <c r="AC27" s="55">
        <f t="shared" si="314"/>
        <v>7570434.8955852333</v>
      </c>
      <c r="AD27" s="55">
        <f t="shared" si="314"/>
        <v>9885304.0037276689</v>
      </c>
      <c r="AE27" s="55">
        <f t="shared" ref="AE27" si="315">SUM(AE28:AE43)</f>
        <v>69238867.032355592</v>
      </c>
      <c r="AF27" s="56">
        <f t="shared" si="314"/>
        <v>69238867.032355592</v>
      </c>
      <c r="AG27" s="26"/>
      <c r="AH27" s="54">
        <f>SUM(AH28:AH43)</f>
        <v>1116456.0918022459</v>
      </c>
      <c r="AI27" s="55">
        <f t="shared" ref="AI27:AU27" si="316">SUM(AI28:AI43)</f>
        <v>1303291.4966455414</v>
      </c>
      <c r="AJ27" s="55">
        <f t="shared" si="316"/>
        <v>1027074.3232390096</v>
      </c>
      <c r="AK27" s="55">
        <f t="shared" si="316"/>
        <v>1528973.9472599591</v>
      </c>
      <c r="AL27" s="55">
        <f t="shared" si="316"/>
        <v>2881706.3405497293</v>
      </c>
      <c r="AM27" s="55">
        <f t="shared" si="316"/>
        <v>4189124.3149721837</v>
      </c>
      <c r="AN27" s="55">
        <f t="shared" si="316"/>
        <v>2072533.2466556574</v>
      </c>
      <c r="AO27" s="55">
        <f t="shared" si="316"/>
        <v>2325692.7352328524</v>
      </c>
      <c r="AP27" s="55">
        <f t="shared" si="316"/>
        <v>27068440.686852641</v>
      </c>
      <c r="AQ27" s="55">
        <f t="shared" si="316"/>
        <v>10518067.24362479</v>
      </c>
      <c r="AR27" s="55">
        <f t="shared" si="316"/>
        <v>20838877.530626789</v>
      </c>
      <c r="AS27" s="55">
        <f t="shared" si="316"/>
        <v>19834257.729530331</v>
      </c>
      <c r="AT27" s="55">
        <f t="shared" si="316"/>
        <v>94704495.686991721</v>
      </c>
      <c r="AU27" s="56">
        <f t="shared" si="316"/>
        <v>94704495.686991721</v>
      </c>
      <c r="AV27" s="26"/>
      <c r="AW27" s="54">
        <f>SUM(AW28:AW43)</f>
        <v>3945895.975444688</v>
      </c>
      <c r="AX27" s="55">
        <f t="shared" ref="AX27" si="317">SUM(AX28:AX43)</f>
        <v>-1873601.3680138029</v>
      </c>
      <c r="AY27" s="55">
        <f t="shared" ref="AY27" si="318">SUM(AY28:AY43)</f>
        <v>2974561.3729944448</v>
      </c>
      <c r="AZ27" s="55">
        <f t="shared" ref="AZ27" si="319">SUM(AZ28:AZ43)</f>
        <v>3920453.3467376381</v>
      </c>
      <c r="BA27" s="55">
        <f t="shared" ref="BA27" si="320">SUM(BA28:BA43)</f>
        <v>1609391.9210403641</v>
      </c>
      <c r="BB27" s="55">
        <f t="shared" ref="BB27" si="321">SUM(BB28:BB43)</f>
        <v>6991073.721048764</v>
      </c>
      <c r="BC27" s="55">
        <f t="shared" ref="BC27" si="322">SUM(BC28:BC43)</f>
        <v>8952486.4299149774</v>
      </c>
      <c r="BD27" s="55">
        <f t="shared" ref="BD27" si="323">SUM(BD28:BD43)</f>
        <v>8000931.8822283475</v>
      </c>
      <c r="BE27" s="55">
        <f t="shared" ref="BE27" si="324">SUM(BE28:BE43)</f>
        <v>8927933.7837366536</v>
      </c>
      <c r="BF27" s="55">
        <f t="shared" ref="BF27" si="325">SUM(BF28:BF43)</f>
        <v>8542223.8041004743</v>
      </c>
      <c r="BG27" s="55">
        <f t="shared" ref="BG27" si="326">SUM(BG28:BG43)</f>
        <v>7600876.020425275</v>
      </c>
      <c r="BH27" s="55">
        <f t="shared" ref="BH27:BI27" si="327">SUM(BH28:BH43)</f>
        <v>9925053.3414354324</v>
      </c>
      <c r="BI27" s="55">
        <f t="shared" si="327"/>
        <v>69517280.231093258</v>
      </c>
      <c r="BJ27" s="56">
        <f t="shared" ref="BJ27" si="328">SUM(BJ28:BJ43)</f>
        <v>69517280.231093258</v>
      </c>
      <c r="BK27" s="26"/>
      <c r="BL27" s="54">
        <f>SUM(BL28:BL43)</f>
        <v>641785.90409762412</v>
      </c>
      <c r="BM27" s="55">
        <f t="shared" ref="BM27" si="329">SUM(BM28:BM43)</f>
        <v>749186.75048580335</v>
      </c>
      <c r="BN27" s="55">
        <f t="shared" ref="BN27" si="330">SUM(BN28:BN43)</f>
        <v>590405.50538028521</v>
      </c>
      <c r="BO27" s="55">
        <f t="shared" ref="BO27" si="331">SUM(BO28:BO43)</f>
        <v>878918.51214669656</v>
      </c>
      <c r="BP27" s="55">
        <f t="shared" ref="BP27" si="332">SUM(BP28:BP43)</f>
        <v>1656525.9688162894</v>
      </c>
      <c r="BQ27" s="55">
        <f t="shared" ref="BQ27" si="333">SUM(BQ28:BQ43)</f>
        <v>2408084.7922302103</v>
      </c>
      <c r="BR27" s="55">
        <f t="shared" ref="BR27" si="334">SUM(BR28:BR43)</f>
        <v>1191379.2519418537</v>
      </c>
      <c r="BS27" s="55">
        <f t="shared" ref="BS27" si="335">SUM(BS28:BS43)</f>
        <v>1336905.9703237046</v>
      </c>
      <c r="BT27" s="55">
        <f t="shared" ref="BT27" si="336">SUM(BT28:BT43)</f>
        <v>15560077.826868717</v>
      </c>
      <c r="BU27" s="55">
        <f t="shared" ref="BU27" si="337">SUM(BU28:BU43)</f>
        <v>6046227.2944496656</v>
      </c>
      <c r="BV27" s="55">
        <f t="shared" ref="BV27" si="338">SUM(BV28:BV43)</f>
        <v>11979062.996363571</v>
      </c>
      <c r="BW27" s="55">
        <f t="shared" ref="BW27:BX27" si="339">SUM(BW28:BW43)</f>
        <v>11401565.294433996</v>
      </c>
      <c r="BX27" s="55">
        <f t="shared" si="339"/>
        <v>54440126.067538425</v>
      </c>
      <c r="BY27" s="56">
        <f t="shared" ref="BY27" si="340">SUM(BY28:BY43)</f>
        <v>54440126.067538425</v>
      </c>
      <c r="BZ27" s="26"/>
      <c r="CA27" s="54">
        <f>SUM(CA28:CA43)</f>
        <v>789900.87334002904</v>
      </c>
      <c r="CB27" s="55">
        <f t="shared" ref="CB27" si="341">SUM(CB28:CB43)</f>
        <v>-375062.94288926118</v>
      </c>
      <c r="CC27" s="55">
        <f t="shared" ref="CC27" si="342">SUM(CC28:CC43)</f>
        <v>595456.30218167009</v>
      </c>
      <c r="CD27" s="55">
        <f t="shared" ref="CD27" si="343">SUM(CD28:CD43)</f>
        <v>784807.69431026524</v>
      </c>
      <c r="CE27" s="55">
        <f t="shared" ref="CE27" si="344">SUM(CE28:CE43)</f>
        <v>322172.73133585439</v>
      </c>
      <c r="CF27" s="55">
        <f t="shared" ref="CF27" si="345">SUM(CF28:CF43)</f>
        <v>1399493.3653106778</v>
      </c>
      <c r="CG27" s="55">
        <f t="shared" ref="CG27" si="346">SUM(CG28:CG43)</f>
        <v>1792134.63648333</v>
      </c>
      <c r="CH27" s="55">
        <f t="shared" ref="CH27" si="347">SUM(CH28:CH43)</f>
        <v>1601649.6939187606</v>
      </c>
      <c r="CI27" s="55">
        <f t="shared" ref="CI27" si="348">SUM(CI28:CI43)</f>
        <v>1787219.6167312237</v>
      </c>
      <c r="CJ27" s="55">
        <f t="shared" ref="CJ27" si="349">SUM(CJ28:CJ43)</f>
        <v>1710007.0770022082</v>
      </c>
      <c r="CK27" s="55">
        <f t="shared" ref="CK27" si="350">SUM(CK28:CK43)</f>
        <v>1521565.3539894922</v>
      </c>
      <c r="CL27" s="55">
        <f t="shared" ref="CL27:CM27" si="351">SUM(CL28:CL43)</f>
        <v>1986825.8948369019</v>
      </c>
      <c r="CM27" s="55">
        <f t="shared" si="351"/>
        <v>13916170.296551151</v>
      </c>
      <c r="CN27" s="56">
        <f t="shared" ref="CN27" si="352">SUM(CN28:CN43)</f>
        <v>13916170.296551151</v>
      </c>
      <c r="CO27" s="26"/>
      <c r="CP27" s="54">
        <f>SUM(CP28:CP43)</f>
        <v>265385.81410013005</v>
      </c>
      <c r="CQ27" s="55">
        <f t="shared" ref="CQ27" si="353">SUM(CQ28:CQ43)</f>
        <v>309797.29286865465</v>
      </c>
      <c r="CR27" s="55">
        <f t="shared" ref="CR27" si="354">SUM(CR28:CR43)</f>
        <v>244139.43138070518</v>
      </c>
      <c r="CS27" s="55">
        <f t="shared" ref="CS27" si="355">SUM(CS28:CS43)</f>
        <v>363442.8605933442</v>
      </c>
      <c r="CT27" s="55">
        <f t="shared" ref="CT27" si="356">SUM(CT28:CT43)</f>
        <v>684992.44063398114</v>
      </c>
      <c r="CU27" s="55">
        <f t="shared" ref="CU27" si="357">SUM(CU28:CU43)</f>
        <v>995770.61279760604</v>
      </c>
      <c r="CV27" s="55">
        <f t="shared" ref="CV27" si="358">SUM(CV28:CV43)</f>
        <v>492648.95140248892</v>
      </c>
      <c r="CW27" s="55">
        <f t="shared" ref="CW27" si="359">SUM(CW28:CW43)</f>
        <v>552825.9144434426</v>
      </c>
      <c r="CX27" s="55">
        <f t="shared" ref="CX27" si="360">SUM(CX28:CX43)</f>
        <v>6434270.2062786315</v>
      </c>
      <c r="CY27" s="55">
        <f t="shared" ref="CY27" si="361">SUM(CY28:CY43)</f>
        <v>2500184.1619255529</v>
      </c>
      <c r="CZ27" s="55">
        <f t="shared" ref="CZ27" si="362">SUM(CZ28:CZ43)</f>
        <v>4953479.6030096514</v>
      </c>
      <c r="DA27" s="55">
        <f t="shared" ref="DA27:DB27" si="363">SUM(DA28:DA43)</f>
        <v>4714677.696035672</v>
      </c>
      <c r="DB27" s="55">
        <f t="shared" si="363"/>
        <v>22511614.985469855</v>
      </c>
      <c r="DC27" s="56">
        <f t="shared" ref="DC27" si="364">SUM(DC28:DC43)</f>
        <v>22511614.985469855</v>
      </c>
      <c r="DD27" s="26"/>
      <c r="DE27" s="54">
        <f>SUM(DE28:DE43)</f>
        <v>8665889.709999999</v>
      </c>
      <c r="DF27" s="55">
        <f t="shared" ref="DF27" si="365">SUM(DF28:DF43)</f>
        <v>-4114762.0000000005</v>
      </c>
      <c r="DG27" s="55">
        <f t="shared" ref="DG27" si="366">SUM(DG28:DG43)</f>
        <v>6532666.080000001</v>
      </c>
      <c r="DH27" s="55">
        <f t="shared" ref="DH27" si="367">SUM(DH28:DH43)</f>
        <v>8610013.1699999981</v>
      </c>
      <c r="DI27" s="55">
        <f t="shared" ref="DI27" si="368">SUM(DI28:DI43)</f>
        <v>3534511.04</v>
      </c>
      <c r="DJ27" s="55">
        <f t="shared" ref="DJ27" si="369">SUM(DJ28:DJ43)</f>
        <v>15353641.910000002</v>
      </c>
      <c r="DK27" s="55">
        <f t="shared" ref="DK27" si="370">SUM(DK28:DK43)</f>
        <v>19661253.240000002</v>
      </c>
      <c r="DL27" s="55">
        <f t="shared" ref="DL27" si="371">SUM(DL28:DL43)</f>
        <v>17571470.129999999</v>
      </c>
      <c r="DM27" s="55">
        <f t="shared" ref="DM27" si="372">SUM(DM28:DM43)</f>
        <v>19607331.260000002</v>
      </c>
      <c r="DN27" s="55">
        <f t="shared" ref="DN27" si="373">SUM(DN28:DN43)</f>
        <v>18760243.509999998</v>
      </c>
      <c r="DO27" s="55">
        <f t="shared" ref="DO27" si="374">SUM(DO28:DO43)</f>
        <v>16692876.270000001</v>
      </c>
      <c r="DP27" s="55">
        <f t="shared" ref="DP27" si="375">SUM(DP28:DP43)</f>
        <v>21797183.240000006</v>
      </c>
      <c r="DQ27" s="55">
        <f t="shared" ref="DQ27" si="376">SUM(DQ28:DQ43)</f>
        <v>152672317.55999997</v>
      </c>
      <c r="DR27" s="56">
        <f t="shared" ref="DR27" si="377">SUM(DR28:DR43)</f>
        <v>152672317.55999997</v>
      </c>
      <c r="DS27" s="26"/>
      <c r="DT27" s="54">
        <f>SUM(DT28:DT43)</f>
        <v>2023627.81</v>
      </c>
      <c r="DU27" s="55">
        <f t="shared" ref="DU27" si="378">SUM(DU28:DU43)</f>
        <v>2362275.54</v>
      </c>
      <c r="DV27" s="55">
        <f t="shared" ref="DV27" si="379">SUM(DV28:DV43)</f>
        <v>1861619.2600000002</v>
      </c>
      <c r="DW27" s="55">
        <f t="shared" ref="DW27" si="380">SUM(DW28:DW43)</f>
        <v>2771335.32</v>
      </c>
      <c r="DX27" s="55">
        <f t="shared" ref="DX27" si="381">SUM(DX28:DX43)</f>
        <v>5223224.75</v>
      </c>
      <c r="DY27" s="55">
        <f t="shared" ref="DY27" si="382">SUM(DY28:DY43)</f>
        <v>7592979.7199999997</v>
      </c>
      <c r="DZ27" s="55">
        <f t="shared" ref="DZ27" si="383">SUM(DZ28:DZ43)</f>
        <v>3756561.4499999997</v>
      </c>
      <c r="EA27" s="55">
        <f t="shared" ref="EA27" si="384">SUM(EA28:EA43)</f>
        <v>4215424.62</v>
      </c>
      <c r="EB27" s="55">
        <f t="shared" ref="EB27" si="385">SUM(EB28:EB43)</f>
        <v>49062788.719999999</v>
      </c>
      <c r="EC27" s="55">
        <f t="shared" ref="EC27" si="386">SUM(EC28:EC43)</f>
        <v>19064478.700000007</v>
      </c>
      <c r="ED27" s="55">
        <f t="shared" ref="ED27" si="387">SUM(ED28:ED43)</f>
        <v>37771420.13000001</v>
      </c>
      <c r="EE27" s="55">
        <f t="shared" ref="EE27" si="388">SUM(EE28:EE43)</f>
        <v>35950500.719999999</v>
      </c>
      <c r="EF27" s="55">
        <f t="shared" ref="EF27" si="389">SUM(EF28:EF43)</f>
        <v>171656236.74000007</v>
      </c>
      <c r="EG27" s="56">
        <f t="shared" ref="EG27" si="390">SUM(EG28:EG43)</f>
        <v>171656236.74000007</v>
      </c>
      <c r="EI27" s="26"/>
      <c r="EJ27" s="26"/>
      <c r="EK27" s="26"/>
      <c r="EL27" s="26"/>
      <c r="EM27" s="26"/>
      <c r="EN27" s="26"/>
      <c r="EO27" s="26"/>
      <c r="EP27" s="26"/>
      <c r="EQ27" s="26"/>
      <c r="ER27" s="26"/>
    </row>
    <row r="28" spans="1:148">
      <c r="A28" s="25" t="s">
        <v>34</v>
      </c>
      <c r="B28" s="64">
        <f t="shared" ref="B28:B43" si="391">AD28/10000</f>
        <v>2.2799762919556188</v>
      </c>
      <c r="C28" s="64">
        <f t="shared" ref="C28:C43" si="392">AS28/10000</f>
        <v>3.3102247516115204</v>
      </c>
      <c r="D28" s="64">
        <f t="shared" ref="D28:D43" si="393">AE28/10000</f>
        <v>27.803120971365697</v>
      </c>
      <c r="E28" s="64">
        <f t="shared" ref="E28:E43" si="394">AT28/10000</f>
        <v>6.9648192824255108</v>
      </c>
      <c r="F28" s="43">
        <f t="shared" ref="F28:F43" si="395">BH28/10000</f>
        <v>2.2891441989375854</v>
      </c>
      <c r="G28" s="64">
        <f t="shared" ref="G28:G43" si="396">BW28/10000</f>
        <v>1.9028563689861886</v>
      </c>
      <c r="H28" s="64">
        <f t="shared" ref="H28:H43" si="397">BI28/10000</f>
        <v>27.914918812322728</v>
      </c>
      <c r="I28" s="64">
        <f t="shared" ref="I28:I43" si="398">BX28/10000</f>
        <v>4.0036709664348935</v>
      </c>
      <c r="J28" s="43">
        <f t="shared" ref="J28:J43" si="399">CL28/10000</f>
        <v>0.45824750910679612</v>
      </c>
      <c r="K28" s="64">
        <f t="shared" ref="K28:K43" si="400">DA28/10000</f>
        <v>0.78685287940228965</v>
      </c>
      <c r="L28" s="43">
        <f t="shared" ref="L28:L43" si="401">CM28/10000</f>
        <v>5.5880892163115812</v>
      </c>
      <c r="M28" s="64">
        <f t="shared" ref="M28:M43" si="402">DB28/10000</f>
        <v>1.6555637511395946</v>
      </c>
      <c r="N28" s="43">
        <f t="shared" ref="N28:N43" si="403">B28+F28+J28</f>
        <v>5.0273680000000001</v>
      </c>
      <c r="O28" s="43">
        <f t="shared" ref="O28:O43" si="404">C28+G28+K28</f>
        <v>5.9999339999999979</v>
      </c>
      <c r="P28" s="43">
        <f t="shared" ref="P28:P43" si="405">D28+H28+L28</f>
        <v>61.306129000000006</v>
      </c>
      <c r="Q28" s="44">
        <f t="shared" ref="Q28:Q43" si="406">E28+I28+M28</f>
        <v>12.624053999999999</v>
      </c>
      <c r="S28" s="45">
        <f>DE28*$EK$5</f>
        <v>21341.904853793421</v>
      </c>
      <c r="T28" s="46">
        <f t="shared" ref="T28:T43" si="407">DF28*$EK$5</f>
        <v>10960.468266027663</v>
      </c>
      <c r="U28" s="46">
        <f t="shared" ref="U28:U43" si="408">DG28*$EK$5</f>
        <v>-10865.543478809135</v>
      </c>
      <c r="V28" s="46">
        <f t="shared" ref="V28:V43" si="409">DH28*$EK$5</f>
        <v>23841.087517884393</v>
      </c>
      <c r="W28" s="46">
        <f t="shared" ref="W28:W43" si="410">DI28*$EK$5</f>
        <v>2247.4966043581962</v>
      </c>
      <c r="X28" s="46">
        <f t="shared" ref="X28:X43" si="411">DJ28*$EK$5</f>
        <v>35719.157525228708</v>
      </c>
      <c r="Y28" s="46">
        <f t="shared" ref="Y28:Y43" si="412">DK28*$EK$5</f>
        <v>21611.631657091013</v>
      </c>
      <c r="Z28" s="46">
        <f t="shared" ref="Z28:Z43" si="413">DL28*$EK$5</f>
        <v>0</v>
      </c>
      <c r="AA28" s="46">
        <f t="shared" ref="AA28:AA43" si="414">DM28*$EK$5</f>
        <v>-30646.230139492916</v>
      </c>
      <c r="AB28" s="46">
        <f t="shared" ref="AB28:AB43" si="415">DN28*$EK$5</f>
        <v>180889.95070895375</v>
      </c>
      <c r="AC28" s="46">
        <f t="shared" ref="AC28:AC43" si="416">DO28*$EK$5</f>
        <v>131.52327906571568</v>
      </c>
      <c r="AD28" s="46">
        <f t="shared" ref="AD28:AD43" si="417">DP28*$EK$5</f>
        <v>22799.762919556186</v>
      </c>
      <c r="AE28" s="72">
        <f t="shared" ref="AE28:AE43" si="418">S28+T28+U28+V28+W28+X28+Y28+Z28+AA28+AB28+AC28+AD28</f>
        <v>278031.20971365698</v>
      </c>
      <c r="AF28" s="47">
        <f t="shared" ref="AF28:AF43" si="419">SUM(S28:AD28)</f>
        <v>278031.20971365698</v>
      </c>
      <c r="AH28" s="45">
        <f>DT28*$EM$5</f>
        <v>0</v>
      </c>
      <c r="AI28" s="46">
        <f t="shared" ref="AI28:AI43" si="420">DU28*$EM$5</f>
        <v>0</v>
      </c>
      <c r="AJ28" s="46">
        <f t="shared" ref="AJ28:AJ43" si="421">DV28*$EM$5</f>
        <v>0</v>
      </c>
      <c r="AK28" s="46">
        <f t="shared" ref="AK28:AK43" si="422">DW28*$EM$5</f>
        <v>0</v>
      </c>
      <c r="AL28" s="46">
        <f t="shared" ref="AL28:AL43" si="423">DX28*$EM$5</f>
        <v>263.16576257650428</v>
      </c>
      <c r="AM28" s="46">
        <f t="shared" ref="AM28:AM43" si="424">DY28*$EM$5</f>
        <v>0</v>
      </c>
      <c r="AN28" s="46">
        <f t="shared" ref="AN28:AN43" si="425">DZ28*$EM$5</f>
        <v>10149.713132668103</v>
      </c>
      <c r="AO28" s="46">
        <f t="shared" ref="AO28:AO43" si="426">EA28*$EM$5</f>
        <v>616.26028678816624</v>
      </c>
      <c r="AP28" s="46">
        <f t="shared" ref="AP28:AP43" si="427">EB28*$EM$5</f>
        <v>2214.0130088459364</v>
      </c>
      <c r="AQ28" s="46">
        <f t="shared" ref="AQ28:AQ43" si="428">EC28*$EM$5</f>
        <v>1901.5353891224972</v>
      </c>
      <c r="AR28" s="46">
        <f t="shared" ref="AR28:AR43" si="429">ED28*$EM$5</f>
        <v>21401.257728138698</v>
      </c>
      <c r="AS28" s="46">
        <f t="shared" ref="AS28:AS43" si="430">EE28*$EM$5</f>
        <v>33102.247516115203</v>
      </c>
      <c r="AT28" s="72">
        <f t="shared" ref="AT28:AT43" si="431">AH28+AI28+AJ28+AK28+AL28+AM28+AN28+AO28+AP28+AQ28+AR28+AS28</f>
        <v>69648.192824255108</v>
      </c>
      <c r="AU28" s="47">
        <f t="shared" ref="AU28:AU43" si="432">SUM(AH28:AS28)</f>
        <v>69648.192824255108</v>
      </c>
      <c r="AW28" s="45">
        <f>DE28*$EK$6</f>
        <v>21427.721798122144</v>
      </c>
      <c r="AX28" s="46">
        <f t="shared" ref="AX28:AX43" si="433">DF28*$EK$6</f>
        <v>11004.540896912586</v>
      </c>
      <c r="AY28" s="46">
        <f t="shared" ref="AY28:AY43" si="434">DG28*$EK$6</f>
        <v>-10909.234412032301</v>
      </c>
      <c r="AZ28" s="46">
        <f t="shared" ref="AZ28:AZ43" si="435">DH28*$EK$6</f>
        <v>23936.95380977702</v>
      </c>
      <c r="BA28" s="46">
        <f t="shared" ref="BA28:BA43" si="436">DI28*$EK$6</f>
        <v>2256.5339087739226</v>
      </c>
      <c r="BB28" s="46">
        <f t="shared" ref="BB28:BB43" si="437">DJ28*$EK$6</f>
        <v>35862.78617383392</v>
      </c>
      <c r="BC28" s="46">
        <f t="shared" ref="BC28:BC43" si="438">DK28*$EK$6</f>
        <v>21698.533187365607</v>
      </c>
      <c r="BD28" s="46">
        <f t="shared" ref="BD28:BD43" si="439">DL28*$EK$6</f>
        <v>0</v>
      </c>
      <c r="BE28" s="46">
        <f t="shared" ref="BE28:BE43" si="440">DM28*$EK$6</f>
        <v>-30769.460274936922</v>
      </c>
      <c r="BF28" s="46">
        <f t="shared" ref="BF28:BF43" si="441">DN28*$EK$6</f>
        <v>181617.31890480887</v>
      </c>
      <c r="BG28" s="46">
        <f t="shared" ref="BG28:BG43" si="442">DO28*$EK$6</f>
        <v>132.05214122656011</v>
      </c>
      <c r="BH28" s="46">
        <f t="shared" ref="BH28:BH43" si="443">DP28*$EK$6</f>
        <v>22891.441989375853</v>
      </c>
      <c r="BI28" s="46">
        <f t="shared" ref="BI28:BI43" si="444">AW28+AX28+AY28+AZ28+BA28+BB28+BC28+BD28+BE28+BF28+BG28+BH28</f>
        <v>279149.18812322727</v>
      </c>
      <c r="BJ28" s="47">
        <f t="shared" ref="BJ28:BJ43" si="445">SUM(AW28:BH28)</f>
        <v>279149.18812322727</v>
      </c>
      <c r="BL28" s="45">
        <f>DT28*$EM$6</f>
        <v>0</v>
      </c>
      <c r="BM28" s="46">
        <f t="shared" ref="BM28:BM43" si="446">DU28*$EM$6</f>
        <v>0</v>
      </c>
      <c r="BN28" s="46">
        <f t="shared" ref="BN28:BN43" si="447">DV28*$EM$6</f>
        <v>0</v>
      </c>
      <c r="BO28" s="46">
        <f t="shared" ref="BO28:BO43" si="448">DW28*$EM$6</f>
        <v>0</v>
      </c>
      <c r="BP28" s="46">
        <f t="shared" ref="BP28:BP43" si="449">DX28*$EM$6</f>
        <v>151.27874540060145</v>
      </c>
      <c r="BQ28" s="46">
        <f t="shared" ref="BQ28:BQ43" si="450">DY28*$EM$6</f>
        <v>0</v>
      </c>
      <c r="BR28" s="46">
        <f t="shared" ref="BR28:BR43" si="451">DZ28*$EM$6</f>
        <v>5834.481863649251</v>
      </c>
      <c r="BS28" s="46">
        <f t="shared" ref="BS28:BS43" si="452">EA28*$EM$6</f>
        <v>354.25232413516102</v>
      </c>
      <c r="BT28" s="46">
        <f t="shared" ref="BT28:BT43" si="453">EB28*$EM$6</f>
        <v>1272.707767909043</v>
      </c>
      <c r="BU28" s="46">
        <f t="shared" ref="BU28:BU43" si="454">EC28*$EM$6</f>
        <v>1093.0824936532933</v>
      </c>
      <c r="BV28" s="46">
        <f t="shared" ref="BV28:BV43" si="455">ED28*$EM$6</f>
        <v>12302.342779739694</v>
      </c>
      <c r="BW28" s="46">
        <f t="shared" ref="BW28:BW43" si="456">EE28*$EM$6</f>
        <v>19028.563689861887</v>
      </c>
      <c r="BX28" s="46">
        <f t="shared" ref="BX28:BX43" si="457">BL28+BM28+BN28+BO28+BP28+BQ28+BR28+BS28+BT28+BU28+BV28+BW28</f>
        <v>40036.709664348935</v>
      </c>
      <c r="BY28" s="47">
        <f t="shared" ref="BY28:BY43" si="458">SUM(BL28:BW28)</f>
        <v>40036.709664348935</v>
      </c>
      <c r="CA28" s="45">
        <f>DE28*$EK$7</f>
        <v>4289.4633480844323</v>
      </c>
      <c r="CB28" s="46">
        <f t="shared" ref="CB28:CB43" si="459">DF28*$EK$7</f>
        <v>2202.9208370597521</v>
      </c>
      <c r="CC28" s="46">
        <f t="shared" ref="CC28:CC43" si="460">DG28*$EK$7</f>
        <v>-2183.8421091585633</v>
      </c>
      <c r="CD28" s="46">
        <f t="shared" ref="CD28:CD43" si="461">DH28*$EK$7</f>
        <v>4791.7686723385968</v>
      </c>
      <c r="CE28" s="46">
        <f t="shared" ref="CE28:CE43" si="462">DI28*$EK$7</f>
        <v>451.71948686788096</v>
      </c>
      <c r="CF28" s="46">
        <f t="shared" ref="CF28:CF43" si="463">DJ28*$EK$7</f>
        <v>7179.1163009373722</v>
      </c>
      <c r="CG28" s="46">
        <f t="shared" ref="CG28:CG43" si="464">DK28*$EK$7</f>
        <v>4343.6751555433784</v>
      </c>
      <c r="CH28" s="46">
        <f t="shared" ref="CH28:CH43" si="465">DL28*$EK$7</f>
        <v>0</v>
      </c>
      <c r="CI28" s="46">
        <f t="shared" ref="CI28:CI43" si="466">DM28*$EK$7</f>
        <v>-6159.519585570155</v>
      </c>
      <c r="CJ28" s="46">
        <f t="shared" ref="CJ28:CJ43" si="467">DN28*$EK$7</f>
        <v>36356.680386237436</v>
      </c>
      <c r="CK28" s="46">
        <f t="shared" ref="CK28:CK43" si="468">DO28*$EK$7</f>
        <v>26.43457970772419</v>
      </c>
      <c r="CL28" s="46">
        <f t="shared" ref="CL28:CL43" si="469">DP28*$EK$7</f>
        <v>4582.4750910679613</v>
      </c>
      <c r="CM28" s="46">
        <f t="shared" ref="CM28:CM43" si="470">CA28+CB28+CC28+CD28+CE28+CF28+CG28+CH28+CI28+CJ28+CK28+CL28</f>
        <v>55880.892163115815</v>
      </c>
      <c r="CN28" s="47">
        <f t="shared" ref="CN28:CN43" si="471">SUM(CA28:CL28)</f>
        <v>55880.892163115815</v>
      </c>
      <c r="CP28" s="45">
        <f>DT28*$EM$7</f>
        <v>0</v>
      </c>
      <c r="CQ28" s="46">
        <f t="shared" ref="CQ28:CQ43" si="472">DU28*$EM$7</f>
        <v>0</v>
      </c>
      <c r="CR28" s="46">
        <f t="shared" ref="CR28:CR43" si="473">DV28*$EM$7</f>
        <v>0</v>
      </c>
      <c r="CS28" s="46">
        <f t="shared" ref="CS28:CS43" si="474">DW28*$EM$7</f>
        <v>0</v>
      </c>
      <c r="CT28" s="46">
        <f t="shared" ref="CT28:CT43" si="475">DX28*$EM$7</f>
        <v>62.555492022894285</v>
      </c>
      <c r="CU28" s="46">
        <f t="shared" ref="CU28:CU43" si="476">DY28*$EM$7</f>
        <v>0</v>
      </c>
      <c r="CV28" s="46">
        <f t="shared" ref="CV28:CV43" si="477">DZ28*$EM$7</f>
        <v>2412.6250036826459</v>
      </c>
      <c r="CW28" s="46">
        <f t="shared" ref="CW28:CW43" si="478">EA28*$EM$7</f>
        <v>146.4873890766728</v>
      </c>
      <c r="CX28" s="46">
        <f t="shared" ref="CX28:CX43" si="479">EB28*$EM$7</f>
        <v>526.27922324502049</v>
      </c>
      <c r="CY28" s="46">
        <f t="shared" ref="CY28:CY43" si="480">EC28*$EM$7</f>
        <v>452.00211722420943</v>
      </c>
      <c r="CZ28" s="46">
        <f t="shared" ref="CZ28:CZ43" si="481">ED28*$EM$7</f>
        <v>5087.1594921216074</v>
      </c>
      <c r="DA28" s="46">
        <f t="shared" ref="DA28:DA43" si="482">EE28*$EM$7</f>
        <v>7868.5287940228964</v>
      </c>
      <c r="DB28" s="46">
        <f t="shared" ref="DB28:DB43" si="483">CP28+CQ28+CR28+CS28+CT28+CU28+CV28+CW28+CX28+CY28+CZ28+DA28</f>
        <v>16555.637511395948</v>
      </c>
      <c r="DC28" s="47">
        <f t="shared" ref="DC28:DC43" si="484">SUM(CP28:DA28)</f>
        <v>16555.637511395948</v>
      </c>
      <c r="DE28" s="45">
        <v>47059.09</v>
      </c>
      <c r="DF28" s="46">
        <v>24167.93</v>
      </c>
      <c r="DG28" s="46">
        <v>-23958.62</v>
      </c>
      <c r="DH28" s="46">
        <v>52569.810000000012</v>
      </c>
      <c r="DI28" s="46">
        <v>4955.75</v>
      </c>
      <c r="DJ28" s="46">
        <v>78761.06</v>
      </c>
      <c r="DK28" s="46">
        <v>47653.84</v>
      </c>
      <c r="DL28" s="46"/>
      <c r="DM28" s="46">
        <v>-67575.209999999992</v>
      </c>
      <c r="DN28" s="46">
        <v>398863.95000000007</v>
      </c>
      <c r="DO28" s="46">
        <v>290.01</v>
      </c>
      <c r="DP28" s="46">
        <f>907.08+49366.6</f>
        <v>50273.68</v>
      </c>
      <c r="DQ28" s="46">
        <f t="shared" ref="DQ28:DQ43" si="485">DE28+DF28+DG28+DH28+DI28+DJ28+DK28+DL28+DM28+DN28+DO28+DP28</f>
        <v>613061.29000000015</v>
      </c>
      <c r="DR28" s="47">
        <f t="shared" ref="DR28:DR41" si="486">SUM(DE28:DP28)</f>
        <v>613061.29000000015</v>
      </c>
      <c r="DT28" s="45"/>
      <c r="DU28" s="46"/>
      <c r="DV28" s="46"/>
      <c r="DW28" s="46"/>
      <c r="DX28" s="46">
        <v>477</v>
      </c>
      <c r="DY28" s="46"/>
      <c r="DZ28" s="46">
        <v>18396.82</v>
      </c>
      <c r="EA28" s="46">
        <v>1117</v>
      </c>
      <c r="EB28" s="46">
        <v>4013</v>
      </c>
      <c r="EC28" s="46">
        <v>3446.62</v>
      </c>
      <c r="ED28" s="46">
        <v>38790.76</v>
      </c>
      <c r="EE28" s="46">
        <v>59999.339999999989</v>
      </c>
      <c r="EF28" s="46">
        <f t="shared" ref="EF28:EF43" si="487">DT28+DU28+DV28+DW28+DX28+DY28+DZ28+EA28+EB28+EC28+ED28+EE28</f>
        <v>126240.53999999998</v>
      </c>
      <c r="EG28" s="47">
        <f t="shared" ref="EG28:EG43" si="488">SUM(DT28:EE28)</f>
        <v>126240.53999999998</v>
      </c>
    </row>
    <row r="29" spans="1:148">
      <c r="A29" s="25" t="s">
        <v>35</v>
      </c>
      <c r="B29" s="64">
        <f t="shared" si="391"/>
        <v>747.49118658815723</v>
      </c>
      <c r="C29" s="64">
        <f t="shared" si="392"/>
        <v>1483.8152844560859</v>
      </c>
      <c r="D29" s="64">
        <f t="shared" si="393"/>
        <v>4097.5882137929711</v>
      </c>
      <c r="E29" s="64">
        <f t="shared" si="394"/>
        <v>6297.4675939491426</v>
      </c>
      <c r="F29" s="43">
        <f t="shared" si="395"/>
        <v>750.49688874947321</v>
      </c>
      <c r="G29" s="64">
        <f t="shared" si="396"/>
        <v>852.95941402521225</v>
      </c>
      <c r="H29" s="64">
        <f t="shared" si="397"/>
        <v>4114.0648358205781</v>
      </c>
      <c r="I29" s="64">
        <f t="shared" si="398"/>
        <v>3620.0491564195067</v>
      </c>
      <c r="J29" s="43">
        <f t="shared" si="399"/>
        <v>150.23663866236998</v>
      </c>
      <c r="K29" s="64">
        <f t="shared" si="400"/>
        <v>352.70847651870213</v>
      </c>
      <c r="L29" s="43">
        <f t="shared" si="401"/>
        <v>823.56540238645005</v>
      </c>
      <c r="M29" s="64">
        <f t="shared" si="402"/>
        <v>1496.9317436313518</v>
      </c>
      <c r="N29" s="43">
        <f t="shared" si="403"/>
        <v>1648.2247140000006</v>
      </c>
      <c r="O29" s="43">
        <f t="shared" si="404"/>
        <v>2689.4831750000003</v>
      </c>
      <c r="P29" s="43">
        <f t="shared" si="405"/>
        <v>9035.2184519999992</v>
      </c>
      <c r="Q29" s="44">
        <f t="shared" si="406"/>
        <v>11414.448494000002</v>
      </c>
      <c r="S29" s="45">
        <f t="shared" ref="S29:S43" si="489">DE29*$EK$5</f>
        <v>3151969.7274232241</v>
      </c>
      <c r="T29" s="46">
        <f t="shared" si="407"/>
        <v>-2909273.0872167507</v>
      </c>
      <c r="U29" s="46">
        <f t="shared" si="408"/>
        <v>557503.77415827732</v>
      </c>
      <c r="V29" s="46">
        <f t="shared" si="409"/>
        <v>1159063.2980690806</v>
      </c>
      <c r="W29" s="46">
        <f t="shared" si="410"/>
        <v>186111.43078353046</v>
      </c>
      <c r="X29" s="46">
        <f t="shared" si="411"/>
        <v>4396080.3332741847</v>
      </c>
      <c r="Y29" s="46">
        <f t="shared" si="412"/>
        <v>3769680.2927698069</v>
      </c>
      <c r="Z29" s="46">
        <f t="shared" si="413"/>
        <v>6546970.7558346922</v>
      </c>
      <c r="AA29" s="46">
        <f t="shared" si="414"/>
        <v>6277595.6472637737</v>
      </c>
      <c r="AB29" s="46">
        <f t="shared" si="415"/>
        <v>7417773.7199132144</v>
      </c>
      <c r="AC29" s="46">
        <f t="shared" si="416"/>
        <v>2947494.3797751153</v>
      </c>
      <c r="AD29" s="46">
        <f t="shared" si="417"/>
        <v>7474911.8658815725</v>
      </c>
      <c r="AE29" s="72">
        <f t="shared" si="418"/>
        <v>40975882.137929715</v>
      </c>
      <c r="AF29" s="47">
        <f t="shared" si="419"/>
        <v>40975882.137929715</v>
      </c>
      <c r="AH29" s="45">
        <f t="shared" ref="AH29:AH43" si="490">DT29*$EM$5</f>
        <v>0</v>
      </c>
      <c r="AI29" s="46">
        <f t="shared" si="420"/>
        <v>0</v>
      </c>
      <c r="AJ29" s="46">
        <f t="shared" si="421"/>
        <v>0</v>
      </c>
      <c r="AK29" s="46">
        <f t="shared" si="422"/>
        <v>0</v>
      </c>
      <c r="AL29" s="46">
        <f t="shared" si="423"/>
        <v>0</v>
      </c>
      <c r="AM29" s="46">
        <f t="shared" si="424"/>
        <v>1416.7476415837671</v>
      </c>
      <c r="AN29" s="46">
        <f t="shared" si="425"/>
        <v>0</v>
      </c>
      <c r="AO29" s="46">
        <f t="shared" si="426"/>
        <v>149040.11731776208</v>
      </c>
      <c r="AP29" s="46">
        <f t="shared" si="427"/>
        <v>21014986.679667488</v>
      </c>
      <c r="AQ29" s="46">
        <f t="shared" si="428"/>
        <v>10283766.825992143</v>
      </c>
      <c r="AR29" s="46">
        <f t="shared" si="429"/>
        <v>16687312.72431159</v>
      </c>
      <c r="AS29" s="46">
        <f t="shared" si="430"/>
        <v>14838152.84456086</v>
      </c>
      <c r="AT29" s="72">
        <f t="shared" si="431"/>
        <v>62974675.939491428</v>
      </c>
      <c r="AU29" s="47">
        <f t="shared" si="432"/>
        <v>62974675.939491428</v>
      </c>
      <c r="AW29" s="45">
        <f t="shared" ref="AW29:AW43" si="491">DE29*$EK$6</f>
        <v>3164643.9667883203</v>
      </c>
      <c r="AX29" s="46">
        <f t="shared" si="433"/>
        <v>-2920971.4303718298</v>
      </c>
      <c r="AY29" s="46">
        <f t="shared" si="434"/>
        <v>559745.52674211422</v>
      </c>
      <c r="AZ29" s="46">
        <f t="shared" si="435"/>
        <v>1163723.9537699318</v>
      </c>
      <c r="BA29" s="46">
        <f t="shared" si="436"/>
        <v>186859.79483087792</v>
      </c>
      <c r="BB29" s="46">
        <f t="shared" si="437"/>
        <v>4413757.2081271857</v>
      </c>
      <c r="BC29" s="46">
        <f t="shared" si="438"/>
        <v>3784838.3794559725</v>
      </c>
      <c r="BD29" s="46">
        <f t="shared" si="439"/>
        <v>6573296.476463859</v>
      </c>
      <c r="BE29" s="46">
        <f t="shared" si="440"/>
        <v>6302838.1961304322</v>
      </c>
      <c r="BF29" s="46">
        <f t="shared" si="441"/>
        <v>7447600.9859761912</v>
      </c>
      <c r="BG29" s="46">
        <f t="shared" si="442"/>
        <v>2959346.4127979977</v>
      </c>
      <c r="BH29" s="46">
        <f t="shared" si="443"/>
        <v>7504968.8874947317</v>
      </c>
      <c r="BI29" s="46">
        <f t="shared" si="444"/>
        <v>41140648.35820578</v>
      </c>
      <c r="BJ29" s="47">
        <f t="shared" si="445"/>
        <v>41140648.35820578</v>
      </c>
      <c r="BL29" s="45">
        <f t="shared" ref="BL29:BL43" si="492">DT29*$EM$6</f>
        <v>0</v>
      </c>
      <c r="BM29" s="46">
        <f t="shared" si="446"/>
        <v>0</v>
      </c>
      <c r="BN29" s="46">
        <f t="shared" si="447"/>
        <v>0</v>
      </c>
      <c r="BO29" s="46">
        <f t="shared" si="448"/>
        <v>0</v>
      </c>
      <c r="BP29" s="46">
        <f t="shared" si="449"/>
        <v>0</v>
      </c>
      <c r="BQ29" s="46">
        <f t="shared" si="450"/>
        <v>814.40611297507849</v>
      </c>
      <c r="BR29" s="46">
        <f t="shared" si="451"/>
        <v>0</v>
      </c>
      <c r="BS29" s="46">
        <f t="shared" si="452"/>
        <v>85674.525977272715</v>
      </c>
      <c r="BT29" s="46">
        <f t="shared" si="453"/>
        <v>12080297.939920107</v>
      </c>
      <c r="BU29" s="46">
        <f t="shared" si="454"/>
        <v>5911541.5629955223</v>
      </c>
      <c r="BV29" s="46">
        <f t="shared" si="455"/>
        <v>9592568.9889370669</v>
      </c>
      <c r="BW29" s="46">
        <f t="shared" si="456"/>
        <v>8529594.1402521227</v>
      </c>
      <c r="BX29" s="46">
        <f t="shared" si="457"/>
        <v>36200491.564195067</v>
      </c>
      <c r="BY29" s="47">
        <f t="shared" si="458"/>
        <v>36200491.564195067</v>
      </c>
      <c r="CA29" s="45">
        <f t="shared" ref="CA29:CA43" si="493">DE29*$EK$7</f>
        <v>633507.58578845591</v>
      </c>
      <c r="CB29" s="46">
        <f t="shared" si="459"/>
        <v>-584728.51241142023</v>
      </c>
      <c r="CC29" s="46">
        <f t="shared" si="460"/>
        <v>112051.47909960872</v>
      </c>
      <c r="CD29" s="46">
        <f t="shared" si="461"/>
        <v>232957.62816098752</v>
      </c>
      <c r="CE29" s="46">
        <f t="shared" si="462"/>
        <v>37406.134385591613</v>
      </c>
      <c r="CF29" s="46">
        <f t="shared" si="463"/>
        <v>883558.68859862804</v>
      </c>
      <c r="CG29" s="46">
        <f t="shared" si="464"/>
        <v>757659.89777422114</v>
      </c>
      <c r="CH29" s="46">
        <f t="shared" si="465"/>
        <v>1315861.5077014519</v>
      </c>
      <c r="CI29" s="46">
        <f t="shared" si="466"/>
        <v>1261720.3866057948</v>
      </c>
      <c r="CJ29" s="46">
        <f t="shared" si="467"/>
        <v>1490882.3141105939</v>
      </c>
      <c r="CK29" s="46">
        <f t="shared" si="468"/>
        <v>592410.52742688754</v>
      </c>
      <c r="CL29" s="46">
        <f t="shared" si="469"/>
        <v>1502366.3866236999</v>
      </c>
      <c r="CM29" s="46">
        <f t="shared" si="470"/>
        <v>8235654.0238645002</v>
      </c>
      <c r="CN29" s="47">
        <f t="shared" si="471"/>
        <v>8235654.0238645002</v>
      </c>
      <c r="CP29" s="45">
        <f t="shared" ref="CP29:CP43" si="494">DT29*$EM$7</f>
        <v>0</v>
      </c>
      <c r="CQ29" s="46">
        <f t="shared" si="472"/>
        <v>0</v>
      </c>
      <c r="CR29" s="46">
        <f t="shared" si="473"/>
        <v>0</v>
      </c>
      <c r="CS29" s="46">
        <f t="shared" si="474"/>
        <v>0</v>
      </c>
      <c r="CT29" s="46">
        <f t="shared" si="475"/>
        <v>0</v>
      </c>
      <c r="CU29" s="46">
        <f t="shared" si="476"/>
        <v>336.76624544115452</v>
      </c>
      <c r="CV29" s="46">
        <f t="shared" si="477"/>
        <v>0</v>
      </c>
      <c r="CW29" s="46">
        <f t="shared" si="478"/>
        <v>35427.396704965176</v>
      </c>
      <c r="CX29" s="46">
        <f t="shared" si="479"/>
        <v>4995341.4104123982</v>
      </c>
      <c r="CY29" s="46">
        <f t="shared" si="480"/>
        <v>2444490.0710123433</v>
      </c>
      <c r="CZ29" s="46">
        <f t="shared" si="481"/>
        <v>3966637.0267513478</v>
      </c>
      <c r="DA29" s="46">
        <f t="shared" si="482"/>
        <v>3527084.7651870213</v>
      </c>
      <c r="DB29" s="46">
        <f t="shared" si="483"/>
        <v>14969317.436313517</v>
      </c>
      <c r="DC29" s="47">
        <f t="shared" si="484"/>
        <v>14969317.436313517</v>
      </c>
      <c r="DE29" s="45">
        <v>6950121.2800000003</v>
      </c>
      <c r="DF29" s="46">
        <v>-6414973.0300000003</v>
      </c>
      <c r="DG29" s="46">
        <v>1229300.7800000003</v>
      </c>
      <c r="DH29" s="46">
        <v>2555744.88</v>
      </c>
      <c r="DI29" s="46">
        <v>410377.36</v>
      </c>
      <c r="DJ29" s="46">
        <v>9693396.2299999986</v>
      </c>
      <c r="DK29" s="46">
        <v>8312178.5700000003</v>
      </c>
      <c r="DL29" s="46">
        <v>14436128.740000002</v>
      </c>
      <c r="DM29" s="46">
        <v>13842154.23</v>
      </c>
      <c r="DN29" s="46">
        <v>16356257.02</v>
      </c>
      <c r="DO29" s="46">
        <v>6499251.3200000003</v>
      </c>
      <c r="DP29" s="46">
        <v>16482247.140000004</v>
      </c>
      <c r="DQ29" s="46">
        <f t="shared" si="485"/>
        <v>90352184.519999996</v>
      </c>
      <c r="DR29" s="47">
        <f t="shared" si="486"/>
        <v>90352184.519999996</v>
      </c>
      <c r="DT29" s="45"/>
      <c r="DU29" s="46"/>
      <c r="DV29" s="46"/>
      <c r="DW29" s="46"/>
      <c r="DX29" s="46"/>
      <c r="DY29" s="46">
        <v>2567.92</v>
      </c>
      <c r="DZ29" s="46"/>
      <c r="EA29" s="46">
        <v>270142.03999999998</v>
      </c>
      <c r="EB29" s="46">
        <v>38090626.029999994</v>
      </c>
      <c r="EC29" s="46">
        <v>18639798.460000008</v>
      </c>
      <c r="ED29" s="46">
        <v>30246518.740000006</v>
      </c>
      <c r="EE29" s="46">
        <v>26894831.750000004</v>
      </c>
      <c r="EF29" s="46">
        <f t="shared" si="487"/>
        <v>114144484.94000001</v>
      </c>
      <c r="EG29" s="47">
        <f t="shared" si="488"/>
        <v>114144484.94000001</v>
      </c>
    </row>
    <row r="30" spans="1:148">
      <c r="A30" s="25" t="s">
        <v>36</v>
      </c>
      <c r="B30" s="64">
        <f t="shared" si="391"/>
        <v>11.064889160071322</v>
      </c>
      <c r="C30" s="64">
        <f t="shared" si="392"/>
        <v>-44.323145713725026</v>
      </c>
      <c r="D30" s="64">
        <f>AE30/10000</f>
        <v>15.743835821880216</v>
      </c>
      <c r="E30" s="64">
        <f t="shared" si="394"/>
        <v>150.71186044565826</v>
      </c>
      <c r="F30" s="43">
        <f t="shared" si="395"/>
        <v>11.109381672972978</v>
      </c>
      <c r="G30" s="64">
        <f t="shared" si="396"/>
        <v>-25.478807767903049</v>
      </c>
      <c r="H30" s="64">
        <f t="shared" si="397"/>
        <v>15.80714263031661</v>
      </c>
      <c r="I30" s="64">
        <f t="shared" si="398"/>
        <v>86.635514217324214</v>
      </c>
      <c r="J30" s="43">
        <f t="shared" si="399"/>
        <v>2.2239081669556997</v>
      </c>
      <c r="K30" s="64">
        <f t="shared" si="400"/>
        <v>-10.53577851837195</v>
      </c>
      <c r="L30" s="43">
        <f t="shared" si="401"/>
        <v>3.1643195478031729</v>
      </c>
      <c r="M30" s="64">
        <f t="shared" si="402"/>
        <v>35.824776337017546</v>
      </c>
      <c r="N30" s="43">
        <f t="shared" si="403"/>
        <v>24.398178999999999</v>
      </c>
      <c r="O30" s="43">
        <f t="shared" si="404"/>
        <v>-80.337732000000031</v>
      </c>
      <c r="P30" s="43">
        <f t="shared" si="405"/>
        <v>34.715297999999997</v>
      </c>
      <c r="Q30" s="44">
        <f t="shared" si="406"/>
        <v>273.17215100000004</v>
      </c>
      <c r="S30" s="45">
        <f t="shared" si="489"/>
        <v>285.15531250008638</v>
      </c>
      <c r="T30" s="46">
        <f t="shared" si="407"/>
        <v>8059.377925853707</v>
      </c>
      <c r="U30" s="46">
        <f t="shared" si="408"/>
        <v>3769.7217574551796</v>
      </c>
      <c r="V30" s="46">
        <f t="shared" si="409"/>
        <v>0</v>
      </c>
      <c r="W30" s="46">
        <f t="shared" si="410"/>
        <v>0</v>
      </c>
      <c r="X30" s="46">
        <f t="shared" si="411"/>
        <v>10850.618368936879</v>
      </c>
      <c r="Y30" s="46">
        <f t="shared" si="412"/>
        <v>0</v>
      </c>
      <c r="Z30" s="46">
        <f t="shared" si="413"/>
        <v>117.91335663282673</v>
      </c>
      <c r="AA30" s="46">
        <f t="shared" si="414"/>
        <v>0</v>
      </c>
      <c r="AB30" s="46">
        <f t="shared" si="415"/>
        <v>23706.67989671027</v>
      </c>
      <c r="AC30" s="46">
        <f t="shared" si="416"/>
        <v>0</v>
      </c>
      <c r="AD30" s="46">
        <f t="shared" si="417"/>
        <v>110648.89160071322</v>
      </c>
      <c r="AE30" s="72">
        <f t="shared" si="418"/>
        <v>157438.35821880217</v>
      </c>
      <c r="AF30" s="47">
        <f t="shared" si="419"/>
        <v>157438.35821880217</v>
      </c>
      <c r="AH30" s="45">
        <f t="shared" si="490"/>
        <v>0</v>
      </c>
      <c r="AI30" s="46">
        <f t="shared" si="420"/>
        <v>0</v>
      </c>
      <c r="AJ30" s="46">
        <f t="shared" si="421"/>
        <v>0</v>
      </c>
      <c r="AK30" s="46">
        <f t="shared" si="422"/>
        <v>0</v>
      </c>
      <c r="AL30" s="46">
        <f t="shared" si="423"/>
        <v>0</v>
      </c>
      <c r="AM30" s="46">
        <f t="shared" si="424"/>
        <v>1034.864879444973</v>
      </c>
      <c r="AN30" s="46">
        <f t="shared" si="425"/>
        <v>12954.99947361229</v>
      </c>
      <c r="AO30" s="46">
        <f t="shared" si="426"/>
        <v>382886.87469202088</v>
      </c>
      <c r="AP30" s="46">
        <f t="shared" si="427"/>
        <v>1664196.4551814599</v>
      </c>
      <c r="AQ30" s="46">
        <f t="shared" si="428"/>
        <v>-79069.074722134726</v>
      </c>
      <c r="AR30" s="46">
        <f t="shared" si="429"/>
        <v>-31654.057910570744</v>
      </c>
      <c r="AS30" s="46">
        <f t="shared" si="430"/>
        <v>-443231.45713725023</v>
      </c>
      <c r="AT30" s="72">
        <f t="shared" si="431"/>
        <v>1507118.6044565826</v>
      </c>
      <c r="AU30" s="47">
        <f t="shared" si="432"/>
        <v>1507118.6044565826</v>
      </c>
      <c r="AW30" s="45">
        <f t="shared" si="491"/>
        <v>286.30193730914175</v>
      </c>
      <c r="AX30" s="46">
        <f t="shared" si="433"/>
        <v>8091.785116848384</v>
      </c>
      <c r="AY30" s="46">
        <f t="shared" si="434"/>
        <v>3784.8800108730698</v>
      </c>
      <c r="AZ30" s="46">
        <f t="shared" si="435"/>
        <v>0</v>
      </c>
      <c r="BA30" s="46">
        <f t="shared" si="436"/>
        <v>0</v>
      </c>
      <c r="BB30" s="46">
        <f t="shared" si="437"/>
        <v>10894.249287492576</v>
      </c>
      <c r="BC30" s="46">
        <f t="shared" si="438"/>
        <v>0</v>
      </c>
      <c r="BD30" s="46">
        <f t="shared" si="439"/>
        <v>118.3874925654482</v>
      </c>
      <c r="BE30" s="46">
        <f t="shared" si="440"/>
        <v>0</v>
      </c>
      <c r="BF30" s="46">
        <f t="shared" si="441"/>
        <v>23802.005728347704</v>
      </c>
      <c r="BG30" s="46">
        <f t="shared" si="442"/>
        <v>0</v>
      </c>
      <c r="BH30" s="46">
        <f t="shared" si="443"/>
        <v>111093.81672972978</v>
      </c>
      <c r="BI30" s="46">
        <f t="shared" si="444"/>
        <v>158071.42630316611</v>
      </c>
      <c r="BJ30" s="47">
        <f t="shared" si="445"/>
        <v>158071.42630316611</v>
      </c>
      <c r="BL30" s="45">
        <f t="shared" si="492"/>
        <v>0</v>
      </c>
      <c r="BM30" s="46">
        <f t="shared" si="446"/>
        <v>0</v>
      </c>
      <c r="BN30" s="46">
        <f t="shared" si="447"/>
        <v>0</v>
      </c>
      <c r="BO30" s="46">
        <f t="shared" si="448"/>
        <v>0</v>
      </c>
      <c r="BP30" s="46">
        <f t="shared" si="449"/>
        <v>0</v>
      </c>
      <c r="BQ30" s="46">
        <f t="shared" si="450"/>
        <v>594.88384464931687</v>
      </c>
      <c r="BR30" s="46">
        <f t="shared" si="451"/>
        <v>7447.0784035358165</v>
      </c>
      <c r="BS30" s="46">
        <f t="shared" si="452"/>
        <v>220099.47444028803</v>
      </c>
      <c r="BT30" s="46">
        <f t="shared" si="453"/>
        <v>956650.09526758501</v>
      </c>
      <c r="BU30" s="46">
        <f t="shared" si="454"/>
        <v>-45452.228689792661</v>
      </c>
      <c r="BV30" s="46">
        <f t="shared" si="455"/>
        <v>-18196.08341399291</v>
      </c>
      <c r="BW30" s="46">
        <f t="shared" si="456"/>
        <v>-254788.07767903048</v>
      </c>
      <c r="BX30" s="46">
        <f t="shared" si="457"/>
        <v>866355.14217324217</v>
      </c>
      <c r="BY30" s="47">
        <f t="shared" si="458"/>
        <v>866355.14217324217</v>
      </c>
      <c r="CA30" s="45">
        <f t="shared" si="493"/>
        <v>57.31275019077183</v>
      </c>
      <c r="CB30" s="46">
        <f t="shared" si="459"/>
        <v>1619.8369572979091</v>
      </c>
      <c r="CC30" s="46">
        <f t="shared" si="460"/>
        <v>757.66823167175119</v>
      </c>
      <c r="CD30" s="46">
        <f t="shared" si="461"/>
        <v>0</v>
      </c>
      <c r="CE30" s="46">
        <f t="shared" si="462"/>
        <v>0</v>
      </c>
      <c r="CF30" s="46">
        <f t="shared" si="463"/>
        <v>2180.8423435705449</v>
      </c>
      <c r="CG30" s="46">
        <f t="shared" si="464"/>
        <v>0</v>
      </c>
      <c r="CH30" s="46">
        <f t="shared" si="465"/>
        <v>23.699150801725075</v>
      </c>
      <c r="CI30" s="46">
        <f t="shared" si="466"/>
        <v>0</v>
      </c>
      <c r="CJ30" s="46">
        <f t="shared" si="467"/>
        <v>4764.7543749420302</v>
      </c>
      <c r="CK30" s="46">
        <f t="shared" si="468"/>
        <v>0</v>
      </c>
      <c r="CL30" s="46">
        <f t="shared" si="469"/>
        <v>22239.081669556996</v>
      </c>
      <c r="CM30" s="46">
        <f t="shared" si="470"/>
        <v>31643.195478031728</v>
      </c>
      <c r="CN30" s="47">
        <f t="shared" si="471"/>
        <v>31643.195478031728</v>
      </c>
      <c r="CP30" s="45">
        <f t="shared" si="494"/>
        <v>0</v>
      </c>
      <c r="CQ30" s="46">
        <f t="shared" si="472"/>
        <v>0</v>
      </c>
      <c r="CR30" s="46">
        <f t="shared" si="473"/>
        <v>0</v>
      </c>
      <c r="CS30" s="46">
        <f t="shared" si="474"/>
        <v>0</v>
      </c>
      <c r="CT30" s="46">
        <f t="shared" si="475"/>
        <v>0</v>
      </c>
      <c r="CU30" s="46">
        <f t="shared" si="476"/>
        <v>245.99127590571013</v>
      </c>
      <c r="CV30" s="46">
        <f t="shared" si="477"/>
        <v>3079.4521228518929</v>
      </c>
      <c r="CW30" s="46">
        <f t="shared" si="478"/>
        <v>91013.65086769106</v>
      </c>
      <c r="CX30" s="46">
        <f t="shared" si="479"/>
        <v>395585.75955095515</v>
      </c>
      <c r="CY30" s="46">
        <f t="shared" si="480"/>
        <v>-18795.016588072442</v>
      </c>
      <c r="CZ30" s="46">
        <f t="shared" si="481"/>
        <v>-7524.2886754362726</v>
      </c>
      <c r="DA30" s="46">
        <f t="shared" si="482"/>
        <v>-105357.7851837195</v>
      </c>
      <c r="DB30" s="46">
        <f t="shared" si="483"/>
        <v>358247.7633701755</v>
      </c>
      <c r="DC30" s="47">
        <f t="shared" si="484"/>
        <v>358247.7633701755</v>
      </c>
      <c r="DE30" s="45">
        <v>628.77</v>
      </c>
      <c r="DF30" s="46">
        <v>17771</v>
      </c>
      <c r="DG30" s="46">
        <v>8312.27</v>
      </c>
      <c r="DH30" s="46"/>
      <c r="DI30" s="46"/>
      <c r="DJ30" s="46">
        <v>23925.71</v>
      </c>
      <c r="DK30" s="46"/>
      <c r="DL30" s="46">
        <v>260</v>
      </c>
      <c r="DM30" s="46"/>
      <c r="DN30" s="46">
        <v>52273.440000000002</v>
      </c>
      <c r="DO30" s="46"/>
      <c r="DP30" s="46">
        <v>243981.78999999998</v>
      </c>
      <c r="DQ30" s="46">
        <f t="shared" si="485"/>
        <v>347152.98</v>
      </c>
      <c r="DR30" s="47">
        <f t="shared" si="486"/>
        <v>347152.98</v>
      </c>
      <c r="DT30" s="45"/>
      <c r="DU30" s="46"/>
      <c r="DV30" s="46"/>
      <c r="DW30" s="46"/>
      <c r="DX30" s="46"/>
      <c r="DY30" s="46">
        <v>1875.74</v>
      </c>
      <c r="DZ30" s="46">
        <v>23481.53</v>
      </c>
      <c r="EA30" s="46">
        <v>694000</v>
      </c>
      <c r="EB30" s="46">
        <v>3016432.31</v>
      </c>
      <c r="EC30" s="46">
        <v>-143316.31999999983</v>
      </c>
      <c r="ED30" s="46">
        <v>-57374.429999999928</v>
      </c>
      <c r="EE30" s="46">
        <v>-803377.32000000018</v>
      </c>
      <c r="EF30" s="46">
        <f t="shared" si="487"/>
        <v>2731721.5100000002</v>
      </c>
      <c r="EG30" s="47">
        <f t="shared" si="488"/>
        <v>2731721.5100000002</v>
      </c>
    </row>
    <row r="31" spans="1:148">
      <c r="A31" s="25" t="s">
        <v>37</v>
      </c>
      <c r="B31" s="64">
        <f t="shared" si="391"/>
        <v>128.01730998599302</v>
      </c>
      <c r="C31" s="64">
        <f t="shared" si="392"/>
        <v>119.24390596946476</v>
      </c>
      <c r="D31" s="64">
        <f t="shared" si="393"/>
        <v>765.02620248745882</v>
      </c>
      <c r="E31" s="64">
        <f t="shared" si="394"/>
        <v>605.34578967420202</v>
      </c>
      <c r="F31" s="43">
        <f t="shared" si="395"/>
        <v>128.53207445708603</v>
      </c>
      <c r="G31" s="64">
        <f t="shared" si="396"/>
        <v>68.546410882319179</v>
      </c>
      <c r="H31" s="64">
        <f t="shared" si="397"/>
        <v>768.10241388839245</v>
      </c>
      <c r="I31" s="64">
        <f t="shared" si="398"/>
        <v>347.97821228294396</v>
      </c>
      <c r="J31" s="43">
        <f t="shared" si="399"/>
        <v>25.729922556920954</v>
      </c>
      <c r="K31" s="64">
        <f t="shared" si="400"/>
        <v>28.344725148215726</v>
      </c>
      <c r="L31" s="43">
        <f t="shared" si="401"/>
        <v>153.76096362414876</v>
      </c>
      <c r="M31" s="64">
        <f t="shared" si="402"/>
        <v>143.89297204285367</v>
      </c>
      <c r="N31" s="43">
        <f t="shared" si="403"/>
        <v>282.27930699999996</v>
      </c>
      <c r="O31" s="43">
        <f t="shared" si="404"/>
        <v>216.13504199999966</v>
      </c>
      <c r="P31" s="43">
        <f t="shared" si="405"/>
        <v>1686.88958</v>
      </c>
      <c r="Q31" s="44">
        <f t="shared" si="406"/>
        <v>1097.2169739999997</v>
      </c>
      <c r="S31" s="45">
        <f t="shared" si="489"/>
        <v>294593.61003456631</v>
      </c>
      <c r="T31" s="46">
        <f t="shared" si="407"/>
        <v>436812.25639469537</v>
      </c>
      <c r="U31" s="46">
        <f t="shared" si="408"/>
        <v>448709.77757075499</v>
      </c>
      <c r="V31" s="46">
        <f t="shared" si="409"/>
        <v>684227.38550712459</v>
      </c>
      <c r="W31" s="46">
        <f t="shared" si="410"/>
        <v>642382.40688349481</v>
      </c>
      <c r="X31" s="46">
        <f t="shared" si="411"/>
        <v>590225.03447753645</v>
      </c>
      <c r="Y31" s="46">
        <f t="shared" si="412"/>
        <v>662247.23379439407</v>
      </c>
      <c r="Z31" s="46">
        <f t="shared" si="413"/>
        <v>653880.30155340908</v>
      </c>
      <c r="AA31" s="46">
        <f t="shared" si="414"/>
        <v>644034.25056143478</v>
      </c>
      <c r="AB31" s="46">
        <f t="shared" si="415"/>
        <v>645402.471800511</v>
      </c>
      <c r="AC31" s="46">
        <f t="shared" si="416"/>
        <v>667574.19643673708</v>
      </c>
      <c r="AD31" s="46">
        <f t="shared" si="417"/>
        <v>1280173.0998599301</v>
      </c>
      <c r="AE31" s="72">
        <f t="shared" si="418"/>
        <v>7650262.0248745885</v>
      </c>
      <c r="AF31" s="47">
        <f t="shared" si="419"/>
        <v>7650262.0248745885</v>
      </c>
      <c r="AH31" s="45">
        <f t="shared" si="490"/>
        <v>523192.67482872319</v>
      </c>
      <c r="AI31" s="46">
        <f t="shared" si="420"/>
        <v>371394.12239969813</v>
      </c>
      <c r="AJ31" s="46">
        <f t="shared" si="421"/>
        <v>426281.87172572158</v>
      </c>
      <c r="AK31" s="46">
        <f t="shared" si="422"/>
        <v>684243.6720333749</v>
      </c>
      <c r="AL31" s="46">
        <f t="shared" si="423"/>
        <v>413810.78278043942</v>
      </c>
      <c r="AM31" s="46">
        <f t="shared" si="424"/>
        <v>540759.65153293777</v>
      </c>
      <c r="AN31" s="46">
        <f t="shared" si="425"/>
        <v>297342.07949845586</v>
      </c>
      <c r="AO31" s="46">
        <f t="shared" si="426"/>
        <v>270909.64410004846</v>
      </c>
      <c r="AP31" s="46">
        <f t="shared" si="427"/>
        <v>342686.92518297466</v>
      </c>
      <c r="AQ31" s="46">
        <f t="shared" si="428"/>
        <v>428147.17078929686</v>
      </c>
      <c r="AR31" s="46">
        <f t="shared" si="429"/>
        <v>562250.24217570189</v>
      </c>
      <c r="AS31" s="46">
        <f t="shared" si="430"/>
        <v>1192439.0596946476</v>
      </c>
      <c r="AT31" s="72">
        <f t="shared" si="431"/>
        <v>6053457.8967420207</v>
      </c>
      <c r="AU31" s="47">
        <f t="shared" si="432"/>
        <v>6053457.8967420207</v>
      </c>
      <c r="AW31" s="45">
        <f t="shared" si="491"/>
        <v>295778.18674433639</v>
      </c>
      <c r="AX31" s="46">
        <f t="shared" si="433"/>
        <v>438568.70191096631</v>
      </c>
      <c r="AY31" s="46">
        <f t="shared" si="434"/>
        <v>450514.0636579314</v>
      </c>
      <c r="AZ31" s="46">
        <f t="shared" si="435"/>
        <v>686978.70053043251</v>
      </c>
      <c r="BA31" s="46">
        <f t="shared" si="436"/>
        <v>644965.46100293391</v>
      </c>
      <c r="BB31" s="46">
        <f t="shared" si="437"/>
        <v>592598.36100448761</v>
      </c>
      <c r="BC31" s="46">
        <f t="shared" si="438"/>
        <v>664910.16544851405</v>
      </c>
      <c r="BD31" s="46">
        <f t="shared" si="439"/>
        <v>656509.58932413417</v>
      </c>
      <c r="BE31" s="46">
        <f t="shared" si="440"/>
        <v>646623.94683291798</v>
      </c>
      <c r="BF31" s="46">
        <f t="shared" si="441"/>
        <v>647997.66976299649</v>
      </c>
      <c r="BG31" s="46">
        <f t="shared" si="442"/>
        <v>670258.54809341312</v>
      </c>
      <c r="BH31" s="46">
        <f t="shared" si="443"/>
        <v>1285320.7445708602</v>
      </c>
      <c r="BI31" s="46">
        <f t="shared" si="444"/>
        <v>7681024.1388839241</v>
      </c>
      <c r="BJ31" s="47">
        <f t="shared" si="445"/>
        <v>7681024.1388839241</v>
      </c>
      <c r="BL31" s="45">
        <f t="shared" si="492"/>
        <v>300753.14765865554</v>
      </c>
      <c r="BM31" s="46">
        <f t="shared" si="446"/>
        <v>213492.95719822453</v>
      </c>
      <c r="BN31" s="46">
        <f t="shared" si="447"/>
        <v>245044.74332195972</v>
      </c>
      <c r="BO31" s="46">
        <f t="shared" si="448"/>
        <v>393332.03240454942</v>
      </c>
      <c r="BP31" s="46">
        <f t="shared" si="449"/>
        <v>237875.83703661742</v>
      </c>
      <c r="BQ31" s="46">
        <f t="shared" si="450"/>
        <v>310851.38448960584</v>
      </c>
      <c r="BR31" s="46">
        <f t="shared" si="451"/>
        <v>170924.72934527652</v>
      </c>
      <c r="BS31" s="46">
        <f t="shared" si="452"/>
        <v>155730.25409969411</v>
      </c>
      <c r="BT31" s="46">
        <f t="shared" si="453"/>
        <v>196990.85321480426</v>
      </c>
      <c r="BU31" s="46">
        <f t="shared" si="454"/>
        <v>246116.99565209536</v>
      </c>
      <c r="BV31" s="46">
        <f t="shared" si="455"/>
        <v>323205.07958476525</v>
      </c>
      <c r="BW31" s="46">
        <f t="shared" si="456"/>
        <v>685464.10882319184</v>
      </c>
      <c r="BX31" s="46">
        <f t="shared" si="457"/>
        <v>3479782.1228294396</v>
      </c>
      <c r="BY31" s="47">
        <f t="shared" si="458"/>
        <v>3479782.1228294396</v>
      </c>
      <c r="CA31" s="45">
        <f t="shared" si="493"/>
        <v>59209.733221097318</v>
      </c>
      <c r="CB31" s="46">
        <f t="shared" si="459"/>
        <v>87793.951694338379</v>
      </c>
      <c r="CC31" s="46">
        <f t="shared" si="460"/>
        <v>90185.208771313643</v>
      </c>
      <c r="CD31" s="46">
        <f t="shared" si="461"/>
        <v>137521.38396244287</v>
      </c>
      <c r="CE31" s="46">
        <f t="shared" si="462"/>
        <v>129111.05211357171</v>
      </c>
      <c r="CF31" s="46">
        <f t="shared" si="463"/>
        <v>118628.05451797601</v>
      </c>
      <c r="CG31" s="46">
        <f t="shared" si="464"/>
        <v>133103.6407570919</v>
      </c>
      <c r="CH31" s="46">
        <f t="shared" si="465"/>
        <v>131421.98912245667</v>
      </c>
      <c r="CI31" s="46">
        <f t="shared" si="466"/>
        <v>129443.05260564724</v>
      </c>
      <c r="CJ31" s="46">
        <f t="shared" si="467"/>
        <v>129718.04843649245</v>
      </c>
      <c r="CK31" s="46">
        <f t="shared" si="468"/>
        <v>134174.29546984984</v>
      </c>
      <c r="CL31" s="46">
        <f t="shared" si="469"/>
        <v>257299.22556920955</v>
      </c>
      <c r="CM31" s="46">
        <f t="shared" si="470"/>
        <v>1537609.6362414877</v>
      </c>
      <c r="CN31" s="47">
        <f t="shared" si="471"/>
        <v>1537609.6362414877</v>
      </c>
      <c r="CP31" s="45">
        <f t="shared" si="494"/>
        <v>124364.86751262135</v>
      </c>
      <c r="CQ31" s="46">
        <f t="shared" si="472"/>
        <v>88281.780402077216</v>
      </c>
      <c r="CR31" s="46">
        <f t="shared" si="473"/>
        <v>101328.80495231874</v>
      </c>
      <c r="CS31" s="46">
        <f t="shared" si="474"/>
        <v>162647.29556207548</v>
      </c>
      <c r="CT31" s="46">
        <f t="shared" si="475"/>
        <v>98364.380182943147</v>
      </c>
      <c r="CU31" s="46">
        <f t="shared" si="476"/>
        <v>128540.60397745653</v>
      </c>
      <c r="CV31" s="46">
        <f t="shared" si="477"/>
        <v>70679.331156267654</v>
      </c>
      <c r="CW31" s="46">
        <f t="shared" si="478"/>
        <v>64396.241800257449</v>
      </c>
      <c r="CX31" s="46">
        <f t="shared" si="479"/>
        <v>81457.971602221092</v>
      </c>
      <c r="CY31" s="46">
        <f t="shared" si="480"/>
        <v>101772.1935586078</v>
      </c>
      <c r="CZ31" s="46">
        <f t="shared" si="481"/>
        <v>133648.9982395327</v>
      </c>
      <c r="DA31" s="46">
        <f t="shared" si="482"/>
        <v>283447.25148215727</v>
      </c>
      <c r="DB31" s="46">
        <f t="shared" si="483"/>
        <v>1438929.7204285366</v>
      </c>
      <c r="DC31" s="47">
        <f t="shared" si="484"/>
        <v>1438929.7204285366</v>
      </c>
      <c r="DE31" s="45">
        <f>920044.74-270463.21</f>
        <v>649581.53</v>
      </c>
      <c r="DF31" s="46">
        <v>963174.91</v>
      </c>
      <c r="DG31" s="46">
        <v>989409.05</v>
      </c>
      <c r="DH31" s="46">
        <f>1479462.32+29265.15</f>
        <v>1508727.47</v>
      </c>
      <c r="DI31" s="46">
        <v>1416458.9200000004</v>
      </c>
      <c r="DJ31" s="46">
        <v>1301451.45</v>
      </c>
      <c r="DK31" s="46">
        <v>1460261.04</v>
      </c>
      <c r="DL31" s="46">
        <v>1441811.88</v>
      </c>
      <c r="DM31" s="46">
        <v>1420101.25</v>
      </c>
      <c r="DN31" s="46">
        <v>1423118.19</v>
      </c>
      <c r="DO31" s="46">
        <v>1472007.04</v>
      </c>
      <c r="DP31" s="46">
        <v>2822793.07</v>
      </c>
      <c r="DQ31" s="46">
        <f t="shared" si="485"/>
        <v>16868895.800000001</v>
      </c>
      <c r="DR31" s="47">
        <f t="shared" si="486"/>
        <v>16868895.800000001</v>
      </c>
      <c r="DT31" s="45">
        <v>948310.69000000006</v>
      </c>
      <c r="DU31" s="46">
        <v>673168.85999999987</v>
      </c>
      <c r="DV31" s="46">
        <v>772655.42</v>
      </c>
      <c r="DW31" s="46">
        <v>1240222.9999999998</v>
      </c>
      <c r="DX31" s="46">
        <v>750051</v>
      </c>
      <c r="DY31" s="46">
        <v>980151.64000000013</v>
      </c>
      <c r="DZ31" s="46">
        <v>538946.14</v>
      </c>
      <c r="EA31" s="46">
        <v>491036.14</v>
      </c>
      <c r="EB31" s="46">
        <v>621135.75</v>
      </c>
      <c r="EC31" s="46">
        <v>776036.36</v>
      </c>
      <c r="ED31" s="46">
        <v>1019104.3199999998</v>
      </c>
      <c r="EE31" s="46">
        <v>2161350.4199999967</v>
      </c>
      <c r="EF31" s="46">
        <f t="shared" si="487"/>
        <v>10972169.739999995</v>
      </c>
      <c r="EG31" s="47">
        <f t="shared" si="488"/>
        <v>10972169.739999995</v>
      </c>
    </row>
    <row r="32" spans="1:148">
      <c r="A32" s="25" t="s">
        <v>38</v>
      </c>
      <c r="B32" s="64">
        <f t="shared" si="391"/>
        <v>13.085481464157692</v>
      </c>
      <c r="C32" s="64">
        <f t="shared" si="392"/>
        <v>20.762812071026158</v>
      </c>
      <c r="D32" s="64">
        <f t="shared" si="393"/>
        <v>107.836321538441</v>
      </c>
      <c r="E32" s="64">
        <f t="shared" si="394"/>
        <v>103.99917953852206</v>
      </c>
      <c r="F32" s="43">
        <f t="shared" si="395"/>
        <v>13.138098887111131</v>
      </c>
      <c r="G32" s="64">
        <f t="shared" si="396"/>
        <v>11.935337371935667</v>
      </c>
      <c r="H32" s="64">
        <f t="shared" si="397"/>
        <v>108.26993717235349</v>
      </c>
      <c r="I32" s="64">
        <f t="shared" si="398"/>
        <v>59.7831011498156</v>
      </c>
      <c r="J32" s="43">
        <f t="shared" si="399"/>
        <v>2.6300226487311815</v>
      </c>
      <c r="K32" s="64">
        <f t="shared" si="400"/>
        <v>4.9353985570381749</v>
      </c>
      <c r="L32" s="43">
        <f t="shared" si="401"/>
        <v>21.673789289205491</v>
      </c>
      <c r="M32" s="64">
        <f t="shared" si="402"/>
        <v>24.720996311662333</v>
      </c>
      <c r="N32" s="43">
        <f t="shared" si="403"/>
        <v>28.853603000000003</v>
      </c>
      <c r="O32" s="43">
        <f t="shared" si="404"/>
        <v>37.633547999999998</v>
      </c>
      <c r="P32" s="43">
        <f t="shared" si="405"/>
        <v>237.78004799999999</v>
      </c>
      <c r="Q32" s="44">
        <f t="shared" si="406"/>
        <v>188.503277</v>
      </c>
      <c r="S32" s="45">
        <f t="shared" si="489"/>
        <v>78131.099848582176</v>
      </c>
      <c r="T32" s="46">
        <f t="shared" si="407"/>
        <v>8608.7181138896412</v>
      </c>
      <c r="U32" s="46">
        <f t="shared" si="408"/>
        <v>50396.91692117184</v>
      </c>
      <c r="V32" s="46">
        <f t="shared" si="409"/>
        <v>61892.584842697703</v>
      </c>
      <c r="W32" s="46">
        <f t="shared" si="410"/>
        <v>65841.004292129946</v>
      </c>
      <c r="X32" s="46">
        <f t="shared" si="411"/>
        <v>109090.81171694165</v>
      </c>
      <c r="Y32" s="46">
        <f t="shared" si="412"/>
        <v>83232.036191647378</v>
      </c>
      <c r="Z32" s="46">
        <f t="shared" si="413"/>
        <v>135449.53533923009</v>
      </c>
      <c r="AA32" s="46">
        <f t="shared" si="414"/>
        <v>153196.12136028646</v>
      </c>
      <c r="AB32" s="46">
        <f t="shared" si="415"/>
        <v>72117.31004436934</v>
      </c>
      <c r="AC32" s="46">
        <f t="shared" si="416"/>
        <v>129552.26207188686</v>
      </c>
      <c r="AD32" s="46">
        <f t="shared" si="417"/>
        <v>130854.81464157692</v>
      </c>
      <c r="AE32" s="72">
        <f t="shared" si="418"/>
        <v>1078363.21538441</v>
      </c>
      <c r="AF32" s="47">
        <f t="shared" si="419"/>
        <v>1078363.21538441</v>
      </c>
      <c r="AH32" s="45">
        <f t="shared" si="490"/>
        <v>84204.652512429384</v>
      </c>
      <c r="AI32" s="46">
        <f t="shared" si="420"/>
        <v>35132.204487113879</v>
      </c>
      <c r="AJ32" s="46">
        <f t="shared" si="421"/>
        <v>65240.221472118094</v>
      </c>
      <c r="AK32" s="46">
        <f t="shared" si="422"/>
        <v>39748.567813759088</v>
      </c>
      <c r="AL32" s="46">
        <f t="shared" si="423"/>
        <v>60333.658583386423</v>
      </c>
      <c r="AM32" s="46">
        <f t="shared" si="424"/>
        <v>57748.570815103718</v>
      </c>
      <c r="AN32" s="46">
        <f t="shared" si="425"/>
        <v>85232.902386647344</v>
      </c>
      <c r="AO32" s="46">
        <f t="shared" si="426"/>
        <v>50962.220953100215</v>
      </c>
      <c r="AP32" s="46">
        <f t="shared" si="427"/>
        <v>122122.53556018983</v>
      </c>
      <c r="AQ32" s="46">
        <f t="shared" si="428"/>
        <v>79898.350314857511</v>
      </c>
      <c r="AR32" s="46">
        <f t="shared" si="429"/>
        <v>151739.7897762534</v>
      </c>
      <c r="AS32" s="46">
        <f t="shared" si="430"/>
        <v>207628.12071026157</v>
      </c>
      <c r="AT32" s="72">
        <f t="shared" si="431"/>
        <v>1039991.7953852206</v>
      </c>
      <c r="AU32" s="47">
        <f t="shared" si="432"/>
        <v>1039991.7953852206</v>
      </c>
      <c r="AW32" s="45">
        <f t="shared" si="491"/>
        <v>78445.269192508174</v>
      </c>
      <c r="AX32" s="46">
        <f t="shared" si="433"/>
        <v>8643.3342312504119</v>
      </c>
      <c r="AY32" s="46">
        <f t="shared" si="434"/>
        <v>50599.565627713826</v>
      </c>
      <c r="AZ32" s="46">
        <f t="shared" si="435"/>
        <v>62141.458246650793</v>
      </c>
      <c r="BA32" s="46">
        <f t="shared" si="436"/>
        <v>66105.75450250681</v>
      </c>
      <c r="BB32" s="46">
        <f t="shared" si="437"/>
        <v>109529.47172316052</v>
      </c>
      <c r="BC32" s="46">
        <f t="shared" si="438"/>
        <v>83566.716674254596</v>
      </c>
      <c r="BD32" s="46">
        <f t="shared" si="439"/>
        <v>135994.18518717895</v>
      </c>
      <c r="BE32" s="46">
        <f t="shared" si="440"/>
        <v>153812.1311826625</v>
      </c>
      <c r="BF32" s="46">
        <f t="shared" si="441"/>
        <v>72407.29761687576</v>
      </c>
      <c r="BG32" s="46">
        <f t="shared" si="442"/>
        <v>130073.19866766156</v>
      </c>
      <c r="BH32" s="46">
        <f t="shared" si="443"/>
        <v>131380.9888711113</v>
      </c>
      <c r="BI32" s="46">
        <f t="shared" si="444"/>
        <v>1082699.371723535</v>
      </c>
      <c r="BJ32" s="47">
        <f t="shared" si="445"/>
        <v>1082699.371723535</v>
      </c>
      <c r="BL32" s="45">
        <f t="shared" si="492"/>
        <v>48404.374734235338</v>
      </c>
      <c r="BM32" s="46">
        <f t="shared" si="446"/>
        <v>20195.468308393374</v>
      </c>
      <c r="BN32" s="46">
        <f t="shared" si="447"/>
        <v>37502.822393510549</v>
      </c>
      <c r="BO32" s="46">
        <f t="shared" si="448"/>
        <v>22849.148048231178</v>
      </c>
      <c r="BP32" s="46">
        <f t="shared" si="449"/>
        <v>34682.323743650275</v>
      </c>
      <c r="BQ32" s="46">
        <f t="shared" si="450"/>
        <v>33196.30660180204</v>
      </c>
      <c r="BR32" s="46">
        <f t="shared" si="451"/>
        <v>48995.455995745564</v>
      </c>
      <c r="BS32" s="46">
        <f t="shared" si="452"/>
        <v>29295.22736215367</v>
      </c>
      <c r="BT32" s="46">
        <f t="shared" si="453"/>
        <v>70201.168205971189</v>
      </c>
      <c r="BU32" s="46">
        <f t="shared" si="454"/>
        <v>45928.931168223811</v>
      </c>
      <c r="BV32" s="46">
        <f t="shared" si="455"/>
        <v>87226.411216882465</v>
      </c>
      <c r="BW32" s="46">
        <f t="shared" si="456"/>
        <v>119353.37371935666</v>
      </c>
      <c r="BX32" s="46">
        <f t="shared" si="457"/>
        <v>597831.011498156</v>
      </c>
      <c r="BY32" s="47">
        <f t="shared" si="458"/>
        <v>597831.011498156</v>
      </c>
      <c r="CA32" s="45">
        <f t="shared" si="493"/>
        <v>15703.400958909662</v>
      </c>
      <c r="CB32" s="46">
        <f t="shared" si="459"/>
        <v>1730.2476548599457</v>
      </c>
      <c r="CC32" s="46">
        <f t="shared" si="460"/>
        <v>10129.167451114305</v>
      </c>
      <c r="CD32" s="46">
        <f t="shared" si="461"/>
        <v>12439.656910651489</v>
      </c>
      <c r="CE32" s="46">
        <f t="shared" si="462"/>
        <v>13233.241205363256</v>
      </c>
      <c r="CF32" s="46">
        <f t="shared" si="463"/>
        <v>21925.926559897798</v>
      </c>
      <c r="CG32" s="46">
        <f t="shared" si="464"/>
        <v>16728.627134098093</v>
      </c>
      <c r="CH32" s="46">
        <f t="shared" si="465"/>
        <v>27223.709473591036</v>
      </c>
      <c r="CI32" s="46">
        <f t="shared" si="466"/>
        <v>30790.557457051065</v>
      </c>
      <c r="CJ32" s="46">
        <f t="shared" si="467"/>
        <v>14494.702338754876</v>
      </c>
      <c r="CK32" s="46">
        <f t="shared" si="468"/>
        <v>26038.42926045155</v>
      </c>
      <c r="CL32" s="46">
        <f t="shared" si="469"/>
        <v>26300.226487311815</v>
      </c>
      <c r="CM32" s="46">
        <f t="shared" si="470"/>
        <v>216737.89289205489</v>
      </c>
      <c r="CN32" s="47">
        <f t="shared" si="471"/>
        <v>216737.89289205489</v>
      </c>
      <c r="CP32" s="45">
        <f t="shared" si="494"/>
        <v>20015.76275333525</v>
      </c>
      <c r="CQ32" s="46">
        <f t="shared" si="472"/>
        <v>8351.0572044927449</v>
      </c>
      <c r="CR32" s="46">
        <f t="shared" si="473"/>
        <v>15507.846134371388</v>
      </c>
      <c r="CS32" s="46">
        <f t="shared" si="474"/>
        <v>9448.3841380097365</v>
      </c>
      <c r="CT32" s="46">
        <f t="shared" si="475"/>
        <v>14341.537672963321</v>
      </c>
      <c r="CU32" s="46">
        <f t="shared" si="476"/>
        <v>13727.052583094232</v>
      </c>
      <c r="CV32" s="46">
        <f t="shared" si="477"/>
        <v>20260.181617607097</v>
      </c>
      <c r="CW32" s="46">
        <f t="shared" si="478"/>
        <v>12113.911684746114</v>
      </c>
      <c r="CX32" s="46">
        <f t="shared" si="479"/>
        <v>29028.986233838979</v>
      </c>
      <c r="CY32" s="46">
        <f t="shared" si="480"/>
        <v>18992.1385169186</v>
      </c>
      <c r="CZ32" s="46">
        <f t="shared" si="481"/>
        <v>36069.119006864101</v>
      </c>
      <c r="DA32" s="46">
        <f t="shared" si="482"/>
        <v>49353.985570381745</v>
      </c>
      <c r="DB32" s="46">
        <f t="shared" si="483"/>
        <v>247209.96311662334</v>
      </c>
      <c r="DC32" s="47">
        <f t="shared" si="484"/>
        <v>247209.96311662334</v>
      </c>
      <c r="DE32" s="45">
        <v>172279.77000000002</v>
      </c>
      <c r="DF32" s="46">
        <v>18982.3</v>
      </c>
      <c r="DG32" s="46">
        <v>111125.64999999997</v>
      </c>
      <c r="DH32" s="50">
        <v>136473.69999999998</v>
      </c>
      <c r="DI32" s="46">
        <v>145180</v>
      </c>
      <c r="DJ32" s="46">
        <v>240546.20999999996</v>
      </c>
      <c r="DK32" s="46">
        <v>183527.38000000006</v>
      </c>
      <c r="DL32" s="46">
        <v>298667.43000000005</v>
      </c>
      <c r="DM32" s="46">
        <v>337798.81</v>
      </c>
      <c r="DN32" s="46">
        <v>159019.30999999997</v>
      </c>
      <c r="DO32" s="46">
        <v>285663.88999999996</v>
      </c>
      <c r="DP32" s="46">
        <v>288536.03000000003</v>
      </c>
      <c r="DQ32" s="46">
        <f t="shared" si="485"/>
        <v>2377800.48</v>
      </c>
      <c r="DR32" s="47">
        <f t="shared" si="486"/>
        <v>2377800.48</v>
      </c>
      <c r="DT32" s="45">
        <v>152624.78999999998</v>
      </c>
      <c r="DU32" s="46">
        <v>63678.729999999996</v>
      </c>
      <c r="DV32" s="46">
        <v>118250.89000000003</v>
      </c>
      <c r="DW32" s="46">
        <v>72046.100000000006</v>
      </c>
      <c r="DX32" s="46">
        <v>109357.52000000002</v>
      </c>
      <c r="DY32" s="46">
        <v>104671.93</v>
      </c>
      <c r="DZ32" s="46">
        <v>154488.54</v>
      </c>
      <c r="EA32" s="46">
        <v>92371.36</v>
      </c>
      <c r="EB32" s="46">
        <v>221352.69</v>
      </c>
      <c r="EC32" s="46">
        <v>144819.41999999993</v>
      </c>
      <c r="ED32" s="46">
        <v>275035.31999999995</v>
      </c>
      <c r="EE32" s="46">
        <v>376335.48</v>
      </c>
      <c r="EF32" s="46">
        <f t="shared" si="487"/>
        <v>1885032.77</v>
      </c>
      <c r="EG32" s="47">
        <f t="shared" si="488"/>
        <v>1885032.77</v>
      </c>
    </row>
    <row r="33" spans="1:148">
      <c r="A33" s="25" t="s">
        <v>39</v>
      </c>
      <c r="B33" s="64">
        <f t="shared" si="391"/>
        <v>0</v>
      </c>
      <c r="C33" s="64">
        <f t="shared" si="392"/>
        <v>-6.778928808182922</v>
      </c>
      <c r="D33" s="64">
        <f t="shared" si="393"/>
        <v>-8.8677184298369269</v>
      </c>
      <c r="E33" s="64">
        <f t="shared" si="394"/>
        <v>11.028189137078593</v>
      </c>
      <c r="F33" s="43">
        <f t="shared" si="395"/>
        <v>0</v>
      </c>
      <c r="G33" s="64">
        <f t="shared" si="396"/>
        <v>-3.8968133058865662</v>
      </c>
      <c r="H33" s="64">
        <f t="shared" si="397"/>
        <v>-8.9033760013624974</v>
      </c>
      <c r="I33" s="64">
        <f t="shared" si="398"/>
        <v>6.339466807399714</v>
      </c>
      <c r="J33" s="43">
        <f t="shared" si="399"/>
        <v>0</v>
      </c>
      <c r="K33" s="64">
        <f t="shared" si="400"/>
        <v>-1.6113768859305089</v>
      </c>
      <c r="L33" s="43">
        <f t="shared" si="401"/>
        <v>-1.7823035688005751</v>
      </c>
      <c r="M33" s="64">
        <f t="shared" si="402"/>
        <v>2.6214420555217064</v>
      </c>
      <c r="N33" s="43">
        <f t="shared" si="403"/>
        <v>0</v>
      </c>
      <c r="O33" s="43">
        <f t="shared" si="404"/>
        <v>-12.287118999999997</v>
      </c>
      <c r="P33" s="43">
        <f t="shared" si="405"/>
        <v>-19.553397999999998</v>
      </c>
      <c r="Q33" s="44">
        <f t="shared" si="406"/>
        <v>19.989098000000013</v>
      </c>
      <c r="S33" s="45">
        <f t="shared" si="489"/>
        <v>-44338.592149184638</v>
      </c>
      <c r="T33" s="46">
        <f t="shared" si="407"/>
        <v>-44338.592149184638</v>
      </c>
      <c r="U33" s="46">
        <f t="shared" si="408"/>
        <v>0</v>
      </c>
      <c r="V33" s="46">
        <f t="shared" si="409"/>
        <v>0</v>
      </c>
      <c r="W33" s="46">
        <f t="shared" si="410"/>
        <v>0</v>
      </c>
      <c r="X33" s="46">
        <f t="shared" si="411"/>
        <v>0</v>
      </c>
      <c r="Y33" s="46">
        <f t="shared" si="412"/>
        <v>0</v>
      </c>
      <c r="Z33" s="46">
        <f t="shared" si="413"/>
        <v>0</v>
      </c>
      <c r="AA33" s="46">
        <f t="shared" si="414"/>
        <v>0</v>
      </c>
      <c r="AB33" s="46">
        <f t="shared" si="415"/>
        <v>0</v>
      </c>
      <c r="AC33" s="46">
        <f t="shared" si="416"/>
        <v>0</v>
      </c>
      <c r="AD33" s="46">
        <f t="shared" si="417"/>
        <v>0</v>
      </c>
      <c r="AE33" s="72">
        <f t="shared" si="418"/>
        <v>-88677.184298369277</v>
      </c>
      <c r="AF33" s="47">
        <f t="shared" si="419"/>
        <v>-88677.184298369277</v>
      </c>
      <c r="AH33" s="45">
        <f t="shared" si="490"/>
        <v>0</v>
      </c>
      <c r="AI33" s="46">
        <f t="shared" si="420"/>
        <v>0</v>
      </c>
      <c r="AJ33" s="46">
        <f t="shared" si="421"/>
        <v>0</v>
      </c>
      <c r="AK33" s="46">
        <f t="shared" si="422"/>
        <v>0</v>
      </c>
      <c r="AL33" s="46">
        <f t="shared" si="423"/>
        <v>0</v>
      </c>
      <c r="AM33" s="46">
        <f t="shared" si="424"/>
        <v>2403.8013156097045</v>
      </c>
      <c r="AN33" s="46">
        <f t="shared" si="425"/>
        <v>0</v>
      </c>
      <c r="AO33" s="46">
        <f t="shared" si="426"/>
        <v>0</v>
      </c>
      <c r="AP33" s="46">
        <f t="shared" si="427"/>
        <v>3150466.0307115666</v>
      </c>
      <c r="AQ33" s="46">
        <f t="shared" si="428"/>
        <v>-2946691.8705278519</v>
      </c>
      <c r="AR33" s="46">
        <f t="shared" si="429"/>
        <v>-28106.782046709384</v>
      </c>
      <c r="AS33" s="46">
        <f t="shared" si="430"/>
        <v>-67789.288081829218</v>
      </c>
      <c r="AT33" s="72">
        <f t="shared" si="431"/>
        <v>110281.89137078593</v>
      </c>
      <c r="AU33" s="47">
        <f t="shared" si="432"/>
        <v>110281.89137078593</v>
      </c>
      <c r="AW33" s="45">
        <f t="shared" si="491"/>
        <v>-44516.880006812491</v>
      </c>
      <c r="AX33" s="46">
        <f t="shared" si="433"/>
        <v>-44516.880006812491</v>
      </c>
      <c r="AY33" s="46">
        <f t="shared" si="434"/>
        <v>0</v>
      </c>
      <c r="AZ33" s="46">
        <f t="shared" si="435"/>
        <v>0</v>
      </c>
      <c r="BA33" s="46">
        <f t="shared" si="436"/>
        <v>0</v>
      </c>
      <c r="BB33" s="46">
        <f t="shared" si="437"/>
        <v>0</v>
      </c>
      <c r="BC33" s="46">
        <f t="shared" si="438"/>
        <v>0</v>
      </c>
      <c r="BD33" s="46">
        <f t="shared" si="439"/>
        <v>0</v>
      </c>
      <c r="BE33" s="46">
        <f t="shared" si="440"/>
        <v>0</v>
      </c>
      <c r="BF33" s="46">
        <f t="shared" si="441"/>
        <v>0</v>
      </c>
      <c r="BG33" s="46">
        <f t="shared" si="442"/>
        <v>0</v>
      </c>
      <c r="BH33" s="46">
        <f t="shared" si="443"/>
        <v>0</v>
      </c>
      <c r="BI33" s="46">
        <f t="shared" si="444"/>
        <v>-89033.760013624982</v>
      </c>
      <c r="BJ33" s="47">
        <f t="shared" si="445"/>
        <v>-89033.760013624982</v>
      </c>
      <c r="BL33" s="45">
        <f t="shared" si="492"/>
        <v>0</v>
      </c>
      <c r="BM33" s="46">
        <f t="shared" si="446"/>
        <v>0</v>
      </c>
      <c r="BN33" s="46">
        <f t="shared" si="447"/>
        <v>0</v>
      </c>
      <c r="BO33" s="46">
        <f t="shared" si="448"/>
        <v>0</v>
      </c>
      <c r="BP33" s="46">
        <f t="shared" si="449"/>
        <v>0</v>
      </c>
      <c r="BQ33" s="46">
        <f t="shared" si="450"/>
        <v>1381.8060664788688</v>
      </c>
      <c r="BR33" s="46">
        <f t="shared" si="451"/>
        <v>0</v>
      </c>
      <c r="BS33" s="46">
        <f t="shared" si="452"/>
        <v>0</v>
      </c>
      <c r="BT33" s="46">
        <f t="shared" si="453"/>
        <v>1811020.338995304</v>
      </c>
      <c r="BU33" s="46">
        <f t="shared" si="454"/>
        <v>-1693882.3838302891</v>
      </c>
      <c r="BV33" s="46">
        <f t="shared" si="455"/>
        <v>-16156.960098630869</v>
      </c>
      <c r="BW33" s="46">
        <f t="shared" si="456"/>
        <v>-38968.133058865664</v>
      </c>
      <c r="BX33" s="46">
        <f t="shared" si="457"/>
        <v>63394.668073997142</v>
      </c>
      <c r="BY33" s="47">
        <f t="shared" si="458"/>
        <v>63394.668073997142</v>
      </c>
      <c r="CA33" s="45">
        <f t="shared" si="493"/>
        <v>-8911.5178440028758</v>
      </c>
      <c r="CB33" s="46">
        <f t="shared" si="459"/>
        <v>-8911.5178440028758</v>
      </c>
      <c r="CC33" s="46">
        <f t="shared" si="460"/>
        <v>0</v>
      </c>
      <c r="CD33" s="46">
        <f t="shared" si="461"/>
        <v>0</v>
      </c>
      <c r="CE33" s="46">
        <f t="shared" si="462"/>
        <v>0</v>
      </c>
      <c r="CF33" s="46">
        <f t="shared" si="463"/>
        <v>0</v>
      </c>
      <c r="CG33" s="46">
        <f t="shared" si="464"/>
        <v>0</v>
      </c>
      <c r="CH33" s="46">
        <f t="shared" si="465"/>
        <v>0</v>
      </c>
      <c r="CI33" s="46">
        <f t="shared" si="466"/>
        <v>0</v>
      </c>
      <c r="CJ33" s="46">
        <f t="shared" si="467"/>
        <v>0</v>
      </c>
      <c r="CK33" s="46">
        <f t="shared" si="468"/>
        <v>0</v>
      </c>
      <c r="CL33" s="46">
        <f t="shared" si="469"/>
        <v>0</v>
      </c>
      <c r="CM33" s="46">
        <f t="shared" si="470"/>
        <v>-17823.035688005752</v>
      </c>
      <c r="CN33" s="47">
        <f t="shared" si="471"/>
        <v>-17823.035688005752</v>
      </c>
      <c r="CP33" s="45">
        <f t="shared" si="494"/>
        <v>0</v>
      </c>
      <c r="CQ33" s="46">
        <f t="shared" si="472"/>
        <v>0</v>
      </c>
      <c r="CR33" s="46">
        <f t="shared" si="473"/>
        <v>0</v>
      </c>
      <c r="CS33" s="46">
        <f t="shared" si="474"/>
        <v>0</v>
      </c>
      <c r="CT33" s="46">
        <f t="shared" si="475"/>
        <v>0</v>
      </c>
      <c r="CU33" s="46">
        <f t="shared" si="476"/>
        <v>571.39261791142644</v>
      </c>
      <c r="CV33" s="46">
        <f t="shared" si="477"/>
        <v>0</v>
      </c>
      <c r="CW33" s="46">
        <f t="shared" si="478"/>
        <v>0</v>
      </c>
      <c r="CX33" s="46">
        <f t="shared" si="479"/>
        <v>748877.63029312936</v>
      </c>
      <c r="CY33" s="46">
        <f t="shared" si="480"/>
        <v>-700439.7456418589</v>
      </c>
      <c r="CZ33" s="46">
        <f t="shared" si="481"/>
        <v>-6681.0878546597623</v>
      </c>
      <c r="DA33" s="46">
        <f t="shared" si="482"/>
        <v>-16113.768859305088</v>
      </c>
      <c r="DB33" s="46">
        <f t="shared" si="483"/>
        <v>26214.420555217064</v>
      </c>
      <c r="DC33" s="47">
        <f t="shared" si="484"/>
        <v>26214.420555217064</v>
      </c>
      <c r="DE33" s="45">
        <v>-97766.99</v>
      </c>
      <c r="DF33" s="46">
        <v>-97766.99</v>
      </c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>
        <f t="shared" si="485"/>
        <v>-195533.98</v>
      </c>
      <c r="DR33" s="47">
        <f t="shared" si="486"/>
        <v>-195533.98</v>
      </c>
      <c r="DT33" s="45"/>
      <c r="DU33" s="46"/>
      <c r="DV33" s="46"/>
      <c r="DW33" s="46"/>
      <c r="DX33" s="46"/>
      <c r="DY33" s="46">
        <v>4357</v>
      </c>
      <c r="DZ33" s="46"/>
      <c r="EA33" s="46"/>
      <c r="EB33" s="46">
        <v>5710364</v>
      </c>
      <c r="EC33" s="46">
        <v>-5341014</v>
      </c>
      <c r="ED33" s="46">
        <v>-50944.830000000016</v>
      </c>
      <c r="EE33" s="46">
        <v>-122871.18999999997</v>
      </c>
      <c r="EF33" s="46">
        <f t="shared" si="487"/>
        <v>199890.98</v>
      </c>
      <c r="EG33" s="47">
        <f t="shared" si="488"/>
        <v>199890.98</v>
      </c>
    </row>
    <row r="34" spans="1:148">
      <c r="A34" s="25" t="s">
        <v>40</v>
      </c>
      <c r="B34" s="64">
        <f t="shared" si="391"/>
        <v>0</v>
      </c>
      <c r="C34" s="64">
        <f t="shared" si="392"/>
        <v>71.982564170490718</v>
      </c>
      <c r="D34" s="64">
        <f t="shared" si="393"/>
        <v>93.601635185432983</v>
      </c>
      <c r="E34" s="64">
        <f t="shared" si="394"/>
        <v>230.23834209010974</v>
      </c>
      <c r="F34" s="43">
        <f t="shared" si="395"/>
        <v>0</v>
      </c>
      <c r="G34" s="64">
        <f t="shared" si="396"/>
        <v>41.378604465178029</v>
      </c>
      <c r="H34" s="64">
        <f t="shared" si="397"/>
        <v>93.978012381883559</v>
      </c>
      <c r="I34" s="64">
        <f t="shared" si="398"/>
        <v>132.35067963820293</v>
      </c>
      <c r="J34" s="43">
        <f t="shared" si="399"/>
        <v>0</v>
      </c>
      <c r="K34" s="64">
        <f t="shared" si="400"/>
        <v>17.110526364331228</v>
      </c>
      <c r="L34" s="43">
        <f t="shared" si="401"/>
        <v>18.812790432683435</v>
      </c>
      <c r="M34" s="64">
        <f t="shared" si="402"/>
        <v>54.728520271687316</v>
      </c>
      <c r="N34" s="43">
        <f t="shared" si="403"/>
        <v>0</v>
      </c>
      <c r="O34" s="43">
        <f t="shared" si="404"/>
        <v>130.47169499999998</v>
      </c>
      <c r="P34" s="43">
        <f t="shared" si="405"/>
        <v>206.392438</v>
      </c>
      <c r="Q34" s="44">
        <f t="shared" si="406"/>
        <v>417.317542</v>
      </c>
      <c r="S34" s="45">
        <f t="shared" si="489"/>
        <v>1013930.9627801343</v>
      </c>
      <c r="T34" s="46">
        <f t="shared" si="407"/>
        <v>4892.3566854396813</v>
      </c>
      <c r="U34" s="46">
        <f t="shared" si="408"/>
        <v>3165.991766107752</v>
      </c>
      <c r="V34" s="46">
        <f t="shared" si="409"/>
        <v>-581009.93785690435</v>
      </c>
      <c r="W34" s="46">
        <f t="shared" si="410"/>
        <v>0</v>
      </c>
      <c r="X34" s="46">
        <f t="shared" si="411"/>
        <v>151884.04048435469</v>
      </c>
      <c r="Y34" s="46">
        <f t="shared" si="412"/>
        <v>271266.69731366663</v>
      </c>
      <c r="Z34" s="46">
        <f t="shared" si="413"/>
        <v>-31144.844908531228</v>
      </c>
      <c r="AA34" s="46">
        <f t="shared" si="414"/>
        <v>103031.09012519127</v>
      </c>
      <c r="AB34" s="46">
        <f t="shared" si="415"/>
        <v>-4.5351291147667557E-3</v>
      </c>
      <c r="AC34" s="46">
        <f t="shared" si="416"/>
        <v>0</v>
      </c>
      <c r="AD34" s="46">
        <f t="shared" si="417"/>
        <v>0</v>
      </c>
      <c r="AE34" s="72">
        <f t="shared" si="418"/>
        <v>936016.35185432981</v>
      </c>
      <c r="AF34" s="47">
        <f t="shared" si="419"/>
        <v>936016.35185432981</v>
      </c>
      <c r="AH34" s="45">
        <f t="shared" si="490"/>
        <v>0</v>
      </c>
      <c r="AI34" s="46">
        <f t="shared" si="420"/>
        <v>0</v>
      </c>
      <c r="AJ34" s="46">
        <f t="shared" si="421"/>
        <v>0</v>
      </c>
      <c r="AK34" s="46">
        <f t="shared" si="422"/>
        <v>0</v>
      </c>
      <c r="AL34" s="46">
        <f t="shared" si="423"/>
        <v>0</v>
      </c>
      <c r="AM34" s="46">
        <f t="shared" si="424"/>
        <v>482000.56832635571</v>
      </c>
      <c r="AN34" s="46">
        <f t="shared" si="425"/>
        <v>-80154.117643731457</v>
      </c>
      <c r="AO34" s="46">
        <f t="shared" si="426"/>
        <v>339853.47403662256</v>
      </c>
      <c r="AP34" s="46">
        <f t="shared" si="427"/>
        <v>211856.70900989522</v>
      </c>
      <c r="AQ34" s="46">
        <f t="shared" si="428"/>
        <v>418810.49090123788</v>
      </c>
      <c r="AR34" s="46">
        <f t="shared" si="429"/>
        <v>210190.65456581023</v>
      </c>
      <c r="AS34" s="46">
        <f t="shared" si="430"/>
        <v>719825.64170490718</v>
      </c>
      <c r="AT34" s="72">
        <f t="shared" si="431"/>
        <v>2302383.4209010974</v>
      </c>
      <c r="AU34" s="47">
        <f t="shared" si="432"/>
        <v>2302383.4209010974</v>
      </c>
      <c r="AW34" s="45">
        <f t="shared" si="491"/>
        <v>1018008.0335749937</v>
      </c>
      <c r="AX34" s="46">
        <f t="shared" si="433"/>
        <v>4912.0291141280695</v>
      </c>
      <c r="AY34" s="46">
        <f t="shared" si="434"/>
        <v>3178.7223888426279</v>
      </c>
      <c r="AZ34" s="46">
        <f t="shared" si="435"/>
        <v>-583346.20998598915</v>
      </c>
      <c r="BA34" s="46">
        <f t="shared" si="436"/>
        <v>0</v>
      </c>
      <c r="BB34" s="46">
        <f t="shared" si="437"/>
        <v>152494.77435914049</v>
      </c>
      <c r="BC34" s="46">
        <f t="shared" si="438"/>
        <v>272357.47525598633</v>
      </c>
      <c r="BD34" s="46">
        <f t="shared" si="439"/>
        <v>-31270.080000710313</v>
      </c>
      <c r="BE34" s="46">
        <f t="shared" si="440"/>
        <v>103445.38366580881</v>
      </c>
      <c r="BF34" s="46">
        <f t="shared" si="441"/>
        <v>-4.5533651122295739E-3</v>
      </c>
      <c r="BG34" s="46">
        <f t="shared" si="442"/>
        <v>0</v>
      </c>
      <c r="BH34" s="46">
        <f t="shared" si="443"/>
        <v>0</v>
      </c>
      <c r="BI34" s="46">
        <f t="shared" si="444"/>
        <v>939780.12381883559</v>
      </c>
      <c r="BJ34" s="47">
        <f t="shared" si="445"/>
        <v>939780.12381883559</v>
      </c>
      <c r="BL34" s="45">
        <f t="shared" si="492"/>
        <v>0</v>
      </c>
      <c r="BM34" s="46">
        <f t="shared" si="446"/>
        <v>0</v>
      </c>
      <c r="BN34" s="46">
        <f t="shared" si="447"/>
        <v>0</v>
      </c>
      <c r="BO34" s="46">
        <f t="shared" si="448"/>
        <v>0</v>
      </c>
      <c r="BP34" s="46">
        <f t="shared" si="449"/>
        <v>0</v>
      </c>
      <c r="BQ34" s="46">
        <f t="shared" si="450"/>
        <v>277074.19287716277</v>
      </c>
      <c r="BR34" s="46">
        <f t="shared" si="451"/>
        <v>-46075.956982857526</v>
      </c>
      <c r="BS34" s="46">
        <f t="shared" si="452"/>
        <v>195362.0663605514</v>
      </c>
      <c r="BT34" s="46">
        <f t="shared" si="453"/>
        <v>121784.14406927358</v>
      </c>
      <c r="BU34" s="46">
        <f t="shared" si="454"/>
        <v>240749.87948225549</v>
      </c>
      <c r="BV34" s="46">
        <f t="shared" si="455"/>
        <v>120826.42592386321</v>
      </c>
      <c r="BW34" s="46">
        <f t="shared" si="456"/>
        <v>413786.04465178028</v>
      </c>
      <c r="BX34" s="46">
        <f t="shared" si="457"/>
        <v>1323506.7963820293</v>
      </c>
      <c r="BY34" s="47">
        <f t="shared" si="458"/>
        <v>1323506.7963820293</v>
      </c>
      <c r="CA34" s="45">
        <f t="shared" si="493"/>
        <v>203787.79364487206</v>
      </c>
      <c r="CB34" s="46">
        <f t="shared" si="459"/>
        <v>983.30420043172785</v>
      </c>
      <c r="CC34" s="46">
        <f t="shared" si="460"/>
        <v>636.32584504950842</v>
      </c>
      <c r="CD34" s="46">
        <f t="shared" si="461"/>
        <v>-116775.9321571066</v>
      </c>
      <c r="CE34" s="46">
        <f t="shared" si="462"/>
        <v>0</v>
      </c>
      <c r="CF34" s="46">
        <f t="shared" si="463"/>
        <v>30526.845156504871</v>
      </c>
      <c r="CG34" s="46">
        <f t="shared" si="464"/>
        <v>54521.307430347042</v>
      </c>
      <c r="CH34" s="46">
        <f t="shared" si="465"/>
        <v>-6259.7350907584496</v>
      </c>
      <c r="CI34" s="46">
        <f t="shared" si="466"/>
        <v>20707.99620899995</v>
      </c>
      <c r="CJ34" s="46">
        <f t="shared" si="467"/>
        <v>-9.115058027805268E-4</v>
      </c>
      <c r="CK34" s="46">
        <f t="shared" si="468"/>
        <v>0</v>
      </c>
      <c r="CL34" s="46">
        <f t="shared" si="469"/>
        <v>0</v>
      </c>
      <c r="CM34" s="46">
        <f t="shared" si="470"/>
        <v>188127.90432683434</v>
      </c>
      <c r="CN34" s="47">
        <f t="shared" si="471"/>
        <v>188127.90432683434</v>
      </c>
      <c r="CP34" s="45">
        <f t="shared" si="494"/>
        <v>0</v>
      </c>
      <c r="CQ34" s="46">
        <f t="shared" si="472"/>
        <v>0</v>
      </c>
      <c r="CR34" s="46">
        <f t="shared" si="473"/>
        <v>0</v>
      </c>
      <c r="CS34" s="46">
        <f t="shared" si="474"/>
        <v>0</v>
      </c>
      <c r="CT34" s="46">
        <f t="shared" si="475"/>
        <v>0</v>
      </c>
      <c r="CU34" s="46">
        <f t="shared" si="476"/>
        <v>114573.34879648148</v>
      </c>
      <c r="CV34" s="46">
        <f t="shared" si="477"/>
        <v>-19052.935373411055</v>
      </c>
      <c r="CW34" s="46">
        <f t="shared" si="478"/>
        <v>80784.449602825902</v>
      </c>
      <c r="CX34" s="46">
        <f t="shared" si="479"/>
        <v>50359.13692083121</v>
      </c>
      <c r="CY34" s="46">
        <f t="shared" si="480"/>
        <v>99552.829616506846</v>
      </c>
      <c r="CZ34" s="46">
        <f t="shared" si="481"/>
        <v>49963.109510326511</v>
      </c>
      <c r="DA34" s="46">
        <f t="shared" si="482"/>
        <v>171105.26364331227</v>
      </c>
      <c r="DB34" s="46">
        <f t="shared" si="483"/>
        <v>547285.20271687314</v>
      </c>
      <c r="DC34" s="47">
        <f t="shared" si="484"/>
        <v>547285.20271687314</v>
      </c>
      <c r="DE34" s="45">
        <v>2235726.79</v>
      </c>
      <c r="DF34" s="46">
        <v>10787.689999999478</v>
      </c>
      <c r="DG34" s="46">
        <v>6981.0399999998881</v>
      </c>
      <c r="DH34" s="46">
        <v>-1281132.08</v>
      </c>
      <c r="DI34" s="46"/>
      <c r="DJ34" s="46">
        <v>334905.66000000003</v>
      </c>
      <c r="DK34" s="46">
        <v>598145.48</v>
      </c>
      <c r="DL34" s="46">
        <v>-68674.659999999989</v>
      </c>
      <c r="DM34" s="46">
        <v>227184.47000000003</v>
      </c>
      <c r="DN34" s="46">
        <v>-1.0000000029776857E-2</v>
      </c>
      <c r="DO34" s="46"/>
      <c r="DP34" s="46"/>
      <c r="DQ34" s="46">
        <f t="shared" si="485"/>
        <v>2063924.3799999997</v>
      </c>
      <c r="DR34" s="47">
        <f t="shared" si="486"/>
        <v>2063924.3799999997</v>
      </c>
      <c r="DT34" s="45"/>
      <c r="DU34" s="46"/>
      <c r="DV34" s="46"/>
      <c r="DW34" s="46"/>
      <c r="DX34" s="46"/>
      <c r="DY34" s="46">
        <v>873648.11</v>
      </c>
      <c r="DZ34" s="46">
        <v>-145283.01000000004</v>
      </c>
      <c r="EA34" s="46">
        <v>615999.98999999987</v>
      </c>
      <c r="EB34" s="46">
        <v>383999.99</v>
      </c>
      <c r="EC34" s="46">
        <v>759113.20000000019</v>
      </c>
      <c r="ED34" s="46">
        <v>380980.18999999994</v>
      </c>
      <c r="EE34" s="46">
        <v>1304716.9499999997</v>
      </c>
      <c r="EF34" s="46">
        <f t="shared" si="487"/>
        <v>4173175.42</v>
      </c>
      <c r="EG34" s="47">
        <f t="shared" si="488"/>
        <v>4173175.42</v>
      </c>
    </row>
    <row r="35" spans="1:148">
      <c r="A35" s="25" t="s">
        <v>41</v>
      </c>
      <c r="B35" s="64">
        <f t="shared" si="391"/>
        <v>64.108328287140495</v>
      </c>
      <c r="C35" s="64">
        <f t="shared" si="392"/>
        <v>41.173867515061247</v>
      </c>
      <c r="D35" s="64">
        <f t="shared" si="393"/>
        <v>1015.3791818825051</v>
      </c>
      <c r="E35" s="64">
        <f t="shared" si="394"/>
        <v>689.49965174616466</v>
      </c>
      <c r="F35" s="43">
        <f t="shared" si="395"/>
        <v>64.366111314349837</v>
      </c>
      <c r="G35" s="64">
        <f t="shared" si="396"/>
        <v>23.668470244712417</v>
      </c>
      <c r="H35" s="64">
        <f t="shared" si="397"/>
        <v>1019.4620760440669</v>
      </c>
      <c r="I35" s="64">
        <f t="shared" si="398"/>
        <v>396.35339053646334</v>
      </c>
      <c r="J35" s="43">
        <f t="shared" si="399"/>
        <v>12.884994398509624</v>
      </c>
      <c r="K35" s="64">
        <f t="shared" si="400"/>
        <v>9.7871832402262378</v>
      </c>
      <c r="L35" s="43">
        <f t="shared" si="401"/>
        <v>204.07886807342808</v>
      </c>
      <c r="M35" s="64">
        <f t="shared" si="402"/>
        <v>163.8966617173721</v>
      </c>
      <c r="N35" s="43">
        <f t="shared" si="403"/>
        <v>141.35943399999996</v>
      </c>
      <c r="O35" s="43">
        <f t="shared" si="404"/>
        <v>74.629520999999912</v>
      </c>
      <c r="P35" s="43">
        <f t="shared" si="405"/>
        <v>2238.920126</v>
      </c>
      <c r="Q35" s="44">
        <f t="shared" si="406"/>
        <v>1249.7497040000001</v>
      </c>
      <c r="S35" s="45">
        <f t="shared" si="489"/>
        <v>613818.38149800617</v>
      </c>
      <c r="T35" s="46">
        <f t="shared" si="407"/>
        <v>422265.97946165601</v>
      </c>
      <c r="U35" s="46">
        <f t="shared" si="408"/>
        <v>1111528.3423941971</v>
      </c>
      <c r="V35" s="46">
        <f t="shared" si="409"/>
        <v>514439.55328654719</v>
      </c>
      <c r="W35" s="46">
        <f t="shared" si="410"/>
        <v>335143.18798709894</v>
      </c>
      <c r="X35" s="46">
        <f t="shared" si="411"/>
        <v>377927.42359350418</v>
      </c>
      <c r="Y35" s="46">
        <f t="shared" si="412"/>
        <v>2993847.9706001529</v>
      </c>
      <c r="Z35" s="46">
        <f t="shared" si="413"/>
        <v>416881.52498769615</v>
      </c>
      <c r="AA35" s="46">
        <f t="shared" si="414"/>
        <v>1511709.6989091458</v>
      </c>
      <c r="AB35" s="46">
        <f t="shared" si="415"/>
        <v>377927.42359350424</v>
      </c>
      <c r="AC35" s="46">
        <f t="shared" si="416"/>
        <v>837219.04964213877</v>
      </c>
      <c r="AD35" s="46">
        <f t="shared" si="417"/>
        <v>641083.2828714049</v>
      </c>
      <c r="AE35" s="72">
        <f t="shared" si="418"/>
        <v>10153791.818825051</v>
      </c>
      <c r="AF35" s="47">
        <f t="shared" si="419"/>
        <v>10153791.818825051</v>
      </c>
      <c r="AH35" s="45">
        <f t="shared" si="490"/>
        <v>459758.49322823412</v>
      </c>
      <c r="AI35" s="46">
        <f t="shared" si="420"/>
        <v>459758.49322823412</v>
      </c>
      <c r="AJ35" s="46">
        <f t="shared" si="421"/>
        <v>459758.49322823412</v>
      </c>
      <c r="AK35" s="46">
        <f t="shared" si="422"/>
        <v>566977.64269600785</v>
      </c>
      <c r="AL35" s="46">
        <f t="shared" si="423"/>
        <v>609737.97439084586</v>
      </c>
      <c r="AM35" s="46">
        <f t="shared" si="424"/>
        <v>3302593.3968991619</v>
      </c>
      <c r="AN35" s="46">
        <f t="shared" si="425"/>
        <v>479541.32013624086</v>
      </c>
      <c r="AO35" s="46">
        <f t="shared" si="426"/>
        <v>503058.46921520826</v>
      </c>
      <c r="AP35" s="46">
        <f t="shared" si="427"/>
        <v>-2160193.0063269245</v>
      </c>
      <c r="AQ35" s="46">
        <f t="shared" si="428"/>
        <v>465585.0218313919</v>
      </c>
      <c r="AR35" s="46">
        <f t="shared" si="429"/>
        <v>1336681.5437843991</v>
      </c>
      <c r="AS35" s="46">
        <f t="shared" si="430"/>
        <v>411738.67515061249</v>
      </c>
      <c r="AT35" s="72">
        <f t="shared" si="431"/>
        <v>6894996.5174616463</v>
      </c>
      <c r="AU35" s="47">
        <f t="shared" si="432"/>
        <v>6894996.5174616463</v>
      </c>
      <c r="AW35" s="45">
        <f t="shared" si="491"/>
        <v>616286.57813901955</v>
      </c>
      <c r="AX35" s="46">
        <f t="shared" si="433"/>
        <v>423963.93361802702</v>
      </c>
      <c r="AY35" s="46">
        <f t="shared" si="434"/>
        <v>1115997.857488211</v>
      </c>
      <c r="AZ35" s="46">
        <f t="shared" si="435"/>
        <v>516508.14232802799</v>
      </c>
      <c r="BA35" s="46">
        <f t="shared" si="436"/>
        <v>336490.81672514608</v>
      </c>
      <c r="BB35" s="46">
        <f t="shared" si="437"/>
        <v>379447.0900381353</v>
      </c>
      <c r="BC35" s="46">
        <f t="shared" si="438"/>
        <v>3005886.3938984359</v>
      </c>
      <c r="BD35" s="46">
        <f t="shared" si="439"/>
        <v>418557.827963772</v>
      </c>
      <c r="BE35" s="46">
        <f t="shared" si="440"/>
        <v>1517788.3647059065</v>
      </c>
      <c r="BF35" s="46">
        <f t="shared" si="441"/>
        <v>379447.09003813536</v>
      </c>
      <c r="BG35" s="46">
        <f t="shared" si="442"/>
        <v>840585.55235435162</v>
      </c>
      <c r="BH35" s="46">
        <f t="shared" si="443"/>
        <v>643661.11314349843</v>
      </c>
      <c r="BI35" s="46">
        <f t="shared" si="444"/>
        <v>10194620.760440668</v>
      </c>
      <c r="BJ35" s="47">
        <f t="shared" si="445"/>
        <v>10194620.760440668</v>
      </c>
      <c r="BL35" s="45">
        <f t="shared" si="492"/>
        <v>264288.51292013703</v>
      </c>
      <c r="BM35" s="46">
        <f t="shared" si="446"/>
        <v>264288.51292013703</v>
      </c>
      <c r="BN35" s="46">
        <f t="shared" si="447"/>
        <v>264288.51292013703</v>
      </c>
      <c r="BO35" s="46">
        <f t="shared" si="448"/>
        <v>325922.58817219076</v>
      </c>
      <c r="BP35" s="46">
        <f t="shared" si="449"/>
        <v>350503.02473193576</v>
      </c>
      <c r="BQ35" s="46">
        <f t="shared" si="450"/>
        <v>1898469.5454294696</v>
      </c>
      <c r="BR35" s="46">
        <f t="shared" si="451"/>
        <v>275660.51361589821</v>
      </c>
      <c r="BS35" s="46">
        <f t="shared" si="452"/>
        <v>289179.15970889392</v>
      </c>
      <c r="BT35" s="46">
        <f t="shared" si="453"/>
        <v>-1241769.7675444765</v>
      </c>
      <c r="BU35" s="46">
        <f t="shared" si="454"/>
        <v>267637.84654354176</v>
      </c>
      <c r="BV35" s="46">
        <f t="shared" si="455"/>
        <v>768380.75349964481</v>
      </c>
      <c r="BW35" s="46">
        <f t="shared" si="456"/>
        <v>236684.70244712417</v>
      </c>
      <c r="BX35" s="46">
        <f t="shared" si="457"/>
        <v>3963533.9053646335</v>
      </c>
      <c r="BY35" s="47">
        <f t="shared" si="458"/>
        <v>3963533.9053646335</v>
      </c>
      <c r="CA35" s="45">
        <f t="shared" si="493"/>
        <v>123370.03036297439</v>
      </c>
      <c r="CB35" s="46">
        <f t="shared" si="459"/>
        <v>84870.326920316962</v>
      </c>
      <c r="CC35" s="46">
        <f t="shared" si="460"/>
        <v>223403.68011759213</v>
      </c>
      <c r="CD35" s="46">
        <f t="shared" si="461"/>
        <v>103396.09438542443</v>
      </c>
      <c r="CE35" s="46">
        <f t="shared" si="462"/>
        <v>67359.705287754958</v>
      </c>
      <c r="CF35" s="46">
        <f t="shared" si="463"/>
        <v>75958.816368360494</v>
      </c>
      <c r="CG35" s="46">
        <f t="shared" si="464"/>
        <v>601727.03550141212</v>
      </c>
      <c r="CH35" s="46">
        <f t="shared" si="465"/>
        <v>83788.117048531567</v>
      </c>
      <c r="CI35" s="46">
        <f t="shared" si="466"/>
        <v>303835.26638494775</v>
      </c>
      <c r="CJ35" s="46">
        <f t="shared" si="467"/>
        <v>75958.816368360494</v>
      </c>
      <c r="CK35" s="46">
        <f t="shared" si="468"/>
        <v>168270.84800350954</v>
      </c>
      <c r="CL35" s="46">
        <f t="shared" si="469"/>
        <v>128849.94398509624</v>
      </c>
      <c r="CM35" s="46">
        <f t="shared" si="470"/>
        <v>2040788.680734281</v>
      </c>
      <c r="CN35" s="47">
        <f t="shared" si="471"/>
        <v>2040788.680734281</v>
      </c>
      <c r="CP35" s="45">
        <f t="shared" si="494"/>
        <v>109286.32385162878</v>
      </c>
      <c r="CQ35" s="46">
        <f t="shared" si="472"/>
        <v>109286.32385162878</v>
      </c>
      <c r="CR35" s="46">
        <f t="shared" si="473"/>
        <v>109286.32385162878</v>
      </c>
      <c r="CS35" s="46">
        <f t="shared" si="474"/>
        <v>134772.71913180134</v>
      </c>
      <c r="CT35" s="46">
        <f t="shared" si="475"/>
        <v>144937.01087721842</v>
      </c>
      <c r="CU35" s="46">
        <f t="shared" si="476"/>
        <v>785038.877671369</v>
      </c>
      <c r="CV35" s="46">
        <f t="shared" si="477"/>
        <v>113988.77624786082</v>
      </c>
      <c r="CW35" s="46">
        <f t="shared" si="478"/>
        <v>119578.89107589774</v>
      </c>
      <c r="CX35" s="46">
        <f t="shared" si="479"/>
        <v>-513486.00612859771</v>
      </c>
      <c r="CY35" s="46">
        <f t="shared" si="480"/>
        <v>110671.311625067</v>
      </c>
      <c r="CZ35" s="46">
        <f t="shared" si="481"/>
        <v>317734.23271595588</v>
      </c>
      <c r="DA35" s="46">
        <f t="shared" si="482"/>
        <v>97871.832402262386</v>
      </c>
      <c r="DB35" s="46">
        <f t="shared" si="483"/>
        <v>1638966.6171737211</v>
      </c>
      <c r="DC35" s="47">
        <f t="shared" si="484"/>
        <v>1638966.6171737211</v>
      </c>
      <c r="DE35" s="45">
        <v>1353474.99</v>
      </c>
      <c r="DF35" s="46">
        <v>931100.24</v>
      </c>
      <c r="DG35" s="46">
        <v>2450929.8800000004</v>
      </c>
      <c r="DH35" s="46">
        <v>1134343.7899999996</v>
      </c>
      <c r="DI35" s="46">
        <v>738993.71</v>
      </c>
      <c r="DJ35" s="46">
        <v>833333.33</v>
      </c>
      <c r="DK35" s="46">
        <v>6601461.4000000004</v>
      </c>
      <c r="DL35" s="46">
        <v>919227.46999999974</v>
      </c>
      <c r="DM35" s="46">
        <v>3333333.33</v>
      </c>
      <c r="DN35" s="46">
        <v>833333.33000000007</v>
      </c>
      <c r="DO35" s="46">
        <v>1846075.45</v>
      </c>
      <c r="DP35" s="46">
        <v>1413594.3399999996</v>
      </c>
      <c r="DQ35" s="46">
        <f t="shared" si="485"/>
        <v>22389201.259999998</v>
      </c>
      <c r="DR35" s="47">
        <f t="shared" si="486"/>
        <v>22389201.259999998</v>
      </c>
      <c r="DT35" s="45">
        <v>833333.33</v>
      </c>
      <c r="DU35" s="46">
        <v>833333.33</v>
      </c>
      <c r="DV35" s="46">
        <v>833333.33</v>
      </c>
      <c r="DW35" s="46">
        <v>1027672.95</v>
      </c>
      <c r="DX35" s="46">
        <v>1105178.01</v>
      </c>
      <c r="DY35" s="46">
        <v>5986101.8200000003</v>
      </c>
      <c r="DZ35" s="46">
        <v>869190.60999999987</v>
      </c>
      <c r="EA35" s="46">
        <v>911816.5199999999</v>
      </c>
      <c r="EB35" s="46">
        <v>-3915448.7799999989</v>
      </c>
      <c r="EC35" s="46">
        <v>843894.18000000063</v>
      </c>
      <c r="ED35" s="46">
        <v>2422796.5299999998</v>
      </c>
      <c r="EE35" s="46">
        <v>746295.20999999903</v>
      </c>
      <c r="EF35" s="46">
        <f t="shared" si="487"/>
        <v>12497497.039999999</v>
      </c>
      <c r="EG35" s="47">
        <f t="shared" si="488"/>
        <v>12497497.039999999</v>
      </c>
    </row>
    <row r="36" spans="1:148">
      <c r="A36" s="25" t="s">
        <v>42</v>
      </c>
      <c r="B36" s="64">
        <f t="shared" si="391"/>
        <v>0.64214162780924899</v>
      </c>
      <c r="C36" s="64">
        <f t="shared" si="392"/>
        <v>-97.051988500217789</v>
      </c>
      <c r="D36" s="64">
        <f t="shared" si="393"/>
        <v>177.21287302229203</v>
      </c>
      <c r="E36" s="64">
        <f t="shared" si="394"/>
        <v>242.98786868785081</v>
      </c>
      <c r="F36" s="43">
        <f t="shared" si="395"/>
        <v>0.64472371374311377</v>
      </c>
      <c r="G36" s="64">
        <f t="shared" si="396"/>
        <v>-55.789563639299033</v>
      </c>
      <c r="H36" s="64">
        <f t="shared" si="397"/>
        <v>177.92545549150793</v>
      </c>
      <c r="I36" s="64">
        <f t="shared" si="398"/>
        <v>139.6796435933723</v>
      </c>
      <c r="J36" s="43">
        <f t="shared" si="399"/>
        <v>0.12906265844763426</v>
      </c>
      <c r="K36" s="64">
        <f t="shared" si="400"/>
        <v>-23.069622860483143</v>
      </c>
      <c r="L36" s="43">
        <f t="shared" si="401"/>
        <v>35.617632486200009</v>
      </c>
      <c r="M36" s="64">
        <f t="shared" si="402"/>
        <v>57.759130718776959</v>
      </c>
      <c r="N36" s="43">
        <f t="shared" si="403"/>
        <v>1.415927999999997</v>
      </c>
      <c r="O36" s="43">
        <f t="shared" si="404"/>
        <v>-175.91117499999996</v>
      </c>
      <c r="P36" s="43">
        <f t="shared" si="405"/>
        <v>390.75596099999996</v>
      </c>
      <c r="Q36" s="44">
        <f t="shared" si="406"/>
        <v>440.42664300000013</v>
      </c>
      <c r="S36" s="45">
        <f t="shared" si="489"/>
        <v>42998.302770243004</v>
      </c>
      <c r="T36" s="46">
        <f t="shared" si="407"/>
        <v>34916.090469364433</v>
      </c>
      <c r="U36" s="46">
        <f t="shared" si="408"/>
        <v>11337.818218027316</v>
      </c>
      <c r="V36" s="46">
        <f t="shared" si="409"/>
        <v>505394.39248846855</v>
      </c>
      <c r="W36" s="46">
        <f t="shared" si="410"/>
        <v>22614.0040315685</v>
      </c>
      <c r="X36" s="46">
        <f t="shared" si="411"/>
        <v>15487.275405389413</v>
      </c>
      <c r="Y36" s="46">
        <f t="shared" si="412"/>
        <v>909931.85841853684</v>
      </c>
      <c r="Z36" s="46">
        <f t="shared" si="413"/>
        <v>11888.196950627373</v>
      </c>
      <c r="AA36" s="46">
        <f t="shared" si="414"/>
        <v>-9.070258198301465E-3</v>
      </c>
      <c r="AB36" s="46">
        <f t="shared" si="415"/>
        <v>113806.07161097728</v>
      </c>
      <c r="AC36" s="46">
        <f t="shared" si="416"/>
        <v>97333.312651883549</v>
      </c>
      <c r="AD36" s="46">
        <f t="shared" si="417"/>
        <v>6421.4162780924898</v>
      </c>
      <c r="AE36" s="72">
        <f t="shared" si="418"/>
        <v>1772128.7302229204</v>
      </c>
      <c r="AF36" s="47">
        <f t="shared" si="419"/>
        <v>1772128.7302229204</v>
      </c>
      <c r="AH36" s="45">
        <f t="shared" si="490"/>
        <v>0</v>
      </c>
      <c r="AI36" s="46">
        <f t="shared" si="420"/>
        <v>0</v>
      </c>
      <c r="AJ36" s="46">
        <f t="shared" si="421"/>
        <v>0</v>
      </c>
      <c r="AK36" s="46">
        <f t="shared" si="422"/>
        <v>0</v>
      </c>
      <c r="AL36" s="46">
        <f t="shared" si="423"/>
        <v>0</v>
      </c>
      <c r="AM36" s="46">
        <f t="shared" si="424"/>
        <v>10409.623805099531</v>
      </c>
      <c r="AN36" s="46">
        <f t="shared" si="425"/>
        <v>195537.54076873497</v>
      </c>
      <c r="AO36" s="46">
        <f t="shared" si="426"/>
        <v>390360.98648196546</v>
      </c>
      <c r="AP36" s="46">
        <f t="shared" si="427"/>
        <v>1495887.2359029092</v>
      </c>
      <c r="AQ36" s="46">
        <f t="shared" si="428"/>
        <v>1114021.1629974863</v>
      </c>
      <c r="AR36" s="46">
        <f t="shared" si="429"/>
        <v>194182.02192449028</v>
      </c>
      <c r="AS36" s="46">
        <f t="shared" si="430"/>
        <v>-970519.88500217791</v>
      </c>
      <c r="AT36" s="72">
        <f t="shared" si="431"/>
        <v>2429878.686878508</v>
      </c>
      <c r="AU36" s="47">
        <f t="shared" si="432"/>
        <v>2429878.686878508</v>
      </c>
      <c r="AW36" s="45">
        <f t="shared" si="491"/>
        <v>43171.201252376733</v>
      </c>
      <c r="AX36" s="46">
        <f t="shared" si="433"/>
        <v>35056.489942256536</v>
      </c>
      <c r="AY36" s="46">
        <f t="shared" si="434"/>
        <v>11383.408193312613</v>
      </c>
      <c r="AZ36" s="46">
        <f t="shared" si="435"/>
        <v>507426.61045314203</v>
      </c>
      <c r="BA36" s="46">
        <f t="shared" si="436"/>
        <v>22704.936154934312</v>
      </c>
      <c r="BB36" s="46">
        <f t="shared" si="437"/>
        <v>15549.550570627609</v>
      </c>
      <c r="BC36" s="46">
        <f t="shared" si="438"/>
        <v>913590.74323560379</v>
      </c>
      <c r="BD36" s="46">
        <f t="shared" si="439"/>
        <v>11936.000028322169</v>
      </c>
      <c r="BE36" s="46">
        <f t="shared" si="440"/>
        <v>-9.1067301931015161E-3</v>
      </c>
      <c r="BF36" s="46">
        <f t="shared" si="441"/>
        <v>114263.69193018574</v>
      </c>
      <c r="BG36" s="46">
        <f t="shared" si="442"/>
        <v>97724.695123616941</v>
      </c>
      <c r="BH36" s="46">
        <f t="shared" si="443"/>
        <v>6447.2371374311379</v>
      </c>
      <c r="BI36" s="46">
        <f t="shared" si="444"/>
        <v>1779254.5549150794</v>
      </c>
      <c r="BJ36" s="47">
        <f t="shared" si="445"/>
        <v>1779254.5549150794</v>
      </c>
      <c r="BL36" s="45">
        <f t="shared" si="492"/>
        <v>0</v>
      </c>
      <c r="BM36" s="46">
        <f t="shared" si="446"/>
        <v>0</v>
      </c>
      <c r="BN36" s="46">
        <f t="shared" si="447"/>
        <v>0</v>
      </c>
      <c r="BO36" s="46">
        <f t="shared" si="448"/>
        <v>0</v>
      </c>
      <c r="BP36" s="46">
        <f t="shared" si="449"/>
        <v>0</v>
      </c>
      <c r="BQ36" s="46">
        <f t="shared" si="450"/>
        <v>5983.8894463708921</v>
      </c>
      <c r="BR36" s="46">
        <f t="shared" si="451"/>
        <v>112403.20000826041</v>
      </c>
      <c r="BS36" s="46">
        <f t="shared" si="452"/>
        <v>224395.90815376534</v>
      </c>
      <c r="BT36" s="46">
        <f t="shared" si="453"/>
        <v>859898.87929429917</v>
      </c>
      <c r="BU36" s="46">
        <f t="shared" si="454"/>
        <v>640386.2046415949</v>
      </c>
      <c r="BV36" s="46">
        <f t="shared" si="455"/>
        <v>111623.99078242277</v>
      </c>
      <c r="BW36" s="46">
        <f t="shared" si="456"/>
        <v>-557895.63639299036</v>
      </c>
      <c r="BX36" s="46">
        <f t="shared" si="457"/>
        <v>1396796.4359337231</v>
      </c>
      <c r="BY36" s="47">
        <f t="shared" si="458"/>
        <v>1396796.4359337231</v>
      </c>
      <c r="CA36" s="45">
        <f t="shared" si="493"/>
        <v>8642.1359773802669</v>
      </c>
      <c r="CB36" s="46">
        <f t="shared" si="459"/>
        <v>7017.7095883790234</v>
      </c>
      <c r="CC36" s="46">
        <f t="shared" si="460"/>
        <v>2278.7635886600729</v>
      </c>
      <c r="CD36" s="46">
        <f t="shared" si="461"/>
        <v>101578.12705838933</v>
      </c>
      <c r="CE36" s="46">
        <f t="shared" si="462"/>
        <v>4545.1398134972487</v>
      </c>
      <c r="CF36" s="46">
        <f t="shared" si="463"/>
        <v>3112.7540239829796</v>
      </c>
      <c r="CG36" s="46">
        <f t="shared" si="464"/>
        <v>182885.23834585954</v>
      </c>
      <c r="CH36" s="46">
        <f t="shared" si="465"/>
        <v>2389.3830210503115</v>
      </c>
      <c r="CI36" s="46">
        <f t="shared" si="466"/>
        <v>-1.8230115992837921E-3</v>
      </c>
      <c r="CJ36" s="46">
        <f t="shared" si="467"/>
        <v>22873.636458836987</v>
      </c>
      <c r="CK36" s="46">
        <f t="shared" si="468"/>
        <v>19562.812224499598</v>
      </c>
      <c r="CL36" s="46">
        <f t="shared" si="469"/>
        <v>1290.6265844763427</v>
      </c>
      <c r="CM36" s="46">
        <f t="shared" si="470"/>
        <v>356176.32486200007</v>
      </c>
      <c r="CN36" s="47">
        <f t="shared" si="471"/>
        <v>356176.32486200007</v>
      </c>
      <c r="CP36" s="45">
        <f t="shared" si="494"/>
        <v>0</v>
      </c>
      <c r="CQ36" s="46">
        <f t="shared" si="472"/>
        <v>0</v>
      </c>
      <c r="CR36" s="46">
        <f t="shared" si="473"/>
        <v>0</v>
      </c>
      <c r="CS36" s="46">
        <f t="shared" si="474"/>
        <v>0</v>
      </c>
      <c r="CT36" s="46">
        <f t="shared" si="475"/>
        <v>0</v>
      </c>
      <c r="CU36" s="46">
        <f t="shared" si="476"/>
        <v>2474.4067485295755</v>
      </c>
      <c r="CV36" s="46">
        <f t="shared" si="477"/>
        <v>46480.009223004636</v>
      </c>
      <c r="CW36" s="46">
        <f t="shared" si="478"/>
        <v>92790.275364269241</v>
      </c>
      <c r="CX36" s="46">
        <f t="shared" si="479"/>
        <v>355578.02480279171</v>
      </c>
      <c r="CY36" s="46">
        <f t="shared" si="480"/>
        <v>264807.02236091899</v>
      </c>
      <c r="CZ36" s="46">
        <f t="shared" si="481"/>
        <v>46157.797293086958</v>
      </c>
      <c r="DA36" s="46">
        <f t="shared" si="482"/>
        <v>-230696.22860483144</v>
      </c>
      <c r="DB36" s="46">
        <f t="shared" si="483"/>
        <v>577591.30718776956</v>
      </c>
      <c r="DC36" s="47">
        <f t="shared" si="484"/>
        <v>577591.30718776956</v>
      </c>
      <c r="DE36" s="45">
        <v>94811.64</v>
      </c>
      <c r="DF36" s="46">
        <v>76990.289999999994</v>
      </c>
      <c r="DG36" s="46">
        <v>24999.99</v>
      </c>
      <c r="DH36" s="46">
        <v>1114399.1299999999</v>
      </c>
      <c r="DI36" s="46">
        <v>49864.08000000006</v>
      </c>
      <c r="DJ36" s="46">
        <v>34149.58</v>
      </c>
      <c r="DK36" s="46">
        <v>2006407.84</v>
      </c>
      <c r="DL36" s="46">
        <v>26213.579999999853</v>
      </c>
      <c r="DM36" s="46">
        <v>-1.9999999990686773E-2</v>
      </c>
      <c r="DN36" s="46">
        <v>250943.4</v>
      </c>
      <c r="DO36" s="46">
        <v>214620.82000000009</v>
      </c>
      <c r="DP36" s="46">
        <v>14159.27999999997</v>
      </c>
      <c r="DQ36" s="46">
        <f t="shared" si="485"/>
        <v>3907559.61</v>
      </c>
      <c r="DR36" s="47">
        <f t="shared" si="486"/>
        <v>3907559.61</v>
      </c>
      <c r="DT36" s="45"/>
      <c r="DU36" s="46"/>
      <c r="DV36" s="46"/>
      <c r="DW36" s="46"/>
      <c r="DX36" s="46"/>
      <c r="DY36" s="46">
        <v>18867.919999999998</v>
      </c>
      <c r="DZ36" s="46">
        <v>354420.75</v>
      </c>
      <c r="EA36" s="46">
        <v>707547.17</v>
      </c>
      <c r="EB36" s="46">
        <v>2711364.14</v>
      </c>
      <c r="EC36" s="46">
        <v>2019214.3900000001</v>
      </c>
      <c r="ED36" s="46">
        <v>351963.81</v>
      </c>
      <c r="EE36" s="46">
        <v>-1759111.7499999998</v>
      </c>
      <c r="EF36" s="46">
        <f t="shared" si="487"/>
        <v>4404266.4300000006</v>
      </c>
      <c r="EG36" s="47">
        <f t="shared" si="488"/>
        <v>4404266.4300000006</v>
      </c>
    </row>
    <row r="37" spans="1:148">
      <c r="A37" s="25" t="s">
        <v>43</v>
      </c>
      <c r="B37" s="64">
        <f t="shared" si="391"/>
        <v>0</v>
      </c>
      <c r="C37" s="64">
        <f t="shared" si="392"/>
        <v>-100.86511530017033</v>
      </c>
      <c r="D37" s="64">
        <f t="shared" si="393"/>
        <v>162.31997163691415</v>
      </c>
      <c r="E37" s="64">
        <f t="shared" si="394"/>
        <v>251.64604600015605</v>
      </c>
      <c r="F37" s="43">
        <f t="shared" si="395"/>
        <v>0</v>
      </c>
      <c r="G37" s="64">
        <f t="shared" si="396"/>
        <v>-57.981509250698764</v>
      </c>
      <c r="H37" s="64">
        <f t="shared" si="397"/>
        <v>162.97266895071218</v>
      </c>
      <c r="I37" s="64">
        <f t="shared" si="398"/>
        <v>144.65672795433937</v>
      </c>
      <c r="J37" s="43">
        <f t="shared" si="399"/>
        <v>0</v>
      </c>
      <c r="K37" s="64">
        <f t="shared" si="400"/>
        <v>-23.976017449130943</v>
      </c>
      <c r="L37" s="43">
        <f t="shared" si="401"/>
        <v>32.624340412373733</v>
      </c>
      <c r="M37" s="64">
        <f t="shared" si="402"/>
        <v>59.817212045504505</v>
      </c>
      <c r="N37" s="43">
        <f t="shared" si="403"/>
        <v>0</v>
      </c>
      <c r="O37" s="43">
        <f t="shared" si="404"/>
        <v>-182.82264200000003</v>
      </c>
      <c r="P37" s="43">
        <f t="shared" si="405"/>
        <v>357.91698100000008</v>
      </c>
      <c r="Q37" s="44">
        <f t="shared" si="406"/>
        <v>456.11998599999993</v>
      </c>
      <c r="S37" s="45">
        <f t="shared" si="489"/>
        <v>960044.04632934416</v>
      </c>
      <c r="T37" s="46">
        <f t="shared" si="407"/>
        <v>-4.5351291012625666E-3</v>
      </c>
      <c r="U37" s="46">
        <f t="shared" si="408"/>
        <v>222478.03240951366</v>
      </c>
      <c r="V37" s="46">
        <f t="shared" si="409"/>
        <v>462069.75996861525</v>
      </c>
      <c r="W37" s="46">
        <f t="shared" si="410"/>
        <v>162580.10165352051</v>
      </c>
      <c r="X37" s="46">
        <f t="shared" si="411"/>
        <v>-162580.10165352051</v>
      </c>
      <c r="Y37" s="46">
        <f t="shared" si="412"/>
        <v>0</v>
      </c>
      <c r="Z37" s="46">
        <f t="shared" si="413"/>
        <v>282375.96316550672</v>
      </c>
      <c r="AA37" s="46">
        <f t="shared" si="414"/>
        <v>42784.2356064052</v>
      </c>
      <c r="AB37" s="46">
        <f t="shared" si="415"/>
        <v>0</v>
      </c>
      <c r="AC37" s="46">
        <f t="shared" si="416"/>
        <v>-346552.3165751145</v>
      </c>
      <c r="AD37" s="46">
        <f t="shared" si="417"/>
        <v>0</v>
      </c>
      <c r="AE37" s="72">
        <f t="shared" si="418"/>
        <v>1623199.7163691414</v>
      </c>
      <c r="AF37" s="47">
        <f t="shared" si="419"/>
        <v>1623199.7163691414</v>
      </c>
      <c r="AH37" s="45">
        <f t="shared" si="490"/>
        <v>0</v>
      </c>
      <c r="AI37" s="46">
        <f t="shared" si="420"/>
        <v>0</v>
      </c>
      <c r="AJ37" s="46">
        <f t="shared" si="421"/>
        <v>0</v>
      </c>
      <c r="AK37" s="46">
        <f t="shared" si="422"/>
        <v>0</v>
      </c>
      <c r="AL37" s="46">
        <f t="shared" si="423"/>
        <v>1428721.1817247213</v>
      </c>
      <c r="AM37" s="46">
        <f t="shared" si="424"/>
        <v>-425045.85882661672</v>
      </c>
      <c r="AN37" s="46">
        <f t="shared" si="425"/>
        <v>0</v>
      </c>
      <c r="AO37" s="46">
        <f t="shared" si="426"/>
        <v>0</v>
      </c>
      <c r="AP37" s="46">
        <f t="shared" si="427"/>
        <v>789163.13893336593</v>
      </c>
      <c r="AQ37" s="46">
        <f t="shared" si="428"/>
        <v>0</v>
      </c>
      <c r="AR37" s="46">
        <f t="shared" si="429"/>
        <v>1732273.1511717932</v>
      </c>
      <c r="AS37" s="46">
        <f t="shared" si="430"/>
        <v>-1008651.1530017033</v>
      </c>
      <c r="AT37" s="72">
        <f t="shared" si="431"/>
        <v>2516460.4600015604</v>
      </c>
      <c r="AU37" s="47">
        <f t="shared" si="432"/>
        <v>2516460.4600015604</v>
      </c>
      <c r="AW37" s="45">
        <f t="shared" si="491"/>
        <v>963904.43494232779</v>
      </c>
      <c r="AX37" s="46">
        <f t="shared" si="433"/>
        <v>-4.5533650986710845E-3</v>
      </c>
      <c r="AY37" s="46">
        <f t="shared" si="434"/>
        <v>223372.62851292832</v>
      </c>
      <c r="AZ37" s="46">
        <f t="shared" si="435"/>
        <v>463927.76726172544</v>
      </c>
      <c r="BA37" s="46">
        <f t="shared" si="436"/>
        <v>163233.84496407033</v>
      </c>
      <c r="BB37" s="46">
        <f t="shared" si="437"/>
        <v>-163233.84496407033</v>
      </c>
      <c r="BC37" s="46">
        <f t="shared" si="438"/>
        <v>0</v>
      </c>
      <c r="BD37" s="46">
        <f t="shared" si="439"/>
        <v>283511.41206178628</v>
      </c>
      <c r="BE37" s="46">
        <f t="shared" si="440"/>
        <v>42956.273312989259</v>
      </c>
      <c r="BF37" s="46">
        <f t="shared" si="441"/>
        <v>0</v>
      </c>
      <c r="BG37" s="46">
        <f t="shared" si="442"/>
        <v>-347945.82203127019</v>
      </c>
      <c r="BH37" s="46">
        <f t="shared" si="443"/>
        <v>0</v>
      </c>
      <c r="BI37" s="46">
        <f t="shared" si="444"/>
        <v>1629726.6895071217</v>
      </c>
      <c r="BJ37" s="47">
        <f t="shared" si="445"/>
        <v>1629726.6895071217</v>
      </c>
      <c r="BL37" s="45">
        <f t="shared" si="492"/>
        <v>0</v>
      </c>
      <c r="BM37" s="46">
        <f t="shared" si="446"/>
        <v>0</v>
      </c>
      <c r="BN37" s="46">
        <f t="shared" si="447"/>
        <v>0</v>
      </c>
      <c r="BO37" s="46">
        <f t="shared" si="448"/>
        <v>0</v>
      </c>
      <c r="BP37" s="46">
        <f t="shared" si="449"/>
        <v>821289.00728774851</v>
      </c>
      <c r="BQ37" s="46">
        <f t="shared" si="450"/>
        <v>-244334.2311381372</v>
      </c>
      <c r="BR37" s="46">
        <f t="shared" si="451"/>
        <v>0</v>
      </c>
      <c r="BS37" s="46">
        <f t="shared" si="452"/>
        <v>0</v>
      </c>
      <c r="BT37" s="46">
        <f t="shared" si="453"/>
        <v>453644.15342415374</v>
      </c>
      <c r="BU37" s="46">
        <f t="shared" si="454"/>
        <v>0</v>
      </c>
      <c r="BV37" s="46">
        <f t="shared" si="455"/>
        <v>995783.44247661612</v>
      </c>
      <c r="BW37" s="46">
        <f t="shared" si="456"/>
        <v>-579815.09250698762</v>
      </c>
      <c r="BX37" s="46">
        <f t="shared" si="457"/>
        <v>1446567.2795433938</v>
      </c>
      <c r="BY37" s="47">
        <f t="shared" si="458"/>
        <v>1446567.2795433938</v>
      </c>
      <c r="CA37" s="45">
        <f t="shared" si="493"/>
        <v>192957.17872832829</v>
      </c>
      <c r="CB37" s="46">
        <f t="shared" si="459"/>
        <v>-9.1150580006634906E-4</v>
      </c>
      <c r="CC37" s="46">
        <f t="shared" si="460"/>
        <v>44715.379077558064</v>
      </c>
      <c r="CD37" s="46">
        <f t="shared" si="461"/>
        <v>92870.402769659515</v>
      </c>
      <c r="CE37" s="46">
        <f t="shared" si="462"/>
        <v>32676.623382409154</v>
      </c>
      <c r="CF37" s="46">
        <f t="shared" si="463"/>
        <v>-32676.623382409154</v>
      </c>
      <c r="CG37" s="46">
        <f t="shared" si="464"/>
        <v>0</v>
      </c>
      <c r="CH37" s="46">
        <f t="shared" si="465"/>
        <v>56754.134772706973</v>
      </c>
      <c r="CI37" s="46">
        <f t="shared" si="466"/>
        <v>8599.1110806055349</v>
      </c>
      <c r="CJ37" s="46">
        <f t="shared" si="467"/>
        <v>0</v>
      </c>
      <c r="CK37" s="46">
        <f t="shared" si="468"/>
        <v>-69652.801393615271</v>
      </c>
      <c r="CL37" s="46">
        <f t="shared" si="469"/>
        <v>0</v>
      </c>
      <c r="CM37" s="46">
        <f t="shared" si="470"/>
        <v>326243.4041237373</v>
      </c>
      <c r="CN37" s="47">
        <f t="shared" si="471"/>
        <v>326243.4041237373</v>
      </c>
      <c r="CP37" s="45">
        <f t="shared" si="494"/>
        <v>0</v>
      </c>
      <c r="CQ37" s="46">
        <f t="shared" si="472"/>
        <v>0</v>
      </c>
      <c r="CR37" s="46">
        <f t="shared" si="473"/>
        <v>0</v>
      </c>
      <c r="CS37" s="46">
        <f t="shared" si="474"/>
        <v>0</v>
      </c>
      <c r="CT37" s="46">
        <f t="shared" si="475"/>
        <v>339612.40098753007</v>
      </c>
      <c r="CU37" s="46">
        <f t="shared" si="476"/>
        <v>-101035.00003524609</v>
      </c>
      <c r="CV37" s="46">
        <f t="shared" si="477"/>
        <v>0</v>
      </c>
      <c r="CW37" s="46">
        <f t="shared" si="478"/>
        <v>0</v>
      </c>
      <c r="CX37" s="46">
        <f t="shared" si="479"/>
        <v>187587.04764248038</v>
      </c>
      <c r="CY37" s="46">
        <f t="shared" si="480"/>
        <v>0</v>
      </c>
      <c r="CZ37" s="46">
        <f t="shared" si="481"/>
        <v>411767.84635159012</v>
      </c>
      <c r="DA37" s="46">
        <f t="shared" si="482"/>
        <v>-239760.17449130944</v>
      </c>
      <c r="DB37" s="46">
        <f t="shared" si="483"/>
        <v>598172.12045504502</v>
      </c>
      <c r="DC37" s="47">
        <f t="shared" si="484"/>
        <v>598172.12045504502</v>
      </c>
      <c r="DE37" s="45">
        <v>2116905.66</v>
      </c>
      <c r="DF37" s="46">
        <v>-0.01</v>
      </c>
      <c r="DG37" s="46">
        <v>490566.04000000004</v>
      </c>
      <c r="DH37" s="46">
        <v>1018867.9300000002</v>
      </c>
      <c r="DI37" s="46">
        <v>358490.57</v>
      </c>
      <c r="DJ37" s="46">
        <v>-358490.57</v>
      </c>
      <c r="DK37" s="46"/>
      <c r="DL37" s="46">
        <v>622641.51</v>
      </c>
      <c r="DM37" s="46">
        <v>94339.62</v>
      </c>
      <c r="DN37" s="46"/>
      <c r="DO37" s="46">
        <v>-764150.94</v>
      </c>
      <c r="DP37" s="46"/>
      <c r="DQ37" s="46">
        <f t="shared" si="485"/>
        <v>3579169.810000001</v>
      </c>
      <c r="DR37" s="47">
        <f t="shared" si="486"/>
        <v>3579169.810000001</v>
      </c>
      <c r="DT37" s="45"/>
      <c r="DU37" s="46"/>
      <c r="DV37" s="46">
        <v>0</v>
      </c>
      <c r="DW37" s="46">
        <v>0</v>
      </c>
      <c r="DX37" s="46">
        <v>2589622.59</v>
      </c>
      <c r="DY37" s="46">
        <v>-770415.09</v>
      </c>
      <c r="DZ37" s="46"/>
      <c r="EA37" s="46"/>
      <c r="EB37" s="46">
        <v>1430394.34</v>
      </c>
      <c r="EC37" s="46">
        <v>0</v>
      </c>
      <c r="ED37" s="46">
        <v>3139824.4399999995</v>
      </c>
      <c r="EE37" s="46">
        <v>-1828226.4200000004</v>
      </c>
      <c r="EF37" s="46">
        <f t="shared" si="487"/>
        <v>4561199.8599999994</v>
      </c>
      <c r="EG37" s="47">
        <f t="shared" si="488"/>
        <v>4561199.8599999994</v>
      </c>
    </row>
    <row r="38" spans="1:148">
      <c r="A38" s="25" t="s">
        <v>44</v>
      </c>
      <c r="B38" s="64">
        <f t="shared" si="391"/>
        <v>2.3573601068362818E-2</v>
      </c>
      <c r="C38" s="64">
        <f t="shared" si="392"/>
        <v>7.0618904842332381E-3</v>
      </c>
      <c r="D38" s="64">
        <f t="shared" si="393"/>
        <v>0.30711803571168073</v>
      </c>
      <c r="E38" s="64">
        <f t="shared" si="394"/>
        <v>0.17898085577192099</v>
      </c>
      <c r="F38" s="43">
        <f t="shared" si="395"/>
        <v>2.3668391782892293E-2</v>
      </c>
      <c r="G38" s="64">
        <f t="shared" si="396"/>
        <v>4.0594715746911916E-3</v>
      </c>
      <c r="H38" s="64">
        <f t="shared" si="397"/>
        <v>0.30835297380898607</v>
      </c>
      <c r="I38" s="64">
        <f t="shared" si="398"/>
        <v>0.10288572132946437</v>
      </c>
      <c r="J38" s="43">
        <f t="shared" si="399"/>
        <v>4.7380071487448825E-3</v>
      </c>
      <c r="K38" s="64">
        <f t="shared" si="400"/>
        <v>1.6786379410755701E-3</v>
      </c>
      <c r="L38" s="43">
        <f t="shared" si="401"/>
        <v>6.1726990479333145E-2</v>
      </c>
      <c r="M38" s="64">
        <f t="shared" si="402"/>
        <v>4.2544422898614584E-2</v>
      </c>
      <c r="N38" s="43">
        <f t="shared" si="403"/>
        <v>5.1979999999999991E-2</v>
      </c>
      <c r="O38" s="43">
        <f t="shared" si="404"/>
        <v>1.2800000000000001E-2</v>
      </c>
      <c r="P38" s="43">
        <f t="shared" si="405"/>
        <v>0.67719799999999997</v>
      </c>
      <c r="Q38" s="44">
        <f t="shared" si="406"/>
        <v>0.32441099999999995</v>
      </c>
      <c r="S38" s="45">
        <f t="shared" si="489"/>
        <v>0</v>
      </c>
      <c r="T38" s="46">
        <f t="shared" si="407"/>
        <v>0</v>
      </c>
      <c r="U38" s="46">
        <f t="shared" si="408"/>
        <v>258.50235877196627</v>
      </c>
      <c r="V38" s="46">
        <f t="shared" si="409"/>
        <v>353.74006989848021</v>
      </c>
      <c r="W38" s="46">
        <f t="shared" si="410"/>
        <v>0</v>
      </c>
      <c r="X38" s="46">
        <f t="shared" si="411"/>
        <v>267.57261697449144</v>
      </c>
      <c r="Y38" s="46">
        <f t="shared" si="412"/>
        <v>650.1107566659889</v>
      </c>
      <c r="Z38" s="46">
        <f t="shared" si="413"/>
        <v>0</v>
      </c>
      <c r="AA38" s="46">
        <f t="shared" si="414"/>
        <v>286.02152215842756</v>
      </c>
      <c r="AB38" s="46">
        <f t="shared" si="415"/>
        <v>1019.497021963825</v>
      </c>
      <c r="AC38" s="46">
        <f t="shared" si="416"/>
        <v>0</v>
      </c>
      <c r="AD38" s="46">
        <f t="shared" si="417"/>
        <v>235.73601068362819</v>
      </c>
      <c r="AE38" s="72">
        <f t="shared" si="418"/>
        <v>3071.1803571168075</v>
      </c>
      <c r="AF38" s="47">
        <f t="shared" si="419"/>
        <v>3071.1803571168075</v>
      </c>
      <c r="AH38" s="45">
        <f t="shared" si="490"/>
        <v>0</v>
      </c>
      <c r="AI38" s="46">
        <f t="shared" si="420"/>
        <v>0</v>
      </c>
      <c r="AJ38" s="46">
        <f t="shared" si="421"/>
        <v>0</v>
      </c>
      <c r="AK38" s="46">
        <f t="shared" si="422"/>
        <v>0</v>
      </c>
      <c r="AL38" s="46">
        <f t="shared" si="423"/>
        <v>0</v>
      </c>
      <c r="AM38" s="46">
        <f t="shared" si="424"/>
        <v>1383.6891667544501</v>
      </c>
      <c r="AN38" s="46">
        <f t="shared" si="425"/>
        <v>-23.111140030041426</v>
      </c>
      <c r="AO38" s="46">
        <f t="shared" si="426"/>
        <v>358.61162615246911</v>
      </c>
      <c r="AP38" s="46">
        <f t="shared" si="427"/>
        <v>0</v>
      </c>
      <c r="AQ38" s="46">
        <f t="shared" si="428"/>
        <v>0</v>
      </c>
      <c r="AR38" s="46">
        <f t="shared" si="429"/>
        <v>0</v>
      </c>
      <c r="AS38" s="46">
        <f t="shared" si="430"/>
        <v>70.618904842332384</v>
      </c>
      <c r="AT38" s="72">
        <f t="shared" si="431"/>
        <v>1789.8085577192101</v>
      </c>
      <c r="AU38" s="47">
        <f t="shared" si="432"/>
        <v>1789.8085577192101</v>
      </c>
      <c r="AW38" s="45">
        <f t="shared" si="491"/>
        <v>0</v>
      </c>
      <c r="AX38" s="46">
        <f t="shared" si="433"/>
        <v>0</v>
      </c>
      <c r="AY38" s="46">
        <f t="shared" si="434"/>
        <v>259.54181062425181</v>
      </c>
      <c r="AZ38" s="46">
        <f t="shared" si="435"/>
        <v>355.16247769634458</v>
      </c>
      <c r="BA38" s="46">
        <f t="shared" si="436"/>
        <v>0</v>
      </c>
      <c r="BB38" s="46">
        <f t="shared" si="437"/>
        <v>268.648540821594</v>
      </c>
      <c r="BC38" s="46">
        <f t="shared" si="438"/>
        <v>652.72488689449995</v>
      </c>
      <c r="BD38" s="46">
        <f t="shared" si="439"/>
        <v>0</v>
      </c>
      <c r="BE38" s="46">
        <f t="shared" si="440"/>
        <v>287.171630042988</v>
      </c>
      <c r="BF38" s="46">
        <f t="shared" si="441"/>
        <v>1023.5964741812597</v>
      </c>
      <c r="BG38" s="46">
        <f t="shared" si="442"/>
        <v>0</v>
      </c>
      <c r="BH38" s="46">
        <f t="shared" si="443"/>
        <v>236.68391782892294</v>
      </c>
      <c r="BI38" s="46">
        <f t="shared" si="444"/>
        <v>3083.529738089861</v>
      </c>
      <c r="BJ38" s="47">
        <f t="shared" si="445"/>
        <v>3083.529738089861</v>
      </c>
      <c r="BL38" s="45">
        <f t="shared" si="492"/>
        <v>0</v>
      </c>
      <c r="BM38" s="46">
        <f t="shared" si="446"/>
        <v>0</v>
      </c>
      <c r="BN38" s="46">
        <f t="shared" si="447"/>
        <v>0</v>
      </c>
      <c r="BO38" s="46">
        <f t="shared" si="448"/>
        <v>0</v>
      </c>
      <c r="BP38" s="46">
        <f t="shared" si="449"/>
        <v>0</v>
      </c>
      <c r="BQ38" s="46">
        <f t="shared" si="450"/>
        <v>795.40271166605532</v>
      </c>
      <c r="BR38" s="46">
        <f t="shared" si="451"/>
        <v>-13.285255020610466</v>
      </c>
      <c r="BS38" s="46">
        <f t="shared" si="452"/>
        <v>206.14504090228706</v>
      </c>
      <c r="BT38" s="46">
        <f t="shared" si="453"/>
        <v>0</v>
      </c>
      <c r="BU38" s="46">
        <f t="shared" si="454"/>
        <v>0</v>
      </c>
      <c r="BV38" s="46">
        <f t="shared" si="455"/>
        <v>0</v>
      </c>
      <c r="BW38" s="46">
        <f t="shared" si="456"/>
        <v>40.594715746911916</v>
      </c>
      <c r="BX38" s="46">
        <f t="shared" si="457"/>
        <v>1028.8572132946438</v>
      </c>
      <c r="BY38" s="47">
        <f t="shared" si="458"/>
        <v>1028.8572132946438</v>
      </c>
      <c r="CA38" s="45">
        <f t="shared" si="493"/>
        <v>0</v>
      </c>
      <c r="CB38" s="46">
        <f t="shared" si="459"/>
        <v>0</v>
      </c>
      <c r="CC38" s="46">
        <f t="shared" si="460"/>
        <v>51.955830603781898</v>
      </c>
      <c r="CD38" s="46">
        <f t="shared" si="461"/>
        <v>71.097452405175233</v>
      </c>
      <c r="CE38" s="46">
        <f t="shared" si="462"/>
        <v>0</v>
      </c>
      <c r="CF38" s="46">
        <f t="shared" si="463"/>
        <v>53.7788422039146</v>
      </c>
      <c r="CG38" s="46">
        <f t="shared" si="464"/>
        <v>130.66435643951115</v>
      </c>
      <c r="CH38" s="46">
        <f t="shared" si="465"/>
        <v>0</v>
      </c>
      <c r="CI38" s="46">
        <f t="shared" si="466"/>
        <v>57.486847798584513</v>
      </c>
      <c r="CJ38" s="46">
        <f t="shared" si="467"/>
        <v>204.90650385491529</v>
      </c>
      <c r="CK38" s="46">
        <f t="shared" si="468"/>
        <v>0</v>
      </c>
      <c r="CL38" s="46">
        <f t="shared" si="469"/>
        <v>47.380071487448824</v>
      </c>
      <c r="CM38" s="46">
        <f t="shared" si="470"/>
        <v>617.26990479333142</v>
      </c>
      <c r="CN38" s="47">
        <f t="shared" si="471"/>
        <v>617.26990479333142</v>
      </c>
      <c r="CP38" s="45">
        <f t="shared" si="494"/>
        <v>0</v>
      </c>
      <c r="CQ38" s="46">
        <f t="shared" si="472"/>
        <v>0</v>
      </c>
      <c r="CR38" s="46">
        <f t="shared" si="473"/>
        <v>0</v>
      </c>
      <c r="CS38" s="46">
        <f t="shared" si="474"/>
        <v>0</v>
      </c>
      <c r="CT38" s="46">
        <f t="shared" si="475"/>
        <v>0</v>
      </c>
      <c r="CU38" s="46">
        <f t="shared" si="476"/>
        <v>328.90812157949449</v>
      </c>
      <c r="CV38" s="46">
        <f t="shared" si="477"/>
        <v>-5.4936049493480938</v>
      </c>
      <c r="CW38" s="46">
        <f t="shared" si="478"/>
        <v>85.243332945243793</v>
      </c>
      <c r="CX38" s="46">
        <f t="shared" si="479"/>
        <v>0</v>
      </c>
      <c r="CY38" s="46">
        <f t="shared" si="480"/>
        <v>0</v>
      </c>
      <c r="CZ38" s="46">
        <f t="shared" si="481"/>
        <v>0</v>
      </c>
      <c r="DA38" s="46">
        <f t="shared" si="482"/>
        <v>16.7863794107557</v>
      </c>
      <c r="DB38" s="46">
        <f t="shared" si="483"/>
        <v>425.44422898614584</v>
      </c>
      <c r="DC38" s="47">
        <f t="shared" si="484"/>
        <v>425.44422898614584</v>
      </c>
      <c r="DE38" s="45"/>
      <c r="DF38" s="46"/>
      <c r="DG38" s="46">
        <v>570</v>
      </c>
      <c r="DH38" s="46">
        <v>780</v>
      </c>
      <c r="DI38" s="46"/>
      <c r="DJ38" s="46">
        <v>590</v>
      </c>
      <c r="DK38" s="46">
        <v>1433.5</v>
      </c>
      <c r="DL38" s="46"/>
      <c r="DM38" s="46">
        <v>630.68000000000006</v>
      </c>
      <c r="DN38" s="46">
        <v>2248</v>
      </c>
      <c r="DO38" s="46"/>
      <c r="DP38" s="46">
        <v>519.79999999999995</v>
      </c>
      <c r="DQ38" s="46">
        <f t="shared" si="485"/>
        <v>6771.9800000000005</v>
      </c>
      <c r="DR38" s="47">
        <f t="shared" si="486"/>
        <v>6771.9800000000005</v>
      </c>
      <c r="DT38" s="45"/>
      <c r="DU38" s="46"/>
      <c r="DV38" s="46"/>
      <c r="DW38" s="46"/>
      <c r="DX38" s="46"/>
      <c r="DY38" s="46">
        <v>2508</v>
      </c>
      <c r="DZ38" s="46">
        <v>-41.889999999999986</v>
      </c>
      <c r="EA38" s="46">
        <v>650</v>
      </c>
      <c r="EB38" s="46"/>
      <c r="EC38" s="46"/>
      <c r="ED38" s="46"/>
      <c r="EE38" s="46">
        <v>128</v>
      </c>
      <c r="EF38" s="46">
        <f t="shared" si="487"/>
        <v>3244.11</v>
      </c>
      <c r="EG38" s="47">
        <f t="shared" si="488"/>
        <v>3244.11</v>
      </c>
    </row>
    <row r="39" spans="1:148">
      <c r="A39" s="25" t="s">
        <v>45</v>
      </c>
      <c r="B39" s="64">
        <f t="shared" si="391"/>
        <v>17.137169431328921</v>
      </c>
      <c r="C39" s="64">
        <f t="shared" si="392"/>
        <v>335.80962037837497</v>
      </c>
      <c r="D39" s="64">
        <f t="shared" si="393"/>
        <v>281.90010068565658</v>
      </c>
      <c r="E39" s="64">
        <f t="shared" si="394"/>
        <v>685.22433635164327</v>
      </c>
      <c r="F39" s="43">
        <f t="shared" si="395"/>
        <v>17.206078908955927</v>
      </c>
      <c r="G39" s="64">
        <f t="shared" si="396"/>
        <v>193.03748924985868</v>
      </c>
      <c r="H39" s="64">
        <f t="shared" si="397"/>
        <v>283.03363611337642</v>
      </c>
      <c r="I39" s="64">
        <f t="shared" si="398"/>
        <v>393.89575948771687</v>
      </c>
      <c r="J39" s="43">
        <f t="shared" si="399"/>
        <v>3.4443626597150918</v>
      </c>
      <c r="K39" s="64">
        <f t="shared" si="400"/>
        <v>79.823210371766265</v>
      </c>
      <c r="L39" s="43">
        <f t="shared" si="401"/>
        <v>56.658492200967032</v>
      </c>
      <c r="M39" s="64">
        <f t="shared" si="402"/>
        <v>162.88040316063984</v>
      </c>
      <c r="N39" s="43">
        <f t="shared" si="403"/>
        <v>37.787610999999934</v>
      </c>
      <c r="O39" s="43">
        <f t="shared" si="404"/>
        <v>608.67031999999995</v>
      </c>
      <c r="P39" s="43">
        <f t="shared" si="405"/>
        <v>621.59222900000009</v>
      </c>
      <c r="Q39" s="44">
        <f t="shared" si="406"/>
        <v>1242.000499</v>
      </c>
      <c r="S39" s="45">
        <f t="shared" si="489"/>
        <v>-2229179.1725669061</v>
      </c>
      <c r="T39" s="46">
        <f t="shared" si="407"/>
        <v>166437.80038041135</v>
      </c>
      <c r="U39" s="46">
        <f t="shared" si="408"/>
        <v>158729.51854418984</v>
      </c>
      <c r="V39" s="46">
        <f t="shared" si="409"/>
        <v>960099.20256947377</v>
      </c>
      <c r="W39" s="46">
        <f t="shared" si="410"/>
        <v>212583.8228816129</v>
      </c>
      <c r="X39" s="46">
        <f t="shared" si="411"/>
        <v>127882.08286699033</v>
      </c>
      <c r="Y39" s="46">
        <f t="shared" si="412"/>
        <v>183923.01784110354</v>
      </c>
      <c r="Z39" s="46">
        <f t="shared" si="413"/>
        <v>0</v>
      </c>
      <c r="AA39" s="46">
        <f t="shared" si="414"/>
        <v>6013.6310746942772</v>
      </c>
      <c r="AB39" s="46">
        <f t="shared" si="415"/>
        <v>-299391.25508385547</v>
      </c>
      <c r="AC39" s="46">
        <f t="shared" si="416"/>
        <v>3360530.664035562</v>
      </c>
      <c r="AD39" s="46">
        <f t="shared" si="417"/>
        <v>171371.69431328922</v>
      </c>
      <c r="AE39" s="72">
        <f t="shared" si="418"/>
        <v>2819001.0068565658</v>
      </c>
      <c r="AF39" s="47">
        <f t="shared" si="419"/>
        <v>2819001.0068565658</v>
      </c>
      <c r="AH39" s="45">
        <f t="shared" si="490"/>
        <v>50205.627661345679</v>
      </c>
      <c r="AI39" s="46">
        <f t="shared" si="420"/>
        <v>602519.73475471197</v>
      </c>
      <c r="AJ39" s="46">
        <f t="shared" si="421"/>
        <v>74723.419036419204</v>
      </c>
      <c r="AK39" s="46">
        <f t="shared" si="422"/>
        <v>0</v>
      </c>
      <c r="AL39" s="46">
        <f t="shared" si="423"/>
        <v>368839.57730775984</v>
      </c>
      <c r="AM39" s="46">
        <f t="shared" si="424"/>
        <v>208713.0036359019</v>
      </c>
      <c r="AN39" s="46">
        <f t="shared" si="425"/>
        <v>829653.56937669765</v>
      </c>
      <c r="AO39" s="46">
        <f t="shared" si="426"/>
        <v>215865.78285750799</v>
      </c>
      <c r="AP39" s="46">
        <f t="shared" si="427"/>
        <v>441255.13743131998</v>
      </c>
      <c r="AQ39" s="46">
        <f t="shared" si="428"/>
        <v>724256.9338469482</v>
      </c>
      <c r="AR39" s="46">
        <f t="shared" si="429"/>
        <v>-21885.626175929967</v>
      </c>
      <c r="AS39" s="46">
        <f t="shared" si="430"/>
        <v>3358096.2037837496</v>
      </c>
      <c r="AT39" s="72">
        <f t="shared" si="431"/>
        <v>6852243.3635164322</v>
      </c>
      <c r="AU39" s="47">
        <f t="shared" si="432"/>
        <v>6852243.3635164322</v>
      </c>
      <c r="AW39" s="45">
        <f t="shared" si="491"/>
        <v>-2238142.8216067394</v>
      </c>
      <c r="AX39" s="46">
        <f t="shared" si="433"/>
        <v>167107.05570449276</v>
      </c>
      <c r="AY39" s="46">
        <f t="shared" si="434"/>
        <v>159367.77845348796</v>
      </c>
      <c r="AZ39" s="46">
        <f t="shared" si="435"/>
        <v>963959.81296865782</v>
      </c>
      <c r="BA39" s="46">
        <f t="shared" si="436"/>
        <v>213438.63383772937</v>
      </c>
      <c r="BB39" s="46">
        <f t="shared" si="437"/>
        <v>128396.30358258342</v>
      </c>
      <c r="BC39" s="46">
        <f t="shared" si="438"/>
        <v>184662.58216260947</v>
      </c>
      <c r="BD39" s="46">
        <f t="shared" si="439"/>
        <v>0</v>
      </c>
      <c r="BE39" s="46">
        <f t="shared" si="440"/>
        <v>6037.8122078539436</v>
      </c>
      <c r="BF39" s="46">
        <f t="shared" si="441"/>
        <v>-300595.12338174408</v>
      </c>
      <c r="BG39" s="46">
        <f t="shared" si="442"/>
        <v>3374043.5381152737</v>
      </c>
      <c r="BH39" s="46">
        <f t="shared" si="443"/>
        <v>172060.78908955929</v>
      </c>
      <c r="BI39" s="46">
        <f t="shared" si="444"/>
        <v>2830336.361133764</v>
      </c>
      <c r="BJ39" s="47">
        <f t="shared" si="445"/>
        <v>2830336.361133764</v>
      </c>
      <c r="BL39" s="45">
        <f t="shared" si="492"/>
        <v>28860.305726320192</v>
      </c>
      <c r="BM39" s="46">
        <f t="shared" si="446"/>
        <v>346353.6770908733</v>
      </c>
      <c r="BN39" s="46">
        <f t="shared" si="447"/>
        <v>42954.163084138796</v>
      </c>
      <c r="BO39" s="46">
        <f t="shared" si="448"/>
        <v>0</v>
      </c>
      <c r="BP39" s="46">
        <f t="shared" si="449"/>
        <v>212024.49727093687</v>
      </c>
      <c r="BQ39" s="46">
        <f t="shared" si="450"/>
        <v>119977.01004001861</v>
      </c>
      <c r="BR39" s="46">
        <f t="shared" si="451"/>
        <v>476919.75530423061</v>
      </c>
      <c r="BS39" s="46">
        <f t="shared" si="452"/>
        <v>124088.72828246094</v>
      </c>
      <c r="BT39" s="46">
        <f t="shared" si="453"/>
        <v>253652.00601569359</v>
      </c>
      <c r="BU39" s="46">
        <f t="shared" si="454"/>
        <v>416333.33769320179</v>
      </c>
      <c r="BV39" s="46">
        <f t="shared" si="455"/>
        <v>-12580.778129293185</v>
      </c>
      <c r="BW39" s="46">
        <f t="shared" si="456"/>
        <v>1930374.8924985868</v>
      </c>
      <c r="BX39" s="46">
        <f t="shared" si="457"/>
        <v>3938957.5948771685</v>
      </c>
      <c r="BY39" s="47">
        <f t="shared" si="458"/>
        <v>3938957.5948771685</v>
      </c>
      <c r="CA39" s="45">
        <f t="shared" si="493"/>
        <v>-448037.90582635498</v>
      </c>
      <c r="CB39" s="46">
        <f t="shared" si="459"/>
        <v>33451.973915096438</v>
      </c>
      <c r="CC39" s="46">
        <f t="shared" si="460"/>
        <v>31902.703002322218</v>
      </c>
      <c r="CD39" s="46">
        <f t="shared" si="461"/>
        <v>192968.2644618687</v>
      </c>
      <c r="CE39" s="46">
        <f t="shared" si="462"/>
        <v>42726.763280657709</v>
      </c>
      <c r="CF39" s="46">
        <f t="shared" si="463"/>
        <v>25702.743550426327</v>
      </c>
      <c r="CG39" s="46">
        <f t="shared" si="464"/>
        <v>36966.289996287</v>
      </c>
      <c r="CH39" s="46">
        <f t="shared" si="465"/>
        <v>0</v>
      </c>
      <c r="CI39" s="46">
        <f t="shared" si="466"/>
        <v>1208.6667174517797</v>
      </c>
      <c r="CJ39" s="46">
        <f t="shared" si="467"/>
        <v>-60174.001534400508</v>
      </c>
      <c r="CK39" s="46">
        <f t="shared" si="468"/>
        <v>675425.79784916469</v>
      </c>
      <c r="CL39" s="46">
        <f t="shared" si="469"/>
        <v>34443.62659715092</v>
      </c>
      <c r="CM39" s="46">
        <f t="shared" si="470"/>
        <v>566584.92200967029</v>
      </c>
      <c r="CN39" s="47">
        <f t="shared" si="471"/>
        <v>566584.92200967029</v>
      </c>
      <c r="CP39" s="45">
        <f t="shared" si="494"/>
        <v>11934.066612334131</v>
      </c>
      <c r="CQ39" s="46">
        <f t="shared" si="472"/>
        <v>143221.20815441461</v>
      </c>
      <c r="CR39" s="46">
        <f t="shared" si="473"/>
        <v>17762.037879441999</v>
      </c>
      <c r="CS39" s="46">
        <f t="shared" si="474"/>
        <v>0</v>
      </c>
      <c r="CT39" s="46">
        <f t="shared" si="475"/>
        <v>87674.555421303303</v>
      </c>
      <c r="CU39" s="46">
        <f t="shared" si="476"/>
        <v>49611.866324079478</v>
      </c>
      <c r="CV39" s="46">
        <f t="shared" si="477"/>
        <v>197211.77531907189</v>
      </c>
      <c r="CW39" s="46">
        <f t="shared" si="478"/>
        <v>51312.108860031047</v>
      </c>
      <c r="CX39" s="46">
        <f t="shared" si="479"/>
        <v>104888.00655298647</v>
      </c>
      <c r="CY39" s="46">
        <f t="shared" si="480"/>
        <v>172158.59845985009</v>
      </c>
      <c r="CZ39" s="46">
        <f t="shared" si="481"/>
        <v>-5202.2956947769208</v>
      </c>
      <c r="DA39" s="46">
        <f t="shared" si="482"/>
        <v>798232.10371766263</v>
      </c>
      <c r="DB39" s="46">
        <f t="shared" si="483"/>
        <v>1628804.0316063985</v>
      </c>
      <c r="DC39" s="47">
        <f t="shared" si="484"/>
        <v>1628804.0316063985</v>
      </c>
      <c r="DE39" s="45">
        <f>[12]职能部门!N51+[12]职能部门!N52</f>
        <v>-4915359.9000000004</v>
      </c>
      <c r="DF39" s="46">
        <f>[12]职能部门!O51+[12]职能部门!O52</f>
        <v>366996.83000000054</v>
      </c>
      <c r="DG39" s="46">
        <f>[12]职能部门!P51+[12]职能部门!P52</f>
        <v>350000</v>
      </c>
      <c r="DH39" s="46">
        <f>[13]职能部门!$Q$51+[13]职能部门!$Q$52</f>
        <v>2117027.2800000003</v>
      </c>
      <c r="DI39" s="46">
        <v>468749.22</v>
      </c>
      <c r="DJ39" s="46">
        <v>281981.13000000006</v>
      </c>
      <c r="DK39" s="46">
        <v>405551.89</v>
      </c>
      <c r="DL39" s="46"/>
      <c r="DM39" s="46">
        <v>13260.11</v>
      </c>
      <c r="DN39" s="46">
        <f>216.979999999996-660377.36</f>
        <v>-660160.38</v>
      </c>
      <c r="DO39" s="46">
        <v>7410000</v>
      </c>
      <c r="DP39" s="46">
        <v>377876.1099999994</v>
      </c>
      <c r="DQ39" s="46">
        <f t="shared" si="485"/>
        <v>6215922.2899999991</v>
      </c>
      <c r="DR39" s="47">
        <f t="shared" si="486"/>
        <v>6215922.2899999991</v>
      </c>
      <c r="DT39" s="45">
        <v>91000</v>
      </c>
      <c r="DU39" s="46">
        <v>1092094.6199999999</v>
      </c>
      <c r="DV39" s="46">
        <v>135439.62</v>
      </c>
      <c r="DW39" s="46">
        <v>0</v>
      </c>
      <c r="DX39" s="46">
        <v>668538.63</v>
      </c>
      <c r="DY39" s="46">
        <v>378301.88</v>
      </c>
      <c r="DZ39" s="46">
        <v>1503785.1</v>
      </c>
      <c r="EA39" s="46">
        <v>391266.62</v>
      </c>
      <c r="EB39" s="46">
        <v>799795.15</v>
      </c>
      <c r="EC39" s="46">
        <v>1312748.8700000001</v>
      </c>
      <c r="ED39" s="46">
        <v>-39668.70000000007</v>
      </c>
      <c r="EE39" s="46">
        <v>6086703.1999999993</v>
      </c>
      <c r="EF39" s="46">
        <f t="shared" si="487"/>
        <v>12420004.989999998</v>
      </c>
      <c r="EG39" s="47">
        <f t="shared" si="488"/>
        <v>12420004.989999998</v>
      </c>
    </row>
    <row r="40" spans="1:148">
      <c r="A40" s="25" t="s">
        <v>46</v>
      </c>
      <c r="B40" s="64">
        <f t="shared" si="391"/>
        <v>-2.3219860998467969E-4</v>
      </c>
      <c r="C40" s="64">
        <f t="shared" si="392"/>
        <v>0</v>
      </c>
      <c r="D40" s="64">
        <f t="shared" si="393"/>
        <v>-2.3219860998467969E-4</v>
      </c>
      <c r="E40" s="64">
        <f t="shared" si="394"/>
        <v>0</v>
      </c>
      <c r="F40" s="43">
        <f t="shared" si="395"/>
        <v>-2.3313229305199599E-4</v>
      </c>
      <c r="G40" s="64">
        <f t="shared" si="396"/>
        <v>0</v>
      </c>
      <c r="H40" s="64">
        <f t="shared" si="397"/>
        <v>-2.3313229305199599E-4</v>
      </c>
      <c r="I40" s="64">
        <f t="shared" si="398"/>
        <v>0</v>
      </c>
      <c r="J40" s="43">
        <f t="shared" si="399"/>
        <v>-4.666909696340437E-5</v>
      </c>
      <c r="K40" s="64">
        <f t="shared" si="400"/>
        <v>0</v>
      </c>
      <c r="L40" s="43">
        <f t="shared" si="401"/>
        <v>-4.666909696340437E-5</v>
      </c>
      <c r="M40" s="64">
        <f t="shared" si="402"/>
        <v>0</v>
      </c>
      <c r="N40" s="43">
        <f t="shared" si="403"/>
        <v>-5.120000000000801E-4</v>
      </c>
      <c r="O40" s="43">
        <f t="shared" si="404"/>
        <v>0</v>
      </c>
      <c r="P40" s="43">
        <f t="shared" si="405"/>
        <v>-5.120000000000801E-4</v>
      </c>
      <c r="Q40" s="44">
        <f t="shared" si="406"/>
        <v>0</v>
      </c>
      <c r="S40" s="45">
        <f t="shared" si="489"/>
        <v>0</v>
      </c>
      <c r="T40" s="46">
        <f t="shared" si="407"/>
        <v>0</v>
      </c>
      <c r="U40" s="46">
        <f t="shared" si="408"/>
        <v>0</v>
      </c>
      <c r="V40" s="46">
        <f t="shared" si="409"/>
        <v>0</v>
      </c>
      <c r="W40" s="46">
        <f t="shared" si="410"/>
        <v>0</v>
      </c>
      <c r="X40" s="46">
        <f t="shared" si="411"/>
        <v>0</v>
      </c>
      <c r="Y40" s="46">
        <f t="shared" si="412"/>
        <v>0</v>
      </c>
      <c r="Z40" s="46">
        <f t="shared" si="413"/>
        <v>0</v>
      </c>
      <c r="AA40" s="46">
        <f t="shared" si="414"/>
        <v>0</v>
      </c>
      <c r="AB40" s="46">
        <f t="shared" si="415"/>
        <v>0</v>
      </c>
      <c r="AC40" s="46">
        <f t="shared" si="416"/>
        <v>0</v>
      </c>
      <c r="AD40" s="46">
        <f t="shared" si="417"/>
        <v>-2.3219860998467969</v>
      </c>
      <c r="AE40" s="72">
        <f t="shared" si="418"/>
        <v>-2.3219860998467969</v>
      </c>
      <c r="AF40" s="47">
        <f t="shared" si="419"/>
        <v>-2.3219860998467969</v>
      </c>
      <c r="AH40" s="45">
        <f t="shared" si="490"/>
        <v>0</v>
      </c>
      <c r="AI40" s="46">
        <f t="shared" si="420"/>
        <v>0</v>
      </c>
      <c r="AJ40" s="46">
        <f t="shared" si="421"/>
        <v>0</v>
      </c>
      <c r="AK40" s="46">
        <f t="shared" si="422"/>
        <v>0</v>
      </c>
      <c r="AL40" s="46">
        <f t="shared" si="423"/>
        <v>0</v>
      </c>
      <c r="AM40" s="46">
        <f t="shared" si="424"/>
        <v>0</v>
      </c>
      <c r="AN40" s="46">
        <f t="shared" si="425"/>
        <v>0</v>
      </c>
      <c r="AO40" s="46">
        <f t="shared" si="426"/>
        <v>0</v>
      </c>
      <c r="AP40" s="46">
        <f t="shared" si="427"/>
        <v>0</v>
      </c>
      <c r="AQ40" s="46">
        <f t="shared" si="428"/>
        <v>0</v>
      </c>
      <c r="AR40" s="46">
        <f t="shared" si="429"/>
        <v>0</v>
      </c>
      <c r="AS40" s="46">
        <f t="shared" si="430"/>
        <v>0</v>
      </c>
      <c r="AT40" s="72">
        <f t="shared" si="431"/>
        <v>0</v>
      </c>
      <c r="AU40" s="47">
        <f t="shared" si="432"/>
        <v>0</v>
      </c>
      <c r="AW40" s="45">
        <f t="shared" si="491"/>
        <v>0</v>
      </c>
      <c r="AX40" s="46">
        <f t="shared" si="433"/>
        <v>0</v>
      </c>
      <c r="AY40" s="46">
        <f t="shared" si="434"/>
        <v>0</v>
      </c>
      <c r="AZ40" s="46">
        <f t="shared" si="435"/>
        <v>0</v>
      </c>
      <c r="BA40" s="46">
        <f t="shared" si="436"/>
        <v>0</v>
      </c>
      <c r="BB40" s="46">
        <f t="shared" si="437"/>
        <v>0</v>
      </c>
      <c r="BC40" s="46">
        <f t="shared" si="438"/>
        <v>0</v>
      </c>
      <c r="BD40" s="46">
        <f t="shared" si="439"/>
        <v>0</v>
      </c>
      <c r="BE40" s="46">
        <f t="shared" si="440"/>
        <v>0</v>
      </c>
      <c r="BF40" s="46">
        <f t="shared" si="441"/>
        <v>0</v>
      </c>
      <c r="BG40" s="46">
        <f t="shared" si="442"/>
        <v>0</v>
      </c>
      <c r="BH40" s="46">
        <f t="shared" si="443"/>
        <v>-2.3313229305199599</v>
      </c>
      <c r="BI40" s="46">
        <f t="shared" si="444"/>
        <v>-2.3313229305199599</v>
      </c>
      <c r="BJ40" s="47">
        <f t="shared" si="445"/>
        <v>-2.3313229305199599</v>
      </c>
      <c r="BL40" s="45">
        <f t="shared" si="492"/>
        <v>0</v>
      </c>
      <c r="BM40" s="46">
        <f t="shared" si="446"/>
        <v>0</v>
      </c>
      <c r="BN40" s="46">
        <f t="shared" si="447"/>
        <v>0</v>
      </c>
      <c r="BO40" s="46">
        <f t="shared" si="448"/>
        <v>0</v>
      </c>
      <c r="BP40" s="46">
        <f t="shared" si="449"/>
        <v>0</v>
      </c>
      <c r="BQ40" s="46">
        <f t="shared" si="450"/>
        <v>0</v>
      </c>
      <c r="BR40" s="46">
        <f t="shared" si="451"/>
        <v>0</v>
      </c>
      <c r="BS40" s="46">
        <f t="shared" si="452"/>
        <v>0</v>
      </c>
      <c r="BT40" s="46">
        <f t="shared" si="453"/>
        <v>0</v>
      </c>
      <c r="BU40" s="46">
        <f t="shared" si="454"/>
        <v>0</v>
      </c>
      <c r="BV40" s="46">
        <f t="shared" si="455"/>
        <v>0</v>
      </c>
      <c r="BW40" s="46">
        <f t="shared" si="456"/>
        <v>0</v>
      </c>
      <c r="BX40" s="46">
        <f t="shared" si="457"/>
        <v>0</v>
      </c>
      <c r="BY40" s="47">
        <f t="shared" si="458"/>
        <v>0</v>
      </c>
      <c r="CA40" s="45">
        <f t="shared" si="493"/>
        <v>0</v>
      </c>
      <c r="CB40" s="46">
        <f t="shared" si="459"/>
        <v>0</v>
      </c>
      <c r="CC40" s="46">
        <f t="shared" si="460"/>
        <v>0</v>
      </c>
      <c r="CD40" s="46">
        <f t="shared" si="461"/>
        <v>0</v>
      </c>
      <c r="CE40" s="46">
        <f t="shared" si="462"/>
        <v>0</v>
      </c>
      <c r="CF40" s="46">
        <f t="shared" si="463"/>
        <v>0</v>
      </c>
      <c r="CG40" s="46">
        <f t="shared" si="464"/>
        <v>0</v>
      </c>
      <c r="CH40" s="46">
        <f t="shared" si="465"/>
        <v>0</v>
      </c>
      <c r="CI40" s="46">
        <f t="shared" si="466"/>
        <v>0</v>
      </c>
      <c r="CJ40" s="46">
        <f t="shared" si="467"/>
        <v>0</v>
      </c>
      <c r="CK40" s="46">
        <f t="shared" si="468"/>
        <v>0</v>
      </c>
      <c r="CL40" s="46">
        <f t="shared" si="469"/>
        <v>-0.46669096963404372</v>
      </c>
      <c r="CM40" s="46">
        <f t="shared" si="470"/>
        <v>-0.46669096963404372</v>
      </c>
      <c r="CN40" s="47">
        <f t="shared" si="471"/>
        <v>-0.46669096963404372</v>
      </c>
      <c r="CP40" s="45">
        <f t="shared" si="494"/>
        <v>0</v>
      </c>
      <c r="CQ40" s="46">
        <f t="shared" si="472"/>
        <v>0</v>
      </c>
      <c r="CR40" s="46">
        <f t="shared" si="473"/>
        <v>0</v>
      </c>
      <c r="CS40" s="46">
        <f t="shared" si="474"/>
        <v>0</v>
      </c>
      <c r="CT40" s="46">
        <f t="shared" si="475"/>
        <v>0</v>
      </c>
      <c r="CU40" s="46">
        <f t="shared" si="476"/>
        <v>0</v>
      </c>
      <c r="CV40" s="46">
        <f t="shared" si="477"/>
        <v>0</v>
      </c>
      <c r="CW40" s="46">
        <f t="shared" si="478"/>
        <v>0</v>
      </c>
      <c r="CX40" s="46">
        <f t="shared" si="479"/>
        <v>0</v>
      </c>
      <c r="CY40" s="46">
        <f t="shared" si="480"/>
        <v>0</v>
      </c>
      <c r="CZ40" s="46">
        <f t="shared" si="481"/>
        <v>0</v>
      </c>
      <c r="DA40" s="46">
        <f t="shared" si="482"/>
        <v>0</v>
      </c>
      <c r="DB40" s="46">
        <f t="shared" si="483"/>
        <v>0</v>
      </c>
      <c r="DC40" s="47">
        <f t="shared" si="484"/>
        <v>0</v>
      </c>
      <c r="DE40" s="45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>
        <v>-5.1200000000008004</v>
      </c>
      <c r="DQ40" s="46">
        <f t="shared" si="485"/>
        <v>-5.1200000000008004</v>
      </c>
      <c r="DR40" s="47">
        <f t="shared" si="486"/>
        <v>-5.1200000000008004</v>
      </c>
      <c r="DT40" s="45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>
        <f t="shared" si="487"/>
        <v>0</v>
      </c>
      <c r="EG40" s="47">
        <f t="shared" si="488"/>
        <v>0</v>
      </c>
    </row>
    <row r="41" spans="1:148">
      <c r="A41" s="25" t="s">
        <v>47</v>
      </c>
      <c r="B41" s="64">
        <f t="shared" si="391"/>
        <v>0</v>
      </c>
      <c r="C41" s="64">
        <f t="shared" si="392"/>
        <v>0</v>
      </c>
      <c r="D41" s="64">
        <f t="shared" si="393"/>
        <v>-12.835271135434471</v>
      </c>
      <c r="E41" s="64">
        <f t="shared" si="394"/>
        <v>0</v>
      </c>
      <c r="F41" s="43">
        <f t="shared" si="395"/>
        <v>0</v>
      </c>
      <c r="G41" s="64">
        <f t="shared" si="396"/>
        <v>0</v>
      </c>
      <c r="H41" s="64">
        <f t="shared" si="397"/>
        <v>-12.886882449233287</v>
      </c>
      <c r="I41" s="64">
        <f t="shared" si="398"/>
        <v>0</v>
      </c>
      <c r="J41" s="43">
        <f t="shared" si="399"/>
        <v>0</v>
      </c>
      <c r="K41" s="64">
        <f t="shared" si="400"/>
        <v>0</v>
      </c>
      <c r="L41" s="43">
        <f t="shared" si="401"/>
        <v>-2.5797334153322407</v>
      </c>
      <c r="M41" s="64">
        <f t="shared" si="402"/>
        <v>0</v>
      </c>
      <c r="N41" s="43">
        <f t="shared" si="403"/>
        <v>0</v>
      </c>
      <c r="O41" s="43">
        <f t="shared" si="404"/>
        <v>0</v>
      </c>
      <c r="P41" s="43">
        <f t="shared" si="405"/>
        <v>-28.301887000000001</v>
      </c>
      <c r="Q41" s="44">
        <f t="shared" si="406"/>
        <v>0</v>
      </c>
      <c r="S41" s="45">
        <f t="shared" si="489"/>
        <v>0</v>
      </c>
      <c r="T41" s="46">
        <f t="shared" si="407"/>
        <v>0</v>
      </c>
      <c r="U41" s="46">
        <f t="shared" si="408"/>
        <v>0</v>
      </c>
      <c r="V41" s="46">
        <f t="shared" si="409"/>
        <v>0</v>
      </c>
      <c r="W41" s="46">
        <f t="shared" si="410"/>
        <v>0</v>
      </c>
      <c r="X41" s="46">
        <f t="shared" si="411"/>
        <v>0</v>
      </c>
      <c r="Y41" s="46">
        <f t="shared" si="412"/>
        <v>0</v>
      </c>
      <c r="Z41" s="46">
        <f t="shared" si="413"/>
        <v>0</v>
      </c>
      <c r="AA41" s="46">
        <f t="shared" si="414"/>
        <v>0</v>
      </c>
      <c r="AB41" s="46">
        <f t="shared" si="415"/>
        <v>0</v>
      </c>
      <c r="AC41" s="46">
        <f t="shared" si="416"/>
        <v>-128352.71135434472</v>
      </c>
      <c r="AD41" s="46">
        <f t="shared" si="417"/>
        <v>0</v>
      </c>
      <c r="AE41" s="72">
        <f t="shared" si="418"/>
        <v>-128352.71135434472</v>
      </c>
      <c r="AF41" s="47">
        <f t="shared" si="419"/>
        <v>-128352.71135434472</v>
      </c>
      <c r="AH41" s="45">
        <f t="shared" si="490"/>
        <v>0</v>
      </c>
      <c r="AI41" s="46">
        <f t="shared" si="420"/>
        <v>0</v>
      </c>
      <c r="AJ41" s="46">
        <f t="shared" si="421"/>
        <v>0</v>
      </c>
      <c r="AK41" s="46">
        <f t="shared" si="422"/>
        <v>0</v>
      </c>
      <c r="AL41" s="46">
        <f t="shared" si="423"/>
        <v>0</v>
      </c>
      <c r="AM41" s="46">
        <f t="shared" si="424"/>
        <v>0</v>
      </c>
      <c r="AN41" s="46">
        <f t="shared" si="425"/>
        <v>0</v>
      </c>
      <c r="AO41" s="46">
        <f t="shared" si="426"/>
        <v>0</v>
      </c>
      <c r="AP41" s="46">
        <f t="shared" si="427"/>
        <v>0</v>
      </c>
      <c r="AQ41" s="46">
        <f t="shared" si="428"/>
        <v>0</v>
      </c>
      <c r="AR41" s="46">
        <f t="shared" si="429"/>
        <v>0</v>
      </c>
      <c r="AS41" s="46">
        <f t="shared" si="430"/>
        <v>0</v>
      </c>
      <c r="AT41" s="72">
        <f t="shared" si="431"/>
        <v>0</v>
      </c>
      <c r="AU41" s="47">
        <f t="shared" si="432"/>
        <v>0</v>
      </c>
      <c r="AW41" s="45">
        <f t="shared" si="491"/>
        <v>0</v>
      </c>
      <c r="AX41" s="46">
        <f t="shared" si="433"/>
        <v>0</v>
      </c>
      <c r="AY41" s="46">
        <f t="shared" si="434"/>
        <v>0</v>
      </c>
      <c r="AZ41" s="46">
        <f t="shared" si="435"/>
        <v>0</v>
      </c>
      <c r="BA41" s="46">
        <f t="shared" si="436"/>
        <v>0</v>
      </c>
      <c r="BB41" s="46">
        <f t="shared" si="437"/>
        <v>0</v>
      </c>
      <c r="BC41" s="46">
        <f t="shared" si="438"/>
        <v>0</v>
      </c>
      <c r="BD41" s="46">
        <f t="shared" si="439"/>
        <v>0</v>
      </c>
      <c r="BE41" s="46">
        <f t="shared" si="440"/>
        <v>0</v>
      </c>
      <c r="BF41" s="46">
        <f t="shared" si="441"/>
        <v>0</v>
      </c>
      <c r="BG41" s="46">
        <f t="shared" si="442"/>
        <v>-128868.82449233287</v>
      </c>
      <c r="BH41" s="46">
        <f t="shared" si="443"/>
        <v>0</v>
      </c>
      <c r="BI41" s="46">
        <f t="shared" si="444"/>
        <v>-128868.82449233287</v>
      </c>
      <c r="BJ41" s="47">
        <f t="shared" si="445"/>
        <v>-128868.82449233287</v>
      </c>
      <c r="BL41" s="45">
        <f t="shared" si="492"/>
        <v>0</v>
      </c>
      <c r="BM41" s="46">
        <f t="shared" si="446"/>
        <v>0</v>
      </c>
      <c r="BN41" s="46">
        <f t="shared" si="447"/>
        <v>0</v>
      </c>
      <c r="BO41" s="46">
        <f t="shared" si="448"/>
        <v>0</v>
      </c>
      <c r="BP41" s="46">
        <f t="shared" si="449"/>
        <v>0</v>
      </c>
      <c r="BQ41" s="46">
        <f t="shared" si="450"/>
        <v>0</v>
      </c>
      <c r="BR41" s="46">
        <f t="shared" si="451"/>
        <v>0</v>
      </c>
      <c r="BS41" s="46">
        <f t="shared" si="452"/>
        <v>0</v>
      </c>
      <c r="BT41" s="46">
        <f t="shared" si="453"/>
        <v>0</v>
      </c>
      <c r="BU41" s="46">
        <f t="shared" si="454"/>
        <v>0</v>
      </c>
      <c r="BV41" s="46">
        <f t="shared" si="455"/>
        <v>0</v>
      </c>
      <c r="BW41" s="46">
        <f t="shared" si="456"/>
        <v>0</v>
      </c>
      <c r="BX41" s="46">
        <f t="shared" si="457"/>
        <v>0</v>
      </c>
      <c r="BY41" s="47">
        <f t="shared" si="458"/>
        <v>0</v>
      </c>
      <c r="CA41" s="45">
        <f t="shared" si="493"/>
        <v>0</v>
      </c>
      <c r="CB41" s="46">
        <f t="shared" si="459"/>
        <v>0</v>
      </c>
      <c r="CC41" s="46">
        <f t="shared" si="460"/>
        <v>0</v>
      </c>
      <c r="CD41" s="46">
        <f t="shared" si="461"/>
        <v>0</v>
      </c>
      <c r="CE41" s="46">
        <f t="shared" si="462"/>
        <v>0</v>
      </c>
      <c r="CF41" s="46">
        <f t="shared" si="463"/>
        <v>0</v>
      </c>
      <c r="CG41" s="46">
        <f t="shared" si="464"/>
        <v>0</v>
      </c>
      <c r="CH41" s="46">
        <f t="shared" si="465"/>
        <v>0</v>
      </c>
      <c r="CI41" s="46">
        <f t="shared" si="466"/>
        <v>0</v>
      </c>
      <c r="CJ41" s="46">
        <f t="shared" si="467"/>
        <v>0</v>
      </c>
      <c r="CK41" s="46">
        <f t="shared" si="468"/>
        <v>-25797.334153322405</v>
      </c>
      <c r="CL41" s="46">
        <f t="shared" si="469"/>
        <v>0</v>
      </c>
      <c r="CM41" s="46">
        <f t="shared" si="470"/>
        <v>-25797.334153322405</v>
      </c>
      <c r="CN41" s="47">
        <f t="shared" si="471"/>
        <v>-25797.334153322405</v>
      </c>
      <c r="CP41" s="45">
        <f t="shared" si="494"/>
        <v>0</v>
      </c>
      <c r="CQ41" s="46">
        <f t="shared" si="472"/>
        <v>0</v>
      </c>
      <c r="CR41" s="46">
        <f t="shared" si="473"/>
        <v>0</v>
      </c>
      <c r="CS41" s="46">
        <f t="shared" si="474"/>
        <v>0</v>
      </c>
      <c r="CT41" s="46">
        <f t="shared" si="475"/>
        <v>0</v>
      </c>
      <c r="CU41" s="46">
        <f t="shared" si="476"/>
        <v>0</v>
      </c>
      <c r="CV41" s="46">
        <f t="shared" si="477"/>
        <v>0</v>
      </c>
      <c r="CW41" s="46">
        <f t="shared" si="478"/>
        <v>0</v>
      </c>
      <c r="CX41" s="46">
        <f t="shared" si="479"/>
        <v>0</v>
      </c>
      <c r="CY41" s="46">
        <f t="shared" si="480"/>
        <v>0</v>
      </c>
      <c r="CZ41" s="46">
        <f t="shared" si="481"/>
        <v>0</v>
      </c>
      <c r="DA41" s="46">
        <f t="shared" si="482"/>
        <v>0</v>
      </c>
      <c r="DB41" s="46">
        <f t="shared" si="483"/>
        <v>0</v>
      </c>
      <c r="DC41" s="47">
        <f t="shared" si="484"/>
        <v>0</v>
      </c>
      <c r="DE41" s="45"/>
      <c r="DF41" s="46"/>
      <c r="DG41" s="46"/>
      <c r="DH41" s="46"/>
      <c r="DI41" s="46"/>
      <c r="DJ41" s="46"/>
      <c r="DK41" s="46"/>
      <c r="DL41" s="46"/>
      <c r="DM41" s="46"/>
      <c r="DN41" s="46"/>
      <c r="DO41" s="46">
        <v>-283018.87</v>
      </c>
      <c r="DP41" s="46"/>
      <c r="DQ41" s="46">
        <f t="shared" si="485"/>
        <v>-283018.87</v>
      </c>
      <c r="DR41" s="47">
        <f t="shared" si="486"/>
        <v>-283018.87</v>
      </c>
      <c r="DT41" s="45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>
        <f t="shared" si="487"/>
        <v>0</v>
      </c>
      <c r="EG41" s="47">
        <f t="shared" si="488"/>
        <v>0</v>
      </c>
    </row>
    <row r="42" spans="1:148">
      <c r="A42" s="25" t="s">
        <v>78</v>
      </c>
      <c r="B42" s="64">
        <f t="shared" si="391"/>
        <v>4.1917323003053362</v>
      </c>
      <c r="C42" s="65">
        <f t="shared" si="392"/>
        <v>149.98412380389487</v>
      </c>
      <c r="D42" s="64">
        <f t="shared" si="393"/>
        <v>193.98556727962693</v>
      </c>
      <c r="E42" s="65">
        <f t="shared" si="394"/>
        <v>175.13550744150359</v>
      </c>
      <c r="F42" s="43">
        <f t="shared" si="395"/>
        <v>4.2085874807552788</v>
      </c>
      <c r="G42" s="65">
        <f t="shared" si="396"/>
        <v>86.217180597212817</v>
      </c>
      <c r="H42" s="64">
        <f t="shared" si="397"/>
        <v>194.76559365224253</v>
      </c>
      <c r="I42" s="65">
        <f t="shared" si="398"/>
        <v>100.67525342756649</v>
      </c>
      <c r="J42" s="43">
        <f t="shared" si="399"/>
        <v>0.84248721893938527</v>
      </c>
      <c r="K42" s="65">
        <f t="shared" si="400"/>
        <v>35.651790598892283</v>
      </c>
      <c r="L42" s="43">
        <f t="shared" si="401"/>
        <v>38.988740068130589</v>
      </c>
      <c r="M42" s="65">
        <f t="shared" si="402"/>
        <v>41.630369130929864</v>
      </c>
      <c r="N42" s="43">
        <f t="shared" ref="N42" si="495">B42+F42+J42</f>
        <v>9.2428070000000009</v>
      </c>
      <c r="O42" s="43">
        <f t="shared" ref="O42" si="496">C42+G42+K42</f>
        <v>271.85309499999994</v>
      </c>
      <c r="P42" s="43">
        <f t="shared" ref="P42" si="497">D42+H42+L42</f>
        <v>427.73990100000003</v>
      </c>
      <c r="Q42" s="44">
        <f t="shared" ref="Q42" si="498">E42+I42+M42</f>
        <v>317.44112999999993</v>
      </c>
      <c r="S42" s="45">
        <f t="shared" si="489"/>
        <v>32583.229129933174</v>
      </c>
      <c r="T42" s="46">
        <f t="shared" si="407"/>
        <v>365.54047581996559</v>
      </c>
      <c r="U42" s="46">
        <f t="shared" si="408"/>
        <v>395865.95441864239</v>
      </c>
      <c r="V42" s="46">
        <f t="shared" si="409"/>
        <v>87202.509973899025</v>
      </c>
      <c r="W42" s="46">
        <f t="shared" si="410"/>
        <v>-31445.505827428533</v>
      </c>
      <c r="X42" s="46">
        <f t="shared" si="411"/>
        <v>1305250.0508740703</v>
      </c>
      <c r="Y42" s="46">
        <f t="shared" si="412"/>
        <v>15212.174474106763</v>
      </c>
      <c r="Z42" s="46">
        <f t="shared" si="413"/>
        <v>-52419.23076026488</v>
      </c>
      <c r="AA42" s="46">
        <f t="shared" si="414"/>
        <v>174870.23802613464</v>
      </c>
      <c r="AB42" s="46">
        <f t="shared" si="415"/>
        <v>-30162.708280103572</v>
      </c>
      <c r="AC42" s="46">
        <f t="shared" si="416"/>
        <v>616.09728840651962</v>
      </c>
      <c r="AD42" s="46">
        <f t="shared" si="417"/>
        <v>41917.32300305336</v>
      </c>
      <c r="AE42" s="72">
        <f t="shared" si="418"/>
        <v>1939855.6727962694</v>
      </c>
      <c r="AF42" s="47">
        <f t="shared" si="419"/>
        <v>1939855.6727962694</v>
      </c>
      <c r="AH42" s="45">
        <f t="shared" si="490"/>
        <v>0</v>
      </c>
      <c r="AI42" s="46">
        <f t="shared" si="420"/>
        <v>0</v>
      </c>
      <c r="AJ42" s="46">
        <f t="shared" si="421"/>
        <v>0</v>
      </c>
      <c r="AK42" s="46">
        <f t="shared" si="422"/>
        <v>0</v>
      </c>
      <c r="AL42" s="46">
        <f t="shared" si="423"/>
        <v>0</v>
      </c>
      <c r="AM42" s="46">
        <f t="shared" si="424"/>
        <v>1598.0561626645147</v>
      </c>
      <c r="AN42" s="46">
        <f t="shared" si="425"/>
        <v>236872.82710067023</v>
      </c>
      <c r="AO42" s="46">
        <f t="shared" si="426"/>
        <v>17919.949852183512</v>
      </c>
      <c r="AP42" s="46">
        <f t="shared" si="427"/>
        <v>-9725.3155829734897</v>
      </c>
      <c r="AQ42" s="46">
        <f t="shared" si="428"/>
        <v>23707.036693566064</v>
      </c>
      <c r="AR42" s="46">
        <f t="shared" si="429"/>
        <v>-18858.717850023542</v>
      </c>
      <c r="AS42" s="46">
        <f t="shared" si="430"/>
        <v>1499841.2380389487</v>
      </c>
      <c r="AT42" s="72">
        <f t="shared" si="431"/>
        <v>1751355.074415036</v>
      </c>
      <c r="AU42" s="47">
        <f t="shared" ref="AU42" si="499">SUM(AH42:AS42)</f>
        <v>1751355.074415036</v>
      </c>
      <c r="AW42" s="45">
        <f t="shared" si="491"/>
        <v>32714.248042230331</v>
      </c>
      <c r="AX42" s="46">
        <f t="shared" si="433"/>
        <v>367.01033368308697</v>
      </c>
      <c r="AY42" s="46">
        <f t="shared" si="434"/>
        <v>397457.75265805505</v>
      </c>
      <c r="AZ42" s="46">
        <f t="shared" si="435"/>
        <v>87553.155944585407</v>
      </c>
      <c r="BA42" s="46">
        <f t="shared" si="436"/>
        <v>-31571.949893291814</v>
      </c>
      <c r="BB42" s="46">
        <f t="shared" si="437"/>
        <v>1310498.5313503109</v>
      </c>
      <c r="BC42" s="46">
        <f t="shared" si="438"/>
        <v>15273.34344374216</v>
      </c>
      <c r="BD42" s="46">
        <f t="shared" si="439"/>
        <v>-52630.011299243262</v>
      </c>
      <c r="BE42" s="46">
        <f t="shared" si="440"/>
        <v>175573.40063435756</v>
      </c>
      <c r="BF42" s="46">
        <f t="shared" si="441"/>
        <v>-30283.994148211874</v>
      </c>
      <c r="BG42" s="46">
        <f t="shared" si="442"/>
        <v>618.57464865446684</v>
      </c>
      <c r="BH42" s="46">
        <f t="shared" si="443"/>
        <v>42085.874807552791</v>
      </c>
      <c r="BI42" s="46">
        <f t="shared" si="444"/>
        <v>1947655.9365224252</v>
      </c>
      <c r="BJ42" s="47">
        <f t="shared" ref="BJ42" si="500">SUM(AW42:BH42)</f>
        <v>1947655.9365224252</v>
      </c>
      <c r="BL42" s="45">
        <f t="shared" si="492"/>
        <v>0</v>
      </c>
      <c r="BM42" s="46">
        <f t="shared" si="446"/>
        <v>0</v>
      </c>
      <c r="BN42" s="46">
        <f t="shared" si="447"/>
        <v>0</v>
      </c>
      <c r="BO42" s="46">
        <f t="shared" si="448"/>
        <v>0</v>
      </c>
      <c r="BP42" s="46">
        <f t="shared" si="449"/>
        <v>0</v>
      </c>
      <c r="BQ42" s="46">
        <f t="shared" si="450"/>
        <v>918.62987419310718</v>
      </c>
      <c r="BR42" s="46">
        <f t="shared" si="451"/>
        <v>136164.46057593002</v>
      </c>
      <c r="BS42" s="46">
        <f t="shared" si="452"/>
        <v>10301.140637517137</v>
      </c>
      <c r="BT42" s="46">
        <f t="shared" si="453"/>
        <v>-5590.5203078590048</v>
      </c>
      <c r="BU42" s="46">
        <f t="shared" si="454"/>
        <v>13627.801477884539</v>
      </c>
      <c r="BV42" s="46">
        <f t="shared" si="455"/>
        <v>-10840.783954129</v>
      </c>
      <c r="BW42" s="46">
        <f t="shared" si="456"/>
        <v>862171.80597212818</v>
      </c>
      <c r="BX42" s="46">
        <f t="shared" si="457"/>
        <v>1006752.5342756649</v>
      </c>
      <c r="BY42" s="47">
        <f t="shared" ref="BY42" si="501">SUM(BL42:BW42)</f>
        <v>1006752.5342756649</v>
      </c>
      <c r="CA42" s="45">
        <f t="shared" si="493"/>
        <v>6548.8328278364934</v>
      </c>
      <c r="CB42" s="46">
        <f t="shared" si="459"/>
        <v>73.469190496947917</v>
      </c>
      <c r="CC42" s="46">
        <f t="shared" si="460"/>
        <v>79564.242923302532</v>
      </c>
      <c r="CD42" s="46">
        <f t="shared" si="461"/>
        <v>17526.644081515577</v>
      </c>
      <c r="CE42" s="46">
        <f t="shared" si="462"/>
        <v>-6320.1642792796483</v>
      </c>
      <c r="CF42" s="46">
        <f t="shared" si="463"/>
        <v>262339.38777561841</v>
      </c>
      <c r="CG42" s="46">
        <f t="shared" si="464"/>
        <v>3057.4620821509425</v>
      </c>
      <c r="CH42" s="46">
        <f t="shared" si="465"/>
        <v>-10535.627940491459</v>
      </c>
      <c r="CI42" s="46">
        <f t="shared" si="466"/>
        <v>35146.791339507748</v>
      </c>
      <c r="CJ42" s="46">
        <f t="shared" si="467"/>
        <v>-6062.3375716844739</v>
      </c>
      <c r="CK42" s="46">
        <f t="shared" si="468"/>
        <v>123.82806293901352</v>
      </c>
      <c r="CL42" s="46">
        <f t="shared" si="469"/>
        <v>8424.8721893938528</v>
      </c>
      <c r="CM42" s="46">
        <f t="shared" si="470"/>
        <v>389887.40068130591</v>
      </c>
      <c r="CN42" s="47">
        <f t="shared" ref="CN42" si="502">SUM(CA42:CL42)</f>
        <v>389887.40068130591</v>
      </c>
      <c r="CP42" s="45">
        <f t="shared" si="494"/>
        <v>0</v>
      </c>
      <c r="CQ42" s="46">
        <f t="shared" si="472"/>
        <v>0</v>
      </c>
      <c r="CR42" s="46">
        <f t="shared" si="473"/>
        <v>0</v>
      </c>
      <c r="CS42" s="46">
        <f t="shared" si="474"/>
        <v>0</v>
      </c>
      <c r="CT42" s="46">
        <f t="shared" si="475"/>
        <v>0</v>
      </c>
      <c r="CU42" s="46">
        <f t="shared" si="476"/>
        <v>379.86396314237834</v>
      </c>
      <c r="CV42" s="46">
        <f t="shared" si="477"/>
        <v>56305.56232339979</v>
      </c>
      <c r="CW42" s="46">
        <f t="shared" si="478"/>
        <v>4259.6395102993338</v>
      </c>
      <c r="CX42" s="46">
        <f t="shared" si="479"/>
        <v>-2311.7441091675796</v>
      </c>
      <c r="CY42" s="46">
        <f t="shared" si="480"/>
        <v>5635.2518285493661</v>
      </c>
      <c r="CZ42" s="46">
        <f t="shared" si="481"/>
        <v>-4482.78819584751</v>
      </c>
      <c r="DA42" s="46">
        <f t="shared" si="482"/>
        <v>356517.90598892287</v>
      </c>
      <c r="DB42" s="46">
        <f t="shared" si="483"/>
        <v>416303.69130929862</v>
      </c>
      <c r="DC42" s="47">
        <f t="shared" ref="DC42" si="503">SUM(CP42:DA42)</f>
        <v>416303.69130929862</v>
      </c>
      <c r="DE42" s="45">
        <v>71846.31</v>
      </c>
      <c r="DF42" s="46">
        <v>806.02000000000044</v>
      </c>
      <c r="DG42" s="46">
        <v>872887.95</v>
      </c>
      <c r="DH42" s="46">
        <v>192282.31</v>
      </c>
      <c r="DI42" s="46">
        <v>-69337.62</v>
      </c>
      <c r="DJ42" s="46">
        <v>2878087.9699999997</v>
      </c>
      <c r="DK42" s="46">
        <v>33542.979999999865</v>
      </c>
      <c r="DL42" s="46">
        <v>-115584.8699999996</v>
      </c>
      <c r="DM42" s="46">
        <v>385590.42999999993</v>
      </c>
      <c r="DN42" s="46">
        <v>-66509.039999999921</v>
      </c>
      <c r="DO42" s="46">
        <v>1358.5</v>
      </c>
      <c r="DP42" s="46">
        <v>92428.07</v>
      </c>
      <c r="DQ42" s="46">
        <f t="shared" si="485"/>
        <v>4277399.01</v>
      </c>
      <c r="DR42" s="47">
        <f t="shared" ref="DR42:DR43" si="504">SUM(DE42:DP42)</f>
        <v>4277399.01</v>
      </c>
      <c r="DT42" s="45"/>
      <c r="DU42" s="46"/>
      <c r="DV42" s="46"/>
      <c r="DW42" s="46"/>
      <c r="DX42" s="46"/>
      <c r="DY42" s="46">
        <v>2896.55</v>
      </c>
      <c r="DZ42" s="46">
        <v>429342.85000000003</v>
      </c>
      <c r="EA42" s="46">
        <v>32480.729999999981</v>
      </c>
      <c r="EB42" s="46">
        <v>-17627.580000000075</v>
      </c>
      <c r="EC42" s="46">
        <v>42970.089999999967</v>
      </c>
      <c r="ED42" s="46">
        <v>-34182.290000000052</v>
      </c>
      <c r="EE42" s="46">
        <v>2718530.9499999997</v>
      </c>
      <c r="EF42" s="46">
        <f t="shared" si="487"/>
        <v>3174411.3</v>
      </c>
      <c r="EG42" s="47">
        <f t="shared" si="488"/>
        <v>3174411.3</v>
      </c>
    </row>
    <row r="43" spans="1:148">
      <c r="A43" s="25" t="s">
        <v>51</v>
      </c>
      <c r="B43" s="64">
        <f t="shared" si="391"/>
        <v>0.4888438333896426</v>
      </c>
      <c r="C43" s="65">
        <f t="shared" si="392"/>
        <v>6.3554862688342233</v>
      </c>
      <c r="D43" s="64">
        <f t="shared" si="393"/>
        <v>6.8857826591838984</v>
      </c>
      <c r="E43" s="65">
        <f t="shared" si="394"/>
        <v>20.0214034989433</v>
      </c>
      <c r="F43" s="43">
        <f t="shared" si="395"/>
        <v>0.49080950066830548</v>
      </c>
      <c r="G43" s="65">
        <f t="shared" si="396"/>
        <v>3.6534007301975309</v>
      </c>
      <c r="H43" s="64">
        <f t="shared" si="397"/>
        <v>6.9134707606523937</v>
      </c>
      <c r="I43" s="65">
        <f t="shared" si="398"/>
        <v>11.509144551426429</v>
      </c>
      <c r="J43" s="43">
        <f t="shared" si="399"/>
        <v>9.82516659420518E-2</v>
      </c>
      <c r="K43" s="65">
        <f t="shared" si="400"/>
        <v>1.5107230009682457</v>
      </c>
      <c r="L43" s="43">
        <f t="shared" si="401"/>
        <v>1.3839585801636984</v>
      </c>
      <c r="M43" s="65">
        <f t="shared" si="402"/>
        <v>4.7591629496302703</v>
      </c>
      <c r="N43" s="43">
        <f t="shared" si="403"/>
        <v>1.0779049999999999</v>
      </c>
      <c r="O43" s="43">
        <f t="shared" si="404"/>
        <v>11.51961</v>
      </c>
      <c r="P43" s="43">
        <f t="shared" si="405"/>
        <v>15.18321199999999</v>
      </c>
      <c r="Q43" s="44">
        <f t="shared" si="406"/>
        <v>36.289711000000004</v>
      </c>
      <c r="S43" s="45">
        <f t="shared" si="489"/>
        <v>-6085.7940489535604</v>
      </c>
      <c r="T43" s="46">
        <f t="shared" si="407"/>
        <v>-5804.5933690297843</v>
      </c>
      <c r="U43" s="46">
        <f t="shared" si="408"/>
        <v>9769.5977855853271</v>
      </c>
      <c r="V43" s="46">
        <f t="shared" si="409"/>
        <v>27178.552515310927</v>
      </c>
      <c r="W43" s="46">
        <f t="shared" si="410"/>
        <v>4888.4383338964262</v>
      </c>
      <c r="X43" s="46">
        <f t="shared" si="411"/>
        <v>4990.5240899658475</v>
      </c>
      <c r="Y43" s="46">
        <f t="shared" si="412"/>
        <v>5029.1497845212571</v>
      </c>
      <c r="Z43" s="46">
        <f t="shared" si="413"/>
        <v>4888.4383338964262</v>
      </c>
      <c r="AA43" s="46">
        <f t="shared" si="414"/>
        <v>9303.1642926495733</v>
      </c>
      <c r="AB43" s="46">
        <f t="shared" si="415"/>
        <v>4923.4722062036799</v>
      </c>
      <c r="AC43" s="46">
        <f t="shared" si="416"/>
        <v>4888.4383338964262</v>
      </c>
      <c r="AD43" s="46">
        <f t="shared" si="417"/>
        <v>4888.4383338964262</v>
      </c>
      <c r="AE43" s="72">
        <f t="shared" si="418"/>
        <v>68857.826591838981</v>
      </c>
      <c r="AF43" s="47">
        <f t="shared" si="419"/>
        <v>68857.826591838981</v>
      </c>
      <c r="AH43" s="45">
        <f t="shared" si="490"/>
        <v>-905.35642848646444</v>
      </c>
      <c r="AI43" s="46">
        <f t="shared" si="420"/>
        <v>-165513.05822421651</v>
      </c>
      <c r="AJ43" s="46">
        <f t="shared" si="421"/>
        <v>1070.3177765166001</v>
      </c>
      <c r="AK43" s="46">
        <f t="shared" si="422"/>
        <v>238004.0647168172</v>
      </c>
      <c r="AL43" s="46">
        <f t="shared" si="423"/>
        <v>0</v>
      </c>
      <c r="AM43" s="46">
        <f t="shared" si="424"/>
        <v>4108.1996181832783</v>
      </c>
      <c r="AN43" s="46">
        <f t="shared" si="425"/>
        <v>5425.5235656917575</v>
      </c>
      <c r="AO43" s="46">
        <f t="shared" si="426"/>
        <v>3860.3438134925136</v>
      </c>
      <c r="AP43" s="46">
        <f t="shared" si="427"/>
        <v>3524.1481725255449</v>
      </c>
      <c r="AQ43" s="46">
        <f t="shared" si="428"/>
        <v>3733.6601187276988</v>
      </c>
      <c r="AR43" s="46">
        <f t="shared" si="429"/>
        <v>43351.329171839185</v>
      </c>
      <c r="AS43" s="46">
        <f t="shared" si="430"/>
        <v>63554.862688342233</v>
      </c>
      <c r="AT43" s="72">
        <f t="shared" si="431"/>
        <v>200214.03498943301</v>
      </c>
      <c r="AU43" s="47">
        <f t="shared" si="432"/>
        <v>200214.03498943301</v>
      </c>
      <c r="AW43" s="45">
        <f t="shared" si="491"/>
        <v>-6110.2653533039911</v>
      </c>
      <c r="AX43" s="46">
        <f t="shared" si="433"/>
        <v>-5827.9339503608999</v>
      </c>
      <c r="AY43" s="46">
        <f t="shared" si="434"/>
        <v>9808.8818623827428</v>
      </c>
      <c r="AZ43" s="46">
        <f t="shared" si="435"/>
        <v>27287.838933000447</v>
      </c>
      <c r="BA43" s="46">
        <f t="shared" si="436"/>
        <v>4908.0950066830546</v>
      </c>
      <c r="BB43" s="46">
        <f t="shared" si="437"/>
        <v>5010.5912550541416</v>
      </c>
      <c r="BC43" s="46">
        <f t="shared" si="438"/>
        <v>5049.3722655994789</v>
      </c>
      <c r="BD43" s="46">
        <f t="shared" si="439"/>
        <v>4908.0950066830546</v>
      </c>
      <c r="BE43" s="46">
        <f t="shared" si="440"/>
        <v>9340.5728153495202</v>
      </c>
      <c r="BF43" s="46">
        <f t="shared" si="441"/>
        <v>4943.2697520702886</v>
      </c>
      <c r="BG43" s="46">
        <f t="shared" si="442"/>
        <v>4908.0950066830546</v>
      </c>
      <c r="BH43" s="46">
        <f t="shared" si="443"/>
        <v>4908.0950066830546</v>
      </c>
      <c r="BI43" s="46">
        <f t="shared" si="444"/>
        <v>69134.707606523938</v>
      </c>
      <c r="BJ43" s="47">
        <f t="shared" si="445"/>
        <v>69134.707606523938</v>
      </c>
      <c r="BL43" s="45">
        <f t="shared" si="492"/>
        <v>-520.43694172408163</v>
      </c>
      <c r="BM43" s="46">
        <f t="shared" si="446"/>
        <v>-95143.865031824796</v>
      </c>
      <c r="BN43" s="46">
        <f t="shared" si="447"/>
        <v>615.26366053913375</v>
      </c>
      <c r="BO43" s="46">
        <f t="shared" si="448"/>
        <v>136814.74352172521</v>
      </c>
      <c r="BP43" s="46">
        <f t="shared" si="449"/>
        <v>0</v>
      </c>
      <c r="BQ43" s="46">
        <f t="shared" si="450"/>
        <v>2361.5658739549231</v>
      </c>
      <c r="BR43" s="46">
        <f t="shared" si="451"/>
        <v>3118.8190672053843</v>
      </c>
      <c r="BS43" s="46">
        <f t="shared" si="452"/>
        <v>2219.0879360697654</v>
      </c>
      <c r="BT43" s="46">
        <f t="shared" si="453"/>
        <v>2025.8285459549556</v>
      </c>
      <c r="BU43" s="46">
        <f t="shared" si="454"/>
        <v>2146.2648217744072</v>
      </c>
      <c r="BV43" s="46">
        <f t="shared" si="455"/>
        <v>24920.166758614079</v>
      </c>
      <c r="BW43" s="46">
        <f t="shared" si="456"/>
        <v>36534.007301975311</v>
      </c>
      <c r="BX43" s="46">
        <f t="shared" si="457"/>
        <v>115091.44551426428</v>
      </c>
      <c r="BY43" s="47">
        <f t="shared" si="458"/>
        <v>115091.44551426428</v>
      </c>
      <c r="CA43" s="45">
        <f t="shared" si="493"/>
        <v>-1223.170597742434</v>
      </c>
      <c r="CB43" s="46">
        <f t="shared" si="459"/>
        <v>-1166.652680609322</v>
      </c>
      <c r="CC43" s="46">
        <f t="shared" si="460"/>
        <v>1963.5703520319296</v>
      </c>
      <c r="CD43" s="46">
        <f t="shared" si="461"/>
        <v>5462.5585516886231</v>
      </c>
      <c r="CE43" s="46">
        <f t="shared" si="462"/>
        <v>982.51665942051795</v>
      </c>
      <c r="CF43" s="46">
        <f t="shared" si="463"/>
        <v>1003.0346549800115</v>
      </c>
      <c r="CG43" s="46">
        <f t="shared" si="464"/>
        <v>1010.7979498791678</v>
      </c>
      <c r="CH43" s="46">
        <f t="shared" si="465"/>
        <v>982.51665942051795</v>
      </c>
      <c r="CI43" s="46">
        <f t="shared" si="466"/>
        <v>1869.8228920009053</v>
      </c>
      <c r="CJ43" s="46">
        <f t="shared" si="467"/>
        <v>989.55804172603052</v>
      </c>
      <c r="CK43" s="46">
        <f t="shared" si="468"/>
        <v>982.51665942051795</v>
      </c>
      <c r="CL43" s="46">
        <f t="shared" si="469"/>
        <v>982.51665942051795</v>
      </c>
      <c r="CM43" s="46">
        <f t="shared" si="470"/>
        <v>13839.585801636984</v>
      </c>
      <c r="CN43" s="47">
        <f t="shared" si="471"/>
        <v>13839.585801636984</v>
      </c>
      <c r="CP43" s="45">
        <f t="shared" si="494"/>
        <v>-215.20662978945393</v>
      </c>
      <c r="CQ43" s="46">
        <f t="shared" si="472"/>
        <v>-39343.076743958671</v>
      </c>
      <c r="CR43" s="46">
        <f t="shared" si="473"/>
        <v>254.41856294426609</v>
      </c>
      <c r="CS43" s="46">
        <f t="shared" si="474"/>
        <v>56574.461761457613</v>
      </c>
      <c r="CT43" s="46">
        <f t="shared" si="475"/>
        <v>0</v>
      </c>
      <c r="CU43" s="46">
        <f t="shared" si="476"/>
        <v>976.53450786179803</v>
      </c>
      <c r="CV43" s="46">
        <f t="shared" si="477"/>
        <v>1289.6673671028566</v>
      </c>
      <c r="CW43" s="46">
        <f t="shared" si="478"/>
        <v>917.61825043772001</v>
      </c>
      <c r="CX43" s="46">
        <f t="shared" si="479"/>
        <v>837.7032815194998</v>
      </c>
      <c r="CY43" s="46">
        <f t="shared" si="480"/>
        <v>887.50505949789419</v>
      </c>
      <c r="CZ43" s="46">
        <f t="shared" si="481"/>
        <v>10304.774069546724</v>
      </c>
      <c r="DA43" s="46">
        <f t="shared" si="482"/>
        <v>15107.230009682458</v>
      </c>
      <c r="DB43" s="46">
        <f t="shared" si="483"/>
        <v>47591.629496302703</v>
      </c>
      <c r="DC43" s="47">
        <f t="shared" si="484"/>
        <v>47591.629496302703</v>
      </c>
      <c r="DE43" s="45">
        <f>[12]职能部门!N60+[12]职能部门!N61+[12]职能部门!N69+[12]职能部门!N72</f>
        <v>-13419.229999999985</v>
      </c>
      <c r="DF43" s="46">
        <f>[12]职能部门!O60+[12]职能部门!O61+[12]职能部门!O69+[12]职能部门!O72</f>
        <v>-12799.180000000006</v>
      </c>
      <c r="DG43" s="46">
        <f>[12]职能部门!P60+[12]职能部门!P61+[12]职能部门!P69+[12]职能部门!P72</f>
        <v>21542.05</v>
      </c>
      <c r="DH43" s="46">
        <f>[13]职能部门!$Q$61+[13]职能部门!$Q$69+[13]职能部门!$Q$72</f>
        <v>59928.95</v>
      </c>
      <c r="DI43" s="46">
        <v>10779.05</v>
      </c>
      <c r="DJ43" s="46">
        <v>11004.15</v>
      </c>
      <c r="DK43" s="46">
        <f>10779.05+310.28-0.0100000000966247</f>
        <v>11089.319999999903</v>
      </c>
      <c r="DL43" s="46">
        <v>10779.05</v>
      </c>
      <c r="DM43" s="46">
        <f>10779.05+9734.51</f>
        <v>20513.559999999998</v>
      </c>
      <c r="DN43" s="46">
        <f>77.24+10779.06</f>
        <v>10856.3</v>
      </c>
      <c r="DO43" s="46">
        <v>10779.05</v>
      </c>
      <c r="DP43" s="46">
        <v>10779.05</v>
      </c>
      <c r="DQ43" s="46">
        <f t="shared" si="485"/>
        <v>151832.11999999991</v>
      </c>
      <c r="DR43" s="47">
        <f t="shared" si="504"/>
        <v>151832.11999999991</v>
      </c>
      <c r="DT43" s="45">
        <v>-1641</v>
      </c>
      <c r="DU43" s="46">
        <v>-300000</v>
      </c>
      <c r="DV43" s="46">
        <v>1940</v>
      </c>
      <c r="DW43" s="46">
        <v>431393.27</v>
      </c>
      <c r="DX43" s="46">
        <v>0</v>
      </c>
      <c r="DY43" s="46">
        <v>7446.2999999999993</v>
      </c>
      <c r="DZ43" s="46">
        <v>9834.0099999999984</v>
      </c>
      <c r="EA43" s="46">
        <v>6997.0499999999993</v>
      </c>
      <c r="EB43" s="46">
        <v>6387.68</v>
      </c>
      <c r="EC43" s="46">
        <v>6767.43</v>
      </c>
      <c r="ED43" s="46">
        <v>78576.26999999999</v>
      </c>
      <c r="EE43" s="46">
        <v>115196.1</v>
      </c>
      <c r="EF43" s="46">
        <f t="shared" si="487"/>
        <v>362897.11</v>
      </c>
      <c r="EG43" s="47">
        <f t="shared" si="488"/>
        <v>362897.11</v>
      </c>
    </row>
    <row r="44" spans="1:148" s="40" customFormat="1" ht="15.4" thickBot="1">
      <c r="A44" s="38" t="s">
        <v>48</v>
      </c>
      <c r="B44" s="66">
        <f>B26-B27</f>
        <v>-1436.7082843727674</v>
      </c>
      <c r="C44" s="66">
        <f t="shared" ref="C44:Q44" si="505">C26-C27</f>
        <v>-1824.2412219530324</v>
      </c>
      <c r="D44" s="66">
        <f t="shared" si="505"/>
        <v>-5358.1591252355629</v>
      </c>
      <c r="E44" s="66">
        <f t="shared" si="505"/>
        <v>-8183.4985106991717</v>
      </c>
      <c r="F44" s="66">
        <f t="shared" si="505"/>
        <v>-2780.7589420175436</v>
      </c>
      <c r="G44" s="66">
        <f t="shared" si="505"/>
        <v>-2884.4085464434002</v>
      </c>
      <c r="H44" s="66">
        <f t="shared" si="505"/>
        <v>-9621.8890131093249</v>
      </c>
      <c r="I44" s="66">
        <f t="shared" si="505"/>
        <v>-5988.7571517538418</v>
      </c>
      <c r="J44" s="66">
        <f t="shared" si="505"/>
        <v>-496.00208448369045</v>
      </c>
      <c r="K44" s="66">
        <f t="shared" si="505"/>
        <v>-360.85460660356716</v>
      </c>
      <c r="L44" s="66">
        <f t="shared" si="505"/>
        <v>-1764.715222655115</v>
      </c>
      <c r="M44" s="66">
        <f t="shared" si="505"/>
        <v>-2404.1023735469862</v>
      </c>
      <c r="N44" s="66">
        <f t="shared" si="505"/>
        <v>-4713.4693108740021</v>
      </c>
      <c r="O44" s="66">
        <f t="shared" si="505"/>
        <v>-5069.5043749999986</v>
      </c>
      <c r="P44" s="66">
        <f t="shared" si="505"/>
        <v>-16744.763361000001</v>
      </c>
      <c r="Q44" s="67">
        <f t="shared" si="505"/>
        <v>-16576.358036000001</v>
      </c>
      <c r="R44" s="26"/>
      <c r="S44" s="68">
        <f>S26-S27</f>
        <v>-1939231.2612152817</v>
      </c>
      <c r="T44" s="69">
        <f t="shared" ref="T44:AF44" si="506">T26-T27</f>
        <v>2959086.2890969366</v>
      </c>
      <c r="U44" s="69">
        <f t="shared" si="506"/>
        <v>4103085.5951761147</v>
      </c>
      <c r="V44" s="69">
        <f t="shared" si="506"/>
        <v>-2127539.0689520957</v>
      </c>
      <c r="W44" s="69">
        <f t="shared" si="506"/>
        <v>-255240.18762378581</v>
      </c>
      <c r="X44" s="69">
        <f t="shared" si="506"/>
        <v>-2520421.4236405604</v>
      </c>
      <c r="Y44" s="69">
        <f t="shared" si="506"/>
        <v>-9244026.0936016962</v>
      </c>
      <c r="Z44" s="69">
        <f t="shared" si="506"/>
        <v>-7883254.973852898</v>
      </c>
      <c r="AA44" s="69">
        <f t="shared" si="506"/>
        <v>-7183359.6095321262</v>
      </c>
      <c r="AB44" s="69">
        <f t="shared" si="506"/>
        <v>-8287712.1088973237</v>
      </c>
      <c r="AC44" s="69">
        <f t="shared" si="506"/>
        <v>-6835895.565585237</v>
      </c>
      <c r="AD44" s="69">
        <f t="shared" si="506"/>
        <v>-14367082.843727672</v>
      </c>
      <c r="AE44" s="69">
        <f t="shared" si="506"/>
        <v>-53581591.25235562</v>
      </c>
      <c r="AF44" s="70">
        <f t="shared" si="506"/>
        <v>-53581591.25235562</v>
      </c>
      <c r="AG44" s="26"/>
      <c r="AH44" s="68">
        <f>AH26-AH27</f>
        <v>-1116456.0918022459</v>
      </c>
      <c r="AI44" s="69">
        <f t="shared" ref="AI44:AU44" si="507">AI26-AI27</f>
        <v>-1303291.4966455414</v>
      </c>
      <c r="AJ44" s="69">
        <f t="shared" si="507"/>
        <v>-1027074.3232390096</v>
      </c>
      <c r="AK44" s="69">
        <f t="shared" si="507"/>
        <v>-1528973.9472599591</v>
      </c>
      <c r="AL44" s="69">
        <f t="shared" si="507"/>
        <v>-2881706.3405497293</v>
      </c>
      <c r="AM44" s="69">
        <f t="shared" si="507"/>
        <v>-4189124.3149721837</v>
      </c>
      <c r="AN44" s="69">
        <f t="shared" si="507"/>
        <v>-2388237.2366556576</v>
      </c>
      <c r="AO44" s="69">
        <f t="shared" si="507"/>
        <v>-2617808.4552328521</v>
      </c>
      <c r="AP44" s="69">
        <f t="shared" si="507"/>
        <v>-22333461.716852643</v>
      </c>
      <c r="AQ44" s="69">
        <f t="shared" si="507"/>
        <v>-6950066.3636247907</v>
      </c>
      <c r="AR44" s="69">
        <f t="shared" si="507"/>
        <v>-17256372.600626789</v>
      </c>
      <c r="AS44" s="69">
        <f t="shared" si="507"/>
        <v>-18242412.219530329</v>
      </c>
      <c r="AT44" s="69">
        <f t="shared" si="507"/>
        <v>-81834985.106991723</v>
      </c>
      <c r="AU44" s="70">
        <f t="shared" si="507"/>
        <v>-81834985.106991723</v>
      </c>
      <c r="AV44" s="26"/>
      <c r="AW44" s="68">
        <f>AW26-AW27</f>
        <v>-2170051.4254446891</v>
      </c>
      <c r="AX44" s="69">
        <f t="shared" ref="AX44:BJ44" si="508">AX26-AX27</f>
        <v>-3409719.761986197</v>
      </c>
      <c r="AY44" s="69">
        <f t="shared" si="508"/>
        <v>-239268.81299444428</v>
      </c>
      <c r="AZ44" s="69">
        <f t="shared" si="508"/>
        <v>-5867498.7267376371</v>
      </c>
      <c r="BA44" s="69">
        <f t="shared" si="508"/>
        <v>-3422987.0310403635</v>
      </c>
      <c r="BB44" s="69">
        <f t="shared" si="508"/>
        <v>-5197091.9210487632</v>
      </c>
      <c r="BC44" s="69">
        <f t="shared" si="508"/>
        <v>-10435539.07881498</v>
      </c>
      <c r="BD44" s="69">
        <f t="shared" si="508"/>
        <v>-11618831.872228347</v>
      </c>
      <c r="BE44" s="69">
        <f t="shared" si="508"/>
        <v>-8644520.6037366521</v>
      </c>
      <c r="BF44" s="69">
        <f t="shared" si="508"/>
        <v>-8799993.1764604729</v>
      </c>
      <c r="BG44" s="69">
        <f t="shared" si="508"/>
        <v>-8605798.3004252762</v>
      </c>
      <c r="BH44" s="69">
        <f t="shared" si="508"/>
        <v>-27807589.420175433</v>
      </c>
      <c r="BI44" s="69">
        <f t="shared" si="508"/>
        <v>-96218890.131093264</v>
      </c>
      <c r="BJ44" s="70">
        <f t="shared" si="508"/>
        <v>-96218890.131093264</v>
      </c>
      <c r="BK44" s="26"/>
      <c r="BL44" s="68">
        <f>BL26-BL27</f>
        <v>-641785.90409762412</v>
      </c>
      <c r="BM44" s="69">
        <f t="shared" ref="BM44:BY44" si="509">BM26-BM27</f>
        <v>-749186.75048580335</v>
      </c>
      <c r="BN44" s="69">
        <f t="shared" si="509"/>
        <v>-590405.50538028521</v>
      </c>
      <c r="BO44" s="69">
        <f t="shared" si="509"/>
        <v>-878918.51214669656</v>
      </c>
      <c r="BP44" s="69">
        <f t="shared" si="509"/>
        <v>-1656525.9688162894</v>
      </c>
      <c r="BQ44" s="69">
        <f t="shared" si="509"/>
        <v>-2408084.7922302103</v>
      </c>
      <c r="BR44" s="69">
        <f t="shared" si="509"/>
        <v>-1653904.1319418536</v>
      </c>
      <c r="BS44" s="69">
        <f t="shared" si="509"/>
        <v>-1813661.5403237045</v>
      </c>
      <c r="BT44" s="69">
        <f t="shared" si="509"/>
        <v>-14563810.706868716</v>
      </c>
      <c r="BU44" s="69">
        <f t="shared" si="509"/>
        <v>3924013.7455503335</v>
      </c>
      <c r="BV44" s="69">
        <f t="shared" si="509"/>
        <v>-10011215.986363571</v>
      </c>
      <c r="BW44" s="69">
        <f t="shared" si="509"/>
        <v>-28844085.464433994</v>
      </c>
      <c r="BX44" s="69">
        <f t="shared" si="509"/>
        <v>-59887571.517538428</v>
      </c>
      <c r="BY44" s="70">
        <f t="shared" si="509"/>
        <v>-59887571.517538428</v>
      </c>
      <c r="BZ44" s="26"/>
      <c r="CA44" s="68">
        <f>CA26-CA27</f>
        <v>-859873.98334002891</v>
      </c>
      <c r="CB44" s="69">
        <f t="shared" ref="CB44:CN44" si="510">CB26-CB27</f>
        <v>1017326.4528892611</v>
      </c>
      <c r="CC44" s="69">
        <f t="shared" si="510"/>
        <v>-1060823.9421816701</v>
      </c>
      <c r="CD44" s="69">
        <f t="shared" si="510"/>
        <v>-1148884.2043102654</v>
      </c>
      <c r="CE44" s="69">
        <f t="shared" si="510"/>
        <v>-455948.46133585484</v>
      </c>
      <c r="CF44" s="69">
        <f t="shared" si="510"/>
        <v>-1227400.3253106768</v>
      </c>
      <c r="CG44" s="69">
        <f t="shared" si="510"/>
        <v>-1764195.2964833302</v>
      </c>
      <c r="CH44" s="69">
        <f t="shared" si="510"/>
        <v>-1141558.8739187613</v>
      </c>
      <c r="CI44" s="69">
        <f t="shared" si="510"/>
        <v>-651406.75673122332</v>
      </c>
      <c r="CJ44" s="69">
        <f t="shared" si="510"/>
        <v>-5658102.7470022067</v>
      </c>
      <c r="CK44" s="69">
        <f t="shared" si="510"/>
        <v>263736.75601050444</v>
      </c>
      <c r="CL44" s="69">
        <f t="shared" si="510"/>
        <v>-4960020.8448369028</v>
      </c>
      <c r="CM44" s="69">
        <f t="shared" si="510"/>
        <v>-17647152.226551145</v>
      </c>
      <c r="CN44" s="70">
        <f t="shared" si="510"/>
        <v>-17647152.226551145</v>
      </c>
      <c r="CO44" s="26"/>
      <c r="CP44" s="68">
        <f>CP26-CP27</f>
        <v>-265385.81410013005</v>
      </c>
      <c r="CQ44" s="69">
        <f t="shared" ref="CQ44:DC44" si="511">CQ26-CQ27</f>
        <v>-309797.29286865465</v>
      </c>
      <c r="CR44" s="69">
        <f t="shared" si="511"/>
        <v>-244139.43138070518</v>
      </c>
      <c r="CS44" s="69">
        <f t="shared" si="511"/>
        <v>-363442.8605933442</v>
      </c>
      <c r="CT44" s="69">
        <f t="shared" si="511"/>
        <v>-684992.44063398114</v>
      </c>
      <c r="CU44" s="69">
        <f t="shared" si="511"/>
        <v>-995770.61279760604</v>
      </c>
      <c r="CV44" s="69">
        <f t="shared" si="511"/>
        <v>-536234.03140248894</v>
      </c>
      <c r="CW44" s="69">
        <f t="shared" si="511"/>
        <v>-611731.82444344263</v>
      </c>
      <c r="CX44" s="69">
        <f t="shared" si="511"/>
        <v>-4778116.8462786321</v>
      </c>
      <c r="CY44" s="69">
        <f t="shared" si="511"/>
        <v>-6118514.5319255535</v>
      </c>
      <c r="CZ44" s="69">
        <f t="shared" si="511"/>
        <v>-5524351.9830096513</v>
      </c>
      <c r="DA44" s="69">
        <f t="shared" si="511"/>
        <v>-3608546.0660356721</v>
      </c>
      <c r="DB44" s="69">
        <f t="shared" si="511"/>
        <v>-24041023.735469855</v>
      </c>
      <c r="DC44" s="70">
        <f t="shared" si="511"/>
        <v>-24041023.735469855</v>
      </c>
      <c r="DD44" s="26"/>
      <c r="DE44" s="68">
        <f>DE26-DE27</f>
        <v>-8665889.709999999</v>
      </c>
      <c r="DF44" s="69">
        <f t="shared" ref="DF44:DR44" si="512">DF26-DF27</f>
        <v>4114762.0000000005</v>
      </c>
      <c r="DG44" s="69">
        <f t="shared" si="512"/>
        <v>-6532666.080000001</v>
      </c>
      <c r="DH44" s="69">
        <f t="shared" si="512"/>
        <v>-8610013.1699999981</v>
      </c>
      <c r="DI44" s="69">
        <f t="shared" si="512"/>
        <v>-3534511.04</v>
      </c>
      <c r="DJ44" s="69">
        <f t="shared" si="512"/>
        <v>-15353641.910000002</v>
      </c>
      <c r="DK44" s="69">
        <f t="shared" si="512"/>
        <v>-19661253.240000002</v>
      </c>
      <c r="DL44" s="69">
        <f t="shared" si="512"/>
        <v>-17571470.129999999</v>
      </c>
      <c r="DM44" s="69">
        <f t="shared" si="512"/>
        <v>-19607331.260000002</v>
      </c>
      <c r="DN44" s="69">
        <f t="shared" si="512"/>
        <v>-18760243.509999998</v>
      </c>
      <c r="DO44" s="69">
        <f t="shared" si="512"/>
        <v>-16692876.270000001</v>
      </c>
      <c r="DP44" s="69">
        <f t="shared" si="512"/>
        <v>-21797183.240000006</v>
      </c>
      <c r="DQ44" s="69">
        <f t="shared" si="512"/>
        <v>-152672317.55999997</v>
      </c>
      <c r="DR44" s="70">
        <f t="shared" si="512"/>
        <v>-152672317.55999997</v>
      </c>
      <c r="DS44" s="26"/>
      <c r="DT44" s="68">
        <f>DT26-DT27</f>
        <v>-2023627.81</v>
      </c>
      <c r="DU44" s="69">
        <f t="shared" ref="DU44:EG44" si="513">DU26-DU27</f>
        <v>-2362275.54</v>
      </c>
      <c r="DV44" s="69">
        <f t="shared" si="513"/>
        <v>-1861619.2600000002</v>
      </c>
      <c r="DW44" s="69">
        <f t="shared" si="513"/>
        <v>-2771335.32</v>
      </c>
      <c r="DX44" s="69">
        <f t="shared" si="513"/>
        <v>-5223224.75</v>
      </c>
      <c r="DY44" s="69">
        <f t="shared" si="513"/>
        <v>-7592979.7199999997</v>
      </c>
      <c r="DZ44" s="69">
        <f t="shared" si="513"/>
        <v>-3756561.4499999997</v>
      </c>
      <c r="EA44" s="69">
        <f t="shared" si="513"/>
        <v>-4215424.62</v>
      </c>
      <c r="EB44" s="69">
        <f t="shared" si="513"/>
        <v>-49062788.719999999</v>
      </c>
      <c r="EC44" s="69">
        <f t="shared" si="513"/>
        <v>-19064478.700000007</v>
      </c>
      <c r="ED44" s="69">
        <f t="shared" si="513"/>
        <v>-37771420.13000001</v>
      </c>
      <c r="EE44" s="69">
        <f t="shared" si="513"/>
        <v>-35950500.719999999</v>
      </c>
      <c r="EF44" s="69">
        <f t="shared" si="513"/>
        <v>-171656236.74000007</v>
      </c>
      <c r="EG44" s="70">
        <f t="shared" si="513"/>
        <v>-171656236.74000007</v>
      </c>
      <c r="EI44" s="26"/>
      <c r="EJ44" s="26"/>
      <c r="EK44" s="26"/>
      <c r="EL44" s="26"/>
      <c r="EM44" s="26"/>
      <c r="EN44" s="26"/>
      <c r="EO44" s="26"/>
      <c r="EP44" s="26"/>
      <c r="EQ44" s="26"/>
      <c r="ER44" s="26"/>
    </row>
    <row r="45" spans="1:148">
      <c r="A45" s="506"/>
      <c r="B45" s="507"/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S45" s="508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508"/>
      <c r="AH45" s="508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  <c r="AT45" s="508"/>
      <c r="AU45" s="508"/>
      <c r="AW45" s="508"/>
      <c r="AX45" s="508"/>
      <c r="AY45" s="508"/>
      <c r="AZ45" s="508"/>
      <c r="BA45" s="508"/>
      <c r="BB45" s="508"/>
      <c r="BC45" s="508"/>
      <c r="BD45" s="508"/>
      <c r="BE45" s="508"/>
      <c r="BF45" s="508"/>
      <c r="BG45" s="508"/>
      <c r="BH45" s="508"/>
      <c r="BI45" s="508"/>
      <c r="BJ45" s="508"/>
      <c r="BL45" s="508"/>
      <c r="BM45" s="508"/>
      <c r="BN45" s="508"/>
      <c r="BO45" s="508"/>
      <c r="BP45" s="508"/>
      <c r="BQ45" s="508"/>
      <c r="BR45" s="508"/>
      <c r="BS45" s="508"/>
      <c r="BT45" s="508"/>
      <c r="BU45" s="508"/>
      <c r="BV45" s="508"/>
      <c r="BW45" s="508"/>
      <c r="BX45" s="508"/>
      <c r="BY45" s="508"/>
      <c r="CA45" s="508"/>
      <c r="CB45" s="508"/>
      <c r="CC45" s="508"/>
      <c r="CD45" s="508"/>
      <c r="CE45" s="508"/>
      <c r="CF45" s="508"/>
      <c r="CG45" s="508"/>
      <c r="CH45" s="508"/>
      <c r="CI45" s="508"/>
      <c r="CJ45" s="508"/>
      <c r="CK45" s="508"/>
      <c r="CL45" s="508"/>
      <c r="CM45" s="508"/>
      <c r="CN45" s="508"/>
      <c r="CP45" s="508"/>
      <c r="CQ45" s="508"/>
      <c r="CR45" s="508"/>
      <c r="CS45" s="508"/>
      <c r="CT45" s="508"/>
      <c r="CU45" s="508"/>
      <c r="CV45" s="508"/>
      <c r="CW45" s="508"/>
      <c r="CX45" s="508"/>
      <c r="CY45" s="508"/>
      <c r="CZ45" s="508"/>
      <c r="DA45" s="508"/>
      <c r="DB45" s="508"/>
      <c r="DC45" s="508"/>
      <c r="DE45" s="508"/>
      <c r="DF45" s="508"/>
      <c r="DG45" s="508"/>
      <c r="DH45" s="508"/>
      <c r="DI45" s="508"/>
      <c r="DJ45" s="508"/>
      <c r="DK45" s="508"/>
      <c r="DL45" s="508"/>
      <c r="DM45" s="508"/>
      <c r="DN45" s="508"/>
      <c r="DO45" s="508"/>
      <c r="DP45" s="508"/>
      <c r="DQ45" s="508"/>
      <c r="DR45" s="508"/>
      <c r="DT45" s="508"/>
      <c r="DU45" s="508"/>
      <c r="DV45" s="508"/>
      <c r="DW45" s="508"/>
      <c r="DX45" s="508"/>
      <c r="DY45" s="508"/>
      <c r="DZ45" s="508"/>
      <c r="EA45" s="508"/>
      <c r="EB45" s="508"/>
      <c r="EC45" s="508"/>
      <c r="ED45" s="508"/>
      <c r="EE45" s="508"/>
      <c r="EF45" s="508"/>
      <c r="EG45" s="508"/>
    </row>
    <row r="46" spans="1:148">
      <c r="A46" s="26" t="s">
        <v>1164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8"/>
      <c r="N46" s="27"/>
      <c r="O46" s="27"/>
      <c r="P46" s="27"/>
      <c r="Q46" s="27"/>
    </row>
    <row r="47" spans="1:148">
      <c r="A47" s="26" t="s">
        <v>1160</v>
      </c>
      <c r="B47" s="29"/>
      <c r="C47" s="29"/>
      <c r="D47" s="29"/>
      <c r="E47" s="29"/>
      <c r="F47" s="29"/>
      <c r="G47" s="29"/>
      <c r="H47" s="28"/>
      <c r="I47" s="29"/>
      <c r="J47" s="29"/>
      <c r="K47" s="29"/>
      <c r="L47" s="29"/>
      <c r="M47" s="29"/>
      <c r="N47" s="30"/>
      <c r="S47" s="33">
        <f t="shared" ref="S47:S50" si="514">DE47*$EK$5</f>
        <v>-37629.843696623437</v>
      </c>
      <c r="T47" s="33">
        <f t="shared" ref="T47:T50" si="515">DF47*$EK$5</f>
        <v>-9128.9019569335596</v>
      </c>
      <c r="U47" s="33">
        <f t="shared" ref="U47:U50" si="516">DG47*$EK$5</f>
        <v>0</v>
      </c>
      <c r="V47" s="33">
        <f t="shared" ref="V47:V50" si="517">DH47*$EK$5</f>
        <v>0</v>
      </c>
      <c r="W47" s="33">
        <f t="shared" ref="W47:W50" si="518">DI47*$EK$5</f>
        <v>0</v>
      </c>
      <c r="X47" s="33">
        <f t="shared" ref="X47:X50" si="519">DJ47*$EK$5</f>
        <v>0</v>
      </c>
      <c r="Y47" s="33">
        <f t="shared" ref="Y47:Y50" si="520">DK47*$EK$5</f>
        <v>0</v>
      </c>
      <c r="Z47" s="33">
        <f t="shared" ref="Z47:Z50" si="521">DL47*$EK$5</f>
        <v>0</v>
      </c>
      <c r="AA47" s="33">
        <f t="shared" ref="AA47:AA50" si="522">DM47*$EK$5</f>
        <v>0</v>
      </c>
      <c r="AB47" s="33">
        <f t="shared" ref="AB47:AB50" si="523">DN47*$EK$5</f>
        <v>0</v>
      </c>
      <c r="AC47" s="33">
        <f t="shared" ref="AC47:AC50" si="524">DO47*$EK$5</f>
        <v>0</v>
      </c>
      <c r="AD47" s="33">
        <f t="shared" ref="AD47:AD50" si="525">DP47*$EK$5</f>
        <v>0</v>
      </c>
      <c r="AE47" s="33">
        <f t="shared" ref="AE47:AE50" si="526">S47+T47+U47+V47+W47+X47+Y47+Z47+AA47+AB47+AC47+AD47</f>
        <v>-46758.745653556995</v>
      </c>
      <c r="AF47" s="33">
        <f t="shared" ref="AF47:AF50" si="527">SUM(S47:AD47)</f>
        <v>-46758.745653556995</v>
      </c>
      <c r="AG47" s="33"/>
      <c r="AH47" s="33">
        <f t="shared" ref="AH47:AH50" si="528">DT47*$EM$5</f>
        <v>0</v>
      </c>
      <c r="AI47" s="33">
        <f t="shared" ref="AI47:AI50" si="529">DU47*$EM$5</f>
        <v>0</v>
      </c>
      <c r="AJ47" s="33">
        <f t="shared" ref="AJ47:AJ50" si="530">DV47*$EM$5</f>
        <v>0</v>
      </c>
      <c r="AK47" s="33">
        <f t="shared" ref="AK47:AK50" si="531">DW47*$EM$5</f>
        <v>0</v>
      </c>
      <c r="AL47" s="33">
        <f t="shared" ref="AL47:AL50" si="532">DX47*$EM$5</f>
        <v>0</v>
      </c>
      <c r="AM47" s="33">
        <f t="shared" ref="AM47:AM50" si="533">DY47*$EM$5</f>
        <v>0</v>
      </c>
      <c r="AN47" s="33">
        <f t="shared" ref="AN47:AN50" si="534">DZ47*$EM$5</f>
        <v>0</v>
      </c>
      <c r="AO47" s="33">
        <f t="shared" ref="AO47:AO50" si="535">EA47*$EM$5</f>
        <v>0</v>
      </c>
      <c r="AP47" s="33">
        <f t="shared" ref="AP47:AP50" si="536">EB47*$EM$5</f>
        <v>0</v>
      </c>
      <c r="AQ47" s="33">
        <f t="shared" ref="AQ47:AQ50" si="537">EC47*$EM$5</f>
        <v>0</v>
      </c>
      <c r="AR47" s="33">
        <f t="shared" ref="AR47:AR50" si="538">ED47*$EM$5</f>
        <v>0</v>
      </c>
      <c r="AS47" s="33">
        <f t="shared" ref="AS47:AS50" si="539">EE47*$EM$5</f>
        <v>0</v>
      </c>
      <c r="AT47" s="33">
        <f t="shared" ref="AT47:AT50" si="540">AH47+AI47+AJ47+AK47+AL47+AM47+AN47+AO47+AP47+AQ47+AR47+AS47</f>
        <v>0</v>
      </c>
      <c r="AU47" s="33">
        <f t="shared" ref="AU47:AU50" si="541">SUM(AH47:AS47)</f>
        <v>0</v>
      </c>
      <c r="AV47" s="33"/>
      <c r="AW47" s="33">
        <f t="shared" ref="AW47:AW50" si="542">DE47*$EK$6</f>
        <v>-37781.155316824836</v>
      </c>
      <c r="AX47" s="33">
        <f t="shared" ref="AX47:AX50" si="543">DF47*$EK$6</f>
        <v>-9165.6097614330847</v>
      </c>
      <c r="AY47" s="33">
        <f t="shared" ref="AY47:AY50" si="544">DG47*$EK$6</f>
        <v>0</v>
      </c>
      <c r="AZ47" s="33">
        <f t="shared" ref="AZ47:AZ50" si="545">DH47*$EK$6</f>
        <v>0</v>
      </c>
      <c r="BA47" s="33">
        <f t="shared" ref="BA47:BA50" si="546">DI47*$EK$6</f>
        <v>0</v>
      </c>
      <c r="BB47" s="33">
        <f t="shared" ref="BB47:BB50" si="547">DJ47*$EK$6</f>
        <v>0</v>
      </c>
      <c r="BC47" s="33">
        <f t="shared" ref="BC47:BC50" si="548">DK47*$EK$6</f>
        <v>0</v>
      </c>
      <c r="BD47" s="33">
        <f t="shared" ref="BD47:BD50" si="549">DL47*$EK$6</f>
        <v>0</v>
      </c>
      <c r="BE47" s="33">
        <f t="shared" ref="BE47:BE50" si="550">DM47*$EK$6</f>
        <v>0</v>
      </c>
      <c r="BF47" s="33">
        <f t="shared" ref="BF47:BF50" si="551">DN47*$EK$6</f>
        <v>0</v>
      </c>
      <c r="BG47" s="33">
        <f t="shared" ref="BG47:BG50" si="552">DO47*$EK$6</f>
        <v>0</v>
      </c>
      <c r="BH47" s="33">
        <f t="shared" ref="BH47:BH50" si="553">DP47*$EK$6</f>
        <v>0</v>
      </c>
      <c r="BI47" s="33">
        <f t="shared" ref="BI47:BI50" si="554">AW47+AX47+AY47+AZ47+BA47+BB47+BC47+BD47+BE47+BF47+BG47+BH47</f>
        <v>-46946.765078257922</v>
      </c>
      <c r="BJ47" s="33">
        <f t="shared" ref="BJ47:BJ50" si="555">SUM(AW47:BH47)</f>
        <v>-46946.765078257922</v>
      </c>
      <c r="BK47" s="33"/>
      <c r="BL47" s="33">
        <f t="shared" ref="BL47:BL50" si="556">DT47*$EM$6</f>
        <v>0</v>
      </c>
      <c r="BM47" s="33">
        <f t="shared" ref="BM47:BM50" si="557">DU47*$EM$6</f>
        <v>0</v>
      </c>
      <c r="BN47" s="33">
        <f t="shared" ref="BN47:BN50" si="558">DV47*$EM$6</f>
        <v>0</v>
      </c>
      <c r="BO47" s="33">
        <f t="shared" ref="BO47:BO50" si="559">DW47*$EM$6</f>
        <v>0</v>
      </c>
      <c r="BP47" s="33">
        <f t="shared" ref="BP47:BP50" si="560">DX47*$EM$6</f>
        <v>0</v>
      </c>
      <c r="BQ47" s="33">
        <f t="shared" ref="BQ47:BQ50" si="561">DY47*$EM$6</f>
        <v>0</v>
      </c>
      <c r="BR47" s="33">
        <f t="shared" ref="BR47:BR50" si="562">DZ47*$EM$6</f>
        <v>0</v>
      </c>
      <c r="BS47" s="33">
        <f t="shared" ref="BS47:BS50" si="563">EA47*$EM$6</f>
        <v>0</v>
      </c>
      <c r="BT47" s="33">
        <f t="shared" ref="BT47:BT50" si="564">EB47*$EM$6</f>
        <v>0</v>
      </c>
      <c r="BU47" s="33">
        <f t="shared" ref="BU47:BU50" si="565">EC47*$EM$6</f>
        <v>0</v>
      </c>
      <c r="BV47" s="33">
        <f t="shared" ref="BV47:BV50" si="566">ED47*$EM$6</f>
        <v>0</v>
      </c>
      <c r="BW47" s="33">
        <f t="shared" ref="BW47:BW50" si="567">EE47*$EM$6</f>
        <v>0</v>
      </c>
      <c r="BX47" s="33">
        <f t="shared" ref="BX47:BX50" si="568">BL47+BM47+BN47+BO47+BP47+BQ47+BR47+BS47+BT47+BU47+BV47+BW47</f>
        <v>0</v>
      </c>
      <c r="BY47" s="33">
        <f t="shared" ref="BY47:BY50" si="569">SUM(BL47:BW47)</f>
        <v>0</v>
      </c>
      <c r="BZ47" s="33"/>
      <c r="CA47" s="33">
        <f t="shared" ref="CA47:CA50" si="570">DE47*$EK$7</f>
        <v>-7563.1409865517262</v>
      </c>
      <c r="CB47" s="33">
        <f t="shared" ref="CB47:CB50" si="571">DF47*$EK$7</f>
        <v>-1834.7982816333563</v>
      </c>
      <c r="CC47" s="33">
        <f t="shared" ref="CC47:CC50" si="572">DG47*$EK$7</f>
        <v>0</v>
      </c>
      <c r="CD47" s="33">
        <f t="shared" ref="CD47:CD50" si="573">DH47*$EK$7</f>
        <v>0</v>
      </c>
      <c r="CE47" s="33">
        <f t="shared" ref="CE47:CE50" si="574">DI47*$EK$7</f>
        <v>0</v>
      </c>
      <c r="CF47" s="33">
        <f t="shared" ref="CF47:CF50" si="575">DJ47*$EK$7</f>
        <v>0</v>
      </c>
      <c r="CG47" s="33">
        <f t="shared" ref="CG47:CG50" si="576">DK47*$EK$7</f>
        <v>0</v>
      </c>
      <c r="CH47" s="33">
        <f t="shared" ref="CH47:CH50" si="577">DL47*$EK$7</f>
        <v>0</v>
      </c>
      <c r="CI47" s="33">
        <f t="shared" ref="CI47:CI50" si="578">DM47*$EK$7</f>
        <v>0</v>
      </c>
      <c r="CJ47" s="33">
        <f t="shared" ref="CJ47:CJ50" si="579">DN47*$EK$7</f>
        <v>0</v>
      </c>
      <c r="CK47" s="33">
        <f t="shared" ref="CK47:CK50" si="580">DO47*$EK$7</f>
        <v>0</v>
      </c>
      <c r="CL47" s="33">
        <f t="shared" ref="CL47:CL50" si="581">DP47*$EK$7</f>
        <v>0</v>
      </c>
      <c r="CM47" s="33">
        <f t="shared" ref="CM47:CM50" si="582">CA47+CB47+CC47+CD47+CE47+CF47+CG47+CH47+CI47+CJ47+CK47+CL47</f>
        <v>-9397.9392681850823</v>
      </c>
      <c r="CN47" s="33">
        <f t="shared" ref="CN47:CN50" si="583">SUM(CA47:CL47)</f>
        <v>-9397.9392681850823</v>
      </c>
      <c r="CO47" s="33"/>
      <c r="CP47" s="33">
        <f t="shared" ref="CP47:CP50" si="584">DT47*$EM$7</f>
        <v>0</v>
      </c>
      <c r="CQ47" s="33">
        <f t="shared" ref="CQ47:CQ50" si="585">DU47*$EM$7</f>
        <v>0</v>
      </c>
      <c r="CR47" s="33">
        <f t="shared" ref="CR47:CR50" si="586">DV47*$EM$7</f>
        <v>0</v>
      </c>
      <c r="CS47" s="33">
        <f t="shared" ref="CS47:CS50" si="587">DW47*$EM$7</f>
        <v>0</v>
      </c>
      <c r="CT47" s="33">
        <f t="shared" ref="CT47:CT50" si="588">DX47*$EM$7</f>
        <v>0</v>
      </c>
      <c r="CU47" s="33">
        <f t="shared" ref="CU47:CU50" si="589">DY47*$EM$7</f>
        <v>0</v>
      </c>
      <c r="CV47" s="33">
        <f t="shared" ref="CV47:CV50" si="590">DZ47*$EM$7</f>
        <v>0</v>
      </c>
      <c r="CW47" s="33">
        <f t="shared" ref="CW47:CW50" si="591">EA47*$EM$7</f>
        <v>0</v>
      </c>
      <c r="CX47" s="33">
        <f t="shared" ref="CX47:CX50" si="592">EB47*$EM$7</f>
        <v>0</v>
      </c>
      <c r="CY47" s="33">
        <f t="shared" ref="CY47:CY50" si="593">EC47*$EM$7</f>
        <v>0</v>
      </c>
      <c r="CZ47" s="33">
        <f t="shared" ref="CZ47:CZ50" si="594">ED47*$EM$7</f>
        <v>0</v>
      </c>
      <c r="DA47" s="33">
        <f t="shared" ref="DA47:DA50" si="595">EE47*$EM$7</f>
        <v>0</v>
      </c>
      <c r="DB47" s="33">
        <f t="shared" ref="DB47:DB50" si="596">CP47+CQ47+CR47+CS47+CT47+CU47+CV47+CW47+CX47+CY47+CZ47+DA47</f>
        <v>0</v>
      </c>
      <c r="DC47" s="33">
        <f t="shared" ref="DC47:DC50" si="597">SUM(CP47:DA47)</f>
        <v>0</v>
      </c>
      <c r="DD47" s="33"/>
      <c r="DE47" s="33">
        <v>-82974.14</v>
      </c>
      <c r="DF47" s="33">
        <v>-20129.310000000001</v>
      </c>
      <c r="DG47" s="33"/>
      <c r="DH47" s="33"/>
      <c r="DI47" s="33"/>
      <c r="DJ47" s="33"/>
      <c r="DK47" s="33"/>
      <c r="DL47" s="33"/>
      <c r="DM47" s="33"/>
      <c r="DN47" s="33"/>
      <c r="DO47" s="33"/>
      <c r="DP47" s="33">
        <v>0</v>
      </c>
    </row>
    <row r="48" spans="1:148">
      <c r="A48" s="26" t="s">
        <v>1161</v>
      </c>
      <c r="B48" s="26"/>
      <c r="C48" s="26"/>
      <c r="D48" s="34"/>
      <c r="E48" s="32"/>
      <c r="F48" s="33"/>
      <c r="G48" s="26"/>
      <c r="H48" s="26"/>
      <c r="I48" s="26"/>
      <c r="J48" s="33"/>
      <c r="K48" s="26"/>
      <c r="L48" s="26"/>
      <c r="M48" s="26"/>
      <c r="N48" s="26"/>
      <c r="O48" s="26"/>
      <c r="P48" s="26"/>
      <c r="Q48" s="26"/>
      <c r="S48" s="33">
        <f t="shared" si="514"/>
        <v>26655.61131377345</v>
      </c>
      <c r="T48" s="33">
        <f t="shared" si="515"/>
        <v>-15623.034495035707</v>
      </c>
      <c r="U48" s="33">
        <f t="shared" si="516"/>
        <v>4881.1594516889008</v>
      </c>
      <c r="V48" s="33">
        <f t="shared" si="517"/>
        <v>1207.8953550884746</v>
      </c>
      <c r="W48" s="33">
        <f t="shared" si="518"/>
        <v>0</v>
      </c>
      <c r="X48" s="33">
        <f t="shared" si="519"/>
        <v>102.08122094031911</v>
      </c>
      <c r="Y48" s="33">
        <f t="shared" si="520"/>
        <v>140.71145062487363</v>
      </c>
      <c r="Z48" s="33">
        <f t="shared" si="521"/>
        <v>0</v>
      </c>
      <c r="AA48" s="33">
        <f t="shared" si="522"/>
        <v>4414.7259587531471</v>
      </c>
      <c r="AB48" s="33">
        <f t="shared" si="523"/>
        <v>35.029337178152069</v>
      </c>
      <c r="AC48" s="33">
        <f t="shared" si="524"/>
        <v>0</v>
      </c>
      <c r="AD48" s="33">
        <f t="shared" si="525"/>
        <v>0</v>
      </c>
      <c r="AE48" s="33">
        <f t="shared" si="526"/>
        <v>21814.179593011613</v>
      </c>
      <c r="AF48" s="33">
        <f t="shared" si="527"/>
        <v>21814.179593011613</v>
      </c>
      <c r="AG48" s="33"/>
      <c r="AH48" s="33">
        <f t="shared" si="528"/>
        <v>0</v>
      </c>
      <c r="AI48" s="33">
        <f t="shared" si="529"/>
        <v>0</v>
      </c>
      <c r="AJ48" s="33">
        <f t="shared" si="530"/>
        <v>0</v>
      </c>
      <c r="AK48" s="33">
        <f t="shared" si="531"/>
        <v>0</v>
      </c>
      <c r="AL48" s="33">
        <f t="shared" si="532"/>
        <v>0</v>
      </c>
      <c r="AM48" s="33">
        <f t="shared" si="533"/>
        <v>0</v>
      </c>
      <c r="AN48" s="33">
        <f t="shared" si="534"/>
        <v>0</v>
      </c>
      <c r="AO48" s="33">
        <f t="shared" si="535"/>
        <v>0</v>
      </c>
      <c r="AP48" s="33">
        <f t="shared" si="536"/>
        <v>0</v>
      </c>
      <c r="AQ48" s="33">
        <f t="shared" si="537"/>
        <v>0</v>
      </c>
      <c r="AR48" s="33">
        <f t="shared" si="538"/>
        <v>0</v>
      </c>
      <c r="AS48" s="33">
        <f t="shared" si="539"/>
        <v>0</v>
      </c>
      <c r="AT48" s="33">
        <f t="shared" si="540"/>
        <v>0</v>
      </c>
      <c r="AU48" s="33">
        <f t="shared" si="541"/>
        <v>0</v>
      </c>
      <c r="AV48" s="33"/>
      <c r="AW48" s="33">
        <f t="shared" si="542"/>
        <v>26762.794956837792</v>
      </c>
      <c r="AX48" s="33">
        <f t="shared" si="543"/>
        <v>-15685.855554856327</v>
      </c>
      <c r="AY48" s="33">
        <f t="shared" si="544"/>
        <v>4900.7868556996882</v>
      </c>
      <c r="AZ48" s="33">
        <f t="shared" si="545"/>
        <v>1212.752367110254</v>
      </c>
      <c r="BA48" s="33">
        <f t="shared" si="546"/>
        <v>0</v>
      </c>
      <c r="BB48" s="33">
        <f t="shared" si="547"/>
        <v>102.49169500598744</v>
      </c>
      <c r="BC48" s="33">
        <f t="shared" si="548"/>
        <v>141.27725891646773</v>
      </c>
      <c r="BD48" s="33">
        <f t="shared" si="549"/>
        <v>0</v>
      </c>
      <c r="BE48" s="33">
        <f t="shared" si="550"/>
        <v>4432.4778086664655</v>
      </c>
      <c r="BF48" s="33">
        <f t="shared" si="551"/>
        <v>35.17019202213546</v>
      </c>
      <c r="BG48" s="33">
        <f t="shared" si="552"/>
        <v>0</v>
      </c>
      <c r="BH48" s="33">
        <f t="shared" si="553"/>
        <v>0</v>
      </c>
      <c r="BI48" s="33">
        <f t="shared" si="554"/>
        <v>21901.895579402462</v>
      </c>
      <c r="BJ48" s="33">
        <f t="shared" si="555"/>
        <v>21901.895579402462</v>
      </c>
      <c r="BK48" s="33"/>
      <c r="BL48" s="33">
        <f t="shared" si="556"/>
        <v>0</v>
      </c>
      <c r="BM48" s="33">
        <f t="shared" si="557"/>
        <v>0</v>
      </c>
      <c r="BN48" s="33">
        <f t="shared" si="558"/>
        <v>0</v>
      </c>
      <c r="BO48" s="33">
        <f t="shared" si="559"/>
        <v>0</v>
      </c>
      <c r="BP48" s="33">
        <f t="shared" si="560"/>
        <v>0</v>
      </c>
      <c r="BQ48" s="33">
        <f t="shared" si="561"/>
        <v>0</v>
      </c>
      <c r="BR48" s="33">
        <f t="shared" si="562"/>
        <v>0</v>
      </c>
      <c r="BS48" s="33">
        <f t="shared" si="563"/>
        <v>0</v>
      </c>
      <c r="BT48" s="33">
        <f t="shared" si="564"/>
        <v>0</v>
      </c>
      <c r="BU48" s="33">
        <f t="shared" si="565"/>
        <v>0</v>
      </c>
      <c r="BV48" s="33">
        <f t="shared" si="566"/>
        <v>0</v>
      </c>
      <c r="BW48" s="33">
        <f t="shared" si="567"/>
        <v>0</v>
      </c>
      <c r="BX48" s="33">
        <f t="shared" si="568"/>
        <v>0</v>
      </c>
      <c r="BY48" s="33">
        <f t="shared" si="569"/>
        <v>0</v>
      </c>
      <c r="BZ48" s="33"/>
      <c r="CA48" s="33">
        <f t="shared" si="570"/>
        <v>5357.4537293887743</v>
      </c>
      <c r="CB48" s="33">
        <f t="shared" si="571"/>
        <v>-3140.0399501079655</v>
      </c>
      <c r="CC48" s="33">
        <f t="shared" si="572"/>
        <v>981.05369261141152</v>
      </c>
      <c r="CD48" s="33">
        <f t="shared" si="573"/>
        <v>242.77227780127157</v>
      </c>
      <c r="CE48" s="33">
        <f t="shared" si="574"/>
        <v>0</v>
      </c>
      <c r="CF48" s="33">
        <f t="shared" si="575"/>
        <v>20.517084053693452</v>
      </c>
      <c r="CG48" s="33">
        <f t="shared" si="576"/>
        <v>28.281290458658614</v>
      </c>
      <c r="CH48" s="33">
        <f t="shared" si="577"/>
        <v>0</v>
      </c>
      <c r="CI48" s="33">
        <f t="shared" si="578"/>
        <v>887.30623258038759</v>
      </c>
      <c r="CJ48" s="33">
        <f t="shared" si="579"/>
        <v>7.0404707997124811</v>
      </c>
      <c r="CK48" s="33">
        <f t="shared" si="580"/>
        <v>0</v>
      </c>
      <c r="CL48" s="33">
        <f t="shared" si="581"/>
        <v>0</v>
      </c>
      <c r="CM48" s="33">
        <f t="shared" si="582"/>
        <v>4384.3848275859436</v>
      </c>
      <c r="CN48" s="33">
        <f t="shared" si="583"/>
        <v>4384.3848275859436</v>
      </c>
      <c r="CO48" s="33"/>
      <c r="CP48" s="33">
        <f t="shared" si="584"/>
        <v>0</v>
      </c>
      <c r="CQ48" s="33">
        <f t="shared" si="585"/>
        <v>0</v>
      </c>
      <c r="CR48" s="33">
        <f t="shared" si="586"/>
        <v>0</v>
      </c>
      <c r="CS48" s="33">
        <f t="shared" si="587"/>
        <v>0</v>
      </c>
      <c r="CT48" s="33">
        <f t="shared" si="588"/>
        <v>0</v>
      </c>
      <c r="CU48" s="33">
        <f t="shared" si="589"/>
        <v>0</v>
      </c>
      <c r="CV48" s="33">
        <f t="shared" si="590"/>
        <v>0</v>
      </c>
      <c r="CW48" s="33">
        <f t="shared" si="591"/>
        <v>0</v>
      </c>
      <c r="CX48" s="33">
        <f t="shared" si="592"/>
        <v>0</v>
      </c>
      <c r="CY48" s="33">
        <f t="shared" si="593"/>
        <v>0</v>
      </c>
      <c r="CZ48" s="33">
        <f t="shared" si="594"/>
        <v>0</v>
      </c>
      <c r="DA48" s="33">
        <f t="shared" si="595"/>
        <v>0</v>
      </c>
      <c r="DB48" s="33">
        <f t="shared" si="596"/>
        <v>0</v>
      </c>
      <c r="DC48" s="33">
        <f t="shared" si="597"/>
        <v>0</v>
      </c>
      <c r="DD48" s="33"/>
      <c r="DE48" s="33">
        <v>58775.860000000015</v>
      </c>
      <c r="DF48" s="33">
        <v>-34448.93</v>
      </c>
      <c r="DG48" s="33">
        <v>10763</v>
      </c>
      <c r="DH48" s="33">
        <v>2663.42</v>
      </c>
      <c r="DI48" s="33"/>
      <c r="DJ48" s="33">
        <v>225.09</v>
      </c>
      <c r="DK48" s="33">
        <f>310.28-0.01</f>
        <v>310.27</v>
      </c>
      <c r="DL48" s="33"/>
      <c r="DM48" s="33">
        <v>9734.51</v>
      </c>
      <c r="DN48" s="33">
        <v>77.240000000000009</v>
      </c>
      <c r="DO48" s="33"/>
      <c r="DP48" s="33">
        <v>0</v>
      </c>
    </row>
    <row r="49" spans="1:120">
      <c r="A49" s="26" t="s">
        <v>1162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34"/>
      <c r="O49" s="26"/>
      <c r="P49" s="26"/>
      <c r="Q49" s="26"/>
      <c r="S49" s="33">
        <f t="shared" si="514"/>
        <v>0</v>
      </c>
      <c r="T49" s="33">
        <f t="shared" si="515"/>
        <v>14058.900213913956</v>
      </c>
      <c r="U49" s="33">
        <f t="shared" si="516"/>
        <v>0</v>
      </c>
      <c r="V49" s="33">
        <f t="shared" si="517"/>
        <v>21082.218826326025</v>
      </c>
      <c r="W49" s="33">
        <f t="shared" si="518"/>
        <v>0</v>
      </c>
      <c r="X49" s="33">
        <f t="shared" si="519"/>
        <v>0</v>
      </c>
      <c r="Y49" s="33">
        <f t="shared" si="520"/>
        <v>0</v>
      </c>
      <c r="Z49" s="33">
        <f t="shared" si="521"/>
        <v>0</v>
      </c>
      <c r="AA49" s="33">
        <f t="shared" si="522"/>
        <v>0</v>
      </c>
      <c r="AB49" s="33">
        <f t="shared" si="523"/>
        <v>0</v>
      </c>
      <c r="AC49" s="33">
        <f t="shared" si="524"/>
        <v>0</v>
      </c>
      <c r="AD49" s="33">
        <f t="shared" si="525"/>
        <v>0</v>
      </c>
      <c r="AE49" s="33">
        <f t="shared" si="526"/>
        <v>35141.119040239981</v>
      </c>
      <c r="AF49" s="33">
        <f t="shared" si="527"/>
        <v>35141.119040239981</v>
      </c>
      <c r="AG49" s="33"/>
      <c r="AH49" s="33">
        <f t="shared" si="528"/>
        <v>0</v>
      </c>
      <c r="AI49" s="33">
        <f t="shared" si="529"/>
        <v>0</v>
      </c>
      <c r="AJ49" s="33">
        <f t="shared" si="530"/>
        <v>0</v>
      </c>
      <c r="AK49" s="33">
        <f t="shared" si="531"/>
        <v>0</v>
      </c>
      <c r="AL49" s="33">
        <f t="shared" si="532"/>
        <v>0</v>
      </c>
      <c r="AM49" s="33">
        <f t="shared" si="533"/>
        <v>0</v>
      </c>
      <c r="AN49" s="33">
        <f t="shared" si="534"/>
        <v>0</v>
      </c>
      <c r="AO49" s="33">
        <f t="shared" si="535"/>
        <v>0</v>
      </c>
      <c r="AP49" s="33">
        <f t="shared" si="536"/>
        <v>0</v>
      </c>
      <c r="AQ49" s="33">
        <f t="shared" si="537"/>
        <v>0</v>
      </c>
      <c r="AR49" s="33">
        <f t="shared" si="538"/>
        <v>0</v>
      </c>
      <c r="AS49" s="33">
        <f t="shared" si="539"/>
        <v>0</v>
      </c>
      <c r="AT49" s="33">
        <f t="shared" si="540"/>
        <v>0</v>
      </c>
      <c r="AU49" s="33">
        <f t="shared" si="541"/>
        <v>0</v>
      </c>
      <c r="AV49" s="33"/>
      <c r="AW49" s="33">
        <f t="shared" si="542"/>
        <v>0</v>
      </c>
      <c r="AX49" s="33">
        <f t="shared" si="543"/>
        <v>14115.431805880362</v>
      </c>
      <c r="AY49" s="33">
        <f t="shared" si="544"/>
        <v>0</v>
      </c>
      <c r="AZ49" s="33">
        <f t="shared" si="545"/>
        <v>21166.991559207137</v>
      </c>
      <c r="BA49" s="33">
        <f t="shared" si="546"/>
        <v>0</v>
      </c>
      <c r="BB49" s="33">
        <f t="shared" si="547"/>
        <v>0</v>
      </c>
      <c r="BC49" s="33">
        <f t="shared" si="548"/>
        <v>0</v>
      </c>
      <c r="BD49" s="33">
        <f t="shared" si="549"/>
        <v>0</v>
      </c>
      <c r="BE49" s="33">
        <f t="shared" si="550"/>
        <v>0</v>
      </c>
      <c r="BF49" s="33">
        <f t="shared" si="551"/>
        <v>0</v>
      </c>
      <c r="BG49" s="33">
        <f t="shared" si="552"/>
        <v>0</v>
      </c>
      <c r="BH49" s="33">
        <f t="shared" si="553"/>
        <v>0</v>
      </c>
      <c r="BI49" s="33">
        <f t="shared" si="554"/>
        <v>35282.423365087496</v>
      </c>
      <c r="BJ49" s="33">
        <f t="shared" si="555"/>
        <v>35282.423365087496</v>
      </c>
      <c r="BK49" s="33"/>
      <c r="BL49" s="33">
        <f t="shared" si="556"/>
        <v>0</v>
      </c>
      <c r="BM49" s="33">
        <f t="shared" si="557"/>
        <v>0</v>
      </c>
      <c r="BN49" s="33">
        <f t="shared" si="558"/>
        <v>0</v>
      </c>
      <c r="BO49" s="33">
        <f t="shared" si="559"/>
        <v>0</v>
      </c>
      <c r="BP49" s="33">
        <f t="shared" si="560"/>
        <v>0</v>
      </c>
      <c r="BQ49" s="33">
        <f t="shared" si="561"/>
        <v>0</v>
      </c>
      <c r="BR49" s="33">
        <f t="shared" si="562"/>
        <v>0</v>
      </c>
      <c r="BS49" s="33">
        <f t="shared" si="563"/>
        <v>0</v>
      </c>
      <c r="BT49" s="33">
        <f t="shared" si="564"/>
        <v>0</v>
      </c>
      <c r="BU49" s="33">
        <f t="shared" si="565"/>
        <v>0</v>
      </c>
      <c r="BV49" s="33">
        <f t="shared" si="566"/>
        <v>0</v>
      </c>
      <c r="BW49" s="33">
        <f t="shared" si="567"/>
        <v>0</v>
      </c>
      <c r="BX49" s="33">
        <f t="shared" si="568"/>
        <v>0</v>
      </c>
      <c r="BY49" s="33">
        <f t="shared" si="569"/>
        <v>0</v>
      </c>
      <c r="BZ49" s="33"/>
      <c r="CA49" s="33">
        <f t="shared" si="570"/>
        <v>0</v>
      </c>
      <c r="CB49" s="33">
        <f t="shared" si="571"/>
        <v>2825.6679802056824</v>
      </c>
      <c r="CC49" s="33">
        <f t="shared" si="572"/>
        <v>0</v>
      </c>
      <c r="CD49" s="33">
        <f t="shared" si="573"/>
        <v>4237.2696144668334</v>
      </c>
      <c r="CE49" s="33">
        <f t="shared" si="574"/>
        <v>0</v>
      </c>
      <c r="CF49" s="33">
        <f t="shared" si="575"/>
        <v>0</v>
      </c>
      <c r="CG49" s="33">
        <f t="shared" si="576"/>
        <v>0</v>
      </c>
      <c r="CH49" s="33">
        <f t="shared" si="577"/>
        <v>0</v>
      </c>
      <c r="CI49" s="33">
        <f t="shared" si="578"/>
        <v>0</v>
      </c>
      <c r="CJ49" s="33">
        <f t="shared" si="579"/>
        <v>0</v>
      </c>
      <c r="CK49" s="33">
        <f t="shared" si="580"/>
        <v>0</v>
      </c>
      <c r="CL49" s="33">
        <f t="shared" si="581"/>
        <v>0</v>
      </c>
      <c r="CM49" s="33">
        <f t="shared" si="582"/>
        <v>7062.9375946725158</v>
      </c>
      <c r="CN49" s="33">
        <f t="shared" si="583"/>
        <v>7062.9375946725158</v>
      </c>
      <c r="CO49" s="33"/>
      <c r="CP49" s="33">
        <f t="shared" si="584"/>
        <v>0</v>
      </c>
      <c r="CQ49" s="33">
        <f t="shared" si="585"/>
        <v>0</v>
      </c>
      <c r="CR49" s="33">
        <f t="shared" si="586"/>
        <v>0</v>
      </c>
      <c r="CS49" s="33">
        <f t="shared" si="587"/>
        <v>0</v>
      </c>
      <c r="CT49" s="33">
        <f t="shared" si="588"/>
        <v>0</v>
      </c>
      <c r="CU49" s="33">
        <f t="shared" si="589"/>
        <v>0</v>
      </c>
      <c r="CV49" s="33">
        <f t="shared" si="590"/>
        <v>0</v>
      </c>
      <c r="CW49" s="33">
        <f t="shared" si="591"/>
        <v>0</v>
      </c>
      <c r="CX49" s="33">
        <f t="shared" si="592"/>
        <v>0</v>
      </c>
      <c r="CY49" s="33">
        <f t="shared" si="593"/>
        <v>0</v>
      </c>
      <c r="CZ49" s="33">
        <f t="shared" si="594"/>
        <v>0</v>
      </c>
      <c r="DA49" s="33">
        <f t="shared" si="595"/>
        <v>0</v>
      </c>
      <c r="DB49" s="33">
        <f t="shared" si="596"/>
        <v>0</v>
      </c>
      <c r="DC49" s="33">
        <f t="shared" si="597"/>
        <v>0</v>
      </c>
      <c r="DD49" s="33"/>
      <c r="DE49" s="33"/>
      <c r="DF49" s="33">
        <v>31000</v>
      </c>
      <c r="DG49" s="33"/>
      <c r="DH49" s="33">
        <v>46486.479999999996</v>
      </c>
      <c r="DI49" s="33"/>
      <c r="DJ49" s="33"/>
      <c r="DK49" s="33"/>
      <c r="DL49" s="33"/>
      <c r="DM49" s="33"/>
      <c r="DN49" s="33"/>
      <c r="DO49" s="33"/>
      <c r="DP49" s="33">
        <v>0</v>
      </c>
    </row>
    <row r="50" spans="1:120" s="509" customFormat="1">
      <c r="A50" s="509" t="s">
        <v>1163</v>
      </c>
      <c r="F50" s="511"/>
      <c r="G50" s="512"/>
      <c r="J50" s="511"/>
      <c r="K50" s="512"/>
      <c r="S50" s="513">
        <f t="shared" si="514"/>
        <v>4888.4383338964262</v>
      </c>
      <c r="T50" s="513">
        <f t="shared" si="515"/>
        <v>4888.4428690255281</v>
      </c>
      <c r="U50" s="513">
        <f t="shared" si="516"/>
        <v>4888.4383338964262</v>
      </c>
      <c r="V50" s="513">
        <f t="shared" si="517"/>
        <v>4888.4383338964262</v>
      </c>
      <c r="W50" s="513">
        <f t="shared" si="518"/>
        <v>4888.4383338964262</v>
      </c>
      <c r="X50" s="513">
        <f t="shared" si="519"/>
        <v>4888.4428690255281</v>
      </c>
      <c r="Y50" s="513">
        <f t="shared" si="520"/>
        <v>4888.4383338964262</v>
      </c>
      <c r="Z50" s="513">
        <f t="shared" si="521"/>
        <v>4888.4383338964262</v>
      </c>
      <c r="AA50" s="513">
        <f t="shared" si="522"/>
        <v>4888.4383338964262</v>
      </c>
      <c r="AB50" s="513">
        <f t="shared" si="523"/>
        <v>4888.4428690255281</v>
      </c>
      <c r="AC50" s="513">
        <f t="shared" si="524"/>
        <v>4888.4383338964262</v>
      </c>
      <c r="AD50" s="513">
        <f t="shared" si="525"/>
        <v>4888.4383338964262</v>
      </c>
      <c r="AE50" s="513">
        <f t="shared" si="526"/>
        <v>58661.273612144418</v>
      </c>
      <c r="AF50" s="513">
        <f t="shared" si="527"/>
        <v>58661.273612144418</v>
      </c>
      <c r="AG50" s="513"/>
      <c r="AH50" s="513">
        <f t="shared" si="528"/>
        <v>0</v>
      </c>
      <c r="AI50" s="513">
        <f t="shared" si="529"/>
        <v>0</v>
      </c>
      <c r="AJ50" s="513">
        <f t="shared" si="530"/>
        <v>0</v>
      </c>
      <c r="AK50" s="513">
        <f t="shared" si="531"/>
        <v>0</v>
      </c>
      <c r="AL50" s="513">
        <f t="shared" si="532"/>
        <v>0</v>
      </c>
      <c r="AM50" s="513">
        <f t="shared" si="533"/>
        <v>0</v>
      </c>
      <c r="AN50" s="513">
        <f t="shared" si="534"/>
        <v>0</v>
      </c>
      <c r="AO50" s="513">
        <f t="shared" si="535"/>
        <v>0</v>
      </c>
      <c r="AP50" s="513">
        <f t="shared" si="536"/>
        <v>0</v>
      </c>
      <c r="AQ50" s="513">
        <f t="shared" si="537"/>
        <v>0</v>
      </c>
      <c r="AR50" s="513">
        <f t="shared" si="538"/>
        <v>0</v>
      </c>
      <c r="AS50" s="513">
        <f t="shared" si="539"/>
        <v>0</v>
      </c>
      <c r="AT50" s="513">
        <f t="shared" si="540"/>
        <v>0</v>
      </c>
      <c r="AU50" s="513">
        <f t="shared" si="541"/>
        <v>0</v>
      </c>
      <c r="AV50" s="513"/>
      <c r="AW50" s="513">
        <f t="shared" si="542"/>
        <v>4908.0950066830546</v>
      </c>
      <c r="AX50" s="513">
        <f t="shared" si="543"/>
        <v>4908.0995600481538</v>
      </c>
      <c r="AY50" s="513">
        <f t="shared" si="544"/>
        <v>4908.0950066830546</v>
      </c>
      <c r="AZ50" s="513">
        <f t="shared" si="545"/>
        <v>4908.0950066830546</v>
      </c>
      <c r="BA50" s="513">
        <f t="shared" si="546"/>
        <v>4908.0950066830546</v>
      </c>
      <c r="BB50" s="513">
        <f t="shared" si="547"/>
        <v>4908.0995600481538</v>
      </c>
      <c r="BC50" s="513">
        <f t="shared" si="548"/>
        <v>4908.0950066830546</v>
      </c>
      <c r="BD50" s="513">
        <f t="shared" si="549"/>
        <v>4908.0950066830546</v>
      </c>
      <c r="BE50" s="513">
        <f t="shared" si="550"/>
        <v>4908.0950066830546</v>
      </c>
      <c r="BF50" s="513">
        <f t="shared" si="551"/>
        <v>4908.0995600481538</v>
      </c>
      <c r="BG50" s="513">
        <f t="shared" si="552"/>
        <v>4908.0950066830546</v>
      </c>
      <c r="BH50" s="513">
        <f t="shared" si="553"/>
        <v>4908.0950066830546</v>
      </c>
      <c r="BI50" s="513">
        <f t="shared" si="554"/>
        <v>58897.153740291957</v>
      </c>
      <c r="BJ50" s="513">
        <f t="shared" si="555"/>
        <v>58897.153740291957</v>
      </c>
      <c r="BK50" s="513"/>
      <c r="BL50" s="513">
        <f t="shared" si="556"/>
        <v>0</v>
      </c>
      <c r="BM50" s="513">
        <f t="shared" si="557"/>
        <v>0</v>
      </c>
      <c r="BN50" s="513">
        <f t="shared" si="558"/>
        <v>0</v>
      </c>
      <c r="BO50" s="513">
        <f t="shared" si="559"/>
        <v>0</v>
      </c>
      <c r="BP50" s="513">
        <f t="shared" si="560"/>
        <v>0</v>
      </c>
      <c r="BQ50" s="513">
        <f t="shared" si="561"/>
        <v>0</v>
      </c>
      <c r="BR50" s="513">
        <f t="shared" si="562"/>
        <v>0</v>
      </c>
      <c r="BS50" s="513">
        <f t="shared" si="563"/>
        <v>0</v>
      </c>
      <c r="BT50" s="513">
        <f t="shared" si="564"/>
        <v>0</v>
      </c>
      <c r="BU50" s="513">
        <f t="shared" si="565"/>
        <v>0</v>
      </c>
      <c r="BV50" s="513">
        <f t="shared" si="566"/>
        <v>0</v>
      </c>
      <c r="BW50" s="513">
        <f t="shared" si="567"/>
        <v>0</v>
      </c>
      <c r="BX50" s="513">
        <f t="shared" si="568"/>
        <v>0</v>
      </c>
      <c r="BY50" s="513">
        <f t="shared" si="569"/>
        <v>0</v>
      </c>
      <c r="BZ50" s="513"/>
      <c r="CA50" s="513">
        <f t="shared" si="570"/>
        <v>982.51665942051795</v>
      </c>
      <c r="CB50" s="513">
        <f t="shared" si="571"/>
        <v>982.51757092631806</v>
      </c>
      <c r="CC50" s="513">
        <f t="shared" si="572"/>
        <v>982.51665942051795</v>
      </c>
      <c r="CD50" s="513">
        <f t="shared" si="573"/>
        <v>982.51665942051795</v>
      </c>
      <c r="CE50" s="513">
        <f t="shared" si="574"/>
        <v>982.51665942051795</v>
      </c>
      <c r="CF50" s="513">
        <f t="shared" si="575"/>
        <v>982.51757092631806</v>
      </c>
      <c r="CG50" s="513">
        <f t="shared" si="576"/>
        <v>982.51665942051795</v>
      </c>
      <c r="CH50" s="513">
        <f t="shared" si="577"/>
        <v>982.51665942051795</v>
      </c>
      <c r="CI50" s="513">
        <f t="shared" si="578"/>
        <v>982.51665942051795</v>
      </c>
      <c r="CJ50" s="513">
        <f t="shared" si="579"/>
        <v>982.51757092631806</v>
      </c>
      <c r="CK50" s="513">
        <f t="shared" si="580"/>
        <v>982.51665942051795</v>
      </c>
      <c r="CL50" s="513">
        <f t="shared" si="581"/>
        <v>982.51665942051795</v>
      </c>
      <c r="CM50" s="513">
        <f t="shared" si="582"/>
        <v>11790.202647563619</v>
      </c>
      <c r="CN50" s="513">
        <f t="shared" si="583"/>
        <v>11790.202647563619</v>
      </c>
      <c r="CO50" s="513"/>
      <c r="CP50" s="513">
        <f t="shared" si="584"/>
        <v>0</v>
      </c>
      <c r="CQ50" s="513">
        <f t="shared" si="585"/>
        <v>0</v>
      </c>
      <c r="CR50" s="513">
        <f t="shared" si="586"/>
        <v>0</v>
      </c>
      <c r="CS50" s="513">
        <f t="shared" si="587"/>
        <v>0</v>
      </c>
      <c r="CT50" s="513">
        <f t="shared" si="588"/>
        <v>0</v>
      </c>
      <c r="CU50" s="513">
        <f t="shared" si="589"/>
        <v>0</v>
      </c>
      <c r="CV50" s="513">
        <f t="shared" si="590"/>
        <v>0</v>
      </c>
      <c r="CW50" s="513">
        <f t="shared" si="591"/>
        <v>0</v>
      </c>
      <c r="CX50" s="513">
        <f t="shared" si="592"/>
        <v>0</v>
      </c>
      <c r="CY50" s="513">
        <f t="shared" si="593"/>
        <v>0</v>
      </c>
      <c r="CZ50" s="513">
        <f t="shared" si="594"/>
        <v>0</v>
      </c>
      <c r="DA50" s="513">
        <f t="shared" si="595"/>
        <v>0</v>
      </c>
      <c r="DB50" s="513">
        <f t="shared" si="596"/>
        <v>0</v>
      </c>
      <c r="DC50" s="513">
        <f t="shared" si="597"/>
        <v>0</v>
      </c>
      <c r="DD50" s="513"/>
      <c r="DE50" s="513">
        <v>10779.05</v>
      </c>
      <c r="DF50" s="513">
        <v>10779.06</v>
      </c>
      <c r="DG50" s="513">
        <v>10779.05</v>
      </c>
      <c r="DH50" s="513">
        <v>10779.05</v>
      </c>
      <c r="DI50" s="513">
        <v>10779.05</v>
      </c>
      <c r="DJ50" s="513">
        <v>10779.06</v>
      </c>
      <c r="DK50" s="513">
        <v>10779.05</v>
      </c>
      <c r="DL50" s="513">
        <v>10779.05</v>
      </c>
      <c r="DM50" s="513">
        <v>10779.05</v>
      </c>
      <c r="DN50" s="513">
        <v>10779.06</v>
      </c>
      <c r="DO50" s="513">
        <v>10779.05</v>
      </c>
      <c r="DP50" s="513">
        <v>10779.05</v>
      </c>
    </row>
    <row r="51" spans="1:120">
      <c r="A51" s="26" t="s">
        <v>1168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S51" s="32">
        <f>S43-S47-S48-S49-S50</f>
        <v>0</v>
      </c>
      <c r="T51" s="32">
        <f t="shared" ref="T51:CE51" si="598">T43-T47-T48-T49-T50</f>
        <v>0</v>
      </c>
      <c r="U51" s="32">
        <f t="shared" si="598"/>
        <v>0</v>
      </c>
      <c r="V51" s="32">
        <f t="shared" si="598"/>
        <v>0</v>
      </c>
      <c r="W51" s="32">
        <f t="shared" si="598"/>
        <v>0</v>
      </c>
      <c r="X51" s="32">
        <f t="shared" si="598"/>
        <v>0</v>
      </c>
      <c r="Y51" s="33">
        <f t="shared" si="598"/>
        <v>-4.2746250983327627E-11</v>
      </c>
      <c r="Z51" s="32">
        <f t="shared" si="598"/>
        <v>0</v>
      </c>
      <c r="AA51" s="32">
        <f t="shared" si="598"/>
        <v>0</v>
      </c>
      <c r="AB51" s="32">
        <f t="shared" si="598"/>
        <v>0</v>
      </c>
      <c r="AC51" s="32">
        <f t="shared" si="598"/>
        <v>0</v>
      </c>
      <c r="AD51" s="32">
        <f t="shared" si="598"/>
        <v>0</v>
      </c>
      <c r="AE51" s="32">
        <f t="shared" si="598"/>
        <v>0</v>
      </c>
      <c r="AF51" s="32">
        <f t="shared" si="598"/>
        <v>0</v>
      </c>
      <c r="AG51" s="32">
        <f t="shared" si="598"/>
        <v>0</v>
      </c>
      <c r="AH51" s="32">
        <f t="shared" si="598"/>
        <v>-905.35642848646444</v>
      </c>
      <c r="AI51" s="32">
        <f t="shared" si="598"/>
        <v>-165513.05822421651</v>
      </c>
      <c r="AJ51" s="32">
        <f t="shared" si="598"/>
        <v>1070.3177765166001</v>
      </c>
      <c r="AK51" s="32">
        <f t="shared" si="598"/>
        <v>238004.0647168172</v>
      </c>
      <c r="AL51" s="32">
        <f t="shared" si="598"/>
        <v>0</v>
      </c>
      <c r="AM51" s="32">
        <f t="shared" si="598"/>
        <v>4108.1996181832783</v>
      </c>
      <c r="AN51" s="32">
        <f t="shared" si="598"/>
        <v>5425.5235656917575</v>
      </c>
      <c r="AO51" s="32">
        <f t="shared" si="598"/>
        <v>3860.3438134925136</v>
      </c>
      <c r="AP51" s="32">
        <f t="shared" si="598"/>
        <v>3524.1481725255449</v>
      </c>
      <c r="AQ51" s="32">
        <f t="shared" si="598"/>
        <v>3733.6601187276988</v>
      </c>
      <c r="AR51" s="32">
        <f t="shared" si="598"/>
        <v>43351.329171839185</v>
      </c>
      <c r="AS51" s="32">
        <f t="shared" si="598"/>
        <v>63554.862688342233</v>
      </c>
      <c r="AT51" s="32">
        <f t="shared" si="598"/>
        <v>200214.03498943301</v>
      </c>
      <c r="AU51" s="32">
        <f t="shared" si="598"/>
        <v>200214.03498943301</v>
      </c>
      <c r="AV51" s="32">
        <f t="shared" si="598"/>
        <v>0</v>
      </c>
      <c r="AW51" s="32">
        <f t="shared" si="598"/>
        <v>0</v>
      </c>
      <c r="AX51" s="32">
        <f t="shared" si="598"/>
        <v>0</v>
      </c>
      <c r="AY51" s="32">
        <f t="shared" si="598"/>
        <v>0</v>
      </c>
      <c r="AZ51" s="32">
        <f t="shared" si="598"/>
        <v>0</v>
      </c>
      <c r="BA51" s="32">
        <f t="shared" si="598"/>
        <v>0</v>
      </c>
      <c r="BB51" s="32">
        <f t="shared" si="598"/>
        <v>0</v>
      </c>
      <c r="BC51" s="32">
        <f t="shared" si="598"/>
        <v>-4.3655745685100555E-11</v>
      </c>
      <c r="BD51" s="32">
        <f t="shared" si="598"/>
        <v>0</v>
      </c>
      <c r="BE51" s="32">
        <f t="shared" si="598"/>
        <v>0</v>
      </c>
      <c r="BF51" s="32">
        <f t="shared" si="598"/>
        <v>0</v>
      </c>
      <c r="BG51" s="32">
        <f t="shared" si="598"/>
        <v>0</v>
      </c>
      <c r="BH51" s="32">
        <f t="shared" si="598"/>
        <v>0</v>
      </c>
      <c r="BI51" s="32">
        <f t="shared" si="598"/>
        <v>-6.5483618527650833E-11</v>
      </c>
      <c r="BJ51" s="32">
        <f t="shared" si="598"/>
        <v>-6.5483618527650833E-11</v>
      </c>
      <c r="BK51" s="32">
        <f t="shared" si="598"/>
        <v>0</v>
      </c>
      <c r="BL51" s="32">
        <f t="shared" si="598"/>
        <v>-520.43694172408163</v>
      </c>
      <c r="BM51" s="32">
        <f t="shared" si="598"/>
        <v>-95143.865031824796</v>
      </c>
      <c r="BN51" s="32">
        <f t="shared" si="598"/>
        <v>615.26366053913375</v>
      </c>
      <c r="BO51" s="32">
        <f t="shared" si="598"/>
        <v>136814.74352172521</v>
      </c>
      <c r="BP51" s="32">
        <f t="shared" si="598"/>
        <v>0</v>
      </c>
      <c r="BQ51" s="32">
        <f t="shared" si="598"/>
        <v>2361.5658739549231</v>
      </c>
      <c r="BR51" s="32">
        <f t="shared" si="598"/>
        <v>3118.8190672053843</v>
      </c>
      <c r="BS51" s="32">
        <f t="shared" si="598"/>
        <v>2219.0879360697654</v>
      </c>
      <c r="BT51" s="32">
        <f t="shared" si="598"/>
        <v>2025.8285459549556</v>
      </c>
      <c r="BU51" s="32">
        <f t="shared" si="598"/>
        <v>2146.2648217744072</v>
      </c>
      <c r="BV51" s="32">
        <f t="shared" si="598"/>
        <v>24920.166758614079</v>
      </c>
      <c r="BW51" s="32">
        <f t="shared" si="598"/>
        <v>36534.007301975311</v>
      </c>
      <c r="BX51" s="32">
        <f t="shared" si="598"/>
        <v>115091.44551426428</v>
      </c>
      <c r="BY51" s="32">
        <f t="shared" si="598"/>
        <v>115091.44551426428</v>
      </c>
      <c r="BZ51" s="32">
        <f t="shared" si="598"/>
        <v>0</v>
      </c>
      <c r="CA51" s="32">
        <f t="shared" si="598"/>
        <v>0</v>
      </c>
      <c r="CB51" s="32">
        <f t="shared" si="598"/>
        <v>0</v>
      </c>
      <c r="CC51" s="32">
        <f t="shared" si="598"/>
        <v>0</v>
      </c>
      <c r="CD51" s="32">
        <f t="shared" si="598"/>
        <v>0</v>
      </c>
      <c r="CE51" s="32">
        <f t="shared" si="598"/>
        <v>0</v>
      </c>
      <c r="CF51" s="32">
        <f t="shared" ref="CF51:DP51" si="599">CF43-CF47-CF48-CF49-CF50</f>
        <v>0</v>
      </c>
      <c r="CG51" s="32">
        <f t="shared" si="599"/>
        <v>-8.7538865045644343E-12</v>
      </c>
      <c r="CH51" s="32">
        <f t="shared" si="599"/>
        <v>0</v>
      </c>
      <c r="CI51" s="32">
        <f t="shared" si="599"/>
        <v>0</v>
      </c>
      <c r="CJ51" s="32">
        <f t="shared" si="599"/>
        <v>0</v>
      </c>
      <c r="CK51" s="32">
        <f t="shared" si="599"/>
        <v>0</v>
      </c>
      <c r="CL51" s="32">
        <f t="shared" si="599"/>
        <v>0</v>
      </c>
      <c r="CM51" s="32">
        <f t="shared" si="599"/>
        <v>-1.4551915228366852E-11</v>
      </c>
      <c r="CN51" s="32">
        <f t="shared" si="599"/>
        <v>-1.4551915228366852E-11</v>
      </c>
      <c r="CO51" s="32">
        <f t="shared" si="599"/>
        <v>0</v>
      </c>
      <c r="CP51" s="32">
        <f t="shared" si="599"/>
        <v>-215.20662978945393</v>
      </c>
      <c r="CQ51" s="32">
        <f t="shared" si="599"/>
        <v>-39343.076743958671</v>
      </c>
      <c r="CR51" s="32">
        <f t="shared" si="599"/>
        <v>254.41856294426609</v>
      </c>
      <c r="CS51" s="32">
        <f t="shared" si="599"/>
        <v>56574.461761457613</v>
      </c>
      <c r="CT51" s="32">
        <f t="shared" si="599"/>
        <v>0</v>
      </c>
      <c r="CU51" s="32">
        <f t="shared" si="599"/>
        <v>976.53450786179803</v>
      </c>
      <c r="CV51" s="32">
        <f t="shared" si="599"/>
        <v>1289.6673671028566</v>
      </c>
      <c r="CW51" s="32">
        <f t="shared" si="599"/>
        <v>917.61825043772001</v>
      </c>
      <c r="CX51" s="32">
        <f t="shared" si="599"/>
        <v>837.7032815194998</v>
      </c>
      <c r="CY51" s="32">
        <f t="shared" si="599"/>
        <v>887.50505949789419</v>
      </c>
      <c r="CZ51" s="32">
        <f t="shared" si="599"/>
        <v>10304.774069546724</v>
      </c>
      <c r="DA51" s="32">
        <f t="shared" si="599"/>
        <v>15107.230009682458</v>
      </c>
      <c r="DB51" s="32">
        <f t="shared" si="599"/>
        <v>47591.629496302703</v>
      </c>
      <c r="DC51" s="32">
        <f t="shared" si="599"/>
        <v>47591.629496302703</v>
      </c>
      <c r="DD51" s="32">
        <f t="shared" si="599"/>
        <v>0</v>
      </c>
      <c r="DE51" s="32">
        <f t="shared" si="599"/>
        <v>0</v>
      </c>
      <c r="DF51" s="32">
        <f t="shared" si="599"/>
        <v>0</v>
      </c>
      <c r="DG51" s="32">
        <f t="shared" si="599"/>
        <v>0</v>
      </c>
      <c r="DH51" s="32">
        <f t="shared" si="599"/>
        <v>0</v>
      </c>
      <c r="DI51" s="32">
        <f t="shared" si="599"/>
        <v>0</v>
      </c>
      <c r="DJ51" s="32">
        <f t="shared" si="599"/>
        <v>0</v>
      </c>
      <c r="DK51" s="33">
        <f t="shared" si="599"/>
        <v>-9.6406438387930393E-11</v>
      </c>
      <c r="DL51" s="32">
        <f t="shared" si="599"/>
        <v>0</v>
      </c>
      <c r="DM51" s="32">
        <f t="shared" si="599"/>
        <v>0</v>
      </c>
      <c r="DN51" s="32">
        <f t="shared" si="599"/>
        <v>0</v>
      </c>
      <c r="DO51" s="32">
        <f t="shared" si="599"/>
        <v>0</v>
      </c>
      <c r="DP51" s="32">
        <f t="shared" si="599"/>
        <v>0</v>
      </c>
    </row>
    <row r="52" spans="1:120" s="509" customFormat="1">
      <c r="A52" s="509" t="s">
        <v>1167</v>
      </c>
      <c r="S52" s="510">
        <f>S29+S37</f>
        <v>4112013.7737525683</v>
      </c>
      <c r="T52" s="510">
        <f t="shared" ref="T52:CE52" si="600">T29+T37</f>
        <v>-2909273.09175188</v>
      </c>
      <c r="U52" s="510">
        <f t="shared" si="600"/>
        <v>779981.80656779092</v>
      </c>
      <c r="V52" s="510">
        <f t="shared" si="600"/>
        <v>1621133.0580376959</v>
      </c>
      <c r="W52" s="510">
        <f t="shared" si="600"/>
        <v>348691.53243705095</v>
      </c>
      <c r="X52" s="510">
        <f t="shared" si="600"/>
        <v>4233500.2316206638</v>
      </c>
      <c r="Y52" s="510">
        <f t="shared" si="600"/>
        <v>3769680.2927698069</v>
      </c>
      <c r="Z52" s="510">
        <f t="shared" si="600"/>
        <v>6829346.7190001989</v>
      </c>
      <c r="AA52" s="510">
        <f t="shared" si="600"/>
        <v>6320379.8828701787</v>
      </c>
      <c r="AB52" s="510">
        <f t="shared" si="600"/>
        <v>7417773.7199132144</v>
      </c>
      <c r="AC52" s="510">
        <f t="shared" si="600"/>
        <v>2600942.0632000007</v>
      </c>
      <c r="AD52" s="510">
        <f t="shared" si="600"/>
        <v>7474911.8658815725</v>
      </c>
      <c r="AE52" s="510">
        <f t="shared" si="600"/>
        <v>42599081.85429886</v>
      </c>
      <c r="AF52" s="510">
        <f t="shared" si="600"/>
        <v>42599081.85429886</v>
      </c>
      <c r="AG52" s="510">
        <f t="shared" si="600"/>
        <v>0</v>
      </c>
      <c r="AH52" s="510">
        <f t="shared" si="600"/>
        <v>0</v>
      </c>
      <c r="AI52" s="510">
        <f t="shared" si="600"/>
        <v>0</v>
      </c>
      <c r="AJ52" s="510">
        <f t="shared" si="600"/>
        <v>0</v>
      </c>
      <c r="AK52" s="510">
        <f t="shared" si="600"/>
        <v>0</v>
      </c>
      <c r="AL52" s="510">
        <f t="shared" si="600"/>
        <v>1428721.1817247213</v>
      </c>
      <c r="AM52" s="510">
        <f t="shared" si="600"/>
        <v>-423629.11118503293</v>
      </c>
      <c r="AN52" s="510">
        <f t="shared" si="600"/>
        <v>0</v>
      </c>
      <c r="AO52" s="510">
        <f t="shared" si="600"/>
        <v>149040.11731776208</v>
      </c>
      <c r="AP52" s="510">
        <f t="shared" si="600"/>
        <v>21804149.818600852</v>
      </c>
      <c r="AQ52" s="510">
        <f t="shared" si="600"/>
        <v>10283766.825992143</v>
      </c>
      <c r="AR52" s="510">
        <f t="shared" si="600"/>
        <v>18419585.875483382</v>
      </c>
      <c r="AS52" s="510">
        <f t="shared" si="600"/>
        <v>13829501.691559156</v>
      </c>
      <c r="AT52" s="510">
        <f t="shared" si="600"/>
        <v>65491136.399492987</v>
      </c>
      <c r="AU52" s="510">
        <f t="shared" si="600"/>
        <v>65491136.399492987</v>
      </c>
      <c r="AV52" s="510">
        <f t="shared" si="600"/>
        <v>0</v>
      </c>
      <c r="AW52" s="510">
        <f t="shared" si="600"/>
        <v>4128548.4017306482</v>
      </c>
      <c r="AX52" s="510">
        <f t="shared" si="600"/>
        <v>-2920971.4349251948</v>
      </c>
      <c r="AY52" s="510">
        <f t="shared" si="600"/>
        <v>783118.15525504248</v>
      </c>
      <c r="AZ52" s="510">
        <f t="shared" si="600"/>
        <v>1627651.7210316572</v>
      </c>
      <c r="BA52" s="510">
        <f t="shared" si="600"/>
        <v>350093.63979494828</v>
      </c>
      <c r="BB52" s="510">
        <f t="shared" si="600"/>
        <v>4250523.3631631155</v>
      </c>
      <c r="BC52" s="510">
        <f t="shared" si="600"/>
        <v>3784838.3794559725</v>
      </c>
      <c r="BD52" s="510">
        <f t="shared" si="600"/>
        <v>6856807.8885256452</v>
      </c>
      <c r="BE52" s="510">
        <f t="shared" si="600"/>
        <v>6345794.4694434218</v>
      </c>
      <c r="BF52" s="510">
        <f t="shared" si="600"/>
        <v>7447600.9859761912</v>
      </c>
      <c r="BG52" s="510">
        <f t="shared" si="600"/>
        <v>2611400.5907667275</v>
      </c>
      <c r="BH52" s="510">
        <f t="shared" si="600"/>
        <v>7504968.8874947317</v>
      </c>
      <c r="BI52" s="510">
        <f t="shared" si="600"/>
        <v>42770375.0477129</v>
      </c>
      <c r="BJ52" s="510">
        <f t="shared" si="600"/>
        <v>42770375.0477129</v>
      </c>
      <c r="BK52" s="510">
        <f t="shared" si="600"/>
        <v>0</v>
      </c>
      <c r="BL52" s="510">
        <f t="shared" si="600"/>
        <v>0</v>
      </c>
      <c r="BM52" s="510">
        <f t="shared" si="600"/>
        <v>0</v>
      </c>
      <c r="BN52" s="510">
        <f t="shared" si="600"/>
        <v>0</v>
      </c>
      <c r="BO52" s="510">
        <f t="shared" si="600"/>
        <v>0</v>
      </c>
      <c r="BP52" s="510">
        <f t="shared" si="600"/>
        <v>821289.00728774851</v>
      </c>
      <c r="BQ52" s="510">
        <f t="shared" si="600"/>
        <v>-243519.82502516211</v>
      </c>
      <c r="BR52" s="510">
        <f t="shared" si="600"/>
        <v>0</v>
      </c>
      <c r="BS52" s="510">
        <f t="shared" si="600"/>
        <v>85674.525977272715</v>
      </c>
      <c r="BT52" s="510">
        <f t="shared" si="600"/>
        <v>12533942.09334426</v>
      </c>
      <c r="BU52" s="510">
        <f t="shared" si="600"/>
        <v>5911541.5629955223</v>
      </c>
      <c r="BV52" s="510">
        <f t="shared" si="600"/>
        <v>10588352.431413682</v>
      </c>
      <c r="BW52" s="510">
        <f t="shared" si="600"/>
        <v>7949779.0477451347</v>
      </c>
      <c r="BX52" s="510">
        <f t="shared" si="600"/>
        <v>37647058.843738459</v>
      </c>
      <c r="BY52" s="510">
        <f t="shared" si="600"/>
        <v>37647058.843738459</v>
      </c>
      <c r="BZ52" s="510">
        <f t="shared" si="600"/>
        <v>0</v>
      </c>
      <c r="CA52" s="510">
        <f t="shared" si="600"/>
        <v>826464.76451678423</v>
      </c>
      <c r="CB52" s="510">
        <f t="shared" si="600"/>
        <v>-584728.51332292601</v>
      </c>
      <c r="CC52" s="510">
        <f t="shared" si="600"/>
        <v>156766.85817716678</v>
      </c>
      <c r="CD52" s="510">
        <f t="shared" si="600"/>
        <v>325828.03093064704</v>
      </c>
      <c r="CE52" s="510">
        <f t="shared" si="600"/>
        <v>70082.757768000767</v>
      </c>
      <c r="CF52" s="510">
        <f t="shared" ref="CF52:DC52" si="601">CF29+CF37</f>
        <v>850882.06521621894</v>
      </c>
      <c r="CG52" s="510">
        <f t="shared" si="601"/>
        <v>757659.89777422114</v>
      </c>
      <c r="CH52" s="510">
        <f t="shared" si="601"/>
        <v>1372615.6424741589</v>
      </c>
      <c r="CI52" s="510">
        <f t="shared" si="601"/>
        <v>1270319.4976864003</v>
      </c>
      <c r="CJ52" s="510">
        <f t="shared" si="601"/>
        <v>1490882.3141105939</v>
      </c>
      <c r="CK52" s="510">
        <f t="shared" si="601"/>
        <v>522757.72603327228</v>
      </c>
      <c r="CL52" s="510">
        <f t="shared" si="601"/>
        <v>1502366.3866236999</v>
      </c>
      <c r="CM52" s="510">
        <f t="shared" si="601"/>
        <v>8561897.4279882368</v>
      </c>
      <c r="CN52" s="510">
        <f t="shared" si="601"/>
        <v>8561897.4279882368</v>
      </c>
      <c r="CO52" s="510">
        <f t="shared" si="601"/>
        <v>0</v>
      </c>
      <c r="CP52" s="510">
        <f t="shared" si="601"/>
        <v>0</v>
      </c>
      <c r="CQ52" s="510">
        <f t="shared" si="601"/>
        <v>0</v>
      </c>
      <c r="CR52" s="510">
        <f t="shared" si="601"/>
        <v>0</v>
      </c>
      <c r="CS52" s="510">
        <f t="shared" si="601"/>
        <v>0</v>
      </c>
      <c r="CT52" s="510">
        <f t="shared" si="601"/>
        <v>339612.40098753007</v>
      </c>
      <c r="CU52" s="510">
        <f t="shared" si="601"/>
        <v>-100698.23378980494</v>
      </c>
      <c r="CV52" s="510">
        <f t="shared" si="601"/>
        <v>0</v>
      </c>
      <c r="CW52" s="510">
        <f t="shared" si="601"/>
        <v>35427.396704965176</v>
      </c>
      <c r="CX52" s="510">
        <f t="shared" si="601"/>
        <v>5182928.4580548787</v>
      </c>
      <c r="CY52" s="510">
        <f t="shared" si="601"/>
        <v>2444490.0710123433</v>
      </c>
      <c r="CZ52" s="510">
        <f t="shared" si="601"/>
        <v>4378404.8731029378</v>
      </c>
      <c r="DA52" s="510">
        <f t="shared" si="601"/>
        <v>3287324.5906957118</v>
      </c>
      <c r="DB52" s="510">
        <f t="shared" si="601"/>
        <v>15567489.556768563</v>
      </c>
      <c r="DC52" s="510">
        <f t="shared" si="601"/>
        <v>15567489.556768563</v>
      </c>
    </row>
    <row r="53" spans="1:120" s="509" customFormat="1">
      <c r="A53" s="509" t="s">
        <v>1165</v>
      </c>
      <c r="B53" s="510"/>
      <c r="S53" s="510">
        <f>S40+S49</f>
        <v>0</v>
      </c>
      <c r="T53" s="510">
        <f t="shared" ref="T53:CE53" si="602">T40+T49</f>
        <v>14058.900213913956</v>
      </c>
      <c r="U53" s="510">
        <f t="shared" si="602"/>
        <v>0</v>
      </c>
      <c r="V53" s="510">
        <f t="shared" si="602"/>
        <v>21082.218826326025</v>
      </c>
      <c r="W53" s="510">
        <f t="shared" si="602"/>
        <v>0</v>
      </c>
      <c r="X53" s="510">
        <f t="shared" si="602"/>
        <v>0</v>
      </c>
      <c r="Y53" s="510">
        <f t="shared" si="602"/>
        <v>0</v>
      </c>
      <c r="Z53" s="510">
        <f t="shared" si="602"/>
        <v>0</v>
      </c>
      <c r="AA53" s="510">
        <f t="shared" si="602"/>
        <v>0</v>
      </c>
      <c r="AB53" s="510">
        <f t="shared" si="602"/>
        <v>0</v>
      </c>
      <c r="AC53" s="510">
        <f t="shared" si="602"/>
        <v>0</v>
      </c>
      <c r="AD53" s="510">
        <f t="shared" si="602"/>
        <v>-2.3219860998467969</v>
      </c>
      <c r="AE53" s="510">
        <f t="shared" si="602"/>
        <v>35138.797054140137</v>
      </c>
      <c r="AF53" s="510">
        <f t="shared" si="602"/>
        <v>35138.797054140137</v>
      </c>
      <c r="AG53" s="510">
        <f t="shared" si="602"/>
        <v>0</v>
      </c>
      <c r="AH53" s="510">
        <f t="shared" si="602"/>
        <v>0</v>
      </c>
      <c r="AI53" s="510">
        <f t="shared" si="602"/>
        <v>0</v>
      </c>
      <c r="AJ53" s="510">
        <f t="shared" si="602"/>
        <v>0</v>
      </c>
      <c r="AK53" s="510">
        <f t="shared" si="602"/>
        <v>0</v>
      </c>
      <c r="AL53" s="510">
        <f t="shared" si="602"/>
        <v>0</v>
      </c>
      <c r="AM53" s="510">
        <f t="shared" si="602"/>
        <v>0</v>
      </c>
      <c r="AN53" s="510">
        <f t="shared" si="602"/>
        <v>0</v>
      </c>
      <c r="AO53" s="510">
        <f t="shared" si="602"/>
        <v>0</v>
      </c>
      <c r="AP53" s="510">
        <f t="shared" si="602"/>
        <v>0</v>
      </c>
      <c r="AQ53" s="510">
        <f t="shared" si="602"/>
        <v>0</v>
      </c>
      <c r="AR53" s="510">
        <f t="shared" si="602"/>
        <v>0</v>
      </c>
      <c r="AS53" s="510">
        <f t="shared" si="602"/>
        <v>0</v>
      </c>
      <c r="AT53" s="510">
        <f t="shared" si="602"/>
        <v>0</v>
      </c>
      <c r="AU53" s="510">
        <f t="shared" si="602"/>
        <v>0</v>
      </c>
      <c r="AV53" s="510">
        <f t="shared" si="602"/>
        <v>0</v>
      </c>
      <c r="AW53" s="510">
        <f t="shared" si="602"/>
        <v>0</v>
      </c>
      <c r="AX53" s="510">
        <f t="shared" si="602"/>
        <v>14115.431805880362</v>
      </c>
      <c r="AY53" s="510">
        <f t="shared" si="602"/>
        <v>0</v>
      </c>
      <c r="AZ53" s="510">
        <f t="shared" si="602"/>
        <v>21166.991559207137</v>
      </c>
      <c r="BA53" s="510">
        <f t="shared" si="602"/>
        <v>0</v>
      </c>
      <c r="BB53" s="510">
        <f t="shared" si="602"/>
        <v>0</v>
      </c>
      <c r="BC53" s="510">
        <f t="shared" si="602"/>
        <v>0</v>
      </c>
      <c r="BD53" s="510">
        <f t="shared" si="602"/>
        <v>0</v>
      </c>
      <c r="BE53" s="510">
        <f t="shared" si="602"/>
        <v>0</v>
      </c>
      <c r="BF53" s="510">
        <f t="shared" si="602"/>
        <v>0</v>
      </c>
      <c r="BG53" s="510">
        <f t="shared" si="602"/>
        <v>0</v>
      </c>
      <c r="BH53" s="510">
        <f t="shared" si="602"/>
        <v>-2.3313229305199599</v>
      </c>
      <c r="BI53" s="510">
        <f t="shared" si="602"/>
        <v>35280.092042156975</v>
      </c>
      <c r="BJ53" s="510">
        <f t="shared" si="602"/>
        <v>35280.092042156975</v>
      </c>
      <c r="BK53" s="510">
        <f t="shared" si="602"/>
        <v>0</v>
      </c>
      <c r="BL53" s="510">
        <f t="shared" si="602"/>
        <v>0</v>
      </c>
      <c r="BM53" s="510">
        <f t="shared" si="602"/>
        <v>0</v>
      </c>
      <c r="BN53" s="510">
        <f t="shared" si="602"/>
        <v>0</v>
      </c>
      <c r="BO53" s="510">
        <f t="shared" si="602"/>
        <v>0</v>
      </c>
      <c r="BP53" s="510">
        <f t="shared" si="602"/>
        <v>0</v>
      </c>
      <c r="BQ53" s="510">
        <f t="shared" si="602"/>
        <v>0</v>
      </c>
      <c r="BR53" s="510">
        <f t="shared" si="602"/>
        <v>0</v>
      </c>
      <c r="BS53" s="510">
        <f t="shared" si="602"/>
        <v>0</v>
      </c>
      <c r="BT53" s="510">
        <f t="shared" si="602"/>
        <v>0</v>
      </c>
      <c r="BU53" s="510">
        <f t="shared" si="602"/>
        <v>0</v>
      </c>
      <c r="BV53" s="510">
        <f t="shared" si="602"/>
        <v>0</v>
      </c>
      <c r="BW53" s="510">
        <f t="shared" si="602"/>
        <v>0</v>
      </c>
      <c r="BX53" s="510">
        <f t="shared" si="602"/>
        <v>0</v>
      </c>
      <c r="BY53" s="510">
        <f t="shared" si="602"/>
        <v>0</v>
      </c>
      <c r="BZ53" s="510">
        <f t="shared" si="602"/>
        <v>0</v>
      </c>
      <c r="CA53" s="510">
        <f t="shared" si="602"/>
        <v>0</v>
      </c>
      <c r="CB53" s="510">
        <f t="shared" si="602"/>
        <v>2825.6679802056824</v>
      </c>
      <c r="CC53" s="510">
        <f t="shared" si="602"/>
        <v>0</v>
      </c>
      <c r="CD53" s="510">
        <f t="shared" si="602"/>
        <v>4237.2696144668334</v>
      </c>
      <c r="CE53" s="510">
        <f t="shared" si="602"/>
        <v>0</v>
      </c>
      <c r="CF53" s="510">
        <f t="shared" ref="CF53:DC53" si="603">CF40+CF49</f>
        <v>0</v>
      </c>
      <c r="CG53" s="510">
        <f t="shared" si="603"/>
        <v>0</v>
      </c>
      <c r="CH53" s="510">
        <f t="shared" si="603"/>
        <v>0</v>
      </c>
      <c r="CI53" s="510">
        <f t="shared" si="603"/>
        <v>0</v>
      </c>
      <c r="CJ53" s="510">
        <f t="shared" si="603"/>
        <v>0</v>
      </c>
      <c r="CK53" s="510">
        <f t="shared" si="603"/>
        <v>0</v>
      </c>
      <c r="CL53" s="510">
        <f t="shared" si="603"/>
        <v>-0.46669096963404372</v>
      </c>
      <c r="CM53" s="510">
        <f t="shared" si="603"/>
        <v>7062.4709037028815</v>
      </c>
      <c r="CN53" s="510">
        <f t="shared" si="603"/>
        <v>7062.4709037028815</v>
      </c>
      <c r="CO53" s="510">
        <f t="shared" si="603"/>
        <v>0</v>
      </c>
      <c r="CP53" s="510">
        <f t="shared" si="603"/>
        <v>0</v>
      </c>
      <c r="CQ53" s="510">
        <f t="shared" si="603"/>
        <v>0</v>
      </c>
      <c r="CR53" s="510">
        <f t="shared" si="603"/>
        <v>0</v>
      </c>
      <c r="CS53" s="510">
        <f t="shared" si="603"/>
        <v>0</v>
      </c>
      <c r="CT53" s="510">
        <f t="shared" si="603"/>
        <v>0</v>
      </c>
      <c r="CU53" s="510">
        <f t="shared" si="603"/>
        <v>0</v>
      </c>
      <c r="CV53" s="510">
        <f t="shared" si="603"/>
        <v>0</v>
      </c>
      <c r="CW53" s="510">
        <f t="shared" si="603"/>
        <v>0</v>
      </c>
      <c r="CX53" s="510">
        <f t="shared" si="603"/>
        <v>0</v>
      </c>
      <c r="CY53" s="510">
        <f t="shared" si="603"/>
        <v>0</v>
      </c>
      <c r="CZ53" s="510">
        <f t="shared" si="603"/>
        <v>0</v>
      </c>
      <c r="DA53" s="510">
        <f t="shared" si="603"/>
        <v>0</v>
      </c>
      <c r="DB53" s="510">
        <f t="shared" si="603"/>
        <v>0</v>
      </c>
      <c r="DC53" s="510">
        <f t="shared" si="603"/>
        <v>0</v>
      </c>
    </row>
    <row r="54" spans="1:120" s="509" customFormat="1">
      <c r="A54" s="509" t="s">
        <v>1166</v>
      </c>
      <c r="S54" s="510">
        <f>S47+S48</f>
        <v>-10974.232382849987</v>
      </c>
      <c r="T54" s="510">
        <f t="shared" ref="T54:CE54" si="604">T47+T48</f>
        <v>-24751.936451969268</v>
      </c>
      <c r="U54" s="510">
        <f t="shared" si="604"/>
        <v>4881.1594516889008</v>
      </c>
      <c r="V54" s="510">
        <f t="shared" si="604"/>
        <v>1207.8953550884746</v>
      </c>
      <c r="W54" s="510">
        <f t="shared" si="604"/>
        <v>0</v>
      </c>
      <c r="X54" s="510">
        <f t="shared" si="604"/>
        <v>102.08122094031911</v>
      </c>
      <c r="Y54" s="510">
        <f t="shared" si="604"/>
        <v>140.71145062487363</v>
      </c>
      <c r="Z54" s="510">
        <f t="shared" si="604"/>
        <v>0</v>
      </c>
      <c r="AA54" s="510">
        <f t="shared" si="604"/>
        <v>4414.7259587531471</v>
      </c>
      <c r="AB54" s="510">
        <f t="shared" si="604"/>
        <v>35.029337178152069</v>
      </c>
      <c r="AC54" s="510">
        <f t="shared" si="604"/>
        <v>0</v>
      </c>
      <c r="AD54" s="510">
        <f t="shared" si="604"/>
        <v>0</v>
      </c>
      <c r="AE54" s="510">
        <f t="shared" si="604"/>
        <v>-24944.566060545381</v>
      </c>
      <c r="AF54" s="510">
        <f t="shared" si="604"/>
        <v>-24944.566060545381</v>
      </c>
      <c r="AG54" s="510">
        <f t="shared" si="604"/>
        <v>0</v>
      </c>
      <c r="AH54" s="510">
        <f t="shared" si="604"/>
        <v>0</v>
      </c>
      <c r="AI54" s="510">
        <f t="shared" si="604"/>
        <v>0</v>
      </c>
      <c r="AJ54" s="510">
        <f t="shared" si="604"/>
        <v>0</v>
      </c>
      <c r="AK54" s="510">
        <f t="shared" si="604"/>
        <v>0</v>
      </c>
      <c r="AL54" s="510">
        <f t="shared" si="604"/>
        <v>0</v>
      </c>
      <c r="AM54" s="510">
        <f t="shared" si="604"/>
        <v>0</v>
      </c>
      <c r="AN54" s="510">
        <f t="shared" si="604"/>
        <v>0</v>
      </c>
      <c r="AO54" s="510">
        <f t="shared" si="604"/>
        <v>0</v>
      </c>
      <c r="AP54" s="510">
        <f t="shared" si="604"/>
        <v>0</v>
      </c>
      <c r="AQ54" s="510">
        <f t="shared" si="604"/>
        <v>0</v>
      </c>
      <c r="AR54" s="510">
        <f t="shared" si="604"/>
        <v>0</v>
      </c>
      <c r="AS54" s="510">
        <f t="shared" si="604"/>
        <v>0</v>
      </c>
      <c r="AT54" s="510">
        <f t="shared" si="604"/>
        <v>0</v>
      </c>
      <c r="AU54" s="510">
        <f t="shared" si="604"/>
        <v>0</v>
      </c>
      <c r="AV54" s="510">
        <f t="shared" si="604"/>
        <v>0</v>
      </c>
      <c r="AW54" s="510">
        <f t="shared" si="604"/>
        <v>-11018.360359987044</v>
      </c>
      <c r="AX54" s="510">
        <f t="shared" si="604"/>
        <v>-24851.46531628941</v>
      </c>
      <c r="AY54" s="510">
        <f t="shared" si="604"/>
        <v>4900.7868556996882</v>
      </c>
      <c r="AZ54" s="510">
        <f t="shared" si="604"/>
        <v>1212.752367110254</v>
      </c>
      <c r="BA54" s="510">
        <f t="shared" si="604"/>
        <v>0</v>
      </c>
      <c r="BB54" s="510">
        <f t="shared" si="604"/>
        <v>102.49169500598744</v>
      </c>
      <c r="BC54" s="510">
        <f t="shared" si="604"/>
        <v>141.27725891646773</v>
      </c>
      <c r="BD54" s="510">
        <f t="shared" si="604"/>
        <v>0</v>
      </c>
      <c r="BE54" s="510">
        <f t="shared" si="604"/>
        <v>4432.4778086664655</v>
      </c>
      <c r="BF54" s="510">
        <f t="shared" si="604"/>
        <v>35.17019202213546</v>
      </c>
      <c r="BG54" s="510">
        <f t="shared" si="604"/>
        <v>0</v>
      </c>
      <c r="BH54" s="510">
        <f t="shared" si="604"/>
        <v>0</v>
      </c>
      <c r="BI54" s="510">
        <f t="shared" si="604"/>
        <v>-25044.86949885546</v>
      </c>
      <c r="BJ54" s="510">
        <f t="shared" si="604"/>
        <v>-25044.86949885546</v>
      </c>
      <c r="BK54" s="510">
        <f t="shared" si="604"/>
        <v>0</v>
      </c>
      <c r="BL54" s="510">
        <f t="shared" si="604"/>
        <v>0</v>
      </c>
      <c r="BM54" s="510">
        <f t="shared" si="604"/>
        <v>0</v>
      </c>
      <c r="BN54" s="510">
        <f t="shared" si="604"/>
        <v>0</v>
      </c>
      <c r="BO54" s="510">
        <f t="shared" si="604"/>
        <v>0</v>
      </c>
      <c r="BP54" s="510">
        <f t="shared" si="604"/>
        <v>0</v>
      </c>
      <c r="BQ54" s="510">
        <f t="shared" si="604"/>
        <v>0</v>
      </c>
      <c r="BR54" s="510">
        <f t="shared" si="604"/>
        <v>0</v>
      </c>
      <c r="BS54" s="510">
        <f t="shared" si="604"/>
        <v>0</v>
      </c>
      <c r="BT54" s="510">
        <f t="shared" si="604"/>
        <v>0</v>
      </c>
      <c r="BU54" s="510">
        <f t="shared" si="604"/>
        <v>0</v>
      </c>
      <c r="BV54" s="510">
        <f t="shared" si="604"/>
        <v>0</v>
      </c>
      <c r="BW54" s="510">
        <f t="shared" si="604"/>
        <v>0</v>
      </c>
      <c r="BX54" s="510">
        <f t="shared" si="604"/>
        <v>0</v>
      </c>
      <c r="BY54" s="510">
        <f t="shared" si="604"/>
        <v>0</v>
      </c>
      <c r="BZ54" s="510">
        <f t="shared" si="604"/>
        <v>0</v>
      </c>
      <c r="CA54" s="510">
        <f t="shared" si="604"/>
        <v>-2205.6872571629519</v>
      </c>
      <c r="CB54" s="510">
        <f t="shared" si="604"/>
        <v>-4974.8382317413216</v>
      </c>
      <c r="CC54" s="510">
        <f t="shared" si="604"/>
        <v>981.05369261141152</v>
      </c>
      <c r="CD54" s="510">
        <f t="shared" si="604"/>
        <v>242.77227780127157</v>
      </c>
      <c r="CE54" s="510">
        <f t="shared" si="604"/>
        <v>0</v>
      </c>
      <c r="CF54" s="510">
        <f t="shared" ref="CF54:DC54" si="605">CF47+CF48</f>
        <v>20.517084053693452</v>
      </c>
      <c r="CG54" s="510">
        <f t="shared" si="605"/>
        <v>28.281290458658614</v>
      </c>
      <c r="CH54" s="510">
        <f t="shared" si="605"/>
        <v>0</v>
      </c>
      <c r="CI54" s="510">
        <f t="shared" si="605"/>
        <v>887.30623258038759</v>
      </c>
      <c r="CJ54" s="510">
        <f t="shared" si="605"/>
        <v>7.0404707997124811</v>
      </c>
      <c r="CK54" s="510">
        <f t="shared" si="605"/>
        <v>0</v>
      </c>
      <c r="CL54" s="510">
        <f t="shared" si="605"/>
        <v>0</v>
      </c>
      <c r="CM54" s="510">
        <f t="shared" si="605"/>
        <v>-5013.5544405991386</v>
      </c>
      <c r="CN54" s="510">
        <f t="shared" si="605"/>
        <v>-5013.5544405991386</v>
      </c>
      <c r="CO54" s="510">
        <f t="shared" si="605"/>
        <v>0</v>
      </c>
      <c r="CP54" s="510">
        <f t="shared" si="605"/>
        <v>0</v>
      </c>
      <c r="CQ54" s="510">
        <f t="shared" si="605"/>
        <v>0</v>
      </c>
      <c r="CR54" s="510">
        <f t="shared" si="605"/>
        <v>0</v>
      </c>
      <c r="CS54" s="510">
        <f t="shared" si="605"/>
        <v>0</v>
      </c>
      <c r="CT54" s="510">
        <f t="shared" si="605"/>
        <v>0</v>
      </c>
      <c r="CU54" s="510">
        <f t="shared" si="605"/>
        <v>0</v>
      </c>
      <c r="CV54" s="510">
        <f t="shared" si="605"/>
        <v>0</v>
      </c>
      <c r="CW54" s="510">
        <f t="shared" si="605"/>
        <v>0</v>
      </c>
      <c r="CX54" s="510">
        <f t="shared" si="605"/>
        <v>0</v>
      </c>
      <c r="CY54" s="510">
        <f t="shared" si="605"/>
        <v>0</v>
      </c>
      <c r="CZ54" s="510">
        <f t="shared" si="605"/>
        <v>0</v>
      </c>
      <c r="DA54" s="510">
        <f t="shared" si="605"/>
        <v>0</v>
      </c>
      <c r="DB54" s="510">
        <f t="shared" si="605"/>
        <v>0</v>
      </c>
      <c r="DC54" s="510">
        <f t="shared" si="605"/>
        <v>0</v>
      </c>
    </row>
    <row r="55" spans="1:120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20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20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20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20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20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20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6" spans="2:17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2:1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2:17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2:17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</sheetData>
  <mergeCells count="14">
    <mergeCell ref="DE3:DR3"/>
    <mergeCell ref="DT3:EG3"/>
    <mergeCell ref="N3:Q3"/>
    <mergeCell ref="A1:Q1"/>
    <mergeCell ref="A3:A4"/>
    <mergeCell ref="B3:E3"/>
    <mergeCell ref="F3:I3"/>
    <mergeCell ref="J3:M3"/>
    <mergeCell ref="CA3:CN3"/>
    <mergeCell ref="CP3:DC3"/>
    <mergeCell ref="S3:AF3"/>
    <mergeCell ref="AH3:AU3"/>
    <mergeCell ref="AW3:BJ3"/>
    <mergeCell ref="BL3:BY3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  <ignoredErrors>
    <ignoredError sqref="C9:K11 L5:L43 D5:E5 D6:E6 D7:E7 D8:E8 C26:K27 D12:E12 D13:E13 D14:E14 D15:E15 D16:E16 D17:E17 D18:E18 D19:E19 D20:E20 D21:E21 D22:E22 D23:E23 D24:E24 D25:E25 C44:K44 D28:E28 D29:E29 D30:E30 D31:E31 D32:E32 D33:E33 D34:E34 D35:E35 D36:E36 D37:E37 D38:E38 D39:E39 D40:E40 D41:E41 D42:E42 D43:E43 H5:I5 H6:I6 H7:I7 H8:I8 H12:I12 H13:I13 H14:I14 H15:I15 H16:I16 H17:I17 H18:I18 H19:I19 H20:I20 H21:I21 H22:I22 H23:I23 H24:I24 H25:I25 H28:I28 H29:I29 H30:I30 H31:I31 H32:I32 H33:I33 H34:I34 H35:I35 H36:I36 H37:I37 H38:I38 H39:I39 H40:I40 H41:I41 H42:I42 H43:I4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69"/>
  <sheetViews>
    <sheetView zoomScale="80" zoomScaleNormal="80" workbookViewId="0">
      <pane xSplit="1" ySplit="4" topLeftCell="B5" activePane="bottomRight" state="frozen"/>
      <selection activeCell="O8" sqref="A8:O10"/>
      <selection pane="topRight" activeCell="O8" sqref="A8:O10"/>
      <selection pane="bottomLeft" activeCell="O8" sqref="A8:O10"/>
      <selection pane="bottomRight" activeCell="J7" sqref="J7"/>
    </sheetView>
  </sheetViews>
  <sheetFormatPr defaultColWidth="9" defaultRowHeight="15" outlineLevelCol="1"/>
  <cols>
    <col min="1" max="1" width="23.86328125" style="10" bestFit="1" customWidth="1"/>
    <col min="2" max="13" width="9.59765625" style="14" customWidth="1"/>
    <col min="14" max="14" width="10.46484375" style="76" customWidth="1"/>
    <col min="15" max="18" width="16.1328125" style="76" customWidth="1" outlineLevel="1"/>
    <col min="19" max="21" width="15.46484375" style="76" customWidth="1" outlineLevel="1"/>
    <col min="22" max="26" width="15.46484375" style="76" bestFit="1" customWidth="1" outlineLevel="1"/>
    <col min="27" max="27" width="17.3984375" style="76" customWidth="1" outlineLevel="1"/>
    <col min="28" max="28" width="17.3984375" style="76" customWidth="1"/>
    <col min="29" max="29" width="9" style="76" customWidth="1"/>
    <col min="30" max="30" width="16.1328125" style="76" customWidth="1" outlineLevel="1"/>
    <col min="31" max="31" width="14.86328125" style="76" customWidth="1" outlineLevel="1"/>
    <col min="32" max="42" width="16.1328125" style="76" customWidth="1" outlineLevel="1"/>
    <col min="43" max="43" width="17.3984375" style="76" customWidth="1"/>
    <col min="44" max="47" width="9" style="76" customWidth="1"/>
    <col min="48" max="16384" width="9" style="76"/>
  </cols>
  <sheetData>
    <row r="1" spans="1:43" ht="36.75" customHeight="1">
      <c r="A1" s="437" t="s">
        <v>1076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</row>
    <row r="2" spans="1:43" ht="16.5" customHeight="1" thickBot="1">
      <c r="A2" s="1"/>
      <c r="B2" s="2"/>
      <c r="C2" s="2"/>
      <c r="D2" s="2"/>
      <c r="E2" s="2"/>
      <c r="F2" s="3"/>
      <c r="G2" s="3"/>
      <c r="H2" s="3"/>
      <c r="I2" s="4"/>
      <c r="J2" s="1"/>
      <c r="K2" s="1"/>
      <c r="L2" s="4"/>
      <c r="M2" s="18" t="s">
        <v>49</v>
      </c>
    </row>
    <row r="3" spans="1:43" s="77" customFormat="1" ht="21" customHeight="1">
      <c r="A3" s="438" t="s">
        <v>0</v>
      </c>
      <c r="B3" s="435" t="s">
        <v>52</v>
      </c>
      <c r="C3" s="435"/>
      <c r="D3" s="435"/>
      <c r="E3" s="435"/>
      <c r="F3" s="435" t="s">
        <v>53</v>
      </c>
      <c r="G3" s="435"/>
      <c r="H3" s="435"/>
      <c r="I3" s="435"/>
      <c r="J3" s="435" t="s">
        <v>4</v>
      </c>
      <c r="K3" s="435"/>
      <c r="L3" s="435"/>
      <c r="M3" s="436"/>
      <c r="O3" s="441" t="s">
        <v>102</v>
      </c>
      <c r="P3" s="435"/>
      <c r="Q3" s="435"/>
      <c r="R3" s="435"/>
      <c r="S3" s="435"/>
      <c r="T3" s="435"/>
      <c r="U3" s="435"/>
      <c r="V3" s="435"/>
      <c r="W3" s="435"/>
      <c r="X3" s="435"/>
      <c r="Y3" s="435"/>
      <c r="Z3" s="435"/>
      <c r="AA3" s="435"/>
      <c r="AB3" s="436"/>
      <c r="AD3" s="441" t="s">
        <v>103</v>
      </c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6"/>
    </row>
    <row r="4" spans="1:43" s="77" customFormat="1" ht="21.75" customHeight="1">
      <c r="A4" s="439"/>
      <c r="B4" s="36" t="s">
        <v>50</v>
      </c>
      <c r="C4" s="36" t="s">
        <v>5</v>
      </c>
      <c r="D4" s="36" t="s">
        <v>6</v>
      </c>
      <c r="E4" s="36" t="s">
        <v>7</v>
      </c>
      <c r="F4" s="36" t="s">
        <v>50</v>
      </c>
      <c r="G4" s="36" t="s">
        <v>8</v>
      </c>
      <c r="H4" s="36" t="s">
        <v>9</v>
      </c>
      <c r="I4" s="36" t="s">
        <v>10</v>
      </c>
      <c r="J4" s="36" t="s">
        <v>50</v>
      </c>
      <c r="K4" s="36" t="s">
        <v>5</v>
      </c>
      <c r="L4" s="36" t="s">
        <v>6</v>
      </c>
      <c r="M4" s="37" t="s">
        <v>7</v>
      </c>
      <c r="N4" s="78"/>
      <c r="O4" s="39" t="s">
        <v>88</v>
      </c>
      <c r="P4" s="36" t="s">
        <v>89</v>
      </c>
      <c r="Q4" s="36" t="s">
        <v>90</v>
      </c>
      <c r="R4" s="36" t="s">
        <v>91</v>
      </c>
      <c r="S4" s="36" t="s">
        <v>92</v>
      </c>
      <c r="T4" s="36" t="s">
        <v>93</v>
      </c>
      <c r="U4" s="36" t="s">
        <v>94</v>
      </c>
      <c r="V4" s="36" t="s">
        <v>95</v>
      </c>
      <c r="W4" s="36" t="s">
        <v>96</v>
      </c>
      <c r="X4" s="36" t="s">
        <v>97</v>
      </c>
      <c r="Y4" s="36" t="s">
        <v>98</v>
      </c>
      <c r="Z4" s="36" t="s">
        <v>99</v>
      </c>
      <c r="AA4" s="36" t="s">
        <v>101</v>
      </c>
      <c r="AB4" s="37" t="s">
        <v>100</v>
      </c>
      <c r="AD4" s="39" t="s">
        <v>88</v>
      </c>
      <c r="AE4" s="36" t="s">
        <v>89</v>
      </c>
      <c r="AF4" s="36" t="s">
        <v>90</v>
      </c>
      <c r="AG4" s="36" t="s">
        <v>91</v>
      </c>
      <c r="AH4" s="36" t="s">
        <v>92</v>
      </c>
      <c r="AI4" s="36" t="s">
        <v>93</v>
      </c>
      <c r="AJ4" s="36" t="s">
        <v>94</v>
      </c>
      <c r="AK4" s="36" t="s">
        <v>95</v>
      </c>
      <c r="AL4" s="36" t="s">
        <v>96</v>
      </c>
      <c r="AM4" s="36" t="s">
        <v>97</v>
      </c>
      <c r="AN4" s="36" t="s">
        <v>98</v>
      </c>
      <c r="AO4" s="36" t="s">
        <v>99</v>
      </c>
      <c r="AP4" s="36" t="s">
        <v>101</v>
      </c>
      <c r="AQ4" s="37" t="s">
        <v>100</v>
      </c>
    </row>
    <row r="5" spans="1:43">
      <c r="A5" s="5" t="s">
        <v>11</v>
      </c>
      <c r="B5" s="43">
        <f>'1.02春夏利润表-调营收'!F5</f>
        <v>2593.9780000000001</v>
      </c>
      <c r="C5" s="43">
        <f>'1.02春夏利润表-调营收'!G5</f>
        <v>1703.4734000000001</v>
      </c>
      <c r="D5" s="43">
        <f>'1.02春夏利润表-调营收'!H5</f>
        <v>34019.430899999999</v>
      </c>
      <c r="E5" s="43">
        <f>'1.02春夏利润表-调营收'!I5</f>
        <v>7475.31</v>
      </c>
      <c r="F5" s="43">
        <f>Z5/10000</f>
        <v>7936.5339000000004</v>
      </c>
      <c r="G5" s="43">
        <f>AO5/10000</f>
        <v>5266.8460999999998</v>
      </c>
      <c r="H5" s="43">
        <f>AA5/10000</f>
        <v>82202.8845</v>
      </c>
      <c r="I5" s="43">
        <f>AP5/10000</f>
        <v>48618.690300000002</v>
      </c>
      <c r="J5" s="43">
        <f t="shared" ref="J5:M8" si="0">+B5++F5</f>
        <v>10530.511900000001</v>
      </c>
      <c r="K5" s="43">
        <f t="shared" si="0"/>
        <v>6970.3194999999996</v>
      </c>
      <c r="L5" s="43">
        <f t="shared" si="0"/>
        <v>116222.31539999999</v>
      </c>
      <c r="M5" s="44">
        <f t="shared" si="0"/>
        <v>56094.0003</v>
      </c>
      <c r="N5" s="79"/>
      <c r="O5" s="104">
        <v>59850460</v>
      </c>
      <c r="P5" s="80">
        <f>48350000-35260</f>
        <v>48314740</v>
      </c>
      <c r="Q5" s="80">
        <v>70681199</v>
      </c>
      <c r="R5" s="80">
        <v>65839014</v>
      </c>
      <c r="S5" s="80">
        <v>63608000</v>
      </c>
      <c r="T5" s="80">
        <v>60471011</v>
      </c>
      <c r="U5" s="80">
        <v>59779786</v>
      </c>
      <c r="V5" s="80">
        <v>64747698</v>
      </c>
      <c r="W5" s="80">
        <v>75480080</v>
      </c>
      <c r="X5" s="80">
        <v>89968497</v>
      </c>
      <c r="Y5" s="80">
        <v>83923021</v>
      </c>
      <c r="Z5" s="80">
        <v>79365339</v>
      </c>
      <c r="AA5" s="80">
        <f>O5+P5+Q5+R5+S5+T5+U5+V5+W5+X5+Y5+Z5</f>
        <v>822028845</v>
      </c>
      <c r="AB5" s="105">
        <f>SUM(O5:Z5)</f>
        <v>822028845</v>
      </c>
      <c r="AD5" s="104">
        <v>29181412</v>
      </c>
      <c r="AE5" s="80">
        <v>1346902</v>
      </c>
      <c r="AF5" s="80">
        <v>58392799</v>
      </c>
      <c r="AG5" s="80">
        <v>29588012</v>
      </c>
      <c r="AH5" s="80">
        <v>27816314</v>
      </c>
      <c r="AI5" s="80">
        <v>29818044</v>
      </c>
      <c r="AJ5" s="80">
        <v>44651980</v>
      </c>
      <c r="AK5" s="80">
        <v>42164042</v>
      </c>
      <c r="AL5" s="80">
        <v>53713694</v>
      </c>
      <c r="AM5" s="80">
        <v>46926240</v>
      </c>
      <c r="AN5" s="80">
        <v>69919003</v>
      </c>
      <c r="AO5" s="80">
        <v>52668461</v>
      </c>
      <c r="AP5" s="80">
        <f>AD5+AE5+AF5+AG5+AH5+AI5+AJ5+AK5+AL5+AM5+AN5+AO5</f>
        <v>486186903</v>
      </c>
      <c r="AQ5" s="105">
        <f>SUM(AD5:AO5)</f>
        <v>486186903</v>
      </c>
    </row>
    <row r="6" spans="1:43" s="84" customFormat="1">
      <c r="A6" s="19" t="s">
        <v>12</v>
      </c>
      <c r="B6" s="43">
        <f>'1.02春夏利润表-调营收'!F6</f>
        <v>0</v>
      </c>
      <c r="C6" s="43">
        <f>'1.02春夏利润表-调营收'!G6</f>
        <v>0</v>
      </c>
      <c r="D6" s="43">
        <f>'1.02春夏利润表-调营收'!H6</f>
        <v>0</v>
      </c>
      <c r="E6" s="43">
        <f>'1.02春夏利润表-调营收'!I6</f>
        <v>0</v>
      </c>
      <c r="F6" s="81">
        <f>Z6/10000</f>
        <v>0</v>
      </c>
      <c r="G6" s="81">
        <f>AO6/10000</f>
        <v>0</v>
      </c>
      <c r="H6" s="81">
        <f t="shared" ref="H6:H8" si="1">AA6/10000</f>
        <v>0</v>
      </c>
      <c r="I6" s="81">
        <f t="shared" ref="I6:I8" si="2">AP6/10000</f>
        <v>0</v>
      </c>
      <c r="J6" s="42">
        <f t="shared" si="0"/>
        <v>0</v>
      </c>
      <c r="K6" s="42">
        <f t="shared" si="0"/>
        <v>0</v>
      </c>
      <c r="L6" s="42">
        <f t="shared" si="0"/>
        <v>0</v>
      </c>
      <c r="M6" s="48">
        <f t="shared" si="0"/>
        <v>0</v>
      </c>
      <c r="N6" s="82"/>
      <c r="O6" s="106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0">
        <f t="shared" ref="AA6:AA8" si="3">O6+P6+Q6+R6+S6+T6+U6+V6+W6+X6+Y6+Z6</f>
        <v>0</v>
      </c>
      <c r="AB6" s="107">
        <f t="shared" ref="AB6:AB43" si="4">SUM(O6:Z6)</f>
        <v>0</v>
      </c>
      <c r="AD6" s="106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0">
        <f t="shared" ref="AP6:AP8" si="5">AD6+AE6+AF6+AG6+AH6+AI6+AJ6+AK6+AL6+AM6+AN6+AO6</f>
        <v>0</v>
      </c>
      <c r="AQ6" s="107">
        <f t="shared" ref="AQ6:AQ8" si="6">SUM(AD6:AO6)</f>
        <v>0</v>
      </c>
    </row>
    <row r="7" spans="1:43">
      <c r="A7" s="6" t="s">
        <v>13</v>
      </c>
      <c r="B7" s="43">
        <f>'1.02春夏利润表-调营收'!F7</f>
        <v>-682.04929100000004</v>
      </c>
      <c r="C7" s="43">
        <f>'1.02春夏利润表-调营收'!G7</f>
        <v>621.11655800000005</v>
      </c>
      <c r="D7" s="43">
        <f>'1.02春夏利润表-调营收'!H7</f>
        <v>8764.2040620000007</v>
      </c>
      <c r="E7" s="43">
        <f>'1.02春夏利润表-调营收'!I7</f>
        <v>2725.5825990000003</v>
      </c>
      <c r="F7" s="85">
        <f>Z7/10000</f>
        <v>850.27539999999999</v>
      </c>
      <c r="G7" s="86">
        <f>AO7/10000</f>
        <v>1686.042373</v>
      </c>
      <c r="H7" s="85">
        <f t="shared" si="1"/>
        <v>21565.889574000001</v>
      </c>
      <c r="I7" s="86">
        <f t="shared" si="2"/>
        <v>12400.397878000002</v>
      </c>
      <c r="J7" s="43">
        <f t="shared" si="0"/>
        <v>168.22610899999995</v>
      </c>
      <c r="K7" s="43">
        <f t="shared" si="0"/>
        <v>2307.1589309999999</v>
      </c>
      <c r="L7" s="43">
        <f t="shared" si="0"/>
        <v>30330.093636000001</v>
      </c>
      <c r="M7" s="44">
        <f t="shared" si="0"/>
        <v>15125.980477000001</v>
      </c>
      <c r="N7" s="87"/>
      <c r="O7" s="104">
        <v>17891451.52</v>
      </c>
      <c r="P7" s="80">
        <v>13530840.869999999</v>
      </c>
      <c r="Q7" s="80">
        <v>23968189.309999999</v>
      </c>
      <c r="R7" s="80">
        <v>17237334.699999999</v>
      </c>
      <c r="S7" s="80">
        <v>15033800.25</v>
      </c>
      <c r="T7" s="80">
        <v>19071411.629999999</v>
      </c>
      <c r="U7" s="80">
        <v>17468167.849999998</v>
      </c>
      <c r="V7" s="80">
        <v>16388276.459999999</v>
      </c>
      <c r="W7" s="80">
        <v>19263690.360000003</v>
      </c>
      <c r="X7" s="80">
        <v>23523492.100000001</v>
      </c>
      <c r="Y7" s="80">
        <v>23779486.689999998</v>
      </c>
      <c r="Z7" s="80">
        <f>22462064-13959310</f>
        <v>8502754</v>
      </c>
      <c r="AA7" s="80">
        <f t="shared" si="3"/>
        <v>215658895.74000001</v>
      </c>
      <c r="AB7" s="105">
        <f t="shared" si="4"/>
        <v>215658895.74000001</v>
      </c>
      <c r="AD7" s="104">
        <v>6191121.9399999995</v>
      </c>
      <c r="AE7" s="80">
        <v>5680000</v>
      </c>
      <c r="AF7" s="80">
        <v>7524444</v>
      </c>
      <c r="AG7" s="80">
        <v>7352750.9999999991</v>
      </c>
      <c r="AH7" s="80">
        <v>6821111.4899999993</v>
      </c>
      <c r="AI7" s="80">
        <v>6831330.5999999996</v>
      </c>
      <c r="AJ7" s="80">
        <v>11434010.59</v>
      </c>
      <c r="AK7" s="80">
        <v>9721173.6199999992</v>
      </c>
      <c r="AL7" s="80">
        <v>14508370.720000001</v>
      </c>
      <c r="AM7" s="80">
        <v>13492156.43</v>
      </c>
      <c r="AN7" s="80">
        <v>17587084.66</v>
      </c>
      <c r="AO7" s="80">
        <v>16860423.73</v>
      </c>
      <c r="AP7" s="80">
        <f t="shared" si="5"/>
        <v>124003978.78000002</v>
      </c>
      <c r="AQ7" s="105">
        <f t="shared" si="6"/>
        <v>124003978.78000002</v>
      </c>
    </row>
    <row r="8" spans="1:43">
      <c r="A8" s="6" t="s">
        <v>14</v>
      </c>
      <c r="B8" s="43">
        <f>'1.02春夏利润表-调营收'!F8</f>
        <v>152.43898100000001</v>
      </c>
      <c r="C8" s="43">
        <f>'1.02春夏利润表-调营收'!G8</f>
        <v>99.890152999999998</v>
      </c>
      <c r="D8" s="43">
        <f>'1.02春夏利润表-调营收'!H8</f>
        <v>1862.3515649999999</v>
      </c>
      <c r="E8" s="43">
        <f>'1.02春夏利润表-调营收'!I8</f>
        <v>446.25851100000006</v>
      </c>
      <c r="F8" s="86">
        <f>Z8/10000</f>
        <v>565.74187399999994</v>
      </c>
      <c r="G8" s="86">
        <f>AO8/10000</f>
        <v>360.86737599999998</v>
      </c>
      <c r="H8" s="86">
        <f t="shared" si="1"/>
        <v>5331.7279839999992</v>
      </c>
      <c r="I8" s="86">
        <f t="shared" si="2"/>
        <v>3669.6730129999996</v>
      </c>
      <c r="J8" s="43">
        <f t="shared" si="0"/>
        <v>718.18085499999995</v>
      </c>
      <c r="K8" s="43">
        <f t="shared" si="0"/>
        <v>460.75752899999998</v>
      </c>
      <c r="L8" s="43">
        <f t="shared" si="0"/>
        <v>7194.0795489999991</v>
      </c>
      <c r="M8" s="44">
        <f t="shared" si="0"/>
        <v>4115.9315239999996</v>
      </c>
      <c r="N8" s="87"/>
      <c r="O8" s="104">
        <v>3834857.9</v>
      </c>
      <c r="P8" s="80">
        <v>3252158.61</v>
      </c>
      <c r="Q8" s="80">
        <v>4839988.95</v>
      </c>
      <c r="R8" s="80">
        <v>4120626.27</v>
      </c>
      <c r="S8" s="80">
        <v>3639738.11</v>
      </c>
      <c r="T8" s="80">
        <v>4117512.13</v>
      </c>
      <c r="U8" s="80">
        <v>4122851.4</v>
      </c>
      <c r="V8" s="80">
        <v>3795851.9799999995</v>
      </c>
      <c r="W8" s="80">
        <v>4457451.92</v>
      </c>
      <c r="X8" s="80">
        <v>5801318.6399999997</v>
      </c>
      <c r="Y8" s="80">
        <v>5677505.1900000004</v>
      </c>
      <c r="Z8" s="80">
        <v>5657418.7399999993</v>
      </c>
      <c r="AA8" s="80">
        <f t="shared" si="3"/>
        <v>53317279.839999996</v>
      </c>
      <c r="AB8" s="105">
        <f t="shared" si="4"/>
        <v>53317279.839999996</v>
      </c>
      <c r="AD8" s="104">
        <v>2419127.6199999996</v>
      </c>
      <c r="AE8" s="80">
        <v>2120000</v>
      </c>
      <c r="AF8" s="80">
        <v>2996000</v>
      </c>
      <c r="AG8" s="80">
        <v>2344963.4699999997</v>
      </c>
      <c r="AH8" s="80">
        <v>2240000</v>
      </c>
      <c r="AI8" s="80">
        <v>2123642.9300000002</v>
      </c>
      <c r="AJ8" s="80">
        <v>3382996.53</v>
      </c>
      <c r="AK8" s="80">
        <v>3197251.81</v>
      </c>
      <c r="AL8" s="80">
        <v>4250718.1100000003</v>
      </c>
      <c r="AM8" s="80">
        <v>3394848.8</v>
      </c>
      <c r="AN8" s="80">
        <v>4618507.0999999996</v>
      </c>
      <c r="AO8" s="80">
        <v>3608673.76</v>
      </c>
      <c r="AP8" s="80">
        <f t="shared" si="5"/>
        <v>36696730.129999995</v>
      </c>
      <c r="AQ8" s="105">
        <f t="shared" si="6"/>
        <v>36696730.129999995</v>
      </c>
    </row>
    <row r="9" spans="1:43" s="77" customFormat="1">
      <c r="A9" s="75" t="s">
        <v>15</v>
      </c>
      <c r="B9" s="88">
        <f t="shared" ref="B9:M9" si="7">B7-B8</f>
        <v>-834.48827200000005</v>
      </c>
      <c r="C9" s="88">
        <f t="shared" si="7"/>
        <v>521.22640500000011</v>
      </c>
      <c r="D9" s="88">
        <f t="shared" si="7"/>
        <v>6901.8524970000008</v>
      </c>
      <c r="E9" s="88">
        <f t="shared" si="7"/>
        <v>2279.3240880000003</v>
      </c>
      <c r="F9" s="88">
        <f t="shared" si="7"/>
        <v>284.53352600000005</v>
      </c>
      <c r="G9" s="88">
        <f t="shared" si="7"/>
        <v>1325.1749970000001</v>
      </c>
      <c r="H9" s="88">
        <f t="shared" si="7"/>
        <v>16234.161590000002</v>
      </c>
      <c r="I9" s="88">
        <f t="shared" si="7"/>
        <v>8730.724865000002</v>
      </c>
      <c r="J9" s="88">
        <f t="shared" si="7"/>
        <v>-549.954746</v>
      </c>
      <c r="K9" s="88">
        <f t="shared" si="7"/>
        <v>1846.401402</v>
      </c>
      <c r="L9" s="88">
        <f t="shared" si="7"/>
        <v>23136.014087000003</v>
      </c>
      <c r="M9" s="89">
        <f t="shared" si="7"/>
        <v>11010.048953000001</v>
      </c>
      <c r="N9" s="90"/>
      <c r="O9" s="108">
        <f>O7-O8</f>
        <v>14056593.619999999</v>
      </c>
      <c r="P9" s="91">
        <f t="shared" ref="P9:AB9" si="8">P7-P8</f>
        <v>10278682.26</v>
      </c>
      <c r="Q9" s="91">
        <f t="shared" si="8"/>
        <v>19128200.359999999</v>
      </c>
      <c r="R9" s="91">
        <f t="shared" si="8"/>
        <v>13116708.43</v>
      </c>
      <c r="S9" s="91">
        <f t="shared" si="8"/>
        <v>11394062.140000001</v>
      </c>
      <c r="T9" s="91">
        <f t="shared" si="8"/>
        <v>14953899.5</v>
      </c>
      <c r="U9" s="91">
        <f t="shared" si="8"/>
        <v>13345316.449999997</v>
      </c>
      <c r="V9" s="91">
        <f t="shared" si="8"/>
        <v>12592424.48</v>
      </c>
      <c r="W9" s="91">
        <f t="shared" si="8"/>
        <v>14806238.440000003</v>
      </c>
      <c r="X9" s="91">
        <f t="shared" si="8"/>
        <v>17722173.460000001</v>
      </c>
      <c r="Y9" s="91">
        <f t="shared" si="8"/>
        <v>18101981.499999996</v>
      </c>
      <c r="Z9" s="91">
        <f t="shared" si="8"/>
        <v>2845335.2600000007</v>
      </c>
      <c r="AA9" s="91">
        <f t="shared" si="8"/>
        <v>162341615.90000001</v>
      </c>
      <c r="AB9" s="109">
        <f t="shared" si="8"/>
        <v>162341615.90000001</v>
      </c>
      <c r="AD9" s="108">
        <f>AD7-AD8</f>
        <v>3771994.32</v>
      </c>
      <c r="AE9" s="91">
        <f t="shared" ref="AE9" si="9">AE7-AE8</f>
        <v>3560000</v>
      </c>
      <c r="AF9" s="91">
        <f t="shared" ref="AF9" si="10">AF7-AF8</f>
        <v>4528444</v>
      </c>
      <c r="AG9" s="91">
        <f t="shared" ref="AG9" si="11">AG7-AG8</f>
        <v>5007787.5299999993</v>
      </c>
      <c r="AH9" s="91">
        <f t="shared" ref="AH9" si="12">AH7-AH8</f>
        <v>4581111.4899999993</v>
      </c>
      <c r="AI9" s="91">
        <f t="shared" ref="AI9" si="13">AI7-AI8</f>
        <v>4707687.67</v>
      </c>
      <c r="AJ9" s="91">
        <f t="shared" ref="AJ9" si="14">AJ7-AJ8</f>
        <v>8051014.0600000005</v>
      </c>
      <c r="AK9" s="91">
        <f t="shared" ref="AK9" si="15">AK7-AK8</f>
        <v>6523921.8099999987</v>
      </c>
      <c r="AL9" s="91">
        <f t="shared" ref="AL9" si="16">AL7-AL8</f>
        <v>10257652.609999999</v>
      </c>
      <c r="AM9" s="91">
        <f t="shared" ref="AM9" si="17">AM7-AM8</f>
        <v>10097307.629999999</v>
      </c>
      <c r="AN9" s="91">
        <f t="shared" ref="AN9" si="18">AN7-AN8</f>
        <v>12968577.560000001</v>
      </c>
      <c r="AO9" s="91">
        <f t="shared" ref="AO9" si="19">AO7-AO8</f>
        <v>13251749.970000001</v>
      </c>
      <c r="AP9" s="91">
        <f t="shared" ref="AP9" si="20">AP7-AP8</f>
        <v>87307248.650000021</v>
      </c>
      <c r="AQ9" s="109">
        <f t="shared" ref="AQ9" si="21">AQ7-AQ8</f>
        <v>87307248.650000021</v>
      </c>
    </row>
    <row r="10" spans="1:43" s="77" customFormat="1">
      <c r="A10" s="75" t="s">
        <v>16</v>
      </c>
      <c r="B10" s="92">
        <f t="shared" ref="B10:M10" si="22">B9/B7</f>
        <v>1.223501414064222</v>
      </c>
      <c r="C10" s="92">
        <f t="shared" si="22"/>
        <v>0.83917647708242238</v>
      </c>
      <c r="D10" s="92">
        <f t="shared" si="22"/>
        <v>0.7875047691923539</v>
      </c>
      <c r="E10" s="92">
        <f t="shared" si="22"/>
        <v>0.83627041383235656</v>
      </c>
      <c r="F10" s="92">
        <f t="shared" si="22"/>
        <v>0.33463690234952115</v>
      </c>
      <c r="G10" s="92">
        <f t="shared" si="22"/>
        <v>0.78596778955329383</v>
      </c>
      <c r="H10" s="92">
        <f t="shared" si="22"/>
        <v>0.75277031973547848</v>
      </c>
      <c r="I10" s="92">
        <f t="shared" si="22"/>
        <v>0.70406812353089887</v>
      </c>
      <c r="J10" s="92">
        <f t="shared" si="22"/>
        <v>-3.2691402616938618</v>
      </c>
      <c r="K10" s="92">
        <f t="shared" si="22"/>
        <v>0.80029224566671175</v>
      </c>
      <c r="L10" s="92">
        <f t="shared" si="22"/>
        <v>0.76280720938952007</v>
      </c>
      <c r="M10" s="93">
        <f t="shared" si="22"/>
        <v>0.72788993544857927</v>
      </c>
      <c r="N10" s="90"/>
      <c r="O10" s="108">
        <f>O9/O7</f>
        <v>0.78565976630162204</v>
      </c>
      <c r="P10" s="91">
        <f t="shared" ref="P10:AB10" si="23">P9/P7</f>
        <v>0.75964844748041149</v>
      </c>
      <c r="Q10" s="91">
        <f t="shared" si="23"/>
        <v>0.79806614144270549</v>
      </c>
      <c r="R10" s="91">
        <f t="shared" si="23"/>
        <v>0.76094759765847098</v>
      </c>
      <c r="S10" s="91">
        <f t="shared" si="23"/>
        <v>0.7578963369557874</v>
      </c>
      <c r="T10" s="91">
        <f t="shared" si="23"/>
        <v>0.78410029577868223</v>
      </c>
      <c r="U10" s="91">
        <f t="shared" si="23"/>
        <v>0.76397917426697948</v>
      </c>
      <c r="V10" s="91">
        <f t="shared" si="23"/>
        <v>0.76838003744537764</v>
      </c>
      <c r="W10" s="91">
        <f t="shared" si="23"/>
        <v>0.76860861876934783</v>
      </c>
      <c r="X10" s="91">
        <f t="shared" si="23"/>
        <v>0.7533819122034181</v>
      </c>
      <c r="Y10" s="91">
        <f t="shared" si="23"/>
        <v>0.76124357670060361</v>
      </c>
      <c r="Z10" s="91">
        <f t="shared" si="23"/>
        <v>0.3346369023495212</v>
      </c>
      <c r="AA10" s="91">
        <f t="shared" si="23"/>
        <v>0.75277031973547837</v>
      </c>
      <c r="AB10" s="109">
        <f t="shared" si="23"/>
        <v>0.75277031973547837</v>
      </c>
      <c r="AD10" s="108">
        <f>AD9/AD7</f>
        <v>0.60925860555736366</v>
      </c>
      <c r="AE10" s="91">
        <f t="shared" ref="AE10" si="24">AE9/AE7</f>
        <v>0.62676056338028174</v>
      </c>
      <c r="AF10" s="91">
        <f t="shared" ref="AF10" si="25">AF9/AF7</f>
        <v>0.60183104558954792</v>
      </c>
      <c r="AG10" s="91">
        <f t="shared" ref="AG10" si="26">AG9/AG7</f>
        <v>0.68107671944827175</v>
      </c>
      <c r="AH10" s="91">
        <f t="shared" ref="AH10" si="27">AH9/AH7</f>
        <v>0.67160777194685606</v>
      </c>
      <c r="AI10" s="91">
        <f t="shared" ref="AI10" si="28">AI9/AI7</f>
        <v>0.68913187571393486</v>
      </c>
      <c r="AJ10" s="91">
        <f t="shared" ref="AJ10" si="29">AJ9/AJ7</f>
        <v>0.70412861669389104</v>
      </c>
      <c r="AK10" s="91">
        <f t="shared" ref="AK10" si="30">AK9/AK7</f>
        <v>0.6711043403831316</v>
      </c>
      <c r="AL10" s="91">
        <f t="shared" ref="AL10" si="31">AL9/AL7</f>
        <v>0.70701616383841615</v>
      </c>
      <c r="AM10" s="91">
        <f t="shared" ref="AM10" si="32">AM9/AM7</f>
        <v>0.74838352804363384</v>
      </c>
      <c r="AN10" s="91">
        <f t="shared" ref="AN10" si="33">AN9/AN7</f>
        <v>0.73739211533425353</v>
      </c>
      <c r="AO10" s="91">
        <f t="shared" ref="AO10" si="34">AO9/AO7</f>
        <v>0.78596778955329372</v>
      </c>
      <c r="AP10" s="91">
        <f t="shared" ref="AP10" si="35">AP9/AP7</f>
        <v>0.70406812353089898</v>
      </c>
      <c r="AQ10" s="109">
        <f t="shared" ref="AQ10" si="36">AQ9/AQ7</f>
        <v>0.70406812353089898</v>
      </c>
    </row>
    <row r="11" spans="1:43" s="77" customFormat="1">
      <c r="A11" s="75" t="s">
        <v>17</v>
      </c>
      <c r="B11" s="94">
        <f t="shared" ref="B11:M11" si="37">SUM(B12:B25)</f>
        <v>953.76533587400024</v>
      </c>
      <c r="C11" s="94">
        <f t="shared" si="37"/>
        <v>2265.4784220000001</v>
      </c>
      <c r="D11" s="94">
        <f t="shared" si="37"/>
        <v>9572.0134870000002</v>
      </c>
      <c r="E11" s="94">
        <f t="shared" si="37"/>
        <v>2824.0686330000003</v>
      </c>
      <c r="F11" s="94">
        <f>SUM(F12:F25)</f>
        <v>2882.2504471260004</v>
      </c>
      <c r="G11" s="94">
        <f t="shared" si="37"/>
        <v>2448.4731186399995</v>
      </c>
      <c r="H11" s="94">
        <f t="shared" si="37"/>
        <v>20674.918056000955</v>
      </c>
      <c r="I11" s="94">
        <f t="shared" si="37"/>
        <v>11617.52564595</v>
      </c>
      <c r="J11" s="94">
        <f t="shared" si="37"/>
        <v>3836.0157830000003</v>
      </c>
      <c r="K11" s="94">
        <f t="shared" si="37"/>
        <v>4713.9515406399987</v>
      </c>
      <c r="L11" s="94">
        <f t="shared" si="37"/>
        <v>30246.931543000952</v>
      </c>
      <c r="M11" s="95">
        <f t="shared" si="37"/>
        <v>14441.59427895</v>
      </c>
      <c r="N11" s="90"/>
      <c r="O11" s="108">
        <f>SUM(O12:O25)</f>
        <v>9316515.25</v>
      </c>
      <c r="P11" s="91">
        <f t="shared" ref="P11:AB11" si="38">SUM(P12:P25)</f>
        <v>12370944.330000002</v>
      </c>
      <c r="Q11" s="91">
        <f t="shared" si="38"/>
        <v>13090179.819999995</v>
      </c>
      <c r="R11" s="91">
        <f t="shared" si="38"/>
        <v>18587734.600000005</v>
      </c>
      <c r="S11" s="91">
        <f t="shared" si="38"/>
        <v>23316868.610000007</v>
      </c>
      <c r="T11" s="91">
        <f t="shared" si="38"/>
        <v>16054390.400000002</v>
      </c>
      <c r="U11" s="91">
        <f t="shared" si="38"/>
        <v>10800445.271100003</v>
      </c>
      <c r="V11" s="91">
        <f t="shared" si="38"/>
        <v>17857192.560009558</v>
      </c>
      <c r="W11" s="91">
        <f t="shared" si="38"/>
        <v>17503340.77</v>
      </c>
      <c r="X11" s="91">
        <f t="shared" si="38"/>
        <v>19073843.817639999</v>
      </c>
      <c r="Y11" s="91">
        <f t="shared" si="38"/>
        <v>19955220.66</v>
      </c>
      <c r="Z11" s="91">
        <f t="shared" si="38"/>
        <v>28822504.47126</v>
      </c>
      <c r="AA11" s="91">
        <f t="shared" si="38"/>
        <v>206749180.56000951</v>
      </c>
      <c r="AB11" s="109">
        <f t="shared" si="38"/>
        <v>206749180.56000951</v>
      </c>
      <c r="AD11" s="108">
        <f>SUM(AD12:AD25)</f>
        <v>3085130.8141999994</v>
      </c>
      <c r="AE11" s="91">
        <f t="shared" ref="AE11" si="39">SUM(AE12:AE25)</f>
        <v>1147611.7031999999</v>
      </c>
      <c r="AF11" s="91">
        <f t="shared" ref="AF11" si="40">SUM(AF12:AF25)</f>
        <v>4521250.5218000012</v>
      </c>
      <c r="AG11" s="91">
        <f t="shared" ref="AG11" si="41">SUM(AG12:AG25)</f>
        <v>9207138.659599999</v>
      </c>
      <c r="AH11" s="91">
        <f t="shared" ref="AH11" si="42">SUM(AH12:AH25)</f>
        <v>5678204.9054000005</v>
      </c>
      <c r="AI11" s="91">
        <f t="shared" ref="AI11" si="43">SUM(AI12:AI25)</f>
        <v>6713867.7621999998</v>
      </c>
      <c r="AJ11" s="91">
        <f t="shared" ref="AJ11" si="44">SUM(AJ12:AJ25)</f>
        <v>7880408.9034000002</v>
      </c>
      <c r="AK11" s="91">
        <f t="shared" ref="AK11" si="45">SUM(AK12:AK25)</f>
        <v>8626777.8118999992</v>
      </c>
      <c r="AL11" s="91">
        <f t="shared" ref="AL11" si="46">SUM(AL12:AL25)</f>
        <v>17301305.170499999</v>
      </c>
      <c r="AM11" s="91">
        <f t="shared" ref="AM11" si="47">SUM(AM12:AM25)</f>
        <v>13390071.709499998</v>
      </c>
      <c r="AN11" s="91">
        <f t="shared" ref="AN11" si="48">SUM(AN12:AN25)</f>
        <v>14138757.311399998</v>
      </c>
      <c r="AO11" s="91">
        <f t="shared" ref="AO11" si="49">SUM(AO12:AO25)</f>
        <v>24484731.186399996</v>
      </c>
      <c r="AP11" s="91">
        <f t="shared" ref="AP11" si="50">SUM(AP12:AP25)</f>
        <v>116175256.45950001</v>
      </c>
      <c r="AQ11" s="109">
        <f t="shared" ref="AQ11" si="51">SUM(AQ12:AQ25)</f>
        <v>116175256.45950001</v>
      </c>
    </row>
    <row r="12" spans="1:43">
      <c r="A12" s="7" t="s">
        <v>18</v>
      </c>
      <c r="B12" s="43">
        <f>'1.02春夏利润表-调营收'!F12</f>
        <v>13.756518999999997</v>
      </c>
      <c r="C12" s="43">
        <f>'1.02春夏利润表-调营收'!G12</f>
        <v>22.763919000000005</v>
      </c>
      <c r="D12" s="43">
        <f>'1.02春夏利润表-调营收'!H12</f>
        <v>243.25012699999999</v>
      </c>
      <c r="E12" s="43">
        <f>'1.02春夏利润表-调营收'!I12</f>
        <v>35.059801</v>
      </c>
      <c r="F12" s="86">
        <f t="shared" ref="F12:F25" si="52">Z12/10000</f>
        <v>41.518487000000015</v>
      </c>
      <c r="G12" s="96">
        <f t="shared" ref="G12:G25" si="53">AO12/10000</f>
        <v>83.246286100000006</v>
      </c>
      <c r="H12" s="96">
        <f t="shared" ref="H12:H25" si="54">AA12/10000</f>
        <v>514.55404999999996</v>
      </c>
      <c r="I12" s="96">
        <f t="shared" ref="I12:I25" si="55">AP12/10000</f>
        <v>280.54914502000003</v>
      </c>
      <c r="J12" s="43">
        <f t="shared" ref="J12:J25" si="56">+B12++F12</f>
        <v>55.275006000000012</v>
      </c>
      <c r="K12" s="43">
        <f t="shared" ref="K12:K25" si="57">+C12++G12</f>
        <v>106.01020510000001</v>
      </c>
      <c r="L12" s="43">
        <f t="shared" ref="L12:L25" si="58">+D12++H12</f>
        <v>757.80417699999998</v>
      </c>
      <c r="M12" s="44">
        <f t="shared" ref="M12:M25" si="59">+E12++I12</f>
        <v>315.60894602000002</v>
      </c>
      <c r="N12" s="87"/>
      <c r="O12" s="104">
        <v>527997.55000000005</v>
      </c>
      <c r="P12" s="80">
        <v>381520.69</v>
      </c>
      <c r="Q12" s="80">
        <v>349561.26</v>
      </c>
      <c r="R12" s="80">
        <v>408912.77999999997</v>
      </c>
      <c r="S12" s="80">
        <v>401048.37</v>
      </c>
      <c r="T12" s="80">
        <v>362837.40999999986</v>
      </c>
      <c r="U12" s="80">
        <v>611940.90999999968</v>
      </c>
      <c r="V12" s="80">
        <v>446072.87000000011</v>
      </c>
      <c r="W12" s="80">
        <v>516605.78000000014</v>
      </c>
      <c r="X12" s="80">
        <v>298267.36</v>
      </c>
      <c r="Y12" s="80">
        <v>425590.64999999985</v>
      </c>
      <c r="Z12" s="80">
        <v>415184.87000000017</v>
      </c>
      <c r="AA12" s="80">
        <f t="shared" ref="AA12:AA25" si="60">O12+P12+Q12+R12+S12+T12+U12+V12+W12+X12+Y12+Z12</f>
        <v>5145540.4999999991</v>
      </c>
      <c r="AB12" s="105">
        <f t="shared" si="4"/>
        <v>5145540.4999999991</v>
      </c>
      <c r="AD12" s="104">
        <v>90681.421299999987</v>
      </c>
      <c r="AE12" s="80">
        <v>48981.118799999982</v>
      </c>
      <c r="AF12" s="80">
        <v>46026.381900000008</v>
      </c>
      <c r="AG12" s="80">
        <v>97357.532699999996</v>
      </c>
      <c r="AH12" s="80">
        <v>52606.260899999994</v>
      </c>
      <c r="AI12" s="80">
        <v>90397.595300000103</v>
      </c>
      <c r="AJ12" s="80">
        <v>143492.13419999997</v>
      </c>
      <c r="AK12" s="80">
        <v>122200.13760000005</v>
      </c>
      <c r="AL12" s="80">
        <v>339114.31170000008</v>
      </c>
      <c r="AM12" s="80">
        <v>203394.07479999997</v>
      </c>
      <c r="AN12" s="80">
        <v>738777.62</v>
      </c>
      <c r="AO12" s="80">
        <v>832462.86100000003</v>
      </c>
      <c r="AP12" s="80">
        <f t="shared" ref="AP12:AP25" si="61">AD12+AE12+AF12+AG12+AH12+AI12+AJ12+AK12+AL12+AM12+AN12+AO12</f>
        <v>2805491.4502000003</v>
      </c>
      <c r="AQ12" s="105">
        <f t="shared" ref="AQ12:AQ25" si="62">SUM(AD12:AO12)</f>
        <v>2805491.4502000003</v>
      </c>
    </row>
    <row r="13" spans="1:43">
      <c r="A13" s="7" t="s">
        <v>19</v>
      </c>
      <c r="B13" s="43">
        <f>'1.02春夏利润表-调营收'!F13</f>
        <v>6.7373000000000002E-2</v>
      </c>
      <c r="C13" s="43">
        <f>'1.02春夏利润表-调营收'!G13</f>
        <v>22.386012999999995</v>
      </c>
      <c r="D13" s="43">
        <f>'1.02春夏利润表-调营收'!H13</f>
        <v>204.29798400000001</v>
      </c>
      <c r="E13" s="43">
        <f>'1.02春夏利润表-调营收'!I13</f>
        <v>38.576289999999993</v>
      </c>
      <c r="F13" s="86">
        <f t="shared" si="52"/>
        <v>12.792452000000001</v>
      </c>
      <c r="G13" s="96">
        <f t="shared" si="53"/>
        <v>7.2211481900000001</v>
      </c>
      <c r="H13" s="96">
        <f t="shared" si="54"/>
        <v>245.78261000000001</v>
      </c>
      <c r="I13" s="96">
        <f t="shared" si="55"/>
        <v>127.48750515999998</v>
      </c>
      <c r="J13" s="43">
        <f t="shared" si="56"/>
        <v>12.859825000000001</v>
      </c>
      <c r="K13" s="43">
        <f t="shared" si="57"/>
        <v>29.607161189999996</v>
      </c>
      <c r="L13" s="43">
        <f t="shared" si="58"/>
        <v>450.08059400000002</v>
      </c>
      <c r="M13" s="44">
        <f t="shared" si="59"/>
        <v>166.06379515999998</v>
      </c>
      <c r="N13" s="87"/>
      <c r="O13" s="104">
        <v>39622.639999999999</v>
      </c>
      <c r="P13" s="80"/>
      <c r="Q13" s="80">
        <v>138235.49</v>
      </c>
      <c r="R13" s="80">
        <v>320701.28000000003</v>
      </c>
      <c r="S13" s="80">
        <v>223706.91000000003</v>
      </c>
      <c r="T13" s="80">
        <v>914870.31999999983</v>
      </c>
      <c r="U13" s="80">
        <v>2209066.85</v>
      </c>
      <c r="V13" s="80">
        <v>131286.63</v>
      </c>
      <c r="W13" s="80">
        <v>-2420257.44</v>
      </c>
      <c r="X13" s="80">
        <v>658662.23</v>
      </c>
      <c r="Y13" s="80">
        <v>114006.67000000001</v>
      </c>
      <c r="Z13" s="80">
        <v>127924.52</v>
      </c>
      <c r="AA13" s="80">
        <f t="shared" si="60"/>
        <v>2457826.1</v>
      </c>
      <c r="AB13" s="105">
        <f t="shared" si="4"/>
        <v>2457826.1</v>
      </c>
      <c r="AD13" s="104">
        <v>-88847.864099999992</v>
      </c>
      <c r="AE13" s="80">
        <v>3880.7234999999996</v>
      </c>
      <c r="AF13" s="80">
        <v>895.20209999999997</v>
      </c>
      <c r="AG13" s="80">
        <v>106660.56089999998</v>
      </c>
      <c r="AH13" s="80">
        <v>53577.113900000004</v>
      </c>
      <c r="AI13" s="80">
        <v>2941.7805000000003</v>
      </c>
      <c r="AJ13" s="80">
        <v>356419.32169999991</v>
      </c>
      <c r="AK13" s="80">
        <v>108353.82819999999</v>
      </c>
      <c r="AL13" s="80">
        <v>179.1747</v>
      </c>
      <c r="AM13" s="80">
        <v>650406.43110000005</v>
      </c>
      <c r="AN13" s="80">
        <v>8197.2971999999991</v>
      </c>
      <c r="AO13" s="80">
        <v>72211.481899999999</v>
      </c>
      <c r="AP13" s="80">
        <f t="shared" si="61"/>
        <v>1274875.0515999999</v>
      </c>
      <c r="AQ13" s="105">
        <f t="shared" si="62"/>
        <v>1274875.0515999999</v>
      </c>
    </row>
    <row r="14" spans="1:43">
      <c r="A14" s="7" t="s">
        <v>20</v>
      </c>
      <c r="B14" s="43">
        <f>'1.02春夏利润表-调营收'!F14</f>
        <v>0</v>
      </c>
      <c r="C14" s="43">
        <f>'1.02春夏利润表-调营收'!G14</f>
        <v>0</v>
      </c>
      <c r="D14" s="43">
        <f>'1.02春夏利润表-调营收'!H14</f>
        <v>0</v>
      </c>
      <c r="E14" s="43">
        <f>'1.02春夏利润表-调营收'!I14</f>
        <v>0</v>
      </c>
      <c r="F14" s="86">
        <f t="shared" si="52"/>
        <v>0</v>
      </c>
      <c r="G14" s="96">
        <f t="shared" si="53"/>
        <v>0</v>
      </c>
      <c r="H14" s="96">
        <f t="shared" si="54"/>
        <v>0</v>
      </c>
      <c r="I14" s="96">
        <f t="shared" si="55"/>
        <v>0</v>
      </c>
      <c r="J14" s="43">
        <f t="shared" si="56"/>
        <v>0</v>
      </c>
      <c r="K14" s="43">
        <f t="shared" si="57"/>
        <v>0</v>
      </c>
      <c r="L14" s="43">
        <f t="shared" si="58"/>
        <v>0</v>
      </c>
      <c r="M14" s="44">
        <f t="shared" si="59"/>
        <v>0</v>
      </c>
      <c r="N14" s="87"/>
      <c r="O14" s="104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>
        <f t="shared" si="60"/>
        <v>0</v>
      </c>
      <c r="AB14" s="105">
        <f t="shared" si="4"/>
        <v>0</v>
      </c>
      <c r="AD14" s="104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>
        <f t="shared" si="61"/>
        <v>0</v>
      </c>
      <c r="AQ14" s="105">
        <f t="shared" si="62"/>
        <v>0</v>
      </c>
    </row>
    <row r="15" spans="1:43">
      <c r="A15" s="7" t="s">
        <v>21</v>
      </c>
      <c r="B15" s="43">
        <f>'1.02春夏利润表-调营收'!F15</f>
        <v>0</v>
      </c>
      <c r="C15" s="43">
        <f>'1.02春夏利润表-调营收'!G15</f>
        <v>0</v>
      </c>
      <c r="D15" s="43">
        <f>'1.02春夏利润表-调营收'!H15</f>
        <v>0</v>
      </c>
      <c r="E15" s="43">
        <f>'1.02春夏利润表-调营收'!I15</f>
        <v>0</v>
      </c>
      <c r="F15" s="86">
        <f t="shared" si="52"/>
        <v>0</v>
      </c>
      <c r="G15" s="96">
        <f t="shared" si="53"/>
        <v>0</v>
      </c>
      <c r="H15" s="96">
        <f t="shared" si="54"/>
        <v>0</v>
      </c>
      <c r="I15" s="96">
        <f t="shared" si="55"/>
        <v>0</v>
      </c>
      <c r="J15" s="43">
        <f t="shared" si="56"/>
        <v>0</v>
      </c>
      <c r="K15" s="43">
        <f t="shared" si="57"/>
        <v>0</v>
      </c>
      <c r="L15" s="43">
        <f t="shared" si="58"/>
        <v>0</v>
      </c>
      <c r="M15" s="44">
        <f t="shared" si="59"/>
        <v>0</v>
      </c>
      <c r="N15" s="87"/>
      <c r="O15" s="104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>
        <f t="shared" si="60"/>
        <v>0</v>
      </c>
      <c r="AB15" s="105">
        <f t="shared" si="4"/>
        <v>0</v>
      </c>
      <c r="AD15" s="104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>
        <f t="shared" si="61"/>
        <v>0</v>
      </c>
      <c r="AQ15" s="105">
        <f t="shared" si="62"/>
        <v>0</v>
      </c>
    </row>
    <row r="16" spans="1:43">
      <c r="A16" s="7" t="s">
        <v>22</v>
      </c>
      <c r="B16" s="43">
        <f>'1.02春夏利润表-调营收'!F16</f>
        <v>0</v>
      </c>
      <c r="C16" s="43">
        <f>'1.02春夏利润表-调营收'!G16</f>
        <v>21.918082000000002</v>
      </c>
      <c r="D16" s="43">
        <f>'1.02春夏利润表-调营收'!H16</f>
        <v>1.8726199999999997</v>
      </c>
      <c r="E16" s="43">
        <f>'1.02春夏利润表-调营收'!I16</f>
        <v>22.034943999999999</v>
      </c>
      <c r="F16" s="96">
        <f t="shared" si="52"/>
        <v>44.875859999999996</v>
      </c>
      <c r="G16" s="96">
        <f t="shared" si="53"/>
        <v>0.51327513000000002</v>
      </c>
      <c r="H16" s="96">
        <f t="shared" si="54"/>
        <v>63.223121999999996</v>
      </c>
      <c r="I16" s="96">
        <f t="shared" si="55"/>
        <v>13.528909260000001</v>
      </c>
      <c r="J16" s="43">
        <f t="shared" si="56"/>
        <v>44.875859999999996</v>
      </c>
      <c r="K16" s="43">
        <f t="shared" si="57"/>
        <v>22.431357130000002</v>
      </c>
      <c r="L16" s="43">
        <f t="shared" si="58"/>
        <v>65.095742000000001</v>
      </c>
      <c r="M16" s="44">
        <f t="shared" si="59"/>
        <v>35.563853260000002</v>
      </c>
      <c r="N16" s="87"/>
      <c r="O16" s="104">
        <v>975</v>
      </c>
      <c r="P16" s="80">
        <v>9048</v>
      </c>
      <c r="Q16" s="80">
        <v>6742.18</v>
      </c>
      <c r="R16" s="80"/>
      <c r="S16" s="80">
        <v>55136.26</v>
      </c>
      <c r="T16" s="80">
        <v>11071.62</v>
      </c>
      <c r="U16" s="80">
        <v>61274.380000000005</v>
      </c>
      <c r="V16" s="80"/>
      <c r="W16" s="80"/>
      <c r="X16" s="80">
        <v>725.8</v>
      </c>
      <c r="Y16" s="80">
        <v>38499.380000000005</v>
      </c>
      <c r="Z16" s="80">
        <v>448758.6</v>
      </c>
      <c r="AA16" s="80">
        <f t="shared" si="60"/>
        <v>632231.22</v>
      </c>
      <c r="AB16" s="105">
        <f t="shared" si="4"/>
        <v>632231.22</v>
      </c>
      <c r="AD16" s="104">
        <v>1432.2429999999999</v>
      </c>
      <c r="AE16" s="80">
        <v>20602.16</v>
      </c>
      <c r="AF16" s="80">
        <v>4365.7698</v>
      </c>
      <c r="AG16" s="80">
        <v>3276.8999999999996</v>
      </c>
      <c r="AH16" s="80">
        <v>0</v>
      </c>
      <c r="AI16" s="80">
        <v>11137.191300000002</v>
      </c>
      <c r="AJ16" s="80">
        <v>2403.7181999999998</v>
      </c>
      <c r="AK16" s="80">
        <v>55026.452800000006</v>
      </c>
      <c r="AL16" s="80">
        <v>13112.960300000001</v>
      </c>
      <c r="AM16" s="80">
        <v>0</v>
      </c>
      <c r="AN16" s="80">
        <v>18798.945899999999</v>
      </c>
      <c r="AO16" s="80">
        <v>5132.7512999999999</v>
      </c>
      <c r="AP16" s="80">
        <f t="shared" si="61"/>
        <v>135289.0926</v>
      </c>
      <c r="AQ16" s="105">
        <f t="shared" si="62"/>
        <v>135289.0926</v>
      </c>
    </row>
    <row r="17" spans="1:43" ht="16.5" customHeight="1">
      <c r="A17" s="7" t="s">
        <v>23</v>
      </c>
      <c r="B17" s="43">
        <f>'1.02春夏利润表-调营收'!F17</f>
        <v>801.3476400000003</v>
      </c>
      <c r="C17" s="43">
        <f>'1.02春夏利润表-调营收'!G17</f>
        <v>624.98072200000001</v>
      </c>
      <c r="D17" s="43">
        <f>'1.02春夏利润表-调营收'!H17</f>
        <v>6760.1305590000002</v>
      </c>
      <c r="E17" s="43">
        <f>'1.02春夏利润表-调营收'!I17</f>
        <v>717.79550400000005</v>
      </c>
      <c r="F17" s="96">
        <f t="shared" si="52"/>
        <v>2171.2836769999999</v>
      </c>
      <c r="G17" s="96">
        <f t="shared" si="53"/>
        <v>1970.3241956799998</v>
      </c>
      <c r="H17" s="96">
        <f t="shared" si="54"/>
        <v>15057.990472000956</v>
      </c>
      <c r="I17" s="96">
        <f t="shared" si="55"/>
        <v>8820.7178466400019</v>
      </c>
      <c r="J17" s="43">
        <f t="shared" si="56"/>
        <v>2972.6313170000003</v>
      </c>
      <c r="K17" s="43">
        <f t="shared" si="57"/>
        <v>2595.3049176799996</v>
      </c>
      <c r="L17" s="43">
        <f t="shared" si="58"/>
        <v>21818.121031000956</v>
      </c>
      <c r="M17" s="44">
        <f t="shared" si="59"/>
        <v>9538.5133506400016</v>
      </c>
      <c r="N17" s="87"/>
      <c r="O17" s="104">
        <v>6374957.29</v>
      </c>
      <c r="P17" s="80">
        <v>8783918.7100000028</v>
      </c>
      <c r="Q17" s="80">
        <v>9133844.1099999957</v>
      </c>
      <c r="R17" s="80">
        <v>13462819.900000002</v>
      </c>
      <c r="S17" s="80">
        <v>18153316.780000005</v>
      </c>
      <c r="T17" s="80">
        <v>8892563.3200000022</v>
      </c>
      <c r="U17" s="80">
        <v>6954249.6900000023</v>
      </c>
      <c r="V17" s="80">
        <v>12845342.400009556</v>
      </c>
      <c r="W17" s="80">
        <v>15233284.069999998</v>
      </c>
      <c r="X17" s="80">
        <v>13916959.580000002</v>
      </c>
      <c r="Y17" s="80">
        <v>15115812.1</v>
      </c>
      <c r="Z17" s="80">
        <v>21712836.77</v>
      </c>
      <c r="AA17" s="80">
        <f t="shared" si="60"/>
        <v>150579904.72000957</v>
      </c>
      <c r="AB17" s="105">
        <f t="shared" si="4"/>
        <v>150579904.72000957</v>
      </c>
      <c r="AD17" s="104">
        <v>1987653.0799999994</v>
      </c>
      <c r="AE17" s="80">
        <v>115474.78</v>
      </c>
      <c r="AF17" s="80">
        <v>3573311.7300000004</v>
      </c>
      <c r="AG17" s="80">
        <v>7644961.3799999999</v>
      </c>
      <c r="AH17" s="80">
        <v>4638993.926</v>
      </c>
      <c r="AI17" s="80">
        <v>5150808.62</v>
      </c>
      <c r="AJ17" s="80">
        <v>5322613.1500000004</v>
      </c>
      <c r="AK17" s="80">
        <v>5982452.8516999995</v>
      </c>
      <c r="AL17" s="80">
        <v>13417371.09</v>
      </c>
      <c r="AM17" s="80">
        <v>9525580.5418999996</v>
      </c>
      <c r="AN17" s="80">
        <v>11144715.359999999</v>
      </c>
      <c r="AO17" s="80">
        <v>19703241.956799999</v>
      </c>
      <c r="AP17" s="80">
        <f t="shared" si="61"/>
        <v>88207178.466400012</v>
      </c>
      <c r="AQ17" s="105">
        <f t="shared" si="62"/>
        <v>88207178.466400012</v>
      </c>
    </row>
    <row r="18" spans="1:43">
      <c r="A18" s="7" t="s">
        <v>24</v>
      </c>
      <c r="B18" s="43">
        <f>'1.02春夏利润表-调营收'!F18</f>
        <v>-99.831992000000014</v>
      </c>
      <c r="C18" s="43">
        <f>'1.02春夏利润表-调营收'!G18</f>
        <v>1274.3330880000001</v>
      </c>
      <c r="D18" s="43">
        <f>'1.02春夏利润表-调营收'!H18</f>
        <v>153.45130999999995</v>
      </c>
      <c r="E18" s="43">
        <f>'1.02春夏利润表-调营收'!I18</f>
        <v>1282.0550880000001</v>
      </c>
      <c r="F18" s="96">
        <f t="shared" si="52"/>
        <v>1.430464</v>
      </c>
      <c r="G18" s="96">
        <f t="shared" si="53"/>
        <v>16.265297999999998</v>
      </c>
      <c r="H18" s="96">
        <f t="shared" si="54"/>
        <v>170.48222600000003</v>
      </c>
      <c r="I18" s="96">
        <f t="shared" si="55"/>
        <v>142.57281099999997</v>
      </c>
      <c r="J18" s="43">
        <f t="shared" si="56"/>
        <v>-98.401528000000013</v>
      </c>
      <c r="K18" s="43">
        <f t="shared" si="57"/>
        <v>1290.5983860000001</v>
      </c>
      <c r="L18" s="43">
        <f t="shared" si="58"/>
        <v>323.933536</v>
      </c>
      <c r="M18" s="44">
        <f t="shared" si="59"/>
        <v>1424.6278990000001</v>
      </c>
      <c r="N18" s="87"/>
      <c r="O18" s="104">
        <v>4000</v>
      </c>
      <c r="P18" s="80">
        <v>1145000</v>
      </c>
      <c r="Q18" s="80">
        <v>644.67999999999995</v>
      </c>
      <c r="R18" s="80">
        <v>-287500</v>
      </c>
      <c r="S18" s="80">
        <v>-27100</v>
      </c>
      <c r="T18" s="80">
        <v>1714566.44</v>
      </c>
      <c r="U18" s="80">
        <v>-31636.040000000026</v>
      </c>
      <c r="V18" s="80">
        <v>-149232.10999999999</v>
      </c>
      <c r="W18" s="80">
        <v>-394650.91</v>
      </c>
      <c r="X18" s="80">
        <v>-213478.46000000002</v>
      </c>
      <c r="Y18" s="80">
        <v>-70095.98</v>
      </c>
      <c r="Z18" s="80">
        <v>14304.64</v>
      </c>
      <c r="AA18" s="80">
        <f t="shared" si="60"/>
        <v>1704822.2600000002</v>
      </c>
      <c r="AB18" s="105">
        <f t="shared" si="4"/>
        <v>1704822.2600000002</v>
      </c>
      <c r="AD18" s="104">
        <v>84237.05</v>
      </c>
      <c r="AE18" s="80">
        <v>79570.05</v>
      </c>
      <c r="AF18" s="80">
        <v>45834.810000000005</v>
      </c>
      <c r="AG18" s="80">
        <v>41803.550000000003</v>
      </c>
      <c r="AH18" s="80">
        <v>39110.239999999998</v>
      </c>
      <c r="AI18" s="80">
        <v>0</v>
      </c>
      <c r="AJ18" s="80">
        <v>0</v>
      </c>
      <c r="AK18" s="80">
        <v>0</v>
      </c>
      <c r="AL18" s="80">
        <v>15344.83</v>
      </c>
      <c r="AM18" s="80">
        <v>957174.6</v>
      </c>
      <c r="AN18" s="80">
        <v>0</v>
      </c>
      <c r="AO18" s="80">
        <v>162652.97999999998</v>
      </c>
      <c r="AP18" s="80">
        <f t="shared" si="61"/>
        <v>1425728.1099999999</v>
      </c>
      <c r="AQ18" s="105">
        <f t="shared" si="62"/>
        <v>1425728.1099999999</v>
      </c>
    </row>
    <row r="19" spans="1:43">
      <c r="A19" s="7" t="s">
        <v>25</v>
      </c>
      <c r="B19" s="43">
        <f>'1.02春夏利润表-调营收'!F19</f>
        <v>141.08848303799999</v>
      </c>
      <c r="C19" s="43">
        <f>'1.02春夏利润表-调营收'!G19</f>
        <v>189.96984399999982</v>
      </c>
      <c r="D19" s="43">
        <f>'1.02春夏利润表-调营收'!H19</f>
        <v>700.59958034399995</v>
      </c>
      <c r="E19" s="43">
        <f>'1.02春夏利润表-调营收'!I19</f>
        <v>415.17260399999981</v>
      </c>
      <c r="F19" s="96">
        <f t="shared" si="52"/>
        <v>398.05561496199994</v>
      </c>
      <c r="G19" s="96">
        <f t="shared" si="53"/>
        <v>198.98954283999996</v>
      </c>
      <c r="H19" s="96">
        <f t="shared" si="54"/>
        <v>2054.8128506560001</v>
      </c>
      <c r="I19" s="96">
        <f t="shared" si="55"/>
        <v>969.79992871000024</v>
      </c>
      <c r="J19" s="43">
        <f t="shared" si="56"/>
        <v>539.14409799999999</v>
      </c>
      <c r="K19" s="43">
        <f t="shared" si="57"/>
        <v>388.95938683999975</v>
      </c>
      <c r="L19" s="43">
        <f t="shared" si="58"/>
        <v>2755.4124310000002</v>
      </c>
      <c r="M19" s="44">
        <f t="shared" si="59"/>
        <v>1384.97253271</v>
      </c>
      <c r="N19" s="87"/>
      <c r="O19" s="104">
        <f>668260.96-326517.5</f>
        <v>341743.45999999996</v>
      </c>
      <c r="P19" s="80">
        <v>646920.21</v>
      </c>
      <c r="Q19" s="80">
        <v>1599188.4200000006</v>
      </c>
      <c r="R19" s="80">
        <f>1909943.91+116629.38</f>
        <v>2026573.29</v>
      </c>
      <c r="S19" s="80">
        <v>1951731.37</v>
      </c>
      <c r="T19" s="80">
        <v>2306802.0099999998</v>
      </c>
      <c r="U19" s="80">
        <v>551823.85570000019</v>
      </c>
      <c r="V19" s="80">
        <v>1630585.86</v>
      </c>
      <c r="W19" s="80">
        <v>1679539.6100000003</v>
      </c>
      <c r="X19" s="80">
        <v>1901500.62124</v>
      </c>
      <c r="Y19" s="80">
        <v>1931163.6500000001</v>
      </c>
      <c r="Z19" s="80">
        <v>3980556.1496199993</v>
      </c>
      <c r="AA19" s="80">
        <f t="shared" si="60"/>
        <v>20548128.506560002</v>
      </c>
      <c r="AB19" s="105">
        <f t="shared" si="4"/>
        <v>20548128.506560002</v>
      </c>
      <c r="AD19" s="104">
        <v>621641.1581</v>
      </c>
      <c r="AE19" s="80">
        <v>395716.03669999994</v>
      </c>
      <c r="AF19" s="80">
        <v>505531.25970000005</v>
      </c>
      <c r="AG19" s="80">
        <v>750076.72620000027</v>
      </c>
      <c r="AH19" s="80">
        <v>523081.62169999996</v>
      </c>
      <c r="AI19" s="80">
        <v>735010.17450000008</v>
      </c>
      <c r="AJ19" s="80">
        <v>876689.05440000014</v>
      </c>
      <c r="AK19" s="80">
        <v>783735.59510000004</v>
      </c>
      <c r="AL19" s="80">
        <v>798957.84770000004</v>
      </c>
      <c r="AM19" s="80">
        <v>942800.9626000002</v>
      </c>
      <c r="AN19" s="80">
        <v>774863.42200000025</v>
      </c>
      <c r="AO19" s="80">
        <v>1989895.4283999996</v>
      </c>
      <c r="AP19" s="80">
        <f t="shared" si="61"/>
        <v>9697999.2871000022</v>
      </c>
      <c r="AQ19" s="105">
        <f t="shared" si="62"/>
        <v>9697999.2871000022</v>
      </c>
    </row>
    <row r="20" spans="1:43">
      <c r="A20" s="7" t="s">
        <v>26</v>
      </c>
      <c r="B20" s="43">
        <f>'1.02春夏利润表-调营收'!F20</f>
        <v>34.836049835999994</v>
      </c>
      <c r="C20" s="43">
        <f>'1.02春夏利润表-调营收'!G20</f>
        <v>15.014664000000002</v>
      </c>
      <c r="D20" s="43">
        <f>'1.02春夏利润表-调营收'!H20</f>
        <v>211.69901865600002</v>
      </c>
      <c r="E20" s="43">
        <f>'1.02春夏利润表-调营收'!I20</f>
        <v>32.502780000000001</v>
      </c>
      <c r="F20" s="96">
        <f t="shared" si="52"/>
        <v>94.909390163999987</v>
      </c>
      <c r="G20" s="96">
        <f t="shared" si="53"/>
        <v>33.47541060999999</v>
      </c>
      <c r="H20" s="96">
        <f t="shared" si="54"/>
        <v>573.69634134400007</v>
      </c>
      <c r="I20" s="96">
        <f t="shared" si="55"/>
        <v>359.36458518000001</v>
      </c>
      <c r="J20" s="43">
        <f t="shared" si="56"/>
        <v>129.74543999999997</v>
      </c>
      <c r="K20" s="43">
        <f t="shared" si="57"/>
        <v>48.490074609999994</v>
      </c>
      <c r="L20" s="43">
        <f t="shared" si="58"/>
        <v>785.3953600000001</v>
      </c>
      <c r="M20" s="44">
        <f t="shared" si="59"/>
        <v>391.86736517999998</v>
      </c>
      <c r="N20" s="87"/>
      <c r="O20" s="104">
        <v>553650.53</v>
      </c>
      <c r="P20" s="80">
        <v>177919.15999999997</v>
      </c>
      <c r="Q20" s="80">
        <v>529558.17000000016</v>
      </c>
      <c r="R20" s="80">
        <v>411691.11000000004</v>
      </c>
      <c r="S20" s="80">
        <v>736853.28000000014</v>
      </c>
      <c r="T20" s="80">
        <v>670493.91999999969</v>
      </c>
      <c r="U20" s="80">
        <v>-601537.32460000005</v>
      </c>
      <c r="V20" s="80">
        <f>636675.56+3399.4</f>
        <v>640074.96000000008</v>
      </c>
      <c r="W20" s="80">
        <f>568064.97+13.37</f>
        <v>568078.34</v>
      </c>
      <c r="X20" s="80">
        <f>466812.506400001+3434.7</f>
        <v>470247.20640000101</v>
      </c>
      <c r="Y20" s="80">
        <v>630840.16</v>
      </c>
      <c r="Z20" s="80">
        <f>946659.94164+2433.96</f>
        <v>949093.90163999994</v>
      </c>
      <c r="AA20" s="80">
        <f t="shared" si="60"/>
        <v>5736963.4134400003</v>
      </c>
      <c r="AB20" s="105">
        <f t="shared" si="4"/>
        <v>5736963.4134400003</v>
      </c>
      <c r="AD20" s="104">
        <v>138749.20209999999</v>
      </c>
      <c r="AE20" s="80">
        <v>144163.54529999997</v>
      </c>
      <c r="AF20" s="80">
        <v>276447.02730000007</v>
      </c>
      <c r="AG20" s="80">
        <v>165856.06469999999</v>
      </c>
      <c r="AH20" s="80">
        <v>269792.23189999996</v>
      </c>
      <c r="AI20" s="80">
        <v>191668.83059999999</v>
      </c>
      <c r="AJ20" s="80">
        <v>282816.93390000006</v>
      </c>
      <c r="AK20" s="80">
        <v>597918.02370000025</v>
      </c>
      <c r="AL20" s="80">
        <v>503256.30339999974</v>
      </c>
      <c r="AM20" s="80">
        <v>244694.13119999997</v>
      </c>
      <c r="AN20" s="80">
        <v>443529.45159999974</v>
      </c>
      <c r="AO20" s="80">
        <v>334754.10609999992</v>
      </c>
      <c r="AP20" s="80">
        <f t="shared" si="61"/>
        <v>3593645.8517999998</v>
      </c>
      <c r="AQ20" s="105">
        <f t="shared" si="62"/>
        <v>3593645.8517999998</v>
      </c>
    </row>
    <row r="21" spans="1:43">
      <c r="A21" s="7" t="s">
        <v>27</v>
      </c>
      <c r="B21" s="43">
        <f>'1.02春夏利润表-调营收'!F21</f>
        <v>0</v>
      </c>
      <c r="C21" s="43">
        <f>'1.02春夏利润表-调营收'!G21</f>
        <v>0</v>
      </c>
      <c r="D21" s="43">
        <f>'1.02春夏利润表-调营收'!H21</f>
        <v>0</v>
      </c>
      <c r="E21" s="43">
        <f>'1.02春夏利润表-调营收'!I21</f>
        <v>0</v>
      </c>
      <c r="F21" s="96">
        <f t="shared" si="52"/>
        <v>0</v>
      </c>
      <c r="G21" s="96">
        <f t="shared" si="53"/>
        <v>0</v>
      </c>
      <c r="H21" s="96">
        <f t="shared" si="54"/>
        <v>0</v>
      </c>
      <c r="I21" s="96">
        <f t="shared" si="55"/>
        <v>0</v>
      </c>
      <c r="J21" s="43">
        <f t="shared" si="56"/>
        <v>0</v>
      </c>
      <c r="K21" s="43">
        <f t="shared" si="57"/>
        <v>0</v>
      </c>
      <c r="L21" s="43">
        <f t="shared" si="58"/>
        <v>0</v>
      </c>
      <c r="M21" s="44">
        <f t="shared" si="59"/>
        <v>0</v>
      </c>
      <c r="N21" s="87"/>
      <c r="O21" s="104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>
        <f t="shared" si="60"/>
        <v>0</v>
      </c>
      <c r="AB21" s="105">
        <f t="shared" si="4"/>
        <v>0</v>
      </c>
      <c r="AD21" s="104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>
        <f t="shared" si="61"/>
        <v>0</v>
      </c>
      <c r="AQ21" s="105">
        <f t="shared" si="62"/>
        <v>0</v>
      </c>
    </row>
    <row r="22" spans="1:43">
      <c r="A22" s="7" t="s">
        <v>28</v>
      </c>
      <c r="B22" s="43">
        <f>'1.02春夏利润表-调营收'!F22</f>
        <v>0.70781600000000022</v>
      </c>
      <c r="C22" s="43">
        <f>'1.02春夏利润表-调营收'!G22</f>
        <v>0</v>
      </c>
      <c r="D22" s="43">
        <f>'1.02春夏利润表-调营收'!H22</f>
        <v>4.6140850000000011</v>
      </c>
      <c r="E22" s="43">
        <f>'1.02春夏利润表-调营收'!I22</f>
        <v>0</v>
      </c>
      <c r="F22" s="96">
        <f t="shared" si="52"/>
        <v>17.077643000000005</v>
      </c>
      <c r="G22" s="96">
        <f t="shared" si="53"/>
        <v>14.223133900000006</v>
      </c>
      <c r="H22" s="96">
        <f t="shared" si="54"/>
        <v>205.39290100000008</v>
      </c>
      <c r="I22" s="96">
        <f t="shared" si="55"/>
        <v>46.400736089999995</v>
      </c>
      <c r="J22" s="43">
        <f t="shared" si="56"/>
        <v>17.785459000000007</v>
      </c>
      <c r="K22" s="43">
        <f t="shared" si="57"/>
        <v>14.223133900000006</v>
      </c>
      <c r="L22" s="43">
        <f t="shared" si="58"/>
        <v>210.00698600000007</v>
      </c>
      <c r="M22" s="44">
        <f t="shared" si="59"/>
        <v>46.400736089999995</v>
      </c>
      <c r="N22" s="87"/>
      <c r="O22" s="104">
        <v>145148.94</v>
      </c>
      <c r="P22" s="80">
        <v>145148.94999999995</v>
      </c>
      <c r="Q22" s="80">
        <v>144378.96</v>
      </c>
      <c r="R22" s="80">
        <v>209166.47000000003</v>
      </c>
      <c r="S22" s="80">
        <v>193587.10000000003</v>
      </c>
      <c r="T22" s="80">
        <v>174662.05000000002</v>
      </c>
      <c r="U22" s="80">
        <v>174662.09</v>
      </c>
      <c r="V22" s="80">
        <v>174662.1</v>
      </c>
      <c r="W22" s="80">
        <v>172073.21999999997</v>
      </c>
      <c r="X22" s="80">
        <v>177577.58000000002</v>
      </c>
      <c r="Y22" s="80">
        <v>172085.12000000002</v>
      </c>
      <c r="Z22" s="80">
        <v>170776.43000000005</v>
      </c>
      <c r="AA22" s="80">
        <f t="shared" si="60"/>
        <v>2053929.0100000007</v>
      </c>
      <c r="AB22" s="105">
        <f t="shared" si="4"/>
        <v>2053929.0100000007</v>
      </c>
      <c r="AD22" s="104">
        <v>915.64379999999824</v>
      </c>
      <c r="AE22" s="80">
        <v>1045.8188999999954</v>
      </c>
      <c r="AF22" s="80">
        <v>1046.0609999999981</v>
      </c>
      <c r="AG22" s="80">
        <v>130.17510000000001</v>
      </c>
      <c r="AH22" s="80">
        <v>1408.7109999999998</v>
      </c>
      <c r="AI22" s="80">
        <v>20010.709999999995</v>
      </c>
      <c r="AJ22" s="80">
        <v>31221.250999999993</v>
      </c>
      <c r="AK22" s="80">
        <v>49691.382799999999</v>
      </c>
      <c r="AL22" s="80">
        <v>44960.222699999991</v>
      </c>
      <c r="AM22" s="80">
        <v>85406.91369999999</v>
      </c>
      <c r="AN22" s="80">
        <v>85939.131899999978</v>
      </c>
      <c r="AO22" s="80">
        <v>142231.33900000007</v>
      </c>
      <c r="AP22" s="80">
        <f t="shared" si="61"/>
        <v>464007.36089999997</v>
      </c>
      <c r="AQ22" s="105">
        <f t="shared" si="62"/>
        <v>464007.36089999997</v>
      </c>
    </row>
    <row r="23" spans="1:43">
      <c r="A23" s="8" t="s">
        <v>29</v>
      </c>
      <c r="B23" s="43">
        <f>'1.02春夏利润表-调营收'!F23</f>
        <v>17.241278999999999</v>
      </c>
      <c r="C23" s="43">
        <f>'1.02春夏利润表-调营收'!G23</f>
        <v>5.503908</v>
      </c>
      <c r="D23" s="43">
        <f>'1.02春夏利润表-调营收'!H23</f>
        <v>305.46027299999997</v>
      </c>
      <c r="E23" s="43">
        <f>'1.02春夏利润表-调营收'!I23</f>
        <v>21.522264</v>
      </c>
      <c r="F23" s="96">
        <f t="shared" si="52"/>
        <v>82.822144999999992</v>
      </c>
      <c r="G23" s="96">
        <f t="shared" si="53"/>
        <v>43.607287999999997</v>
      </c>
      <c r="H23" s="96">
        <f t="shared" si="54"/>
        <v>1184.820361</v>
      </c>
      <c r="I23" s="96">
        <f t="shared" si="55"/>
        <v>296.44143099999997</v>
      </c>
      <c r="J23" s="43">
        <f t="shared" si="56"/>
        <v>100.063424</v>
      </c>
      <c r="K23" s="43">
        <f t="shared" si="57"/>
        <v>49.111196</v>
      </c>
      <c r="L23" s="43">
        <f t="shared" si="58"/>
        <v>1490.280634</v>
      </c>
      <c r="M23" s="44">
        <f t="shared" si="59"/>
        <v>317.96369499999997</v>
      </c>
      <c r="N23" s="87"/>
      <c r="O23" s="104">
        <v>782208.55</v>
      </c>
      <c r="P23" s="80">
        <v>349135.25</v>
      </c>
      <c r="Q23" s="80">
        <v>650701.2699999999</v>
      </c>
      <c r="R23" s="80">
        <v>1031797.92</v>
      </c>
      <c r="S23" s="80">
        <v>1056737</v>
      </c>
      <c r="T23" s="80">
        <v>738846.75</v>
      </c>
      <c r="U23" s="80">
        <v>763660.11</v>
      </c>
      <c r="V23" s="80">
        <v>1544967.96</v>
      </c>
      <c r="W23" s="80">
        <v>1420171.2199999997</v>
      </c>
      <c r="X23" s="80">
        <v>1553265.7</v>
      </c>
      <c r="Y23" s="80">
        <v>1128490.43</v>
      </c>
      <c r="Z23" s="80">
        <v>828221.45</v>
      </c>
      <c r="AA23" s="80">
        <f t="shared" si="60"/>
        <v>11848203.609999999</v>
      </c>
      <c r="AB23" s="105">
        <f t="shared" si="4"/>
        <v>11848203.609999999</v>
      </c>
      <c r="AD23" s="104">
        <v>96876</v>
      </c>
      <c r="AE23" s="80">
        <v>828</v>
      </c>
      <c r="AF23" s="80">
        <v>0</v>
      </c>
      <c r="AG23" s="80">
        <v>0</v>
      </c>
      <c r="AH23" s="80">
        <v>41889.56</v>
      </c>
      <c r="AI23" s="80">
        <v>237633.62999999998</v>
      </c>
      <c r="AJ23" s="80">
        <v>407256.64999999997</v>
      </c>
      <c r="AK23" s="80">
        <v>313721.96999999997</v>
      </c>
      <c r="AL23" s="80">
        <v>281510.08</v>
      </c>
      <c r="AM23" s="80">
        <v>384331.19</v>
      </c>
      <c r="AN23" s="80">
        <v>764294.35</v>
      </c>
      <c r="AO23" s="80">
        <v>436072.87999999995</v>
      </c>
      <c r="AP23" s="80">
        <f t="shared" si="61"/>
        <v>2964414.3099999996</v>
      </c>
      <c r="AQ23" s="105">
        <f t="shared" si="62"/>
        <v>2964414.3099999996</v>
      </c>
    </row>
    <row r="24" spans="1:43">
      <c r="A24" s="8" t="s">
        <v>30</v>
      </c>
      <c r="B24" s="43">
        <f>'1.02春夏利润表-调营收'!F24</f>
        <v>44.552168000000002</v>
      </c>
      <c r="C24" s="43">
        <f>'1.02春夏利润表-调营收'!G24</f>
        <v>76.658056000000002</v>
      </c>
      <c r="D24" s="43">
        <f>'1.02春夏利润表-调营收'!H24</f>
        <v>986.63792999999987</v>
      </c>
      <c r="E24" s="43">
        <f>'1.02春夏利润表-调营收'!I24</f>
        <v>247.39923200000004</v>
      </c>
      <c r="F24" s="96">
        <f t="shared" si="52"/>
        <v>17.484714</v>
      </c>
      <c r="G24" s="96">
        <f t="shared" si="53"/>
        <v>77.518506000000002</v>
      </c>
      <c r="H24" s="96">
        <f t="shared" si="54"/>
        <v>604.16312199999993</v>
      </c>
      <c r="I24" s="96">
        <f t="shared" si="55"/>
        <v>552.83002999999985</v>
      </c>
      <c r="J24" s="43">
        <f t="shared" si="56"/>
        <v>62.036882000000006</v>
      </c>
      <c r="K24" s="43">
        <f t="shared" si="57"/>
        <v>154.17656199999999</v>
      </c>
      <c r="L24" s="43">
        <f t="shared" si="58"/>
        <v>1590.8010519999998</v>
      </c>
      <c r="M24" s="44">
        <f t="shared" si="59"/>
        <v>800.22926199999984</v>
      </c>
      <c r="N24" s="87"/>
      <c r="O24" s="104">
        <v>546211.28999999992</v>
      </c>
      <c r="P24" s="80">
        <v>732333.3600000001</v>
      </c>
      <c r="Q24" s="80">
        <v>537325.28</v>
      </c>
      <c r="R24" s="80">
        <v>1003571.85</v>
      </c>
      <c r="S24" s="80">
        <v>571851.54</v>
      </c>
      <c r="T24" s="80">
        <v>267676.56</v>
      </c>
      <c r="U24" s="80">
        <v>106940.75</v>
      </c>
      <c r="V24" s="80">
        <v>593431.89</v>
      </c>
      <c r="W24" s="80">
        <v>728496.88</v>
      </c>
      <c r="X24" s="80">
        <v>310116.2</v>
      </c>
      <c r="Y24" s="80">
        <v>468828.48000000004</v>
      </c>
      <c r="Z24" s="80">
        <v>174847.14</v>
      </c>
      <c r="AA24" s="80">
        <f t="shared" si="60"/>
        <v>6041631.2199999997</v>
      </c>
      <c r="AB24" s="105">
        <f t="shared" si="4"/>
        <v>6041631.2199999997</v>
      </c>
      <c r="AD24" s="104">
        <v>151792.88</v>
      </c>
      <c r="AE24" s="80">
        <v>337349.47</v>
      </c>
      <c r="AF24" s="80">
        <v>67792.28</v>
      </c>
      <c r="AG24" s="80">
        <v>397015.77</v>
      </c>
      <c r="AH24" s="80">
        <v>57745.240000000005</v>
      </c>
      <c r="AI24" s="80">
        <v>274259.23</v>
      </c>
      <c r="AJ24" s="80">
        <v>457496.68999999994</v>
      </c>
      <c r="AK24" s="80">
        <v>613677.57000000007</v>
      </c>
      <c r="AL24" s="80">
        <v>1887498.3499999999</v>
      </c>
      <c r="AM24" s="80">
        <v>389345</v>
      </c>
      <c r="AN24" s="80">
        <v>119142.76000000001</v>
      </c>
      <c r="AO24" s="80">
        <v>775185.06</v>
      </c>
      <c r="AP24" s="80">
        <f t="shared" si="61"/>
        <v>5528300.2999999989</v>
      </c>
      <c r="AQ24" s="105">
        <f t="shared" si="62"/>
        <v>5528300.2999999989</v>
      </c>
    </row>
    <row r="25" spans="1:43">
      <c r="A25" s="7" t="s">
        <v>31</v>
      </c>
      <c r="B25" s="43">
        <f>'1.02春夏利润表-调营收'!F25</f>
        <v>0</v>
      </c>
      <c r="C25" s="43">
        <f>'1.02春夏利润表-调营收'!G25</f>
        <v>11.950125999999999</v>
      </c>
      <c r="D25" s="43">
        <f>'1.02春夏利润表-调营收'!H25</f>
        <v>0</v>
      </c>
      <c r="E25" s="43">
        <f>'1.02春夏利润表-调营收'!I25</f>
        <v>11.950125999999999</v>
      </c>
      <c r="F25" s="96">
        <f t="shared" si="52"/>
        <v>0</v>
      </c>
      <c r="G25" s="96">
        <f t="shared" si="53"/>
        <v>3.08903419</v>
      </c>
      <c r="H25" s="96">
        <f t="shared" si="54"/>
        <v>0</v>
      </c>
      <c r="I25" s="96">
        <f t="shared" si="55"/>
        <v>7.8327178899999996</v>
      </c>
      <c r="J25" s="43">
        <f t="shared" si="56"/>
        <v>0</v>
      </c>
      <c r="K25" s="43">
        <f t="shared" si="57"/>
        <v>15.039160189999999</v>
      </c>
      <c r="L25" s="43">
        <f t="shared" si="58"/>
        <v>0</v>
      </c>
      <c r="M25" s="44">
        <f t="shared" si="59"/>
        <v>19.782843889999999</v>
      </c>
      <c r="N25" s="87"/>
      <c r="O25" s="104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>
        <f t="shared" si="60"/>
        <v>0</v>
      </c>
      <c r="AB25" s="105">
        <f t="shared" si="4"/>
        <v>0</v>
      </c>
      <c r="AD25" s="104">
        <v>0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0</v>
      </c>
      <c r="AK25" s="80">
        <v>0</v>
      </c>
      <c r="AL25" s="80">
        <v>0</v>
      </c>
      <c r="AM25" s="80">
        <v>6937.8641999999991</v>
      </c>
      <c r="AN25" s="80">
        <v>40498.972800000003</v>
      </c>
      <c r="AO25" s="80">
        <v>30890.341899999999</v>
      </c>
      <c r="AP25" s="80">
        <f t="shared" si="61"/>
        <v>78327.178899999999</v>
      </c>
      <c r="AQ25" s="105">
        <f t="shared" si="62"/>
        <v>78327.178899999999</v>
      </c>
    </row>
    <row r="26" spans="1:43" s="77" customFormat="1">
      <c r="A26" s="75" t="s">
        <v>32</v>
      </c>
      <c r="B26" s="88">
        <f t="shared" ref="B26:M26" si="63">B9-B11</f>
        <v>-1788.2536078740004</v>
      </c>
      <c r="C26" s="88">
        <f t="shared" si="63"/>
        <v>-1744.252017</v>
      </c>
      <c r="D26" s="88">
        <f t="shared" si="63"/>
        <v>-2670.1609899999994</v>
      </c>
      <c r="E26" s="88">
        <f t="shared" si="63"/>
        <v>-544.74454500000002</v>
      </c>
      <c r="F26" s="88">
        <f t="shared" si="63"/>
        <v>-2597.7169211260002</v>
      </c>
      <c r="G26" s="88">
        <f t="shared" si="63"/>
        <v>-1123.2981216399994</v>
      </c>
      <c r="H26" s="88">
        <f t="shared" si="63"/>
        <v>-4440.7564660009539</v>
      </c>
      <c r="I26" s="88">
        <f t="shared" si="63"/>
        <v>-2886.8007809499977</v>
      </c>
      <c r="J26" s="88">
        <f t="shared" si="63"/>
        <v>-4385.9705290000002</v>
      </c>
      <c r="K26" s="88">
        <f t="shared" si="63"/>
        <v>-2867.5501386399987</v>
      </c>
      <c r="L26" s="88">
        <f t="shared" si="63"/>
        <v>-7110.9174560009487</v>
      </c>
      <c r="M26" s="89">
        <f t="shared" si="63"/>
        <v>-3431.5453259499991</v>
      </c>
      <c r="N26" s="90"/>
      <c r="O26" s="110">
        <f>O9-O11</f>
        <v>4740078.3699999992</v>
      </c>
      <c r="P26" s="97">
        <f t="shared" ref="P26:AB26" si="64">P9-P11</f>
        <v>-2092262.0700000022</v>
      </c>
      <c r="Q26" s="97">
        <f t="shared" si="64"/>
        <v>6038020.5400000047</v>
      </c>
      <c r="R26" s="97">
        <f t="shared" si="64"/>
        <v>-5471026.1700000055</v>
      </c>
      <c r="S26" s="97">
        <f t="shared" si="64"/>
        <v>-11922806.470000006</v>
      </c>
      <c r="T26" s="97">
        <f t="shared" si="64"/>
        <v>-1100490.9000000022</v>
      </c>
      <c r="U26" s="97">
        <f t="shared" si="64"/>
        <v>2544871.1788999941</v>
      </c>
      <c r="V26" s="97">
        <f t="shared" si="64"/>
        <v>-5264768.0800095573</v>
      </c>
      <c r="W26" s="97">
        <f t="shared" si="64"/>
        <v>-2697102.3299999963</v>
      </c>
      <c r="X26" s="97">
        <f t="shared" si="64"/>
        <v>-1351670.3576399982</v>
      </c>
      <c r="Y26" s="97">
        <f t="shared" si="64"/>
        <v>-1853239.1600000039</v>
      </c>
      <c r="Z26" s="97">
        <f t="shared" si="64"/>
        <v>-25977169.211259998</v>
      </c>
      <c r="AA26" s="97">
        <f t="shared" si="64"/>
        <v>-44407564.660009503</v>
      </c>
      <c r="AB26" s="111">
        <f t="shared" si="64"/>
        <v>-44407564.660009503</v>
      </c>
      <c r="AD26" s="110">
        <f>AD9-AD11</f>
        <v>686863.50580000039</v>
      </c>
      <c r="AE26" s="97">
        <f t="shared" ref="AE26:AQ26" si="65">AE9-AE11</f>
        <v>2412388.2968000001</v>
      </c>
      <c r="AF26" s="97">
        <f t="shared" si="65"/>
        <v>7193.4781999988481</v>
      </c>
      <c r="AG26" s="97">
        <f t="shared" si="65"/>
        <v>-4199351.1295999996</v>
      </c>
      <c r="AH26" s="97">
        <f t="shared" si="65"/>
        <v>-1097093.4154000012</v>
      </c>
      <c r="AI26" s="97">
        <f t="shared" si="65"/>
        <v>-2006180.0921999998</v>
      </c>
      <c r="AJ26" s="97">
        <f t="shared" si="65"/>
        <v>170605.15660000034</v>
      </c>
      <c r="AK26" s="97">
        <f t="shared" si="65"/>
        <v>-2102856.0019000005</v>
      </c>
      <c r="AL26" s="97">
        <f t="shared" si="65"/>
        <v>-7043652.5604999997</v>
      </c>
      <c r="AM26" s="97">
        <f t="shared" si="65"/>
        <v>-3292764.0794999991</v>
      </c>
      <c r="AN26" s="97">
        <f t="shared" si="65"/>
        <v>-1170179.7513999976</v>
      </c>
      <c r="AO26" s="97">
        <f t="shared" si="65"/>
        <v>-11232981.216399996</v>
      </c>
      <c r="AP26" s="97">
        <f t="shared" si="65"/>
        <v>-28868007.809499994</v>
      </c>
      <c r="AQ26" s="111">
        <f t="shared" si="65"/>
        <v>-28868007.809499994</v>
      </c>
    </row>
    <row r="27" spans="1:43" s="77" customFormat="1">
      <c r="A27" s="75" t="s">
        <v>33</v>
      </c>
      <c r="B27" s="98">
        <f t="shared" ref="B27:M27" si="66">SUM(B28:B43)</f>
        <v>992.50533414354311</v>
      </c>
      <c r="C27" s="98">
        <f t="shared" si="66"/>
        <v>1140.1565294433999</v>
      </c>
      <c r="D27" s="98">
        <f t="shared" si="66"/>
        <v>6951.7280231093264</v>
      </c>
      <c r="E27" s="98">
        <f t="shared" si="66"/>
        <v>5444.0126067538413</v>
      </c>
      <c r="F27" s="98">
        <f>SUM(F28:F43)</f>
        <v>0</v>
      </c>
      <c r="G27" s="98">
        <f t="shared" si="66"/>
        <v>0</v>
      </c>
      <c r="H27" s="98">
        <f t="shared" si="66"/>
        <v>0</v>
      </c>
      <c r="I27" s="98">
        <f t="shared" si="66"/>
        <v>0</v>
      </c>
      <c r="J27" s="98">
        <f t="shared" si="66"/>
        <v>992.50533414354311</v>
      </c>
      <c r="K27" s="98">
        <f t="shared" si="66"/>
        <v>1140.1565294433999</v>
      </c>
      <c r="L27" s="98">
        <f t="shared" si="66"/>
        <v>6951.7280231093264</v>
      </c>
      <c r="M27" s="99">
        <f t="shared" si="66"/>
        <v>5444.0126067538413</v>
      </c>
      <c r="N27" s="90"/>
      <c r="O27" s="110">
        <f>SUM(O28:O43)</f>
        <v>0</v>
      </c>
      <c r="P27" s="97">
        <f t="shared" ref="P27:AB27" si="67">SUM(P28:P43)</f>
        <v>0</v>
      </c>
      <c r="Q27" s="97">
        <f t="shared" si="67"/>
        <v>0</v>
      </c>
      <c r="R27" s="97">
        <f t="shared" si="67"/>
        <v>0</v>
      </c>
      <c r="S27" s="97">
        <f t="shared" si="67"/>
        <v>0</v>
      </c>
      <c r="T27" s="97">
        <f t="shared" si="67"/>
        <v>0</v>
      </c>
      <c r="U27" s="97">
        <f t="shared" si="67"/>
        <v>0</v>
      </c>
      <c r="V27" s="97">
        <f t="shared" si="67"/>
        <v>0</v>
      </c>
      <c r="W27" s="97">
        <f t="shared" si="67"/>
        <v>0</v>
      </c>
      <c r="X27" s="97">
        <f t="shared" si="67"/>
        <v>0</v>
      </c>
      <c r="Y27" s="97">
        <f t="shared" si="67"/>
        <v>0</v>
      </c>
      <c r="Z27" s="97">
        <f t="shared" si="67"/>
        <v>0</v>
      </c>
      <c r="AA27" s="97">
        <f t="shared" si="67"/>
        <v>0</v>
      </c>
      <c r="AB27" s="111">
        <f t="shared" si="67"/>
        <v>0</v>
      </c>
      <c r="AD27" s="110">
        <f>SUM(AD28:AD43)</f>
        <v>0</v>
      </c>
      <c r="AE27" s="97">
        <f t="shared" ref="AE27" si="68">SUM(AE28:AE43)</f>
        <v>0</v>
      </c>
      <c r="AF27" s="97">
        <f t="shared" ref="AF27" si="69">SUM(AF28:AF43)</f>
        <v>0</v>
      </c>
      <c r="AG27" s="97">
        <f t="shared" ref="AG27" si="70">SUM(AG28:AG43)</f>
        <v>0</v>
      </c>
      <c r="AH27" s="97">
        <f t="shared" ref="AH27" si="71">SUM(AH28:AH43)</f>
        <v>0</v>
      </c>
      <c r="AI27" s="97">
        <f t="shared" ref="AI27" si="72">SUM(AI28:AI43)</f>
        <v>0</v>
      </c>
      <c r="AJ27" s="97">
        <f t="shared" ref="AJ27" si="73">SUM(AJ28:AJ43)</f>
        <v>0</v>
      </c>
      <c r="AK27" s="97">
        <f t="shared" ref="AK27" si="74">SUM(AK28:AK43)</f>
        <v>0</v>
      </c>
      <c r="AL27" s="97">
        <f t="shared" ref="AL27" si="75">SUM(AL28:AL43)</f>
        <v>0</v>
      </c>
      <c r="AM27" s="97">
        <f t="shared" ref="AM27" si="76">SUM(AM28:AM43)</f>
        <v>0</v>
      </c>
      <c r="AN27" s="97">
        <f t="shared" ref="AN27" si="77">SUM(AN28:AN43)</f>
        <v>0</v>
      </c>
      <c r="AO27" s="97">
        <f t="shared" ref="AO27" si="78">SUM(AO28:AO43)</f>
        <v>0</v>
      </c>
      <c r="AP27" s="97">
        <f t="shared" ref="AP27" si="79">SUM(AP28:AP43)</f>
        <v>0</v>
      </c>
      <c r="AQ27" s="111">
        <f t="shared" ref="AQ27" si="80">SUM(AQ28:AQ43)</f>
        <v>0</v>
      </c>
    </row>
    <row r="28" spans="1:43">
      <c r="A28" s="9" t="s">
        <v>34</v>
      </c>
      <c r="B28" s="43">
        <f>'1.02春夏利润表-调营收'!F28</f>
        <v>2.2891441989375854</v>
      </c>
      <c r="C28" s="43">
        <f>'1.02春夏利润表-调营收'!G28</f>
        <v>1.9028563689861886</v>
      </c>
      <c r="D28" s="43">
        <f>'1.02春夏利润表-调营收'!H28</f>
        <v>27.914918812322728</v>
      </c>
      <c r="E28" s="43">
        <f>'1.02春夏利润表-调营收'!I28</f>
        <v>4.0036709664348935</v>
      </c>
      <c r="F28" s="86">
        <f t="shared" ref="F28:F43" si="81">Z28/10000</f>
        <v>0</v>
      </c>
      <c r="G28" s="100">
        <f t="shared" ref="G28:G43" si="82">AO28/10000</f>
        <v>0</v>
      </c>
      <c r="H28" s="86">
        <f t="shared" ref="H28:H43" si="83">AA28/10000</f>
        <v>0</v>
      </c>
      <c r="I28" s="100">
        <f t="shared" ref="I28:I43" si="84">AP28/10000</f>
        <v>0</v>
      </c>
      <c r="J28" s="43">
        <f t="shared" ref="J28:J43" si="85">+B28++F28</f>
        <v>2.2891441989375854</v>
      </c>
      <c r="K28" s="43">
        <f t="shared" ref="K28:K43" si="86">+C28++G28</f>
        <v>1.9028563689861886</v>
      </c>
      <c r="L28" s="43">
        <f t="shared" ref="L28:L43" si="87">+D28++H28</f>
        <v>27.914918812322728</v>
      </c>
      <c r="M28" s="44">
        <f t="shared" ref="M28:M43" si="88">+E28++I28</f>
        <v>4.0036709664348935</v>
      </c>
      <c r="N28" s="87"/>
      <c r="O28" s="104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>
        <f t="shared" ref="AA28:AA43" si="89">O28+P28+Q28+R28+S28+T28+U28+V28+W28+X28+Y28+Z28</f>
        <v>0</v>
      </c>
      <c r="AB28" s="105">
        <f t="shared" si="4"/>
        <v>0</v>
      </c>
      <c r="AD28" s="104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>
        <f t="shared" ref="AP28:AP43" si="90">AD28+AE28+AF28+AG28+AH28+AI28+AJ28+AK28+AL28+AM28+AN28+AO28</f>
        <v>0</v>
      </c>
      <c r="AQ28" s="105">
        <f t="shared" ref="AQ28:AQ43" si="91">SUM(AD28:AO28)</f>
        <v>0</v>
      </c>
    </row>
    <row r="29" spans="1:43">
      <c r="A29" s="9" t="s">
        <v>35</v>
      </c>
      <c r="B29" s="43">
        <f>'1.02春夏利润表-调营收'!F29</f>
        <v>750.49688874947321</v>
      </c>
      <c r="C29" s="43">
        <f>'1.02春夏利润表-调营收'!G29</f>
        <v>852.95941402521225</v>
      </c>
      <c r="D29" s="43">
        <f>'1.02春夏利润表-调营收'!H29</f>
        <v>4114.0648358205781</v>
      </c>
      <c r="E29" s="43">
        <f>'1.02春夏利润表-调营收'!I29</f>
        <v>3620.0491564195067</v>
      </c>
      <c r="F29" s="86">
        <f t="shared" si="81"/>
        <v>0</v>
      </c>
      <c r="G29" s="100">
        <f t="shared" si="82"/>
        <v>0</v>
      </c>
      <c r="H29" s="86">
        <f t="shared" si="83"/>
        <v>0</v>
      </c>
      <c r="I29" s="100">
        <f t="shared" si="84"/>
        <v>0</v>
      </c>
      <c r="J29" s="43">
        <f t="shared" si="85"/>
        <v>750.49688874947321</v>
      </c>
      <c r="K29" s="43">
        <f t="shared" si="86"/>
        <v>852.95941402521225</v>
      </c>
      <c r="L29" s="43">
        <f t="shared" si="87"/>
        <v>4114.0648358205781</v>
      </c>
      <c r="M29" s="44">
        <f t="shared" si="88"/>
        <v>3620.0491564195067</v>
      </c>
      <c r="N29" s="87"/>
      <c r="O29" s="104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>
        <f t="shared" si="89"/>
        <v>0</v>
      </c>
      <c r="AB29" s="105">
        <f t="shared" si="4"/>
        <v>0</v>
      </c>
      <c r="AD29" s="104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>
        <f t="shared" si="90"/>
        <v>0</v>
      </c>
      <c r="AQ29" s="105">
        <f t="shared" si="91"/>
        <v>0</v>
      </c>
    </row>
    <row r="30" spans="1:43">
      <c r="A30" s="9" t="s">
        <v>36</v>
      </c>
      <c r="B30" s="43">
        <f>'1.02春夏利润表-调营收'!F30</f>
        <v>11.109381672972978</v>
      </c>
      <c r="C30" s="43">
        <f>'1.02春夏利润表-调营收'!G30</f>
        <v>-25.478807767903049</v>
      </c>
      <c r="D30" s="43">
        <f>'1.02春夏利润表-调营收'!H30</f>
        <v>15.80714263031661</v>
      </c>
      <c r="E30" s="43">
        <f>'1.02春夏利润表-调营收'!I30</f>
        <v>86.635514217324214</v>
      </c>
      <c r="F30" s="86">
        <f t="shared" si="81"/>
        <v>0</v>
      </c>
      <c r="G30" s="100">
        <f t="shared" si="82"/>
        <v>0</v>
      </c>
      <c r="H30" s="86">
        <f t="shared" si="83"/>
        <v>0</v>
      </c>
      <c r="I30" s="100">
        <f t="shared" si="84"/>
        <v>0</v>
      </c>
      <c r="J30" s="43">
        <f t="shared" si="85"/>
        <v>11.109381672972978</v>
      </c>
      <c r="K30" s="43">
        <f t="shared" si="86"/>
        <v>-25.478807767903049</v>
      </c>
      <c r="L30" s="43">
        <f t="shared" si="87"/>
        <v>15.80714263031661</v>
      </c>
      <c r="M30" s="44">
        <f t="shared" si="88"/>
        <v>86.635514217324214</v>
      </c>
      <c r="N30" s="87"/>
      <c r="O30" s="104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>
        <f t="shared" si="89"/>
        <v>0</v>
      </c>
      <c r="AB30" s="105">
        <f t="shared" si="4"/>
        <v>0</v>
      </c>
      <c r="AD30" s="104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>
        <f t="shared" si="90"/>
        <v>0</v>
      </c>
      <c r="AQ30" s="105">
        <f t="shared" si="91"/>
        <v>0</v>
      </c>
    </row>
    <row r="31" spans="1:43">
      <c r="A31" s="9" t="s">
        <v>37</v>
      </c>
      <c r="B31" s="43">
        <f>'1.02春夏利润表-调营收'!F31</f>
        <v>128.53207445708603</v>
      </c>
      <c r="C31" s="43">
        <f>'1.02春夏利润表-调营收'!G31</f>
        <v>68.546410882319179</v>
      </c>
      <c r="D31" s="43">
        <f>'1.02春夏利润表-调营收'!H31</f>
        <v>768.10241388839245</v>
      </c>
      <c r="E31" s="43">
        <f>'1.02春夏利润表-调营收'!I31</f>
        <v>347.97821228294396</v>
      </c>
      <c r="F31" s="86">
        <f t="shared" si="81"/>
        <v>0</v>
      </c>
      <c r="G31" s="100">
        <f t="shared" si="82"/>
        <v>0</v>
      </c>
      <c r="H31" s="86">
        <f t="shared" si="83"/>
        <v>0</v>
      </c>
      <c r="I31" s="100">
        <f t="shared" si="84"/>
        <v>0</v>
      </c>
      <c r="J31" s="43">
        <f t="shared" si="85"/>
        <v>128.53207445708603</v>
      </c>
      <c r="K31" s="43">
        <f t="shared" si="86"/>
        <v>68.546410882319179</v>
      </c>
      <c r="L31" s="43">
        <f t="shared" si="87"/>
        <v>768.10241388839245</v>
      </c>
      <c r="M31" s="44">
        <f t="shared" si="88"/>
        <v>347.97821228294396</v>
      </c>
      <c r="N31" s="87"/>
      <c r="O31" s="104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>
        <f t="shared" si="89"/>
        <v>0</v>
      </c>
      <c r="AB31" s="105">
        <f t="shared" si="4"/>
        <v>0</v>
      </c>
      <c r="AD31" s="104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>
        <f t="shared" si="90"/>
        <v>0</v>
      </c>
      <c r="AQ31" s="105">
        <f t="shared" si="91"/>
        <v>0</v>
      </c>
    </row>
    <row r="32" spans="1:43">
      <c r="A32" s="9" t="s">
        <v>38</v>
      </c>
      <c r="B32" s="43">
        <f>'1.02春夏利润表-调营收'!F32</f>
        <v>13.138098887111131</v>
      </c>
      <c r="C32" s="43">
        <f>'1.02春夏利润表-调营收'!G32</f>
        <v>11.935337371935667</v>
      </c>
      <c r="D32" s="43">
        <f>'1.02春夏利润表-调营收'!H32</f>
        <v>108.26993717235349</v>
      </c>
      <c r="E32" s="43">
        <f>'1.02春夏利润表-调营收'!I32</f>
        <v>59.7831011498156</v>
      </c>
      <c r="F32" s="86">
        <f t="shared" si="81"/>
        <v>0</v>
      </c>
      <c r="G32" s="100">
        <f t="shared" si="82"/>
        <v>0</v>
      </c>
      <c r="H32" s="86">
        <f t="shared" si="83"/>
        <v>0</v>
      </c>
      <c r="I32" s="100">
        <f t="shared" si="84"/>
        <v>0</v>
      </c>
      <c r="J32" s="43">
        <f t="shared" si="85"/>
        <v>13.138098887111131</v>
      </c>
      <c r="K32" s="43">
        <f t="shared" si="86"/>
        <v>11.935337371935667</v>
      </c>
      <c r="L32" s="43">
        <f t="shared" si="87"/>
        <v>108.26993717235349</v>
      </c>
      <c r="M32" s="44">
        <f t="shared" si="88"/>
        <v>59.7831011498156</v>
      </c>
      <c r="N32" s="87"/>
      <c r="O32" s="104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>
        <f t="shared" si="89"/>
        <v>0</v>
      </c>
      <c r="AB32" s="105">
        <f t="shared" si="4"/>
        <v>0</v>
      </c>
      <c r="AD32" s="104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>
        <f t="shared" si="90"/>
        <v>0</v>
      </c>
      <c r="AQ32" s="105">
        <f t="shared" si="91"/>
        <v>0</v>
      </c>
    </row>
    <row r="33" spans="1:43">
      <c r="A33" s="9" t="s">
        <v>39</v>
      </c>
      <c r="B33" s="43">
        <f>'1.02春夏利润表-调营收'!F33</f>
        <v>0</v>
      </c>
      <c r="C33" s="43">
        <f>'1.02春夏利润表-调营收'!G33</f>
        <v>-3.8968133058865662</v>
      </c>
      <c r="D33" s="43">
        <f>'1.02春夏利润表-调营收'!H33</f>
        <v>-8.9033760013624974</v>
      </c>
      <c r="E33" s="43">
        <f>'1.02春夏利润表-调营收'!I33</f>
        <v>6.339466807399714</v>
      </c>
      <c r="F33" s="86">
        <f t="shared" si="81"/>
        <v>0</v>
      </c>
      <c r="G33" s="100">
        <f t="shared" si="82"/>
        <v>0</v>
      </c>
      <c r="H33" s="86">
        <f t="shared" si="83"/>
        <v>0</v>
      </c>
      <c r="I33" s="100">
        <f t="shared" si="84"/>
        <v>0</v>
      </c>
      <c r="J33" s="43">
        <f t="shared" si="85"/>
        <v>0</v>
      </c>
      <c r="K33" s="43">
        <f t="shared" si="86"/>
        <v>-3.8968133058865662</v>
      </c>
      <c r="L33" s="43">
        <f t="shared" si="87"/>
        <v>-8.9033760013624974</v>
      </c>
      <c r="M33" s="44">
        <f t="shared" si="88"/>
        <v>6.339466807399714</v>
      </c>
      <c r="N33" s="87"/>
      <c r="O33" s="104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>
        <f t="shared" si="89"/>
        <v>0</v>
      </c>
      <c r="AB33" s="105">
        <f t="shared" si="4"/>
        <v>0</v>
      </c>
      <c r="AD33" s="104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>
        <f t="shared" si="90"/>
        <v>0</v>
      </c>
      <c r="AQ33" s="105">
        <f t="shared" si="91"/>
        <v>0</v>
      </c>
    </row>
    <row r="34" spans="1:43">
      <c r="A34" s="9" t="s">
        <v>40</v>
      </c>
      <c r="B34" s="43">
        <f>'1.02春夏利润表-调营收'!F34</f>
        <v>0</v>
      </c>
      <c r="C34" s="43">
        <f>'1.02春夏利润表-调营收'!G34</f>
        <v>41.378604465178029</v>
      </c>
      <c r="D34" s="43">
        <f>'1.02春夏利润表-调营收'!H34</f>
        <v>93.978012381883559</v>
      </c>
      <c r="E34" s="43">
        <f>'1.02春夏利润表-调营收'!I34</f>
        <v>132.35067963820293</v>
      </c>
      <c r="F34" s="86">
        <f t="shared" si="81"/>
        <v>0</v>
      </c>
      <c r="G34" s="100">
        <f t="shared" si="82"/>
        <v>0</v>
      </c>
      <c r="H34" s="86">
        <f t="shared" si="83"/>
        <v>0</v>
      </c>
      <c r="I34" s="100">
        <f t="shared" si="84"/>
        <v>0</v>
      </c>
      <c r="J34" s="43">
        <f t="shared" si="85"/>
        <v>0</v>
      </c>
      <c r="K34" s="43">
        <f t="shared" si="86"/>
        <v>41.378604465178029</v>
      </c>
      <c r="L34" s="43">
        <f t="shared" si="87"/>
        <v>93.978012381883559</v>
      </c>
      <c r="M34" s="44">
        <f t="shared" si="88"/>
        <v>132.35067963820293</v>
      </c>
      <c r="N34" s="87"/>
      <c r="O34" s="104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>
        <f t="shared" si="89"/>
        <v>0</v>
      </c>
      <c r="AB34" s="105">
        <f t="shared" si="4"/>
        <v>0</v>
      </c>
      <c r="AD34" s="104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>
        <f t="shared" si="90"/>
        <v>0</v>
      </c>
      <c r="AQ34" s="105">
        <f t="shared" si="91"/>
        <v>0</v>
      </c>
    </row>
    <row r="35" spans="1:43">
      <c r="A35" s="9" t="s">
        <v>41</v>
      </c>
      <c r="B35" s="43">
        <f>'1.02春夏利润表-调营收'!F35</f>
        <v>64.366111314349837</v>
      </c>
      <c r="C35" s="43">
        <f>'1.02春夏利润表-调营收'!G35</f>
        <v>23.668470244712417</v>
      </c>
      <c r="D35" s="43">
        <f>'1.02春夏利润表-调营收'!H35</f>
        <v>1019.4620760440669</v>
      </c>
      <c r="E35" s="43">
        <f>'1.02春夏利润表-调营收'!I35</f>
        <v>396.35339053646334</v>
      </c>
      <c r="F35" s="86">
        <f t="shared" si="81"/>
        <v>0</v>
      </c>
      <c r="G35" s="100">
        <f t="shared" si="82"/>
        <v>0</v>
      </c>
      <c r="H35" s="86">
        <f t="shared" si="83"/>
        <v>0</v>
      </c>
      <c r="I35" s="100">
        <f t="shared" si="84"/>
        <v>0</v>
      </c>
      <c r="J35" s="43">
        <f t="shared" si="85"/>
        <v>64.366111314349837</v>
      </c>
      <c r="K35" s="43">
        <f t="shared" si="86"/>
        <v>23.668470244712417</v>
      </c>
      <c r="L35" s="43">
        <f t="shared" si="87"/>
        <v>1019.4620760440669</v>
      </c>
      <c r="M35" s="44">
        <f t="shared" si="88"/>
        <v>396.35339053646334</v>
      </c>
      <c r="N35" s="87"/>
      <c r="O35" s="104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>
        <f t="shared" si="89"/>
        <v>0</v>
      </c>
      <c r="AB35" s="105">
        <f t="shared" si="4"/>
        <v>0</v>
      </c>
      <c r="AD35" s="104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>
        <f t="shared" si="90"/>
        <v>0</v>
      </c>
      <c r="AQ35" s="105">
        <f t="shared" si="91"/>
        <v>0</v>
      </c>
    </row>
    <row r="36" spans="1:43">
      <c r="A36" s="9" t="s">
        <v>42</v>
      </c>
      <c r="B36" s="43">
        <f>'1.02春夏利润表-调营收'!F36</f>
        <v>0.64472371374311377</v>
      </c>
      <c r="C36" s="43">
        <f>'1.02春夏利润表-调营收'!G36</f>
        <v>-55.789563639299033</v>
      </c>
      <c r="D36" s="43">
        <f>'1.02春夏利润表-调营收'!H36</f>
        <v>177.92545549150793</v>
      </c>
      <c r="E36" s="43">
        <f>'1.02春夏利润表-调营收'!I36</f>
        <v>139.6796435933723</v>
      </c>
      <c r="F36" s="86">
        <f t="shared" si="81"/>
        <v>0</v>
      </c>
      <c r="G36" s="100">
        <f t="shared" si="82"/>
        <v>0</v>
      </c>
      <c r="H36" s="86">
        <f t="shared" si="83"/>
        <v>0</v>
      </c>
      <c r="I36" s="100">
        <f t="shared" si="84"/>
        <v>0</v>
      </c>
      <c r="J36" s="43">
        <f t="shared" si="85"/>
        <v>0.64472371374311377</v>
      </c>
      <c r="K36" s="43">
        <f t="shared" si="86"/>
        <v>-55.789563639299033</v>
      </c>
      <c r="L36" s="43">
        <f t="shared" si="87"/>
        <v>177.92545549150793</v>
      </c>
      <c r="M36" s="44">
        <f t="shared" si="88"/>
        <v>139.6796435933723</v>
      </c>
      <c r="N36" s="87"/>
      <c r="O36" s="104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>
        <f t="shared" si="89"/>
        <v>0</v>
      </c>
      <c r="AB36" s="105">
        <f t="shared" si="4"/>
        <v>0</v>
      </c>
      <c r="AD36" s="104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>
        <f t="shared" si="90"/>
        <v>0</v>
      </c>
      <c r="AQ36" s="105">
        <f t="shared" si="91"/>
        <v>0</v>
      </c>
    </row>
    <row r="37" spans="1:43">
      <c r="A37" s="9" t="s">
        <v>43</v>
      </c>
      <c r="B37" s="43">
        <f>'1.02春夏利润表-调营收'!F37</f>
        <v>0</v>
      </c>
      <c r="C37" s="43">
        <f>'1.02春夏利润表-调营收'!G37</f>
        <v>-57.981509250698764</v>
      </c>
      <c r="D37" s="43">
        <f>'1.02春夏利润表-调营收'!H37</f>
        <v>162.97266895071218</v>
      </c>
      <c r="E37" s="43">
        <f>'1.02春夏利润表-调营收'!I37</f>
        <v>144.65672795433937</v>
      </c>
      <c r="F37" s="86">
        <f t="shared" si="81"/>
        <v>0</v>
      </c>
      <c r="G37" s="100">
        <f t="shared" si="82"/>
        <v>0</v>
      </c>
      <c r="H37" s="86">
        <f t="shared" si="83"/>
        <v>0</v>
      </c>
      <c r="I37" s="100">
        <f t="shared" si="84"/>
        <v>0</v>
      </c>
      <c r="J37" s="43">
        <f t="shared" si="85"/>
        <v>0</v>
      </c>
      <c r="K37" s="43">
        <f t="shared" si="86"/>
        <v>-57.981509250698764</v>
      </c>
      <c r="L37" s="43">
        <f t="shared" si="87"/>
        <v>162.97266895071218</v>
      </c>
      <c r="M37" s="44">
        <f t="shared" si="88"/>
        <v>144.65672795433937</v>
      </c>
      <c r="N37" s="87"/>
      <c r="O37" s="104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>
        <f t="shared" si="89"/>
        <v>0</v>
      </c>
      <c r="AB37" s="105">
        <f t="shared" si="4"/>
        <v>0</v>
      </c>
      <c r="AD37" s="104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>
        <f t="shared" si="90"/>
        <v>0</v>
      </c>
      <c r="AQ37" s="105">
        <f t="shared" si="91"/>
        <v>0</v>
      </c>
    </row>
    <row r="38" spans="1:43">
      <c r="A38" s="9" t="s">
        <v>44</v>
      </c>
      <c r="B38" s="43">
        <f>'1.02春夏利润表-调营收'!F38</f>
        <v>2.3668391782892293E-2</v>
      </c>
      <c r="C38" s="43">
        <f>'1.02春夏利润表-调营收'!G38</f>
        <v>4.0594715746911916E-3</v>
      </c>
      <c r="D38" s="43">
        <f>'1.02春夏利润表-调营收'!H38</f>
        <v>0.30835297380898607</v>
      </c>
      <c r="E38" s="43">
        <f>'1.02春夏利润表-调营收'!I38</f>
        <v>0.10288572132946437</v>
      </c>
      <c r="F38" s="86">
        <f t="shared" si="81"/>
        <v>0</v>
      </c>
      <c r="G38" s="100">
        <f t="shared" si="82"/>
        <v>0</v>
      </c>
      <c r="H38" s="86">
        <f t="shared" si="83"/>
        <v>0</v>
      </c>
      <c r="I38" s="100">
        <f t="shared" si="84"/>
        <v>0</v>
      </c>
      <c r="J38" s="43">
        <f t="shared" si="85"/>
        <v>2.3668391782892293E-2</v>
      </c>
      <c r="K38" s="43">
        <f t="shared" si="86"/>
        <v>4.0594715746911916E-3</v>
      </c>
      <c r="L38" s="43">
        <f t="shared" si="87"/>
        <v>0.30835297380898607</v>
      </c>
      <c r="M38" s="44">
        <f t="shared" si="88"/>
        <v>0.10288572132946437</v>
      </c>
      <c r="N38" s="87"/>
      <c r="O38" s="104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>
        <f t="shared" si="89"/>
        <v>0</v>
      </c>
      <c r="AB38" s="105">
        <f t="shared" si="4"/>
        <v>0</v>
      </c>
      <c r="AD38" s="104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>
        <f t="shared" si="90"/>
        <v>0</v>
      </c>
      <c r="AQ38" s="105">
        <f t="shared" si="91"/>
        <v>0</v>
      </c>
    </row>
    <row r="39" spans="1:43">
      <c r="A39" s="9" t="s">
        <v>45</v>
      </c>
      <c r="B39" s="43">
        <f>'1.02春夏利润表-调营收'!F39</f>
        <v>17.206078908955927</v>
      </c>
      <c r="C39" s="43">
        <f>'1.02春夏利润表-调营收'!G39</f>
        <v>193.03748924985868</v>
      </c>
      <c r="D39" s="43">
        <f>'1.02春夏利润表-调营收'!H39</f>
        <v>283.03363611337642</v>
      </c>
      <c r="E39" s="43">
        <f>'1.02春夏利润表-调营收'!I39</f>
        <v>393.89575948771687</v>
      </c>
      <c r="F39" s="86">
        <f t="shared" si="81"/>
        <v>0</v>
      </c>
      <c r="G39" s="100">
        <f t="shared" si="82"/>
        <v>0</v>
      </c>
      <c r="H39" s="86">
        <f t="shared" si="83"/>
        <v>0</v>
      </c>
      <c r="I39" s="100">
        <f t="shared" si="84"/>
        <v>0</v>
      </c>
      <c r="J39" s="43">
        <f t="shared" si="85"/>
        <v>17.206078908955927</v>
      </c>
      <c r="K39" s="43">
        <f t="shared" si="86"/>
        <v>193.03748924985868</v>
      </c>
      <c r="L39" s="43">
        <f t="shared" si="87"/>
        <v>283.03363611337642</v>
      </c>
      <c r="M39" s="44">
        <f t="shared" si="88"/>
        <v>393.89575948771687</v>
      </c>
      <c r="N39" s="87"/>
      <c r="O39" s="104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>
        <f t="shared" si="89"/>
        <v>0</v>
      </c>
      <c r="AB39" s="105">
        <f t="shared" si="4"/>
        <v>0</v>
      </c>
      <c r="AD39" s="104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>
        <f t="shared" si="90"/>
        <v>0</v>
      </c>
      <c r="AQ39" s="105">
        <f t="shared" si="91"/>
        <v>0</v>
      </c>
    </row>
    <row r="40" spans="1:43">
      <c r="A40" s="9" t="s">
        <v>46</v>
      </c>
      <c r="B40" s="43">
        <f>'1.02春夏利润表-调营收'!F40</f>
        <v>-2.3313229305199599E-4</v>
      </c>
      <c r="C40" s="43">
        <f>'1.02春夏利润表-调营收'!G40</f>
        <v>0</v>
      </c>
      <c r="D40" s="43">
        <f>'1.02春夏利润表-调营收'!H40</f>
        <v>-2.3313229305199599E-4</v>
      </c>
      <c r="E40" s="43">
        <f>'1.02春夏利润表-调营收'!I40</f>
        <v>0</v>
      </c>
      <c r="F40" s="86">
        <f t="shared" si="81"/>
        <v>0</v>
      </c>
      <c r="G40" s="100">
        <f t="shared" si="82"/>
        <v>0</v>
      </c>
      <c r="H40" s="86">
        <f t="shared" si="83"/>
        <v>0</v>
      </c>
      <c r="I40" s="100">
        <f t="shared" si="84"/>
        <v>0</v>
      </c>
      <c r="J40" s="43">
        <f t="shared" si="85"/>
        <v>-2.3313229305199599E-4</v>
      </c>
      <c r="K40" s="43">
        <f t="shared" si="86"/>
        <v>0</v>
      </c>
      <c r="L40" s="43">
        <f t="shared" si="87"/>
        <v>-2.3313229305199599E-4</v>
      </c>
      <c r="M40" s="44">
        <f t="shared" si="88"/>
        <v>0</v>
      </c>
      <c r="N40" s="87"/>
      <c r="O40" s="104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>
        <f t="shared" si="89"/>
        <v>0</v>
      </c>
      <c r="AB40" s="105">
        <f t="shared" si="4"/>
        <v>0</v>
      </c>
      <c r="AD40" s="104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>
        <f t="shared" si="90"/>
        <v>0</v>
      </c>
      <c r="AQ40" s="105">
        <f t="shared" si="91"/>
        <v>0</v>
      </c>
    </row>
    <row r="41" spans="1:43">
      <c r="A41" s="25" t="s">
        <v>47</v>
      </c>
      <c r="B41" s="43">
        <f>'1.02春夏利润表-调营收'!F41</f>
        <v>0</v>
      </c>
      <c r="C41" s="43">
        <f>'1.02春夏利润表-调营收'!G41</f>
        <v>0</v>
      </c>
      <c r="D41" s="43">
        <f>'1.02春夏利润表-调营收'!H41</f>
        <v>-12.886882449233287</v>
      </c>
      <c r="E41" s="43">
        <f>'1.02春夏利润表-调营收'!I41</f>
        <v>0</v>
      </c>
      <c r="F41" s="86">
        <f t="shared" si="81"/>
        <v>0</v>
      </c>
      <c r="G41" s="100">
        <f t="shared" si="82"/>
        <v>0</v>
      </c>
      <c r="H41" s="86">
        <f t="shared" si="83"/>
        <v>0</v>
      </c>
      <c r="I41" s="100">
        <f t="shared" si="84"/>
        <v>0</v>
      </c>
      <c r="J41" s="43">
        <f t="shared" si="85"/>
        <v>0</v>
      </c>
      <c r="K41" s="43">
        <f t="shared" si="86"/>
        <v>0</v>
      </c>
      <c r="L41" s="43">
        <f t="shared" si="87"/>
        <v>-12.886882449233287</v>
      </c>
      <c r="M41" s="44">
        <f t="shared" si="88"/>
        <v>0</v>
      </c>
      <c r="N41" s="87"/>
      <c r="O41" s="104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>
        <f t="shared" si="89"/>
        <v>0</v>
      </c>
      <c r="AB41" s="105">
        <f t="shared" si="4"/>
        <v>0</v>
      </c>
      <c r="AD41" s="104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>
        <f t="shared" si="90"/>
        <v>0</v>
      </c>
      <c r="AQ41" s="105">
        <f t="shared" si="91"/>
        <v>0</v>
      </c>
    </row>
    <row r="42" spans="1:43">
      <c r="A42" s="25" t="s">
        <v>78</v>
      </c>
      <c r="B42" s="43">
        <f>'1.02春夏利润表-调营收'!F42</f>
        <v>4.2085874807552788</v>
      </c>
      <c r="C42" s="43">
        <f>'1.02春夏利润表-调营收'!G42</f>
        <v>86.217180597212817</v>
      </c>
      <c r="D42" s="43">
        <f>'1.02春夏利润表-调营收'!H42</f>
        <v>194.76559365224253</v>
      </c>
      <c r="E42" s="43">
        <f>'1.02春夏利润表-调营收'!I42</f>
        <v>100.67525342756649</v>
      </c>
      <c r="F42" s="86">
        <f t="shared" si="81"/>
        <v>0</v>
      </c>
      <c r="G42" s="101">
        <f t="shared" si="82"/>
        <v>0</v>
      </c>
      <c r="H42" s="86">
        <f t="shared" si="83"/>
        <v>0</v>
      </c>
      <c r="I42" s="101">
        <f t="shared" si="84"/>
        <v>0</v>
      </c>
      <c r="J42" s="43">
        <f t="shared" ref="J42" si="92">+B42++F42</f>
        <v>4.2085874807552788</v>
      </c>
      <c r="K42" s="43">
        <f t="shared" ref="K42" si="93">+C42++G42</f>
        <v>86.217180597212817</v>
      </c>
      <c r="L42" s="43">
        <f t="shared" ref="L42" si="94">+D42++H42</f>
        <v>194.76559365224253</v>
      </c>
      <c r="M42" s="44">
        <f t="shared" ref="M42" si="95">+E42++I42</f>
        <v>100.67525342756649</v>
      </c>
      <c r="N42" s="87"/>
      <c r="O42" s="104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>
        <f t="shared" si="89"/>
        <v>0</v>
      </c>
      <c r="AB42" s="105">
        <f t="shared" si="4"/>
        <v>0</v>
      </c>
      <c r="AD42" s="104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>
        <f t="shared" si="90"/>
        <v>0</v>
      </c>
      <c r="AQ42" s="105">
        <f t="shared" si="91"/>
        <v>0</v>
      </c>
    </row>
    <row r="43" spans="1:43">
      <c r="A43" s="25" t="s">
        <v>51</v>
      </c>
      <c r="B43" s="43">
        <f>'1.02春夏利润表-调营收'!F43</f>
        <v>0.49080950066830548</v>
      </c>
      <c r="C43" s="43">
        <f>'1.02春夏利润表-调营收'!G43</f>
        <v>3.6534007301975309</v>
      </c>
      <c r="D43" s="43">
        <f>'1.02春夏利润表-调营收'!H43</f>
        <v>6.9134707606523937</v>
      </c>
      <c r="E43" s="43">
        <f>'1.02春夏利润表-调营收'!I43</f>
        <v>11.509144551426429</v>
      </c>
      <c r="F43" s="86">
        <f t="shared" si="81"/>
        <v>0</v>
      </c>
      <c r="G43" s="101">
        <f t="shared" si="82"/>
        <v>0</v>
      </c>
      <c r="H43" s="86">
        <f t="shared" si="83"/>
        <v>0</v>
      </c>
      <c r="I43" s="101">
        <f t="shared" si="84"/>
        <v>0</v>
      </c>
      <c r="J43" s="43">
        <f t="shared" si="85"/>
        <v>0.49080950066830548</v>
      </c>
      <c r="K43" s="43">
        <f t="shared" si="86"/>
        <v>3.6534007301975309</v>
      </c>
      <c r="L43" s="43">
        <f t="shared" si="87"/>
        <v>6.9134707606523937</v>
      </c>
      <c r="M43" s="44">
        <f t="shared" si="88"/>
        <v>11.509144551426429</v>
      </c>
      <c r="N43" s="87"/>
      <c r="O43" s="104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>
        <f t="shared" si="89"/>
        <v>0</v>
      </c>
      <c r="AB43" s="105">
        <f t="shared" si="4"/>
        <v>0</v>
      </c>
      <c r="AD43" s="104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>
        <f t="shared" si="90"/>
        <v>0</v>
      </c>
      <c r="AQ43" s="105">
        <f t="shared" si="91"/>
        <v>0</v>
      </c>
    </row>
    <row r="44" spans="1:43" s="77" customFormat="1" ht="15.4" thickBot="1">
      <c r="A44" s="38" t="s">
        <v>48</v>
      </c>
      <c r="B44" s="102">
        <f t="shared" ref="B44:M44" si="96">B26-B27</f>
        <v>-2780.7589420175436</v>
      </c>
      <c r="C44" s="102">
        <f t="shared" si="96"/>
        <v>-2884.4085464434002</v>
      </c>
      <c r="D44" s="102">
        <f t="shared" si="96"/>
        <v>-9621.8890131093249</v>
      </c>
      <c r="E44" s="102">
        <f t="shared" si="96"/>
        <v>-5988.7571517538418</v>
      </c>
      <c r="F44" s="102">
        <f t="shared" si="96"/>
        <v>-2597.7169211260002</v>
      </c>
      <c r="G44" s="102">
        <f t="shared" si="96"/>
        <v>-1123.2981216399994</v>
      </c>
      <c r="H44" s="102">
        <f t="shared" si="96"/>
        <v>-4440.7564660009539</v>
      </c>
      <c r="I44" s="102">
        <f t="shared" si="96"/>
        <v>-2886.8007809499977</v>
      </c>
      <c r="J44" s="102">
        <f t="shared" si="96"/>
        <v>-5378.4758631435434</v>
      </c>
      <c r="K44" s="102">
        <f t="shared" si="96"/>
        <v>-4007.7066680833987</v>
      </c>
      <c r="L44" s="102">
        <f t="shared" si="96"/>
        <v>-14062.645479110275</v>
      </c>
      <c r="M44" s="103">
        <f t="shared" si="96"/>
        <v>-8875.5579327038395</v>
      </c>
      <c r="N44" s="90"/>
      <c r="O44" s="112">
        <f>O26-O27</f>
        <v>4740078.3699999992</v>
      </c>
      <c r="P44" s="113">
        <f t="shared" ref="P44:AB44" si="97">P26-P27</f>
        <v>-2092262.0700000022</v>
      </c>
      <c r="Q44" s="113">
        <f t="shared" si="97"/>
        <v>6038020.5400000047</v>
      </c>
      <c r="R44" s="113">
        <f t="shared" si="97"/>
        <v>-5471026.1700000055</v>
      </c>
      <c r="S44" s="113">
        <f t="shared" si="97"/>
        <v>-11922806.470000006</v>
      </c>
      <c r="T44" s="113">
        <f t="shared" si="97"/>
        <v>-1100490.9000000022</v>
      </c>
      <c r="U44" s="113">
        <f t="shared" si="97"/>
        <v>2544871.1788999941</v>
      </c>
      <c r="V44" s="113">
        <f t="shared" si="97"/>
        <v>-5264768.0800095573</v>
      </c>
      <c r="W44" s="113">
        <f t="shared" si="97"/>
        <v>-2697102.3299999963</v>
      </c>
      <c r="X44" s="113">
        <f t="shared" si="97"/>
        <v>-1351670.3576399982</v>
      </c>
      <c r="Y44" s="113">
        <f t="shared" si="97"/>
        <v>-1853239.1600000039</v>
      </c>
      <c r="Z44" s="113">
        <f t="shared" si="97"/>
        <v>-25977169.211259998</v>
      </c>
      <c r="AA44" s="113">
        <f t="shared" si="97"/>
        <v>-44407564.660009503</v>
      </c>
      <c r="AB44" s="114">
        <f t="shared" si="97"/>
        <v>-44407564.660009503</v>
      </c>
      <c r="AD44" s="112">
        <f>AD26-AD27</f>
        <v>686863.50580000039</v>
      </c>
      <c r="AE44" s="113">
        <f t="shared" ref="AE44:AQ44" si="98">AE26-AE27</f>
        <v>2412388.2968000001</v>
      </c>
      <c r="AF44" s="113">
        <f t="shared" si="98"/>
        <v>7193.4781999988481</v>
      </c>
      <c r="AG44" s="113">
        <f t="shared" si="98"/>
        <v>-4199351.1295999996</v>
      </c>
      <c r="AH44" s="113">
        <f t="shared" si="98"/>
        <v>-1097093.4154000012</v>
      </c>
      <c r="AI44" s="113">
        <f t="shared" si="98"/>
        <v>-2006180.0921999998</v>
      </c>
      <c r="AJ44" s="113">
        <f t="shared" si="98"/>
        <v>170605.15660000034</v>
      </c>
      <c r="AK44" s="113">
        <f t="shared" si="98"/>
        <v>-2102856.0019000005</v>
      </c>
      <c r="AL44" s="113">
        <f t="shared" si="98"/>
        <v>-7043652.5604999997</v>
      </c>
      <c r="AM44" s="113">
        <f t="shared" si="98"/>
        <v>-3292764.0794999991</v>
      </c>
      <c r="AN44" s="113">
        <f t="shared" si="98"/>
        <v>-1170179.7513999976</v>
      </c>
      <c r="AO44" s="113">
        <f t="shared" si="98"/>
        <v>-11232981.216399996</v>
      </c>
      <c r="AP44" s="113">
        <f t="shared" si="98"/>
        <v>-28868007.809499994</v>
      </c>
      <c r="AQ44" s="114">
        <f t="shared" si="98"/>
        <v>-28868007.809499994</v>
      </c>
    </row>
    <row r="45" spans="1:43">
      <c r="B45" s="11"/>
      <c r="C45" s="11"/>
      <c r="D45" s="11"/>
      <c r="E45" s="11"/>
      <c r="F45" s="11"/>
      <c r="G45" s="11"/>
      <c r="H45" s="11"/>
      <c r="I45" s="12"/>
      <c r="J45" s="11"/>
      <c r="K45" s="11"/>
      <c r="L45" s="11"/>
      <c r="M45" s="11"/>
    </row>
    <row r="46" spans="1:43">
      <c r="A46" s="20" t="s">
        <v>54</v>
      </c>
      <c r="B46" s="13"/>
      <c r="C46" s="13"/>
      <c r="D46" s="13"/>
      <c r="E46" s="13"/>
      <c r="F46" s="13"/>
      <c r="G46" s="13"/>
      <c r="H46" s="13"/>
      <c r="I46" s="13"/>
      <c r="J46" s="15"/>
    </row>
    <row r="47" spans="1:43">
      <c r="A47" s="76"/>
      <c r="B47" s="16"/>
      <c r="C47" s="10"/>
      <c r="D47" s="10"/>
      <c r="E47" s="10"/>
      <c r="F47" s="16"/>
      <c r="G47" s="10"/>
      <c r="H47" s="10"/>
      <c r="I47" s="10"/>
      <c r="J47" s="10"/>
      <c r="K47" s="10"/>
      <c r="L47" s="10"/>
      <c r="M47" s="10"/>
    </row>
    <row r="48" spans="1:43">
      <c r="A48" s="76"/>
      <c r="B48" s="10"/>
      <c r="C48" s="10"/>
      <c r="D48" s="10"/>
      <c r="E48" s="10"/>
      <c r="F48" s="10"/>
      <c r="G48" s="10"/>
      <c r="H48" s="10"/>
      <c r="I48" s="10"/>
      <c r="J48" s="17"/>
      <c r="K48" s="10"/>
      <c r="L48" s="10"/>
      <c r="M48" s="10"/>
    </row>
    <row r="49" spans="1:13">
      <c r="A49" s="76"/>
      <c r="B49" s="11"/>
      <c r="C49" s="12"/>
      <c r="D49" s="10"/>
      <c r="E49" s="10"/>
      <c r="F49" s="11"/>
      <c r="G49" s="12"/>
      <c r="H49" s="10"/>
      <c r="I49" s="10"/>
      <c r="J49" s="10"/>
      <c r="K49" s="10"/>
      <c r="L49" s="10"/>
      <c r="M49" s="10"/>
    </row>
    <row r="50" spans="1:13">
      <c r="A50" s="76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76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76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76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76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76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76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76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76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76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>
      <c r="A60" s="76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>
      <c r="A61" s="76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6" spans="1:13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</row>
    <row r="67" spans="1:13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</row>
    <row r="68" spans="1:13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</row>
    <row r="69" spans="1:13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</row>
  </sheetData>
  <mergeCells count="7">
    <mergeCell ref="O3:AB3"/>
    <mergeCell ref="AD3:AQ3"/>
    <mergeCell ref="A1:M1"/>
    <mergeCell ref="A3:A4"/>
    <mergeCell ref="B3:E3"/>
    <mergeCell ref="F3:I3"/>
    <mergeCell ref="J3:M3"/>
  </mergeCells>
  <phoneticPr fontId="6" type="noConversion"/>
  <pageMargins left="0.7" right="0.7" top="0.75" bottom="0.75" header="0.3" footer="0.3"/>
  <customProperties>
    <customPr name="_pios_id" r:id="rId1"/>
  </customProperties>
  <ignoredErrors>
    <ignoredError sqref="G9:G11 H5:H43 G26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P20"/>
  <sheetViews>
    <sheetView zoomScale="80" zoomScaleNormal="80" workbookViewId="0">
      <pane xSplit="2" ySplit="4" topLeftCell="C5" activePane="bottomRight" state="frozen"/>
      <selection activeCell="O8" sqref="A8:O10"/>
      <selection pane="topRight" activeCell="O8" sqref="A8:O10"/>
      <selection pane="bottomLeft" activeCell="O8" sqref="A8:O10"/>
      <selection pane="bottomRight" activeCell="O20" sqref="A11:O20"/>
    </sheetView>
  </sheetViews>
  <sheetFormatPr defaultColWidth="9" defaultRowHeight="13.9" outlineLevelCol="1"/>
  <cols>
    <col min="1" max="1" width="9" style="177"/>
    <col min="2" max="2" width="8" style="177" bestFit="1" customWidth="1"/>
    <col min="3" max="10" width="9.59765625" style="177" bestFit="1" customWidth="1"/>
    <col min="11" max="11" width="9" style="177" customWidth="1"/>
    <col min="12" max="13" width="13.33203125" style="177" customWidth="1" outlineLevel="1"/>
    <col min="14" max="14" width="14.46484375" style="177" customWidth="1" outlineLevel="1"/>
    <col min="15" max="20" width="13.33203125" style="177" customWidth="1" outlineLevel="1"/>
    <col min="21" max="21" width="14.46484375" style="177" customWidth="1" outlineLevel="1"/>
    <col min="22" max="22" width="13.33203125" style="177" customWidth="1" outlineLevel="1"/>
    <col min="23" max="23" width="13.33203125" style="177" bestFit="1" customWidth="1" outlineLevel="1"/>
    <col min="24" max="24" width="14.46484375" style="177" customWidth="1" outlineLevel="1"/>
    <col min="25" max="25" width="14.46484375" style="177" customWidth="1"/>
    <col min="26" max="26" width="9" style="177" customWidth="1"/>
    <col min="27" max="32" width="14.46484375" style="177" customWidth="1" outlineLevel="1"/>
    <col min="33" max="34" width="13.33203125" style="177" customWidth="1" outlineLevel="1"/>
    <col min="35" max="37" width="14.46484375" style="177" customWidth="1" outlineLevel="1"/>
    <col min="38" max="38" width="14.46484375" style="177" bestFit="1" customWidth="1" outlineLevel="1"/>
    <col min="39" max="39" width="15.59765625" style="177" customWidth="1" outlineLevel="1"/>
    <col min="40" max="40" width="15.59765625" style="177" customWidth="1"/>
    <col min="41" max="41" width="9" style="177" customWidth="1"/>
    <col min="42" max="48" width="14.46484375" style="177" customWidth="1" outlineLevel="1"/>
    <col min="49" max="49" width="13.33203125" style="177" customWidth="1" outlineLevel="1"/>
    <col min="50" max="50" width="14.46484375" style="177" customWidth="1" outlineLevel="1"/>
    <col min="51" max="52" width="13.33203125" style="177" customWidth="1" outlineLevel="1"/>
    <col min="53" max="53" width="13.33203125" style="177" bestFit="1" customWidth="1" outlineLevel="1"/>
    <col min="54" max="54" width="15.59765625" style="177" customWidth="1" outlineLevel="1"/>
    <col min="55" max="55" width="15.59765625" style="177" customWidth="1"/>
    <col min="56" max="56" width="9" style="177" customWidth="1"/>
    <col min="57" max="67" width="14.46484375" style="177" customWidth="1" outlineLevel="1"/>
    <col min="68" max="68" width="14.46484375" style="177" bestFit="1" customWidth="1" outlineLevel="1"/>
    <col min="69" max="69" width="15.59765625" style="177" customWidth="1" outlineLevel="1"/>
    <col min="70" max="70" width="15.59765625" style="177" customWidth="1"/>
    <col min="71" max="71" width="9" style="177" customWidth="1"/>
    <col min="72" max="81" width="13.33203125" style="177" customWidth="1" outlineLevel="1"/>
    <col min="82" max="82" width="14.46484375" style="177" customWidth="1" outlineLevel="1"/>
    <col min="83" max="83" width="13.33203125" style="177" bestFit="1" customWidth="1" outlineLevel="1"/>
    <col min="84" max="84" width="14.46484375" style="177" customWidth="1" outlineLevel="1"/>
    <col min="85" max="85" width="14.46484375" style="177" customWidth="1"/>
    <col min="86" max="86" width="9" style="177" customWidth="1"/>
    <col min="87" max="94" width="13.33203125" style="177" customWidth="1" outlineLevel="1"/>
    <col min="95" max="95" width="14.46484375" style="177" customWidth="1" outlineLevel="1"/>
    <col min="96" max="96" width="13.33203125" style="177" customWidth="1" outlineLevel="1"/>
    <col min="97" max="97" width="14.46484375" style="177" customWidth="1" outlineLevel="1"/>
    <col min="98" max="98" width="13.33203125" style="177" bestFit="1" customWidth="1" outlineLevel="1"/>
    <col min="99" max="99" width="14.46484375" style="177" customWidth="1" outlineLevel="1"/>
    <col min="100" max="100" width="14.46484375" style="177" customWidth="1"/>
    <col min="101" max="101" width="9" style="177" customWidth="1"/>
    <col min="102" max="102" width="14.46484375" style="177" customWidth="1" outlineLevel="1"/>
    <col min="103" max="103" width="13.33203125" style="177" customWidth="1" outlineLevel="1"/>
    <col min="104" max="112" width="14.46484375" style="177" customWidth="1" outlineLevel="1"/>
    <col min="113" max="113" width="14.46484375" style="177" bestFit="1" customWidth="1" outlineLevel="1"/>
    <col min="114" max="114" width="15.59765625" style="177" customWidth="1" outlineLevel="1"/>
    <col min="115" max="115" width="15.59765625" style="177" customWidth="1"/>
    <col min="116" max="116" width="9" style="177" customWidth="1"/>
    <col min="117" max="118" width="14.46484375" style="177" customWidth="1" outlineLevel="1"/>
    <col min="119" max="119" width="15.59765625" style="177" customWidth="1" outlineLevel="1"/>
    <col min="120" max="127" width="14.46484375" style="177" customWidth="1" outlineLevel="1"/>
    <col min="128" max="128" width="14.46484375" style="177" bestFit="1" customWidth="1" outlineLevel="1"/>
    <col min="129" max="129" width="15.59765625" style="177" customWidth="1" outlineLevel="1"/>
    <col min="130" max="130" width="15.59765625" style="177" customWidth="1"/>
    <col min="131" max="131" width="9" style="177" customWidth="1"/>
    <col min="132" max="139" width="5.06640625" style="177" customWidth="1" outlineLevel="1"/>
    <col min="140" max="143" width="13.33203125" style="177" customWidth="1" outlineLevel="1"/>
    <col min="144" max="144" width="14.46484375" style="177" customWidth="1" outlineLevel="1"/>
    <col min="145" max="145" width="14.46484375" style="177" customWidth="1"/>
    <col min="146" max="146" width="9" style="177" customWidth="1"/>
    <col min="147" max="154" width="5.06640625" style="177" customWidth="1" outlineLevel="1"/>
    <col min="155" max="159" width="14.46484375" style="177" customWidth="1" outlineLevel="1"/>
    <col min="160" max="160" width="15.59765625" style="177" customWidth="1"/>
    <col min="161" max="161" width="9" style="177" customWidth="1"/>
    <col min="162" max="162" width="13.33203125" style="177" customWidth="1" outlineLevel="1"/>
    <col min="163" max="163" width="11.73046875" style="177" customWidth="1" outlineLevel="1"/>
    <col min="164" max="164" width="14.46484375" style="177" customWidth="1" outlineLevel="1"/>
    <col min="165" max="167" width="13.33203125" style="177" customWidth="1" outlineLevel="1"/>
    <col min="168" max="168" width="14.46484375" style="177" customWidth="1" outlineLevel="1"/>
    <col min="169" max="169" width="13.33203125" style="177" customWidth="1" outlineLevel="1"/>
    <col min="170" max="174" width="14.46484375" style="177" customWidth="1" outlineLevel="1"/>
    <col min="175" max="175" width="15.59765625" style="177" customWidth="1"/>
    <col min="176" max="176" width="9" style="177" customWidth="1"/>
    <col min="177" max="177" width="14.46484375" style="177" customWidth="1" outlineLevel="1"/>
    <col min="178" max="178" width="13.33203125" style="177" customWidth="1" outlineLevel="1"/>
    <col min="179" max="188" width="14.46484375" style="177" customWidth="1" outlineLevel="1"/>
    <col min="189" max="189" width="15.59765625" style="177" customWidth="1" outlineLevel="1"/>
    <col min="190" max="190" width="15.59765625" style="177" customWidth="1"/>
    <col min="191" max="191" width="9" style="177" customWidth="1"/>
    <col min="192" max="198" width="5.06640625" style="177" customWidth="1" outlineLevel="1"/>
    <col min="199" max="199" width="7.9296875" style="177" customWidth="1" outlineLevel="1"/>
    <col min="200" max="204" width="13.33203125" style="177" customWidth="1" outlineLevel="1"/>
    <col min="205" max="205" width="14.46484375" style="177" customWidth="1"/>
    <col min="206" max="206" width="9" style="177" customWidth="1"/>
    <col min="207" max="213" width="5.06640625" style="177" customWidth="1" outlineLevel="1"/>
    <col min="214" max="214" width="9.46484375" style="177" customWidth="1" outlineLevel="1"/>
    <col min="215" max="216" width="13.33203125" style="177" customWidth="1" outlineLevel="1"/>
    <col min="217" max="217" width="14.46484375" style="177" customWidth="1" outlineLevel="1"/>
    <col min="218" max="218" width="13.33203125" style="177" customWidth="1" outlineLevel="1"/>
    <col min="219" max="219" width="14.46484375" style="177" customWidth="1" outlineLevel="1"/>
    <col min="220" max="220" width="14.46484375" style="177" customWidth="1"/>
    <col min="221" max="221" width="9" style="177" customWidth="1"/>
    <col min="222" max="222" width="13.33203125" style="177" customWidth="1" outlineLevel="1"/>
    <col min="223" max="223" width="11.73046875" style="177" customWidth="1" outlineLevel="1"/>
    <col min="224" max="224" width="14.46484375" style="177" customWidth="1" outlineLevel="1"/>
    <col min="225" max="227" width="13.33203125" style="177" customWidth="1" outlineLevel="1"/>
    <col min="228" max="228" width="14.46484375" style="177" customWidth="1" outlineLevel="1"/>
    <col min="229" max="229" width="13.33203125" style="177" customWidth="1" outlineLevel="1"/>
    <col min="230" max="234" width="14.46484375" style="177" customWidth="1" outlineLevel="1"/>
    <col min="235" max="235" width="15.59765625" style="177" customWidth="1"/>
    <col min="236" max="236" width="9" style="177" customWidth="1"/>
    <col min="237" max="237" width="14.46484375" style="177" customWidth="1" outlineLevel="1"/>
    <col min="238" max="238" width="13.33203125" style="177" customWidth="1" outlineLevel="1"/>
    <col min="239" max="248" width="14.46484375" style="177" customWidth="1" outlineLevel="1"/>
    <col min="249" max="249" width="15.59765625" style="177" customWidth="1" outlineLevel="1"/>
    <col min="250" max="250" width="15.59765625" style="177" customWidth="1"/>
    <col min="251" max="251" width="9" style="177" customWidth="1"/>
    <col min="252" max="16384" width="9" style="177"/>
  </cols>
  <sheetData>
    <row r="1" spans="1:250" ht="22.9">
      <c r="A1" s="447" t="s">
        <v>217</v>
      </c>
      <c r="B1" s="447"/>
      <c r="C1" s="447"/>
      <c r="D1" s="447"/>
      <c r="E1" s="447"/>
      <c r="F1" s="447"/>
      <c r="G1" s="447"/>
      <c r="H1" s="447"/>
      <c r="I1" s="447"/>
      <c r="J1" s="447"/>
    </row>
    <row r="2" spans="1:250" ht="14.25" thickBot="1"/>
    <row r="3" spans="1:250" ht="14.65">
      <c r="A3" s="448" t="s">
        <v>218</v>
      </c>
      <c r="B3" s="450" t="s">
        <v>219</v>
      </c>
      <c r="C3" s="452" t="s">
        <v>225</v>
      </c>
      <c r="D3" s="453"/>
      <c r="E3" s="450" t="s">
        <v>220</v>
      </c>
      <c r="F3" s="450"/>
      <c r="G3" s="450" t="s">
        <v>221</v>
      </c>
      <c r="H3" s="450"/>
      <c r="I3" s="450" t="s">
        <v>222</v>
      </c>
      <c r="J3" s="454"/>
      <c r="L3" s="442" t="s">
        <v>230</v>
      </c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AA3" s="442" t="s">
        <v>231</v>
      </c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P3" s="442" t="s">
        <v>232</v>
      </c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E3" s="442" t="s">
        <v>233</v>
      </c>
      <c r="BF3" s="442"/>
      <c r="BG3" s="442"/>
      <c r="BH3" s="442"/>
      <c r="BI3" s="442"/>
      <c r="BJ3" s="442"/>
      <c r="BK3" s="442"/>
      <c r="BL3" s="442"/>
      <c r="BM3" s="442"/>
      <c r="BN3" s="442"/>
      <c r="BO3" s="442"/>
      <c r="BP3" s="442"/>
      <c r="BQ3" s="442"/>
      <c r="BR3" s="442"/>
      <c r="BT3" s="442" t="s">
        <v>234</v>
      </c>
      <c r="BU3" s="442"/>
      <c r="BV3" s="442"/>
      <c r="BW3" s="442"/>
      <c r="BX3" s="442"/>
      <c r="BY3" s="442"/>
      <c r="BZ3" s="442"/>
      <c r="CA3" s="442"/>
      <c r="CB3" s="442"/>
      <c r="CC3" s="442"/>
      <c r="CD3" s="442"/>
      <c r="CE3" s="442"/>
      <c r="CF3" s="442"/>
      <c r="CG3" s="442"/>
      <c r="CI3" s="442" t="s">
        <v>235</v>
      </c>
      <c r="CJ3" s="442"/>
      <c r="CK3" s="442"/>
      <c r="CL3" s="442"/>
      <c r="CM3" s="442"/>
      <c r="CN3" s="442"/>
      <c r="CO3" s="442"/>
      <c r="CP3" s="442"/>
      <c r="CQ3" s="442"/>
      <c r="CR3" s="442"/>
      <c r="CS3" s="442"/>
      <c r="CT3" s="442"/>
      <c r="CU3" s="442"/>
      <c r="CV3" s="442"/>
      <c r="CX3" s="442" t="s">
        <v>244</v>
      </c>
      <c r="CY3" s="442"/>
      <c r="CZ3" s="442"/>
      <c r="DA3" s="442"/>
      <c r="DB3" s="442"/>
      <c r="DC3" s="442"/>
      <c r="DD3" s="442"/>
      <c r="DE3" s="442"/>
      <c r="DF3" s="442"/>
      <c r="DG3" s="442"/>
      <c r="DH3" s="442"/>
      <c r="DI3" s="442"/>
      <c r="DJ3" s="442"/>
      <c r="DK3" s="442"/>
      <c r="DM3" s="442" t="s">
        <v>245</v>
      </c>
      <c r="DN3" s="442"/>
      <c r="DO3" s="442"/>
      <c r="DP3" s="442"/>
      <c r="DQ3" s="442"/>
      <c r="DR3" s="442"/>
      <c r="DS3" s="442"/>
      <c r="DT3" s="442"/>
      <c r="DU3" s="442"/>
      <c r="DV3" s="442"/>
      <c r="DW3" s="442"/>
      <c r="DX3" s="442"/>
      <c r="DY3" s="442"/>
      <c r="DZ3" s="442"/>
      <c r="EB3" s="442" t="s">
        <v>246</v>
      </c>
      <c r="EC3" s="442"/>
      <c r="ED3" s="442"/>
      <c r="EE3" s="442"/>
      <c r="EF3" s="442"/>
      <c r="EG3" s="442"/>
      <c r="EH3" s="442"/>
      <c r="EI3" s="442"/>
      <c r="EJ3" s="442"/>
      <c r="EK3" s="442"/>
      <c r="EL3" s="442"/>
      <c r="EM3" s="442"/>
      <c r="EN3" s="442"/>
      <c r="EO3" s="442"/>
      <c r="EQ3" s="442" t="s">
        <v>247</v>
      </c>
      <c r="ER3" s="442"/>
      <c r="ES3" s="442"/>
      <c r="ET3" s="442"/>
      <c r="EU3" s="442"/>
      <c r="EV3" s="442"/>
      <c r="EW3" s="442"/>
      <c r="EX3" s="442"/>
      <c r="EY3" s="442"/>
      <c r="EZ3" s="442"/>
      <c r="FA3" s="442"/>
      <c r="FB3" s="442"/>
      <c r="FC3" s="442"/>
      <c r="FD3" s="442"/>
      <c r="FF3" s="442" t="s">
        <v>248</v>
      </c>
      <c r="FG3" s="442"/>
      <c r="FH3" s="442"/>
      <c r="FI3" s="442"/>
      <c r="FJ3" s="442"/>
      <c r="FK3" s="442"/>
      <c r="FL3" s="442"/>
      <c r="FM3" s="442"/>
      <c r="FN3" s="442"/>
      <c r="FO3" s="442"/>
      <c r="FP3" s="442"/>
      <c r="FQ3" s="442"/>
      <c r="FR3" s="442"/>
      <c r="FS3" s="442"/>
      <c r="FU3" s="442" t="s">
        <v>249</v>
      </c>
      <c r="FV3" s="442"/>
      <c r="FW3" s="442"/>
      <c r="FX3" s="442"/>
      <c r="FY3" s="442"/>
      <c r="FZ3" s="442"/>
      <c r="GA3" s="442"/>
      <c r="GB3" s="442"/>
      <c r="GC3" s="442"/>
      <c r="GD3" s="442"/>
      <c r="GE3" s="442"/>
      <c r="GF3" s="442"/>
      <c r="GG3" s="442"/>
      <c r="GH3" s="442"/>
      <c r="GJ3" s="442" t="s">
        <v>250</v>
      </c>
      <c r="GK3" s="442"/>
      <c r="GL3" s="442"/>
      <c r="GM3" s="442"/>
      <c r="GN3" s="442"/>
      <c r="GO3" s="442"/>
      <c r="GP3" s="442"/>
      <c r="GQ3" s="442"/>
      <c r="GR3" s="442"/>
      <c r="GS3" s="442"/>
      <c r="GT3" s="442"/>
      <c r="GU3" s="442"/>
      <c r="GV3" s="442"/>
      <c r="GW3" s="442"/>
      <c r="GY3" s="442" t="s">
        <v>251</v>
      </c>
      <c r="GZ3" s="442"/>
      <c r="HA3" s="442"/>
      <c r="HB3" s="442"/>
      <c r="HC3" s="442"/>
      <c r="HD3" s="442"/>
      <c r="HE3" s="442"/>
      <c r="HF3" s="442"/>
      <c r="HG3" s="442"/>
      <c r="HH3" s="442"/>
      <c r="HI3" s="442"/>
      <c r="HJ3" s="442"/>
      <c r="HK3" s="442"/>
      <c r="HL3" s="442"/>
      <c r="HN3" s="442" t="s">
        <v>252</v>
      </c>
      <c r="HO3" s="442"/>
      <c r="HP3" s="442"/>
      <c r="HQ3" s="442"/>
      <c r="HR3" s="442"/>
      <c r="HS3" s="442"/>
      <c r="HT3" s="442"/>
      <c r="HU3" s="442"/>
      <c r="HV3" s="442"/>
      <c r="HW3" s="442"/>
      <c r="HX3" s="442"/>
      <c r="HY3" s="442"/>
      <c r="HZ3" s="442"/>
      <c r="IA3" s="442"/>
      <c r="IC3" s="442" t="s">
        <v>253</v>
      </c>
      <c r="ID3" s="442"/>
      <c r="IE3" s="442"/>
      <c r="IF3" s="442"/>
      <c r="IG3" s="442"/>
      <c r="IH3" s="442"/>
      <c r="II3" s="442"/>
      <c r="IJ3" s="442"/>
      <c r="IK3" s="442"/>
      <c r="IL3" s="442"/>
      <c r="IM3" s="442"/>
      <c r="IN3" s="442"/>
      <c r="IO3" s="442"/>
      <c r="IP3" s="442"/>
    </row>
    <row r="4" spans="1:250" ht="29.25">
      <c r="A4" s="449"/>
      <c r="B4" s="451"/>
      <c r="C4" s="178" t="s">
        <v>237</v>
      </c>
      <c r="D4" s="178" t="s">
        <v>239</v>
      </c>
      <c r="E4" s="178" t="s">
        <v>237</v>
      </c>
      <c r="F4" s="178" t="s">
        <v>239</v>
      </c>
      <c r="G4" s="178" t="s">
        <v>237</v>
      </c>
      <c r="H4" s="178" t="s">
        <v>239</v>
      </c>
      <c r="I4" s="178" t="s">
        <v>236</v>
      </c>
      <c r="J4" s="179" t="s">
        <v>238</v>
      </c>
      <c r="L4" s="180" t="s">
        <v>228</v>
      </c>
      <c r="M4" s="180" t="s">
        <v>89</v>
      </c>
      <c r="N4" s="180" t="s">
        <v>90</v>
      </c>
      <c r="O4" s="180" t="s">
        <v>91</v>
      </c>
      <c r="P4" s="180" t="s">
        <v>92</v>
      </c>
      <c r="Q4" s="180" t="s">
        <v>93</v>
      </c>
      <c r="R4" s="180" t="s">
        <v>94</v>
      </c>
      <c r="S4" s="180" t="s">
        <v>95</v>
      </c>
      <c r="T4" s="180" t="s">
        <v>96</v>
      </c>
      <c r="U4" s="180" t="s">
        <v>97</v>
      </c>
      <c r="V4" s="180" t="s">
        <v>98</v>
      </c>
      <c r="W4" s="180" t="s">
        <v>99</v>
      </c>
      <c r="X4" s="180" t="s">
        <v>242</v>
      </c>
      <c r="Y4" s="180" t="s">
        <v>241</v>
      </c>
      <c r="AA4" s="180" t="s">
        <v>228</v>
      </c>
      <c r="AB4" s="180" t="s">
        <v>89</v>
      </c>
      <c r="AC4" s="180" t="s">
        <v>90</v>
      </c>
      <c r="AD4" s="180" t="s">
        <v>91</v>
      </c>
      <c r="AE4" s="180" t="s">
        <v>92</v>
      </c>
      <c r="AF4" s="180" t="s">
        <v>93</v>
      </c>
      <c r="AG4" s="180" t="s">
        <v>94</v>
      </c>
      <c r="AH4" s="180" t="s">
        <v>95</v>
      </c>
      <c r="AI4" s="180" t="s">
        <v>96</v>
      </c>
      <c r="AJ4" s="180" t="s">
        <v>97</v>
      </c>
      <c r="AK4" s="180" t="s">
        <v>98</v>
      </c>
      <c r="AL4" s="180" t="s">
        <v>99</v>
      </c>
      <c r="AM4" s="180" t="s">
        <v>240</v>
      </c>
      <c r="AN4" s="180" t="s">
        <v>229</v>
      </c>
      <c r="AP4" s="180" t="s">
        <v>228</v>
      </c>
      <c r="AQ4" s="180" t="s">
        <v>89</v>
      </c>
      <c r="AR4" s="180" t="s">
        <v>90</v>
      </c>
      <c r="AS4" s="180" t="s">
        <v>91</v>
      </c>
      <c r="AT4" s="180" t="s">
        <v>92</v>
      </c>
      <c r="AU4" s="180" t="s">
        <v>93</v>
      </c>
      <c r="AV4" s="180" t="s">
        <v>94</v>
      </c>
      <c r="AW4" s="180" t="s">
        <v>95</v>
      </c>
      <c r="AX4" s="180" t="s">
        <v>96</v>
      </c>
      <c r="AY4" s="180" t="s">
        <v>97</v>
      </c>
      <c r="AZ4" s="180" t="s">
        <v>98</v>
      </c>
      <c r="BA4" s="180" t="s">
        <v>99</v>
      </c>
      <c r="BB4" s="180" t="s">
        <v>242</v>
      </c>
      <c r="BC4" s="180" t="s">
        <v>243</v>
      </c>
      <c r="BE4" s="180" t="s">
        <v>228</v>
      </c>
      <c r="BF4" s="180" t="s">
        <v>89</v>
      </c>
      <c r="BG4" s="180" t="s">
        <v>90</v>
      </c>
      <c r="BH4" s="180" t="s">
        <v>91</v>
      </c>
      <c r="BI4" s="180" t="s">
        <v>92</v>
      </c>
      <c r="BJ4" s="180" t="s">
        <v>93</v>
      </c>
      <c r="BK4" s="180" t="s">
        <v>94</v>
      </c>
      <c r="BL4" s="180" t="s">
        <v>95</v>
      </c>
      <c r="BM4" s="180" t="s">
        <v>96</v>
      </c>
      <c r="BN4" s="180" t="s">
        <v>97</v>
      </c>
      <c r="BO4" s="180" t="s">
        <v>98</v>
      </c>
      <c r="BP4" s="180" t="s">
        <v>99</v>
      </c>
      <c r="BQ4" s="180" t="s">
        <v>242</v>
      </c>
      <c r="BR4" s="180" t="s">
        <v>243</v>
      </c>
      <c r="BT4" s="180" t="s">
        <v>228</v>
      </c>
      <c r="BU4" s="180" t="s">
        <v>89</v>
      </c>
      <c r="BV4" s="180" t="s">
        <v>90</v>
      </c>
      <c r="BW4" s="180" t="s">
        <v>91</v>
      </c>
      <c r="BX4" s="180" t="s">
        <v>92</v>
      </c>
      <c r="BY4" s="180" t="s">
        <v>93</v>
      </c>
      <c r="BZ4" s="180" t="s">
        <v>94</v>
      </c>
      <c r="CA4" s="180" t="s">
        <v>95</v>
      </c>
      <c r="CB4" s="180" t="s">
        <v>96</v>
      </c>
      <c r="CC4" s="180" t="s">
        <v>97</v>
      </c>
      <c r="CD4" s="180" t="s">
        <v>98</v>
      </c>
      <c r="CE4" s="180" t="s">
        <v>99</v>
      </c>
      <c r="CF4" s="180" t="s">
        <v>242</v>
      </c>
      <c r="CG4" s="180" t="s">
        <v>243</v>
      </c>
      <c r="CI4" s="180" t="s">
        <v>228</v>
      </c>
      <c r="CJ4" s="180" t="s">
        <v>89</v>
      </c>
      <c r="CK4" s="180" t="s">
        <v>90</v>
      </c>
      <c r="CL4" s="180" t="s">
        <v>91</v>
      </c>
      <c r="CM4" s="180" t="s">
        <v>92</v>
      </c>
      <c r="CN4" s="180" t="s">
        <v>93</v>
      </c>
      <c r="CO4" s="180" t="s">
        <v>94</v>
      </c>
      <c r="CP4" s="180" t="s">
        <v>95</v>
      </c>
      <c r="CQ4" s="180" t="s">
        <v>96</v>
      </c>
      <c r="CR4" s="180" t="s">
        <v>97</v>
      </c>
      <c r="CS4" s="180" t="s">
        <v>98</v>
      </c>
      <c r="CT4" s="180" t="s">
        <v>99</v>
      </c>
      <c r="CU4" s="180" t="s">
        <v>242</v>
      </c>
      <c r="CV4" s="180" t="s">
        <v>243</v>
      </c>
      <c r="CX4" s="180" t="s">
        <v>228</v>
      </c>
      <c r="CY4" s="180" t="s">
        <v>89</v>
      </c>
      <c r="CZ4" s="180" t="s">
        <v>90</v>
      </c>
      <c r="DA4" s="180" t="s">
        <v>91</v>
      </c>
      <c r="DB4" s="180" t="s">
        <v>92</v>
      </c>
      <c r="DC4" s="180" t="s">
        <v>93</v>
      </c>
      <c r="DD4" s="180" t="s">
        <v>94</v>
      </c>
      <c r="DE4" s="180" t="s">
        <v>95</v>
      </c>
      <c r="DF4" s="180" t="s">
        <v>96</v>
      </c>
      <c r="DG4" s="180" t="s">
        <v>97</v>
      </c>
      <c r="DH4" s="180" t="s">
        <v>98</v>
      </c>
      <c r="DI4" s="180" t="s">
        <v>99</v>
      </c>
      <c r="DJ4" s="180" t="s">
        <v>242</v>
      </c>
      <c r="DK4" s="180" t="s">
        <v>243</v>
      </c>
      <c r="DM4" s="180" t="s">
        <v>228</v>
      </c>
      <c r="DN4" s="180" t="s">
        <v>89</v>
      </c>
      <c r="DO4" s="180" t="s">
        <v>90</v>
      </c>
      <c r="DP4" s="180" t="s">
        <v>91</v>
      </c>
      <c r="DQ4" s="180" t="s">
        <v>92</v>
      </c>
      <c r="DR4" s="180" t="s">
        <v>93</v>
      </c>
      <c r="DS4" s="180" t="s">
        <v>94</v>
      </c>
      <c r="DT4" s="180" t="s">
        <v>95</v>
      </c>
      <c r="DU4" s="180" t="s">
        <v>96</v>
      </c>
      <c r="DV4" s="180" t="s">
        <v>97</v>
      </c>
      <c r="DW4" s="180" t="s">
        <v>98</v>
      </c>
      <c r="DX4" s="180" t="s">
        <v>99</v>
      </c>
      <c r="DY4" s="180" t="s">
        <v>242</v>
      </c>
      <c r="DZ4" s="180" t="s">
        <v>243</v>
      </c>
      <c r="EB4" s="180" t="s">
        <v>228</v>
      </c>
      <c r="EC4" s="180" t="s">
        <v>89</v>
      </c>
      <c r="ED4" s="180" t="s">
        <v>90</v>
      </c>
      <c r="EE4" s="180" t="s">
        <v>91</v>
      </c>
      <c r="EF4" s="180" t="s">
        <v>92</v>
      </c>
      <c r="EG4" s="180" t="s">
        <v>93</v>
      </c>
      <c r="EH4" s="180" t="s">
        <v>94</v>
      </c>
      <c r="EI4" s="180" t="s">
        <v>95</v>
      </c>
      <c r="EJ4" s="180" t="s">
        <v>96</v>
      </c>
      <c r="EK4" s="180" t="s">
        <v>97</v>
      </c>
      <c r="EL4" s="180" t="s">
        <v>98</v>
      </c>
      <c r="EM4" s="180" t="s">
        <v>99</v>
      </c>
      <c r="EN4" s="180" t="s">
        <v>242</v>
      </c>
      <c r="EO4" s="180" t="s">
        <v>241</v>
      </c>
      <c r="EQ4" s="180" t="s">
        <v>228</v>
      </c>
      <c r="ER4" s="180" t="s">
        <v>89</v>
      </c>
      <c r="ES4" s="180" t="s">
        <v>90</v>
      </c>
      <c r="ET4" s="180" t="s">
        <v>91</v>
      </c>
      <c r="EU4" s="180" t="s">
        <v>92</v>
      </c>
      <c r="EV4" s="180" t="s">
        <v>93</v>
      </c>
      <c r="EW4" s="180" t="s">
        <v>94</v>
      </c>
      <c r="EX4" s="180" t="s">
        <v>95</v>
      </c>
      <c r="EY4" s="180" t="s">
        <v>96</v>
      </c>
      <c r="EZ4" s="180" t="s">
        <v>97</v>
      </c>
      <c r="FA4" s="180" t="s">
        <v>98</v>
      </c>
      <c r="FB4" s="180" t="s">
        <v>99</v>
      </c>
      <c r="FC4" s="180" t="s">
        <v>240</v>
      </c>
      <c r="FD4" s="180" t="s">
        <v>229</v>
      </c>
      <c r="FF4" s="180" t="s">
        <v>228</v>
      </c>
      <c r="FG4" s="180" t="s">
        <v>89</v>
      </c>
      <c r="FH4" s="180" t="s">
        <v>90</v>
      </c>
      <c r="FI4" s="180" t="s">
        <v>91</v>
      </c>
      <c r="FJ4" s="180" t="s">
        <v>92</v>
      </c>
      <c r="FK4" s="180" t="s">
        <v>93</v>
      </c>
      <c r="FL4" s="180" t="s">
        <v>94</v>
      </c>
      <c r="FM4" s="180" t="s">
        <v>95</v>
      </c>
      <c r="FN4" s="180" t="s">
        <v>96</v>
      </c>
      <c r="FO4" s="180" t="s">
        <v>97</v>
      </c>
      <c r="FP4" s="180" t="s">
        <v>98</v>
      </c>
      <c r="FQ4" s="180" t="s">
        <v>99</v>
      </c>
      <c r="FR4" s="180" t="s">
        <v>242</v>
      </c>
      <c r="FS4" s="180" t="s">
        <v>243</v>
      </c>
      <c r="FU4" s="180" t="s">
        <v>228</v>
      </c>
      <c r="FV4" s="180" t="s">
        <v>89</v>
      </c>
      <c r="FW4" s="180" t="s">
        <v>90</v>
      </c>
      <c r="FX4" s="180" t="s">
        <v>91</v>
      </c>
      <c r="FY4" s="180" t="s">
        <v>92</v>
      </c>
      <c r="FZ4" s="180" t="s">
        <v>93</v>
      </c>
      <c r="GA4" s="180" t="s">
        <v>94</v>
      </c>
      <c r="GB4" s="180" t="s">
        <v>95</v>
      </c>
      <c r="GC4" s="180" t="s">
        <v>96</v>
      </c>
      <c r="GD4" s="180" t="s">
        <v>97</v>
      </c>
      <c r="GE4" s="180" t="s">
        <v>98</v>
      </c>
      <c r="GF4" s="180" t="s">
        <v>99</v>
      </c>
      <c r="GG4" s="180" t="s">
        <v>242</v>
      </c>
      <c r="GH4" s="180" t="s">
        <v>243</v>
      </c>
      <c r="GJ4" s="180" t="s">
        <v>228</v>
      </c>
      <c r="GK4" s="180" t="s">
        <v>89</v>
      </c>
      <c r="GL4" s="180" t="s">
        <v>90</v>
      </c>
      <c r="GM4" s="180" t="s">
        <v>91</v>
      </c>
      <c r="GN4" s="180" t="s">
        <v>92</v>
      </c>
      <c r="GO4" s="180" t="s">
        <v>93</v>
      </c>
      <c r="GP4" s="180" t="s">
        <v>94</v>
      </c>
      <c r="GQ4" s="180" t="s">
        <v>95</v>
      </c>
      <c r="GR4" s="180" t="s">
        <v>96</v>
      </c>
      <c r="GS4" s="180" t="s">
        <v>97</v>
      </c>
      <c r="GT4" s="180" t="s">
        <v>98</v>
      </c>
      <c r="GU4" s="180" t="s">
        <v>99</v>
      </c>
      <c r="GV4" s="180" t="s">
        <v>242</v>
      </c>
      <c r="GW4" s="180" t="s">
        <v>243</v>
      </c>
      <c r="GY4" s="180" t="s">
        <v>228</v>
      </c>
      <c r="GZ4" s="180" t="s">
        <v>89</v>
      </c>
      <c r="HA4" s="180" t="s">
        <v>90</v>
      </c>
      <c r="HB4" s="180" t="s">
        <v>91</v>
      </c>
      <c r="HC4" s="180" t="s">
        <v>92</v>
      </c>
      <c r="HD4" s="180" t="s">
        <v>93</v>
      </c>
      <c r="HE4" s="180" t="s">
        <v>94</v>
      </c>
      <c r="HF4" s="180" t="s">
        <v>95</v>
      </c>
      <c r="HG4" s="180" t="s">
        <v>96</v>
      </c>
      <c r="HH4" s="180" t="s">
        <v>97</v>
      </c>
      <c r="HI4" s="180" t="s">
        <v>98</v>
      </c>
      <c r="HJ4" s="180" t="s">
        <v>99</v>
      </c>
      <c r="HK4" s="180" t="s">
        <v>242</v>
      </c>
      <c r="HL4" s="180" t="s">
        <v>243</v>
      </c>
      <c r="HN4" s="180" t="s">
        <v>228</v>
      </c>
      <c r="HO4" s="180" t="s">
        <v>89</v>
      </c>
      <c r="HP4" s="180" t="s">
        <v>90</v>
      </c>
      <c r="HQ4" s="180" t="s">
        <v>91</v>
      </c>
      <c r="HR4" s="180" t="s">
        <v>92</v>
      </c>
      <c r="HS4" s="180" t="s">
        <v>93</v>
      </c>
      <c r="HT4" s="180" t="s">
        <v>94</v>
      </c>
      <c r="HU4" s="180" t="s">
        <v>95</v>
      </c>
      <c r="HV4" s="180" t="s">
        <v>96</v>
      </c>
      <c r="HW4" s="180" t="s">
        <v>97</v>
      </c>
      <c r="HX4" s="180" t="s">
        <v>98</v>
      </c>
      <c r="HY4" s="180" t="s">
        <v>99</v>
      </c>
      <c r="HZ4" s="180" t="s">
        <v>242</v>
      </c>
      <c r="IA4" s="180" t="s">
        <v>243</v>
      </c>
      <c r="IC4" s="180" t="s">
        <v>228</v>
      </c>
      <c r="ID4" s="180" t="s">
        <v>89</v>
      </c>
      <c r="IE4" s="180" t="s">
        <v>90</v>
      </c>
      <c r="IF4" s="180" t="s">
        <v>91</v>
      </c>
      <c r="IG4" s="180" t="s">
        <v>92</v>
      </c>
      <c r="IH4" s="180" t="s">
        <v>93</v>
      </c>
      <c r="II4" s="180" t="s">
        <v>94</v>
      </c>
      <c r="IJ4" s="180" t="s">
        <v>95</v>
      </c>
      <c r="IK4" s="180" t="s">
        <v>96</v>
      </c>
      <c r="IL4" s="180" t="s">
        <v>97</v>
      </c>
      <c r="IM4" s="180" t="s">
        <v>98</v>
      </c>
      <c r="IN4" s="180" t="s">
        <v>99</v>
      </c>
      <c r="IO4" s="180" t="s">
        <v>242</v>
      </c>
      <c r="IP4" s="180" t="s">
        <v>243</v>
      </c>
    </row>
    <row r="5" spans="1:250">
      <c r="A5" s="443" t="s">
        <v>226</v>
      </c>
      <c r="B5" s="181" t="s">
        <v>146</v>
      </c>
      <c r="C5" s="182">
        <f>(SUM(L5:N5)*1.16+SUM(O5:W5)*1.13)/AN5</f>
        <v>0.25202327696858101</v>
      </c>
      <c r="D5" s="182">
        <f>EN5*1.16/FC5</f>
        <v>0.28479909809717718</v>
      </c>
      <c r="E5" s="182">
        <f>(SUM(AP5:AR5)*1.16+SUM(AS5:BA5)*1.13)/BQ5</f>
        <v>0.34248011030260933</v>
      </c>
      <c r="F5" s="182">
        <f>FR5*1.16/GG5</f>
        <v>0.42583869298156829</v>
      </c>
      <c r="G5" s="182">
        <f>(SUM(BT5:BV5)*1.16+SUM(BW5:CE5)*1.13)/CU5</f>
        <v>0.53422137195337516</v>
      </c>
      <c r="H5" s="182">
        <f>GV5*1.16/HK5</f>
        <v>0.74420727161315781</v>
      </c>
      <c r="I5" s="182">
        <f>(SUM(CX5:CZ5)*1.16+SUM(DA5:DI5)*1.13)/DY5</f>
        <v>0.3318313329050373</v>
      </c>
      <c r="J5" s="183">
        <f>HZ5*1.16/IO5</f>
        <v>0.36865521839684712</v>
      </c>
      <c r="L5" s="184">
        <v>4290943.71</v>
      </c>
      <c r="M5" s="184">
        <v>3042086.06</v>
      </c>
      <c r="N5" s="184">
        <v>12276390.77</v>
      </c>
      <c r="O5" s="184">
        <v>4639811.5200000005</v>
      </c>
      <c r="P5" s="184">
        <v>3896162.24</v>
      </c>
      <c r="Q5" s="184">
        <v>9182367.0599999987</v>
      </c>
      <c r="R5" s="184">
        <v>1617808.2000000002</v>
      </c>
      <c r="S5" s="184">
        <v>2043282.6099999999</v>
      </c>
      <c r="T5" s="184">
        <v>4740292.0199999996</v>
      </c>
      <c r="U5" s="184">
        <v>2527008.5</v>
      </c>
      <c r="V5" s="184">
        <v>2991429.5300000003</v>
      </c>
      <c r="W5" s="184">
        <v>2946356.84</v>
      </c>
      <c r="X5" s="184">
        <f>L5+M5+N5+O5+P5+Q5+R5+S5+T5+U5+V5+W5</f>
        <v>54193939.060000002</v>
      </c>
      <c r="Y5" s="184">
        <f>SUM(L5:W5)</f>
        <v>54193939.060000002</v>
      </c>
      <c r="AA5" s="184">
        <v>16400100</v>
      </c>
      <c r="AB5" s="184">
        <v>12254632</v>
      </c>
      <c r="AC5" s="184">
        <v>51521809</v>
      </c>
      <c r="AD5" s="184">
        <v>18330332</v>
      </c>
      <c r="AE5" s="184">
        <v>15878749</v>
      </c>
      <c r="AF5" s="184">
        <v>43396725</v>
      </c>
      <c r="AG5" s="184">
        <v>11494467</v>
      </c>
      <c r="AH5" s="184">
        <v>11845671</v>
      </c>
      <c r="AI5" s="184">
        <v>23643433</v>
      </c>
      <c r="AJ5" s="184">
        <v>12717200</v>
      </c>
      <c r="AK5" s="184">
        <v>14648312</v>
      </c>
      <c r="AL5" s="184">
        <v>13192869</v>
      </c>
      <c r="AM5" s="184">
        <f>AA5+AB5+AC5+AD5+AE5+AF5+AG5+AH5+AI5+AJ5+AK5+AL5</f>
        <v>245324299</v>
      </c>
      <c r="AN5" s="184">
        <f>SUM(AA5:AL5)</f>
        <v>245324299</v>
      </c>
      <c r="AP5" s="184">
        <v>9844617.2100000009</v>
      </c>
      <c r="AQ5" s="184">
        <v>1212872.1800000002</v>
      </c>
      <c r="AR5" s="184">
        <v>10553094.370000001</v>
      </c>
      <c r="AS5" s="184">
        <v>8066125.8100000005</v>
      </c>
      <c r="AT5" s="184">
        <v>7846885.6899999995</v>
      </c>
      <c r="AU5" s="184">
        <v>8042710.5500000007</v>
      </c>
      <c r="AV5" s="184">
        <v>7479897.1200000001</v>
      </c>
      <c r="AW5" s="184">
        <v>7106414.1399999997</v>
      </c>
      <c r="AX5" s="184">
        <v>8249288.1600000001</v>
      </c>
      <c r="AY5" s="184">
        <v>9565856.25</v>
      </c>
      <c r="AZ5" s="184">
        <v>7415113.8699999992</v>
      </c>
      <c r="BA5" s="184">
        <v>7483716.8300000001</v>
      </c>
      <c r="BB5" s="184">
        <f>AP5+AQ5+AR5+AS5+AT5+AU5+AV5+AW5+AX5+AY5+AZ5+BA5</f>
        <v>92866592.180000007</v>
      </c>
      <c r="BC5" s="184">
        <f>SUM(AP5:BA5)</f>
        <v>92866592.180000007</v>
      </c>
      <c r="BE5" s="184">
        <v>27659334</v>
      </c>
      <c r="BF5" s="184">
        <v>11486546</v>
      </c>
      <c r="BG5" s="184">
        <v>30896406</v>
      </c>
      <c r="BH5" s="184">
        <v>28413712</v>
      </c>
      <c r="BI5" s="184">
        <v>32660508</v>
      </c>
      <c r="BJ5" s="184">
        <v>25173593</v>
      </c>
      <c r="BK5" s="184">
        <v>26514614</v>
      </c>
      <c r="BL5" s="184">
        <v>21329271</v>
      </c>
      <c r="BM5" s="184">
        <v>31896693</v>
      </c>
      <c r="BN5" s="184">
        <v>28811196</v>
      </c>
      <c r="BO5" s="184">
        <v>20008509</v>
      </c>
      <c r="BP5" s="184">
        <v>23452388</v>
      </c>
      <c r="BQ5" s="184">
        <f>BE5+BF5+BG5+BH5+BI5+BJ5+BK5+BL5+BM5+BN5+BO5+BP5</f>
        <v>308302770</v>
      </c>
      <c r="BR5" s="184">
        <f>SUM(BE5:BP5)</f>
        <v>308302770</v>
      </c>
      <c r="BT5" s="184">
        <v>1270725.5</v>
      </c>
      <c r="BU5" s="184">
        <v>1277391.5499999998</v>
      </c>
      <c r="BV5" s="184">
        <v>2254126.79</v>
      </c>
      <c r="BW5" s="184">
        <v>2158120.21</v>
      </c>
      <c r="BX5" s="184">
        <v>2266079.12</v>
      </c>
      <c r="BY5" s="184">
        <v>2842733.6</v>
      </c>
      <c r="BZ5" s="184">
        <v>2093030.0699999998</v>
      </c>
      <c r="CA5" s="184">
        <v>2754537.64</v>
      </c>
      <c r="CB5" s="184">
        <v>4830465.49</v>
      </c>
      <c r="CC5" s="184">
        <v>3010589.0300000003</v>
      </c>
      <c r="CD5" s="184">
        <f>7756598.2+1459093.94</f>
        <v>9215692.1400000006</v>
      </c>
      <c r="CE5" s="184">
        <v>3964343.5100000002</v>
      </c>
      <c r="CF5" s="184">
        <f>BT5+BU5+BV5+BW5+BX5+BY5+BZ5+CA5+CB5+CC5+CD5+CE5</f>
        <v>37937834.649999999</v>
      </c>
      <c r="CG5" s="184">
        <f>SUM(BT5:CE5)</f>
        <v>37937834.649999999</v>
      </c>
      <c r="CI5" s="184">
        <v>2014156</v>
      </c>
      <c r="CJ5" s="184">
        <v>1730441</v>
      </c>
      <c r="CK5" s="184">
        <v>3363922</v>
      </c>
      <c r="CL5" s="184">
        <v>3027948</v>
      </c>
      <c r="CM5" s="184">
        <v>3238222</v>
      </c>
      <c r="CN5" s="184">
        <v>5126071</v>
      </c>
      <c r="CO5" s="184">
        <v>3353768</v>
      </c>
      <c r="CP5" s="184">
        <v>5100859</v>
      </c>
      <c r="CQ5" s="184">
        <v>16216421</v>
      </c>
      <c r="CR5" s="184">
        <v>8401709</v>
      </c>
      <c r="CS5" s="184">
        <f>17494330+3110998</f>
        <v>20605328</v>
      </c>
      <c r="CT5" s="184">
        <v>8338002</v>
      </c>
      <c r="CU5" s="184">
        <f>CI5+CJ5+CK5+CL5+CM5+CN5+CO5+CP5+CQ5+CR5+CS5+CT5</f>
        <v>80516847</v>
      </c>
      <c r="CV5" s="184">
        <f>SUM(CI5:CT5)</f>
        <v>80516847</v>
      </c>
      <c r="CX5" s="184">
        <f>L5+AP5+BT5</f>
        <v>15406286.420000002</v>
      </c>
      <c r="CY5" s="184">
        <f t="shared" ref="CY5:DB9" si="0">M5+AQ5+BU5</f>
        <v>5532349.79</v>
      </c>
      <c r="CZ5" s="184">
        <f t="shared" si="0"/>
        <v>25083611.93</v>
      </c>
      <c r="DA5" s="184">
        <f t="shared" si="0"/>
        <v>14864057.540000003</v>
      </c>
      <c r="DB5" s="184">
        <f t="shared" si="0"/>
        <v>14009127.050000001</v>
      </c>
      <c r="DC5" s="184">
        <f t="shared" ref="DC5:DC9" si="1">Q5+AU5+BY5</f>
        <v>20067811.210000001</v>
      </c>
      <c r="DD5" s="184">
        <f t="shared" ref="DD5" si="2">R5+AV5+BZ5</f>
        <v>11190735.390000001</v>
      </c>
      <c r="DE5" s="184">
        <f t="shared" ref="DE5" si="3">S5+AW5+CA5</f>
        <v>11904234.390000001</v>
      </c>
      <c r="DF5" s="184">
        <f t="shared" ref="DF5" si="4">T5+AX5+CB5</f>
        <v>17820045.670000002</v>
      </c>
      <c r="DG5" s="184">
        <f t="shared" ref="DG5" si="5">U5+AY5+CC5</f>
        <v>15103453.780000001</v>
      </c>
      <c r="DH5" s="184">
        <f t="shared" ref="DH5" si="6">V5+AZ5+CD5</f>
        <v>19622235.539999999</v>
      </c>
      <c r="DI5" s="184">
        <f t="shared" ref="DI5" si="7">W5+BA5+CE5</f>
        <v>14394417.18</v>
      </c>
      <c r="DJ5" s="184">
        <f>CX5+CY5+CZ5+DA5+DB5+DC5+DD5+DE5+DF5+DG5+DH5+DI5</f>
        <v>184998365.88999999</v>
      </c>
      <c r="DK5" s="184">
        <f>SUM(CX5:DI5)</f>
        <v>184998365.88999999</v>
      </c>
      <c r="DM5" s="184">
        <f>AA5+BE5+CI5</f>
        <v>46073590</v>
      </c>
      <c r="DN5" s="184">
        <f t="shared" ref="DN5:DX5" si="8">AB5+BF5+CJ5</f>
        <v>25471619</v>
      </c>
      <c r="DO5" s="184">
        <f t="shared" si="8"/>
        <v>85782137</v>
      </c>
      <c r="DP5" s="184">
        <f t="shared" si="8"/>
        <v>49771992</v>
      </c>
      <c r="DQ5" s="184">
        <f t="shared" si="8"/>
        <v>51777479</v>
      </c>
      <c r="DR5" s="184">
        <f t="shared" si="8"/>
        <v>73696389</v>
      </c>
      <c r="DS5" s="184">
        <f t="shared" si="8"/>
        <v>41362849</v>
      </c>
      <c r="DT5" s="184">
        <f t="shared" si="8"/>
        <v>38275801</v>
      </c>
      <c r="DU5" s="184">
        <f t="shared" si="8"/>
        <v>71756547</v>
      </c>
      <c r="DV5" s="184">
        <f t="shared" si="8"/>
        <v>49930105</v>
      </c>
      <c r="DW5" s="184">
        <f t="shared" si="8"/>
        <v>55262149</v>
      </c>
      <c r="DX5" s="184">
        <f t="shared" si="8"/>
        <v>44983259</v>
      </c>
      <c r="DY5" s="184">
        <f>DM5+DN5+DO5+DP5+DQ5+DR5+DS5+DT5+DU5+DV5+DW5+DX5</f>
        <v>634143916</v>
      </c>
      <c r="DZ5" s="184">
        <f>SUM(DM5:DX5)</f>
        <v>634143916</v>
      </c>
      <c r="EB5" s="184"/>
      <c r="EC5" s="184"/>
      <c r="ED5" s="184"/>
      <c r="EE5" s="184"/>
      <c r="EF5" s="184"/>
      <c r="EG5" s="184"/>
      <c r="EH5" s="184"/>
      <c r="EI5" s="184"/>
      <c r="EJ5" s="184">
        <v>7762023.9299999997</v>
      </c>
      <c r="EK5" s="184">
        <v>7889568.5199999996</v>
      </c>
      <c r="EL5" s="184">
        <v>6912588.21</v>
      </c>
      <c r="EM5" s="184">
        <v>5079160.7699999996</v>
      </c>
      <c r="EN5" s="184">
        <f>EB5+EC5+ED5+EE5+EF5+EG5+EH5+EI5+EJ5+EK5+EL5+EM5</f>
        <v>27643341.43</v>
      </c>
      <c r="EO5" s="184">
        <f>SUM(EB5:EM5)</f>
        <v>27643341.43</v>
      </c>
      <c r="EQ5" s="184"/>
      <c r="ER5" s="184"/>
      <c r="ES5" s="184"/>
      <c r="ET5" s="184"/>
      <c r="EU5" s="184"/>
      <c r="EV5" s="184"/>
      <c r="EW5" s="184"/>
      <c r="EX5" s="184"/>
      <c r="EY5" s="184">
        <v>30020142</v>
      </c>
      <c r="EZ5" s="184">
        <v>34172334</v>
      </c>
      <c r="FA5" s="184">
        <v>27921121</v>
      </c>
      <c r="FB5" s="184">
        <v>20479021</v>
      </c>
      <c r="FC5" s="184">
        <f>EQ5+ER5+ES5+ET5+EU5+EV5+EW5+EX5+EY5+EZ5+FA5+FB5</f>
        <v>112592618</v>
      </c>
      <c r="FD5" s="184">
        <f>SUM(EQ5:FB5)</f>
        <v>112592618</v>
      </c>
      <c r="FF5" s="184"/>
      <c r="FG5" s="184"/>
      <c r="FH5" s="184"/>
      <c r="FI5" s="184"/>
      <c r="FJ5" s="184"/>
      <c r="FK5" s="184"/>
      <c r="FL5" s="184"/>
      <c r="FM5" s="184">
        <v>0</v>
      </c>
      <c r="FN5" s="184">
        <v>1811801.43</v>
      </c>
      <c r="FO5" s="184">
        <v>13448512.27</v>
      </c>
      <c r="FP5" s="184">
        <v>5376787.0499999998</v>
      </c>
      <c r="FQ5" s="184">
        <v>6098873.5899999999</v>
      </c>
      <c r="FR5" s="184">
        <f>FF5+FG5+FH5+FI5+FJ5+FK5+FL5+FM5+FN5+FO5+FP5+FQ5</f>
        <v>26735974.34</v>
      </c>
      <c r="FS5" s="184">
        <f>SUM(FF5:FQ5)</f>
        <v>26735974.34</v>
      </c>
      <c r="FU5" s="184"/>
      <c r="FV5" s="184"/>
      <c r="FW5" s="184"/>
      <c r="FX5" s="184"/>
      <c r="FY5" s="184"/>
      <c r="FZ5" s="184"/>
      <c r="GA5" s="184"/>
      <c r="GB5" s="184">
        <v>879478</v>
      </c>
      <c r="GC5" s="184">
        <v>5254224</v>
      </c>
      <c r="GD5" s="184">
        <v>33620153</v>
      </c>
      <c r="GE5" s="184">
        <v>16587239</v>
      </c>
      <c r="GF5" s="184">
        <v>16488667</v>
      </c>
      <c r="GG5" s="184">
        <f>FU5+FV5+FW5+FX5+FY5+FZ5+GA5+GB5+GC5+GD5+GE5+GF5</f>
        <v>72829761</v>
      </c>
      <c r="GH5" s="184">
        <f>SUM(FU5:GF5)</f>
        <v>72829761</v>
      </c>
      <c r="GJ5" s="184"/>
      <c r="GK5" s="184"/>
      <c r="GL5" s="184"/>
      <c r="GM5" s="184"/>
      <c r="GN5" s="184"/>
      <c r="GO5" s="184"/>
      <c r="GP5" s="184">
        <v>0</v>
      </c>
      <c r="GQ5" s="184">
        <v>331.03</v>
      </c>
      <c r="GR5" s="184">
        <v>2818069.63</v>
      </c>
      <c r="GS5" s="184">
        <v>1065462.48</v>
      </c>
      <c r="GT5" s="184">
        <v>3971622.61</v>
      </c>
      <c r="GU5" s="184">
        <v>1159112.97</v>
      </c>
      <c r="GV5" s="184">
        <f>GJ5+GK5+GL5+GM5+GN5+GO5+GP5+GQ5+GR5+GS5+GT5+GU5</f>
        <v>9014598.7200000007</v>
      </c>
      <c r="GW5" s="184">
        <f>SUM(GJ5:GU5)</f>
        <v>9014598.7200000007</v>
      </c>
      <c r="GY5" s="184"/>
      <c r="GZ5" s="184"/>
      <c r="HA5" s="184"/>
      <c r="HB5" s="184"/>
      <c r="HC5" s="184"/>
      <c r="HD5" s="184"/>
      <c r="HE5" s="184">
        <v>0</v>
      </c>
      <c r="HF5" s="184">
        <v>1576</v>
      </c>
      <c r="HG5" s="184">
        <v>3354303</v>
      </c>
      <c r="HH5" s="184">
        <v>1505950</v>
      </c>
      <c r="HI5" s="184">
        <v>7442911</v>
      </c>
      <c r="HJ5" s="184">
        <v>1746365</v>
      </c>
      <c r="HK5" s="184">
        <f>GY5+GZ5+HA5+HB5+HC5+HD5+HE5+HF5+HG5+HH5+HI5+HJ5</f>
        <v>14051105</v>
      </c>
      <c r="HL5" s="184">
        <f>SUM(GY5:HJ5)</f>
        <v>14051105</v>
      </c>
      <c r="HN5" s="184">
        <f>EB5+FF5+GJ5</f>
        <v>0</v>
      </c>
      <c r="HO5" s="184">
        <f t="shared" ref="HO5:HY5" si="9">EC5+FG5+GK5</f>
        <v>0</v>
      </c>
      <c r="HP5" s="184">
        <f t="shared" si="9"/>
        <v>0</v>
      </c>
      <c r="HQ5" s="184">
        <f t="shared" si="9"/>
        <v>0</v>
      </c>
      <c r="HR5" s="184">
        <f t="shared" si="9"/>
        <v>0</v>
      </c>
      <c r="HS5" s="184">
        <f t="shared" si="9"/>
        <v>0</v>
      </c>
      <c r="HT5" s="184">
        <f t="shared" si="9"/>
        <v>0</v>
      </c>
      <c r="HU5" s="184">
        <f t="shared" si="9"/>
        <v>331.03</v>
      </c>
      <c r="HV5" s="184">
        <f t="shared" si="9"/>
        <v>12391894.989999998</v>
      </c>
      <c r="HW5" s="184">
        <f t="shared" si="9"/>
        <v>22403543.27</v>
      </c>
      <c r="HX5" s="184">
        <f t="shared" si="9"/>
        <v>16260997.869999999</v>
      </c>
      <c r="HY5" s="184">
        <f t="shared" si="9"/>
        <v>12337147.33</v>
      </c>
      <c r="HZ5" s="184">
        <f>HN5+HO5+HP5+HQ5+HR5+HS5+HT5+HU5+HV5+HW5+HX5+HY5</f>
        <v>63393914.489999995</v>
      </c>
      <c r="IA5" s="184">
        <f>SUM(HN5:HY5)</f>
        <v>63393914.489999995</v>
      </c>
      <c r="IC5" s="184">
        <f>EQ5+FU5+GY5</f>
        <v>0</v>
      </c>
      <c r="ID5" s="184">
        <f t="shared" ref="ID5:ID9" si="10">ER5+FV5+GZ5</f>
        <v>0</v>
      </c>
      <c r="IE5" s="184">
        <f t="shared" ref="IE5:IE9" si="11">ES5+FW5+HA5</f>
        <v>0</v>
      </c>
      <c r="IF5" s="184">
        <f t="shared" ref="IF5:IF9" si="12">ET5+FX5+HB5</f>
        <v>0</v>
      </c>
      <c r="IG5" s="184">
        <f t="shared" ref="IG5:IG9" si="13">EU5+FY5+HC5</f>
        <v>0</v>
      </c>
      <c r="IH5" s="184">
        <f t="shared" ref="IH5:IH9" si="14">EV5+FZ5+HD5</f>
        <v>0</v>
      </c>
      <c r="II5" s="184">
        <f t="shared" ref="II5:II9" si="15">EW5+GA5+HE5</f>
        <v>0</v>
      </c>
      <c r="IJ5" s="184">
        <f t="shared" ref="IJ5:IJ9" si="16">EX5+GB5+HF5</f>
        <v>881054</v>
      </c>
      <c r="IK5" s="184">
        <f t="shared" ref="IK5:IK9" si="17">EY5+GC5+HG5</f>
        <v>38628669</v>
      </c>
      <c r="IL5" s="184">
        <f t="shared" ref="IL5:IL9" si="18">EZ5+GD5+HH5</f>
        <v>69298437</v>
      </c>
      <c r="IM5" s="184">
        <f t="shared" ref="IM5:IM9" si="19">FA5+GE5+HI5</f>
        <v>51951271</v>
      </c>
      <c r="IN5" s="184">
        <f t="shared" ref="IN5:IN9" si="20">FB5+GF5+HJ5</f>
        <v>38714053</v>
      </c>
      <c r="IO5" s="184">
        <f>IC5+ID5+IE5+IF5+IG5+IH5+II5+IJ5+IK5+IL5+IM5+IN5</f>
        <v>199473484</v>
      </c>
      <c r="IP5" s="184">
        <f>SUM(IC5:IN5)</f>
        <v>199473484</v>
      </c>
    </row>
    <row r="6" spans="1:250">
      <c r="A6" s="443"/>
      <c r="B6" s="181" t="s">
        <v>147</v>
      </c>
      <c r="C6" s="182">
        <f t="shared" ref="C6:C10" si="21">(SUM(L6:N6)*1.16+SUM(O6:W6)*1.13)/AN6</f>
        <v>0.2601711925394074</v>
      </c>
      <c r="D6" s="182"/>
      <c r="E6" s="182"/>
      <c r="F6" s="182"/>
      <c r="G6" s="182">
        <f t="shared" ref="G6:G10" si="22">(SUM(BT6:BV6)*1.16+SUM(BW6:CE6)*1.13)/CU6</f>
        <v>0.9276206364590609</v>
      </c>
      <c r="H6" s="182"/>
      <c r="I6" s="182">
        <f t="shared" ref="I6:I10" si="23">(SUM(CX6:CZ6)*1.16+SUM(DA6:DI6)*1.13)/DY6</f>
        <v>0.33052554909917448</v>
      </c>
      <c r="J6" s="183"/>
      <c r="L6" s="184"/>
      <c r="M6" s="184"/>
      <c r="N6" s="184"/>
      <c r="O6" s="184"/>
      <c r="P6" s="184"/>
      <c r="Q6" s="184"/>
      <c r="R6" s="184"/>
      <c r="S6" s="184"/>
      <c r="T6" s="184">
        <v>243270.78</v>
      </c>
      <c r="U6" s="184">
        <v>451369.98</v>
      </c>
      <c r="V6" s="184">
        <v>182288.25</v>
      </c>
      <c r="W6" s="184">
        <v>225049.1</v>
      </c>
      <c r="X6" s="184">
        <f t="shared" ref="X6:X16" si="24">L6+M6+N6+O6+P6+Q6+R6+S6+T6+U6+V6+W6</f>
        <v>1101978.1100000001</v>
      </c>
      <c r="Y6" s="184">
        <f t="shared" ref="Y6:Y16" si="25">SUM(L6:W6)</f>
        <v>1101978.1100000001</v>
      </c>
      <c r="AA6" s="184"/>
      <c r="AB6" s="184"/>
      <c r="AC6" s="184"/>
      <c r="AD6" s="184"/>
      <c r="AE6" s="184"/>
      <c r="AF6" s="184"/>
      <c r="AG6" s="184"/>
      <c r="AH6" s="184"/>
      <c r="AI6" s="184">
        <v>1106711</v>
      </c>
      <c r="AJ6" s="184">
        <v>1663661</v>
      </c>
      <c r="AK6" s="184">
        <v>978810</v>
      </c>
      <c r="AL6" s="184">
        <v>1037033</v>
      </c>
      <c r="AM6" s="184">
        <f t="shared" ref="AM6:AM16" si="26">AA6+AB6+AC6+AD6+AE6+AF6+AG6+AH6+AI6+AJ6+AK6+AL6</f>
        <v>4786215</v>
      </c>
      <c r="AN6" s="184">
        <f t="shared" ref="AN6:AN16" si="27">SUM(AA6:AL6)</f>
        <v>4786215</v>
      </c>
      <c r="AP6" s="184"/>
      <c r="AQ6" s="184"/>
      <c r="AR6" s="184"/>
      <c r="AS6" s="184"/>
      <c r="AT6" s="184"/>
      <c r="AU6" s="184"/>
      <c r="AV6" s="184">
        <v>7359.29</v>
      </c>
      <c r="AW6" s="184"/>
      <c r="AX6" s="184">
        <v>1682.12</v>
      </c>
      <c r="AY6" s="184"/>
      <c r="AZ6" s="184"/>
      <c r="BA6" s="184"/>
      <c r="BB6" s="184">
        <f t="shared" ref="BB6:BB16" si="28">AP6+AQ6+AR6+AS6+AT6+AU6+AV6+AW6+AX6+AY6+AZ6+BA6</f>
        <v>9041.41</v>
      </c>
      <c r="BC6" s="184">
        <f t="shared" ref="BC6:BC16" si="29">SUM(AP6:BA6)</f>
        <v>9041.41</v>
      </c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>
        <f t="shared" ref="BQ6:BQ16" si="30">BE6+BF6+BG6+BH6+BI6+BJ6+BK6+BL6+BM6+BN6+BO6+BP6</f>
        <v>0</v>
      </c>
      <c r="BR6" s="184">
        <f t="shared" ref="BR6:BR16" si="31">SUM(BE6:BP6)</f>
        <v>0</v>
      </c>
      <c r="BT6" s="184">
        <v>75.86</v>
      </c>
      <c r="BU6" s="184">
        <v>0</v>
      </c>
      <c r="BV6" s="184">
        <v>0</v>
      </c>
      <c r="BW6" s="184">
        <v>2502.61</v>
      </c>
      <c r="BX6" s="184">
        <v>3755.87</v>
      </c>
      <c r="BY6" s="184">
        <v>1892.47</v>
      </c>
      <c r="BZ6" s="184">
        <v>2146.9299999999998</v>
      </c>
      <c r="CA6" s="184">
        <v>982.84</v>
      </c>
      <c r="CB6" s="184">
        <v>42892.22</v>
      </c>
      <c r="CC6" s="184">
        <v>58518.04</v>
      </c>
      <c r="CD6" s="184">
        <v>255087.14</v>
      </c>
      <c r="CE6" s="184">
        <v>81045.08</v>
      </c>
      <c r="CF6" s="184">
        <f t="shared" ref="CF6:CF16" si="32">BT6+BU6+BV6+BW6+BX6+BY6+BZ6+CA6+CB6+CC6+CD6+CE6</f>
        <v>448899.06</v>
      </c>
      <c r="CG6" s="184">
        <f t="shared" ref="CG6:CG16" si="33">SUM(BT6:CE6)</f>
        <v>448899.06</v>
      </c>
      <c r="CI6" s="184"/>
      <c r="CJ6" s="184"/>
      <c r="CK6" s="184"/>
      <c r="CL6" s="184"/>
      <c r="CM6" s="184"/>
      <c r="CN6" s="184"/>
      <c r="CO6" s="184"/>
      <c r="CP6" s="184"/>
      <c r="CQ6" s="184">
        <v>49770</v>
      </c>
      <c r="CR6" s="184">
        <v>61462</v>
      </c>
      <c r="CS6" s="184">
        <v>353051</v>
      </c>
      <c r="CT6" s="184">
        <v>82555</v>
      </c>
      <c r="CU6" s="184">
        <f t="shared" ref="CU6:CU16" si="34">CI6+CJ6+CK6+CL6+CM6+CN6+CO6+CP6+CQ6+CR6+CS6+CT6</f>
        <v>546838</v>
      </c>
      <c r="CV6" s="184">
        <f t="shared" ref="CV6:CV16" si="35">SUM(CI6:CT6)</f>
        <v>546838</v>
      </c>
      <c r="CX6" s="184">
        <f t="shared" ref="CX6:CX9" si="36">L6+AP6+BT6</f>
        <v>75.86</v>
      </c>
      <c r="CY6" s="184">
        <f t="shared" ref="CY6:CY9" si="37">M6+AQ6+BU6</f>
        <v>0</v>
      </c>
      <c r="CZ6" s="184">
        <f t="shared" ref="CZ6:CZ9" si="38">N6+AR6+BV6</f>
        <v>0</v>
      </c>
      <c r="DA6" s="184">
        <f t="shared" ref="DA6:DA9" si="39">O6+AS6+BW6</f>
        <v>2502.61</v>
      </c>
      <c r="DB6" s="184">
        <f t="shared" si="0"/>
        <v>3755.87</v>
      </c>
      <c r="DC6" s="184">
        <f t="shared" si="1"/>
        <v>1892.47</v>
      </c>
      <c r="DD6" s="184">
        <f t="shared" ref="DD6:DD9" si="40">R6+AV6+BZ6</f>
        <v>9506.2199999999993</v>
      </c>
      <c r="DE6" s="184">
        <f t="shared" ref="DE6:DE9" si="41">S6+AW6+CA6</f>
        <v>982.84</v>
      </c>
      <c r="DF6" s="184">
        <f t="shared" ref="DF6:DF9" si="42">T6+AX6+CB6</f>
        <v>287845.12</v>
      </c>
      <c r="DG6" s="184">
        <f t="shared" ref="DG6:DG9" si="43">U6+AY6+CC6</f>
        <v>509888.01999999996</v>
      </c>
      <c r="DH6" s="184">
        <f t="shared" ref="DH6:DH9" si="44">V6+AZ6+CD6</f>
        <v>437375.39</v>
      </c>
      <c r="DI6" s="184">
        <f t="shared" ref="DI6:DI9" si="45">W6+BA6+CE6</f>
        <v>306094.18</v>
      </c>
      <c r="DJ6" s="184">
        <f t="shared" ref="DJ6:DJ16" si="46">CX6+CY6+CZ6+DA6+DB6+DC6+DD6+DE6+DF6+DG6+DH6+DI6</f>
        <v>1559918.5799999998</v>
      </c>
      <c r="DK6" s="184">
        <f t="shared" ref="DK6:DK16" si="47">SUM(CX6:DI6)</f>
        <v>1559918.5799999998</v>
      </c>
      <c r="DM6" s="184">
        <f t="shared" ref="DM6:DM9" si="48">AA6+BE6+CI6</f>
        <v>0</v>
      </c>
      <c r="DN6" s="184">
        <f t="shared" ref="DN6:DN9" si="49">AB6+BF6+CJ6</f>
        <v>0</v>
      </c>
      <c r="DO6" s="184">
        <f t="shared" ref="DO6:DO9" si="50">AC6+BG6+CK6</f>
        <v>0</v>
      </c>
      <c r="DP6" s="184">
        <f t="shared" ref="DP6:DP9" si="51">AD6+BH6+CL6</f>
        <v>0</v>
      </c>
      <c r="DQ6" s="184">
        <f t="shared" ref="DQ6:DQ9" si="52">AE6+BI6+CM6</f>
        <v>0</v>
      </c>
      <c r="DR6" s="184">
        <f t="shared" ref="DR6:DR9" si="53">AF6+BJ6+CN6</f>
        <v>0</v>
      </c>
      <c r="DS6" s="184">
        <f t="shared" ref="DS6:DS9" si="54">AG6+BK6+CO6</f>
        <v>0</v>
      </c>
      <c r="DT6" s="184">
        <f t="shared" ref="DT6:DT9" si="55">AH6+BL6+CP6</f>
        <v>0</v>
      </c>
      <c r="DU6" s="184">
        <f t="shared" ref="DU6:DU9" si="56">AI6+BM6+CQ6</f>
        <v>1156481</v>
      </c>
      <c r="DV6" s="184">
        <f t="shared" ref="DV6:DV9" si="57">AJ6+BN6+CR6</f>
        <v>1725123</v>
      </c>
      <c r="DW6" s="184">
        <f t="shared" ref="DW6:DW9" si="58">AK6+BO6+CS6</f>
        <v>1331861</v>
      </c>
      <c r="DX6" s="184">
        <f t="shared" ref="DX6:DX9" si="59">AL6+BP6+CT6</f>
        <v>1119588</v>
      </c>
      <c r="DY6" s="184">
        <f t="shared" ref="DY6:DY16" si="60">DM6+DN6+DO6+DP6+DQ6+DR6+DS6+DT6+DU6+DV6+DW6+DX6</f>
        <v>5333053</v>
      </c>
      <c r="DZ6" s="184">
        <f t="shared" ref="DZ6:DZ16" si="61">SUM(DM6:DX6)</f>
        <v>5333053</v>
      </c>
      <c r="EB6" s="184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>
        <f t="shared" ref="EN6:EN16" si="62">EB6+EC6+ED6+EE6+EF6+EG6+EH6+EI6+EJ6+EK6+EL6+EM6</f>
        <v>0</v>
      </c>
      <c r="EO6" s="184">
        <f t="shared" ref="EO6:EO16" si="63">SUM(EB6:EM6)</f>
        <v>0</v>
      </c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>
        <f t="shared" ref="FC6:FC16" si="64">EQ6+ER6+ES6+ET6+EU6+EV6+EW6+EX6+EY6+EZ6+FA6+FB6</f>
        <v>0</v>
      </c>
      <c r="FD6" s="184">
        <f t="shared" ref="FD6:FD16" si="65">SUM(EQ6:FB6)</f>
        <v>0</v>
      </c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4"/>
      <c r="FR6" s="184">
        <f t="shared" ref="FR6:FR16" si="66">FF6+FG6+FH6+FI6+FJ6+FK6+FL6+FM6+FN6+FO6+FP6+FQ6</f>
        <v>0</v>
      </c>
      <c r="FS6" s="184">
        <f t="shared" ref="FS6:FS16" si="67">SUM(FF6:FQ6)</f>
        <v>0</v>
      </c>
      <c r="FU6" s="184"/>
      <c r="FV6" s="184"/>
      <c r="FW6" s="184"/>
      <c r="FX6" s="184"/>
      <c r="FY6" s="184"/>
      <c r="FZ6" s="184"/>
      <c r="GA6" s="184"/>
      <c r="GB6" s="184"/>
      <c r="GC6" s="184"/>
      <c r="GD6" s="184"/>
      <c r="GE6" s="184"/>
      <c r="GF6" s="184"/>
      <c r="GG6" s="184">
        <f t="shared" ref="GG6:GG16" si="68">FU6+FV6+FW6+FX6+FY6+FZ6+GA6+GB6+GC6+GD6+GE6+GF6</f>
        <v>0</v>
      </c>
      <c r="GH6" s="184">
        <f t="shared" ref="GH6:GH16" si="69">SUM(FU6:GF6)</f>
        <v>0</v>
      </c>
      <c r="GJ6" s="184"/>
      <c r="GK6" s="184"/>
      <c r="GL6" s="184"/>
      <c r="GM6" s="184"/>
      <c r="GN6" s="184"/>
      <c r="GO6" s="184"/>
      <c r="GP6" s="184"/>
      <c r="GQ6" s="184"/>
      <c r="GR6" s="184"/>
      <c r="GS6" s="184"/>
      <c r="GT6" s="184">
        <v>75.86</v>
      </c>
      <c r="GU6" s="184">
        <v>0</v>
      </c>
      <c r="GV6" s="184">
        <f t="shared" ref="GV6:GV16" si="70">GJ6+GK6+GL6+GM6+GN6+GO6+GP6+GQ6+GR6+GS6+GT6+GU6</f>
        <v>75.86</v>
      </c>
      <c r="GW6" s="184">
        <f t="shared" ref="GW6:GW16" si="71">SUM(GJ6:GU6)</f>
        <v>75.86</v>
      </c>
      <c r="GY6" s="184"/>
      <c r="GZ6" s="184"/>
      <c r="HA6" s="184"/>
      <c r="HB6" s="184"/>
      <c r="HC6" s="184"/>
      <c r="HD6" s="184"/>
      <c r="HE6" s="184"/>
      <c r="HF6" s="184"/>
      <c r="HG6" s="184"/>
      <c r="HH6" s="184"/>
      <c r="HI6" s="184"/>
      <c r="HJ6" s="184"/>
      <c r="HK6" s="184">
        <f t="shared" ref="HK6:HK16" si="72">GY6+GZ6+HA6+HB6+HC6+HD6+HE6+HF6+HG6+HH6+HI6+HJ6</f>
        <v>0</v>
      </c>
      <c r="HL6" s="184">
        <f t="shared" ref="HL6:HL16" si="73">SUM(GY6:HJ6)</f>
        <v>0</v>
      </c>
      <c r="HN6" s="184">
        <f t="shared" ref="HN6:HN16" si="74">EB6+FF6+GJ6</f>
        <v>0</v>
      </c>
      <c r="HO6" s="184">
        <f t="shared" ref="HO6:HO16" si="75">EC6+FG6+GK6</f>
        <v>0</v>
      </c>
      <c r="HP6" s="184">
        <f t="shared" ref="HP6:HP16" si="76">ED6+FH6+GL6</f>
        <v>0</v>
      </c>
      <c r="HQ6" s="184">
        <f t="shared" ref="HQ6:HQ16" si="77">EE6+FI6+GM6</f>
        <v>0</v>
      </c>
      <c r="HR6" s="184">
        <f t="shared" ref="HR6:HR16" si="78">EF6+FJ6+GN6</f>
        <v>0</v>
      </c>
      <c r="HS6" s="184">
        <f t="shared" ref="HS6:HS16" si="79">EG6+FK6+GO6</f>
        <v>0</v>
      </c>
      <c r="HT6" s="184">
        <f t="shared" ref="HT6:HT16" si="80">EH6+FL6+GP6</f>
        <v>0</v>
      </c>
      <c r="HU6" s="184">
        <f t="shared" ref="HU6:HU16" si="81">EI6+FM6+GQ6</f>
        <v>0</v>
      </c>
      <c r="HV6" s="184">
        <f t="shared" ref="HV6:HV16" si="82">EJ6+FN6+GR6</f>
        <v>0</v>
      </c>
      <c r="HW6" s="184">
        <f t="shared" ref="HW6:HW16" si="83">EK6+FO6+GS6</f>
        <v>0</v>
      </c>
      <c r="HX6" s="184">
        <f t="shared" ref="HX6:HX16" si="84">EL6+FP6+GT6</f>
        <v>75.86</v>
      </c>
      <c r="HY6" s="184">
        <f t="shared" ref="HY6:HY16" si="85">EM6+FQ6+GU6</f>
        <v>0</v>
      </c>
      <c r="HZ6" s="184">
        <f t="shared" ref="HZ6:HZ16" si="86">HN6+HO6+HP6+HQ6+HR6+HS6+HT6+HU6+HV6+HW6+HX6+HY6</f>
        <v>75.86</v>
      </c>
      <c r="IA6" s="184">
        <f t="shared" ref="IA6:IA16" si="87">SUM(HN6:HY6)</f>
        <v>75.86</v>
      </c>
      <c r="IC6" s="184">
        <f t="shared" ref="IC6:IC9" si="88">EQ6+FU6+GY6</f>
        <v>0</v>
      </c>
      <c r="ID6" s="184">
        <f t="shared" si="10"/>
        <v>0</v>
      </c>
      <c r="IE6" s="184">
        <f t="shared" si="11"/>
        <v>0</v>
      </c>
      <c r="IF6" s="184">
        <f t="shared" si="12"/>
        <v>0</v>
      </c>
      <c r="IG6" s="184">
        <f t="shared" si="13"/>
        <v>0</v>
      </c>
      <c r="IH6" s="184">
        <f t="shared" si="14"/>
        <v>0</v>
      </c>
      <c r="II6" s="184">
        <f t="shared" si="15"/>
        <v>0</v>
      </c>
      <c r="IJ6" s="184">
        <f t="shared" si="16"/>
        <v>0</v>
      </c>
      <c r="IK6" s="184">
        <f t="shared" si="17"/>
        <v>0</v>
      </c>
      <c r="IL6" s="184">
        <f t="shared" si="18"/>
        <v>0</v>
      </c>
      <c r="IM6" s="184">
        <f t="shared" si="19"/>
        <v>0</v>
      </c>
      <c r="IN6" s="184">
        <f t="shared" si="20"/>
        <v>0</v>
      </c>
      <c r="IO6" s="184">
        <f t="shared" ref="IO6:IO16" si="89">IC6+ID6+IE6+IF6+IG6+IH6+II6+IJ6+IK6+IL6+IM6+IN6</f>
        <v>0</v>
      </c>
      <c r="IP6" s="184">
        <f t="shared" ref="IP6:IP16" si="90">SUM(IC6:IN6)</f>
        <v>0</v>
      </c>
    </row>
    <row r="7" spans="1:250">
      <c r="A7" s="443"/>
      <c r="B7" s="181" t="s">
        <v>148</v>
      </c>
      <c r="C7" s="182">
        <f t="shared" si="21"/>
        <v>0.15979360213079438</v>
      </c>
      <c r="D7" s="182">
        <f t="shared" ref="D7:D10" si="91">EN7*1.16/FC7</f>
        <v>0.15509811810856658</v>
      </c>
      <c r="E7" s="182">
        <f t="shared" ref="E7:E10" si="92">(SUM(AP7:AR7)*1.16+SUM(AS7:BA7)*1.13)/BQ7</f>
        <v>0.37672875400086892</v>
      </c>
      <c r="F7" s="182"/>
      <c r="G7" s="182">
        <f t="shared" si="22"/>
        <v>0.27438770829410447</v>
      </c>
      <c r="H7" s="182">
        <f t="shared" ref="H7:H10" si="93">GV7*1.16/HK7</f>
        <v>0.35258226650793395</v>
      </c>
      <c r="I7" s="182">
        <f t="shared" si="23"/>
        <v>0.23302661085176174</v>
      </c>
      <c r="J7" s="183">
        <f t="shared" ref="J7:J10" si="94">HZ7*1.16/IO7</f>
        <v>0.19231069434414516</v>
      </c>
      <c r="L7" s="184">
        <v>1095521.3899999999</v>
      </c>
      <c r="M7" s="184">
        <v>804497.41</v>
      </c>
      <c r="N7" s="184">
        <v>2685102.92</v>
      </c>
      <c r="O7" s="184">
        <v>608309.12</v>
      </c>
      <c r="P7" s="184">
        <v>300903.08</v>
      </c>
      <c r="Q7" s="184">
        <v>656317.78</v>
      </c>
      <c r="R7" s="184">
        <v>811399.23</v>
      </c>
      <c r="S7" s="184">
        <v>496321.68</v>
      </c>
      <c r="T7" s="184">
        <v>513748.96</v>
      </c>
      <c r="U7" s="184">
        <v>82211.33</v>
      </c>
      <c r="V7" s="184">
        <v>611106.16</v>
      </c>
      <c r="W7" s="184">
        <v>329955.84999999998</v>
      </c>
      <c r="X7" s="184">
        <f t="shared" si="24"/>
        <v>8995394.9099999983</v>
      </c>
      <c r="Y7" s="184">
        <f t="shared" si="25"/>
        <v>8995394.9099999983</v>
      </c>
      <c r="AA7" s="184">
        <v>8048544</v>
      </c>
      <c r="AB7" s="184">
        <v>5921568</v>
      </c>
      <c r="AC7" s="184">
        <v>19205424</v>
      </c>
      <c r="AD7" s="184">
        <v>3763968</v>
      </c>
      <c r="AE7" s="184">
        <v>2109576</v>
      </c>
      <c r="AF7" s="184">
        <v>4832966</v>
      </c>
      <c r="AG7" s="184">
        <v>5771812</v>
      </c>
      <c r="AH7" s="184">
        <v>3878692</v>
      </c>
      <c r="AI7" s="184">
        <v>3860248</v>
      </c>
      <c r="AJ7" s="184">
        <v>575224</v>
      </c>
      <c r="AK7" s="184">
        <v>4099722</v>
      </c>
      <c r="AL7" s="184">
        <v>2405112</v>
      </c>
      <c r="AM7" s="184">
        <f t="shared" si="26"/>
        <v>64472856</v>
      </c>
      <c r="AN7" s="184">
        <f t="shared" si="27"/>
        <v>64472856</v>
      </c>
      <c r="AP7" s="184">
        <v>62400</v>
      </c>
      <c r="AQ7" s="184">
        <v>96000</v>
      </c>
      <c r="AR7" s="184">
        <v>834772.7</v>
      </c>
      <c r="AS7" s="184">
        <v>486034.27</v>
      </c>
      <c r="AT7" s="184">
        <v>865568.09</v>
      </c>
      <c r="AU7" s="184">
        <v>1309248.2</v>
      </c>
      <c r="AV7" s="184">
        <v>954594.1399999999</v>
      </c>
      <c r="AW7" s="184">
        <v>1024920.92</v>
      </c>
      <c r="AX7" s="184">
        <v>801616.95</v>
      </c>
      <c r="AY7" s="184">
        <v>666782.52</v>
      </c>
      <c r="AZ7" s="184">
        <v>385853.85</v>
      </c>
      <c r="BA7" s="184">
        <v>556459.69999999995</v>
      </c>
      <c r="BB7" s="184">
        <f t="shared" si="28"/>
        <v>8044251.3399999989</v>
      </c>
      <c r="BC7" s="184">
        <f t="shared" si="29"/>
        <v>8044251.3399999989</v>
      </c>
      <c r="BE7" s="184">
        <v>398112</v>
      </c>
      <c r="BF7" s="184">
        <v>612480</v>
      </c>
      <c r="BG7" s="184">
        <v>3329026</v>
      </c>
      <c r="BH7" s="184">
        <v>1774162</v>
      </c>
      <c r="BI7" s="184">
        <v>2539182</v>
      </c>
      <c r="BJ7" s="184">
        <v>3147892</v>
      </c>
      <c r="BK7" s="184">
        <v>2703960</v>
      </c>
      <c r="BL7" s="184">
        <v>3161522</v>
      </c>
      <c r="BM7" s="184">
        <v>2034350</v>
      </c>
      <c r="BN7" s="184">
        <v>1973798</v>
      </c>
      <c r="BO7" s="184">
        <v>1052700</v>
      </c>
      <c r="BP7" s="184">
        <v>1480682</v>
      </c>
      <c r="BQ7" s="184">
        <f t="shared" si="30"/>
        <v>24207866</v>
      </c>
      <c r="BR7" s="184">
        <f t="shared" si="31"/>
        <v>24207866</v>
      </c>
      <c r="BT7" s="184">
        <v>284138.71999999997</v>
      </c>
      <c r="BU7" s="184">
        <v>108621.58</v>
      </c>
      <c r="BV7" s="184">
        <v>507329.96</v>
      </c>
      <c r="BW7" s="184">
        <v>256636.91</v>
      </c>
      <c r="BX7" s="184">
        <v>375244.3</v>
      </c>
      <c r="BY7" s="184">
        <v>478740.81</v>
      </c>
      <c r="BZ7" s="184">
        <v>299865.01</v>
      </c>
      <c r="CA7" s="184">
        <v>503952.45</v>
      </c>
      <c r="CB7" s="184">
        <v>1001178.01</v>
      </c>
      <c r="CC7" s="184">
        <v>226845.4</v>
      </c>
      <c r="CD7" s="184">
        <f>1716682.58+1083227.36</f>
        <v>2799909.9400000004</v>
      </c>
      <c r="CE7" s="184">
        <v>429929.91</v>
      </c>
      <c r="CF7" s="184">
        <f t="shared" si="32"/>
        <v>7272393</v>
      </c>
      <c r="CG7" s="184">
        <f t="shared" si="33"/>
        <v>7272393</v>
      </c>
      <c r="CI7" s="184">
        <v>837752</v>
      </c>
      <c r="CJ7" s="184">
        <v>189950</v>
      </c>
      <c r="CK7" s="184">
        <v>1462296</v>
      </c>
      <c r="CL7" s="184">
        <v>605810</v>
      </c>
      <c r="CM7" s="184">
        <v>734478</v>
      </c>
      <c r="CN7" s="184">
        <v>1428482</v>
      </c>
      <c r="CO7" s="184">
        <v>718040</v>
      </c>
      <c r="CP7" s="184">
        <v>1143934</v>
      </c>
      <c r="CQ7" s="184">
        <v>2789800</v>
      </c>
      <c r="CR7" s="184">
        <v>353172</v>
      </c>
      <c r="CS7" s="184">
        <f>15030378+2475440</f>
        <v>17505818</v>
      </c>
      <c r="CT7" s="184">
        <v>2278486</v>
      </c>
      <c r="CU7" s="184">
        <f t="shared" si="34"/>
        <v>30048018</v>
      </c>
      <c r="CV7" s="184">
        <f t="shared" si="35"/>
        <v>30048018</v>
      </c>
      <c r="CX7" s="184">
        <f t="shared" si="36"/>
        <v>1442060.1099999999</v>
      </c>
      <c r="CY7" s="184">
        <f t="shared" si="37"/>
        <v>1009118.99</v>
      </c>
      <c r="CZ7" s="184">
        <f t="shared" si="38"/>
        <v>4027205.58</v>
      </c>
      <c r="DA7" s="184">
        <f t="shared" si="39"/>
        <v>1350980.3</v>
      </c>
      <c r="DB7" s="184">
        <f t="shared" si="0"/>
        <v>1541715.47</v>
      </c>
      <c r="DC7" s="184">
        <f t="shared" si="1"/>
        <v>2444306.79</v>
      </c>
      <c r="DD7" s="184">
        <f t="shared" si="40"/>
        <v>2065858.38</v>
      </c>
      <c r="DE7" s="184">
        <f t="shared" si="41"/>
        <v>2025195.05</v>
      </c>
      <c r="DF7" s="184">
        <f t="shared" si="42"/>
        <v>2316543.92</v>
      </c>
      <c r="DG7" s="184">
        <f t="shared" si="43"/>
        <v>975839.25</v>
      </c>
      <c r="DH7" s="184">
        <f t="shared" si="44"/>
        <v>3796869.95</v>
      </c>
      <c r="DI7" s="184">
        <f t="shared" si="45"/>
        <v>1316345.46</v>
      </c>
      <c r="DJ7" s="184">
        <f t="shared" si="46"/>
        <v>24312039.249999996</v>
      </c>
      <c r="DK7" s="184">
        <f t="shared" si="47"/>
        <v>24312039.249999996</v>
      </c>
      <c r="DM7" s="184">
        <f t="shared" si="48"/>
        <v>9284408</v>
      </c>
      <c r="DN7" s="184">
        <f t="shared" si="49"/>
        <v>6723998</v>
      </c>
      <c r="DO7" s="184">
        <f t="shared" si="50"/>
        <v>23996746</v>
      </c>
      <c r="DP7" s="184">
        <f t="shared" si="51"/>
        <v>6143940</v>
      </c>
      <c r="DQ7" s="184">
        <f t="shared" si="52"/>
        <v>5383236</v>
      </c>
      <c r="DR7" s="184">
        <f t="shared" si="53"/>
        <v>9409340</v>
      </c>
      <c r="DS7" s="184">
        <f t="shared" si="54"/>
        <v>9193812</v>
      </c>
      <c r="DT7" s="184">
        <f t="shared" si="55"/>
        <v>8184148</v>
      </c>
      <c r="DU7" s="184">
        <f t="shared" si="56"/>
        <v>8684398</v>
      </c>
      <c r="DV7" s="184">
        <f t="shared" si="57"/>
        <v>2902194</v>
      </c>
      <c r="DW7" s="184">
        <f t="shared" si="58"/>
        <v>22658240</v>
      </c>
      <c r="DX7" s="184">
        <f t="shared" si="59"/>
        <v>6164280</v>
      </c>
      <c r="DY7" s="184">
        <f t="shared" si="60"/>
        <v>118728740</v>
      </c>
      <c r="DZ7" s="184">
        <f t="shared" si="61"/>
        <v>118728740</v>
      </c>
      <c r="EB7" s="184"/>
      <c r="EC7" s="184"/>
      <c r="ED7" s="184"/>
      <c r="EE7" s="184"/>
      <c r="EF7" s="184"/>
      <c r="EG7" s="184"/>
      <c r="EH7" s="184"/>
      <c r="EI7" s="184"/>
      <c r="EJ7" s="184"/>
      <c r="EK7" s="184"/>
      <c r="EL7" s="184"/>
      <c r="EM7" s="184">
        <v>2048039.63</v>
      </c>
      <c r="EN7" s="184">
        <f t="shared" si="62"/>
        <v>2048039.63</v>
      </c>
      <c r="EO7" s="184">
        <f t="shared" si="63"/>
        <v>2048039.63</v>
      </c>
      <c r="EQ7" s="184"/>
      <c r="ER7" s="184"/>
      <c r="ES7" s="184"/>
      <c r="ET7" s="184"/>
      <c r="EU7" s="184"/>
      <c r="EV7" s="184"/>
      <c r="EW7" s="184"/>
      <c r="EX7" s="184"/>
      <c r="EY7" s="184"/>
      <c r="EZ7" s="184"/>
      <c r="FA7" s="184"/>
      <c r="FB7" s="184">
        <v>15317568</v>
      </c>
      <c r="FC7" s="184">
        <f t="shared" si="64"/>
        <v>15317568</v>
      </c>
      <c r="FD7" s="184">
        <f t="shared" si="65"/>
        <v>15317568</v>
      </c>
      <c r="FF7" s="184"/>
      <c r="FG7" s="184"/>
      <c r="FH7" s="184"/>
      <c r="FI7" s="184"/>
      <c r="FJ7" s="184"/>
      <c r="FK7" s="184"/>
      <c r="FL7" s="184"/>
      <c r="FM7" s="184"/>
      <c r="FN7" s="184"/>
      <c r="FO7" s="184"/>
      <c r="FP7" s="184"/>
      <c r="FQ7" s="184"/>
      <c r="FR7" s="184">
        <f t="shared" si="66"/>
        <v>0</v>
      </c>
      <c r="FS7" s="184">
        <f t="shared" si="67"/>
        <v>0</v>
      </c>
      <c r="FU7" s="184"/>
      <c r="FV7" s="184"/>
      <c r="FW7" s="184"/>
      <c r="FX7" s="184"/>
      <c r="FY7" s="184"/>
      <c r="FZ7" s="184"/>
      <c r="GA7" s="184"/>
      <c r="GB7" s="184"/>
      <c r="GC7" s="184"/>
      <c r="GD7" s="184"/>
      <c r="GE7" s="184"/>
      <c r="GF7" s="184"/>
      <c r="GG7" s="184">
        <f t="shared" si="68"/>
        <v>0</v>
      </c>
      <c r="GH7" s="184">
        <f t="shared" si="69"/>
        <v>0</v>
      </c>
      <c r="GJ7" s="184"/>
      <c r="GK7" s="184"/>
      <c r="GL7" s="184"/>
      <c r="GM7" s="184"/>
      <c r="GN7" s="184"/>
      <c r="GO7" s="184"/>
      <c r="GP7" s="184"/>
      <c r="GQ7" s="184"/>
      <c r="GR7" s="184"/>
      <c r="GS7" s="184"/>
      <c r="GT7" s="184">
        <v>938365.43</v>
      </c>
      <c r="GU7" s="184">
        <v>142634.17000000001</v>
      </c>
      <c r="GV7" s="184">
        <f t="shared" si="70"/>
        <v>1080999.6000000001</v>
      </c>
      <c r="GW7" s="184">
        <f t="shared" si="71"/>
        <v>1080999.6000000001</v>
      </c>
      <c r="GY7" s="184"/>
      <c r="GZ7" s="184"/>
      <c r="HA7" s="184"/>
      <c r="HB7" s="184"/>
      <c r="HC7" s="184"/>
      <c r="HD7" s="184"/>
      <c r="HE7" s="184"/>
      <c r="HF7" s="184"/>
      <c r="HG7" s="184"/>
      <c r="HH7" s="184"/>
      <c r="HI7" s="184">
        <v>3274854</v>
      </c>
      <c r="HJ7" s="184">
        <v>281648</v>
      </c>
      <c r="HK7" s="184">
        <f t="shared" si="72"/>
        <v>3556502</v>
      </c>
      <c r="HL7" s="184">
        <f t="shared" si="73"/>
        <v>3556502</v>
      </c>
      <c r="HN7" s="184">
        <f t="shared" si="74"/>
        <v>0</v>
      </c>
      <c r="HO7" s="184">
        <f t="shared" si="75"/>
        <v>0</v>
      </c>
      <c r="HP7" s="184">
        <f t="shared" si="76"/>
        <v>0</v>
      </c>
      <c r="HQ7" s="184">
        <f t="shared" si="77"/>
        <v>0</v>
      </c>
      <c r="HR7" s="184">
        <f t="shared" si="78"/>
        <v>0</v>
      </c>
      <c r="HS7" s="184">
        <f t="shared" si="79"/>
        <v>0</v>
      </c>
      <c r="HT7" s="184">
        <f t="shared" si="80"/>
        <v>0</v>
      </c>
      <c r="HU7" s="184">
        <f t="shared" si="81"/>
        <v>0</v>
      </c>
      <c r="HV7" s="184">
        <f t="shared" si="82"/>
        <v>0</v>
      </c>
      <c r="HW7" s="184">
        <f t="shared" si="83"/>
        <v>0</v>
      </c>
      <c r="HX7" s="184">
        <f t="shared" si="84"/>
        <v>938365.43</v>
      </c>
      <c r="HY7" s="184">
        <f t="shared" si="85"/>
        <v>2190673.7999999998</v>
      </c>
      <c r="HZ7" s="184">
        <f t="shared" si="86"/>
        <v>3129039.23</v>
      </c>
      <c r="IA7" s="184">
        <f t="shared" si="87"/>
        <v>3129039.23</v>
      </c>
      <c r="IC7" s="184">
        <f t="shared" si="88"/>
        <v>0</v>
      </c>
      <c r="ID7" s="184">
        <f t="shared" si="10"/>
        <v>0</v>
      </c>
      <c r="IE7" s="184">
        <f t="shared" si="11"/>
        <v>0</v>
      </c>
      <c r="IF7" s="184">
        <f t="shared" si="12"/>
        <v>0</v>
      </c>
      <c r="IG7" s="184">
        <f t="shared" si="13"/>
        <v>0</v>
      </c>
      <c r="IH7" s="184">
        <f t="shared" si="14"/>
        <v>0</v>
      </c>
      <c r="II7" s="184">
        <f t="shared" si="15"/>
        <v>0</v>
      </c>
      <c r="IJ7" s="184">
        <f t="shared" si="16"/>
        <v>0</v>
      </c>
      <c r="IK7" s="184">
        <f t="shared" si="17"/>
        <v>0</v>
      </c>
      <c r="IL7" s="184">
        <f t="shared" si="18"/>
        <v>0</v>
      </c>
      <c r="IM7" s="184">
        <f t="shared" si="19"/>
        <v>3274854</v>
      </c>
      <c r="IN7" s="184">
        <f t="shared" si="20"/>
        <v>15599216</v>
      </c>
      <c r="IO7" s="184">
        <f t="shared" si="89"/>
        <v>18874070</v>
      </c>
      <c r="IP7" s="184">
        <f t="shared" si="90"/>
        <v>18874070</v>
      </c>
    </row>
    <row r="8" spans="1:250">
      <c r="A8" s="443"/>
      <c r="B8" s="181" t="s">
        <v>149</v>
      </c>
      <c r="C8" s="182"/>
      <c r="D8" s="182"/>
      <c r="E8" s="182"/>
      <c r="F8" s="182"/>
      <c r="G8" s="182"/>
      <c r="H8" s="182"/>
      <c r="I8" s="182"/>
      <c r="J8" s="183"/>
      <c r="L8" s="184"/>
      <c r="M8" s="184"/>
      <c r="N8" s="185"/>
      <c r="O8" s="184"/>
      <c r="P8" s="184"/>
      <c r="Q8" s="184"/>
      <c r="R8" s="184"/>
      <c r="S8" s="184"/>
      <c r="T8" s="184"/>
      <c r="U8" s="184"/>
      <c r="V8" s="184"/>
      <c r="W8" s="184"/>
      <c r="X8" s="184">
        <f t="shared" si="24"/>
        <v>0</v>
      </c>
      <c r="Y8" s="184">
        <f t="shared" si="25"/>
        <v>0</v>
      </c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>
        <f t="shared" si="26"/>
        <v>0</v>
      </c>
      <c r="AN8" s="184">
        <f t="shared" si="27"/>
        <v>0</v>
      </c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>
        <f t="shared" si="28"/>
        <v>0</v>
      </c>
      <c r="BC8" s="184">
        <f t="shared" si="29"/>
        <v>0</v>
      </c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>
        <f t="shared" si="30"/>
        <v>0</v>
      </c>
      <c r="BR8" s="184">
        <f t="shared" si="31"/>
        <v>0</v>
      </c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>
        <f t="shared" si="32"/>
        <v>0</v>
      </c>
      <c r="CG8" s="184">
        <f t="shared" si="33"/>
        <v>0</v>
      </c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>
        <f t="shared" si="34"/>
        <v>0</v>
      </c>
      <c r="CV8" s="184">
        <f t="shared" si="35"/>
        <v>0</v>
      </c>
      <c r="CX8" s="184">
        <f t="shared" si="36"/>
        <v>0</v>
      </c>
      <c r="CY8" s="184">
        <f t="shared" si="37"/>
        <v>0</v>
      </c>
      <c r="CZ8" s="184">
        <f t="shared" si="38"/>
        <v>0</v>
      </c>
      <c r="DA8" s="184">
        <f t="shared" si="39"/>
        <v>0</v>
      </c>
      <c r="DB8" s="184">
        <f t="shared" si="0"/>
        <v>0</v>
      </c>
      <c r="DC8" s="184">
        <f t="shared" si="1"/>
        <v>0</v>
      </c>
      <c r="DD8" s="184">
        <f t="shared" si="40"/>
        <v>0</v>
      </c>
      <c r="DE8" s="184">
        <f t="shared" si="41"/>
        <v>0</v>
      </c>
      <c r="DF8" s="184">
        <f t="shared" si="42"/>
        <v>0</v>
      </c>
      <c r="DG8" s="184">
        <f t="shared" si="43"/>
        <v>0</v>
      </c>
      <c r="DH8" s="184">
        <f t="shared" si="44"/>
        <v>0</v>
      </c>
      <c r="DI8" s="184">
        <f t="shared" si="45"/>
        <v>0</v>
      </c>
      <c r="DJ8" s="184">
        <f t="shared" si="46"/>
        <v>0</v>
      </c>
      <c r="DK8" s="184">
        <f t="shared" si="47"/>
        <v>0</v>
      </c>
      <c r="DM8" s="184">
        <f t="shared" si="48"/>
        <v>0</v>
      </c>
      <c r="DN8" s="184">
        <f t="shared" si="49"/>
        <v>0</v>
      </c>
      <c r="DO8" s="184">
        <f t="shared" si="50"/>
        <v>0</v>
      </c>
      <c r="DP8" s="184">
        <f t="shared" si="51"/>
        <v>0</v>
      </c>
      <c r="DQ8" s="184">
        <f t="shared" si="52"/>
        <v>0</v>
      </c>
      <c r="DR8" s="184">
        <f t="shared" si="53"/>
        <v>0</v>
      </c>
      <c r="DS8" s="184">
        <f t="shared" si="54"/>
        <v>0</v>
      </c>
      <c r="DT8" s="184">
        <f t="shared" si="55"/>
        <v>0</v>
      </c>
      <c r="DU8" s="184">
        <f t="shared" si="56"/>
        <v>0</v>
      </c>
      <c r="DV8" s="184">
        <f t="shared" si="57"/>
        <v>0</v>
      </c>
      <c r="DW8" s="184">
        <f t="shared" si="58"/>
        <v>0</v>
      </c>
      <c r="DX8" s="184">
        <f t="shared" si="59"/>
        <v>0</v>
      </c>
      <c r="DY8" s="184">
        <f t="shared" si="60"/>
        <v>0</v>
      </c>
      <c r="DZ8" s="184">
        <f t="shared" si="61"/>
        <v>0</v>
      </c>
      <c r="EB8" s="184"/>
      <c r="EC8" s="184"/>
      <c r="ED8" s="185"/>
      <c r="EE8" s="184"/>
      <c r="EF8" s="184"/>
      <c r="EG8" s="184"/>
      <c r="EH8" s="184"/>
      <c r="EI8" s="184"/>
      <c r="EJ8" s="184"/>
      <c r="EK8" s="184"/>
      <c r="EL8" s="184"/>
      <c r="EM8" s="184"/>
      <c r="EN8" s="184">
        <f t="shared" si="62"/>
        <v>0</v>
      </c>
      <c r="EO8" s="184">
        <f t="shared" si="63"/>
        <v>0</v>
      </c>
      <c r="EQ8" s="184"/>
      <c r="ER8" s="184"/>
      <c r="ES8" s="184"/>
      <c r="ET8" s="184"/>
      <c r="EU8" s="184"/>
      <c r="EV8" s="184"/>
      <c r="EW8" s="184"/>
      <c r="EX8" s="184"/>
      <c r="EY8" s="184"/>
      <c r="EZ8" s="184"/>
      <c r="FA8" s="184"/>
      <c r="FB8" s="184"/>
      <c r="FC8" s="184">
        <f t="shared" si="64"/>
        <v>0</v>
      </c>
      <c r="FD8" s="184">
        <f t="shared" si="65"/>
        <v>0</v>
      </c>
      <c r="FF8" s="184"/>
      <c r="FG8" s="184"/>
      <c r="FH8" s="184"/>
      <c r="FI8" s="184"/>
      <c r="FJ8" s="184"/>
      <c r="FK8" s="184"/>
      <c r="FL8" s="184"/>
      <c r="FM8" s="184"/>
      <c r="FN8" s="184"/>
      <c r="FO8" s="184"/>
      <c r="FP8" s="184"/>
      <c r="FQ8" s="184"/>
      <c r="FR8" s="184">
        <f t="shared" si="66"/>
        <v>0</v>
      </c>
      <c r="FS8" s="184">
        <f t="shared" si="67"/>
        <v>0</v>
      </c>
      <c r="FU8" s="184"/>
      <c r="FV8" s="184"/>
      <c r="FW8" s="184"/>
      <c r="FX8" s="184"/>
      <c r="FY8" s="184"/>
      <c r="FZ8" s="184"/>
      <c r="GA8" s="184"/>
      <c r="GB8" s="184"/>
      <c r="GC8" s="184"/>
      <c r="GD8" s="184"/>
      <c r="GE8" s="184"/>
      <c r="GF8" s="184"/>
      <c r="GG8" s="184">
        <f t="shared" si="68"/>
        <v>0</v>
      </c>
      <c r="GH8" s="184">
        <f t="shared" si="69"/>
        <v>0</v>
      </c>
      <c r="GJ8" s="184"/>
      <c r="GK8" s="184"/>
      <c r="GL8" s="184"/>
      <c r="GM8" s="184"/>
      <c r="GN8" s="184"/>
      <c r="GO8" s="184"/>
      <c r="GP8" s="184"/>
      <c r="GQ8" s="184"/>
      <c r="GR8" s="184"/>
      <c r="GS8" s="184"/>
      <c r="GT8" s="184"/>
      <c r="GU8" s="184"/>
      <c r="GV8" s="184">
        <f t="shared" si="70"/>
        <v>0</v>
      </c>
      <c r="GW8" s="184">
        <f t="shared" si="71"/>
        <v>0</v>
      </c>
      <c r="GY8" s="184"/>
      <c r="GZ8" s="184"/>
      <c r="HA8" s="184"/>
      <c r="HB8" s="184"/>
      <c r="HC8" s="184"/>
      <c r="HD8" s="184"/>
      <c r="HE8" s="184"/>
      <c r="HF8" s="184"/>
      <c r="HG8" s="184"/>
      <c r="HH8" s="184"/>
      <c r="HI8" s="184"/>
      <c r="HJ8" s="184"/>
      <c r="HK8" s="184">
        <f t="shared" si="72"/>
        <v>0</v>
      </c>
      <c r="HL8" s="184">
        <f t="shared" si="73"/>
        <v>0</v>
      </c>
      <c r="HN8" s="184">
        <f t="shared" si="74"/>
        <v>0</v>
      </c>
      <c r="HO8" s="184">
        <f t="shared" si="75"/>
        <v>0</v>
      </c>
      <c r="HP8" s="184">
        <f t="shared" si="76"/>
        <v>0</v>
      </c>
      <c r="HQ8" s="184">
        <f t="shared" si="77"/>
        <v>0</v>
      </c>
      <c r="HR8" s="184">
        <f t="shared" si="78"/>
        <v>0</v>
      </c>
      <c r="HS8" s="184">
        <f t="shared" si="79"/>
        <v>0</v>
      </c>
      <c r="HT8" s="184">
        <f t="shared" si="80"/>
        <v>0</v>
      </c>
      <c r="HU8" s="184">
        <f t="shared" si="81"/>
        <v>0</v>
      </c>
      <c r="HV8" s="184">
        <f t="shared" si="82"/>
        <v>0</v>
      </c>
      <c r="HW8" s="184">
        <f t="shared" si="83"/>
        <v>0</v>
      </c>
      <c r="HX8" s="184">
        <f t="shared" si="84"/>
        <v>0</v>
      </c>
      <c r="HY8" s="184">
        <f t="shared" si="85"/>
        <v>0</v>
      </c>
      <c r="HZ8" s="184">
        <f t="shared" si="86"/>
        <v>0</v>
      </c>
      <c r="IA8" s="184">
        <f t="shared" si="87"/>
        <v>0</v>
      </c>
      <c r="IC8" s="184">
        <f t="shared" si="88"/>
        <v>0</v>
      </c>
      <c r="ID8" s="184">
        <f t="shared" si="10"/>
        <v>0</v>
      </c>
      <c r="IE8" s="184">
        <f t="shared" si="11"/>
        <v>0</v>
      </c>
      <c r="IF8" s="184">
        <f t="shared" si="12"/>
        <v>0</v>
      </c>
      <c r="IG8" s="184">
        <f t="shared" si="13"/>
        <v>0</v>
      </c>
      <c r="IH8" s="184">
        <f t="shared" si="14"/>
        <v>0</v>
      </c>
      <c r="II8" s="184">
        <f t="shared" si="15"/>
        <v>0</v>
      </c>
      <c r="IJ8" s="184">
        <f t="shared" si="16"/>
        <v>0</v>
      </c>
      <c r="IK8" s="184">
        <f t="shared" si="17"/>
        <v>0</v>
      </c>
      <c r="IL8" s="184">
        <f t="shared" si="18"/>
        <v>0</v>
      </c>
      <c r="IM8" s="184">
        <f t="shared" si="19"/>
        <v>0</v>
      </c>
      <c r="IN8" s="184">
        <f t="shared" si="20"/>
        <v>0</v>
      </c>
      <c r="IO8" s="184">
        <f t="shared" si="89"/>
        <v>0</v>
      </c>
      <c r="IP8" s="184">
        <f t="shared" si="90"/>
        <v>0</v>
      </c>
    </row>
    <row r="9" spans="1:250">
      <c r="A9" s="443"/>
      <c r="B9" s="181" t="s">
        <v>223</v>
      </c>
      <c r="C9" s="182">
        <f t="shared" si="21"/>
        <v>2.6185535396440127E-2</v>
      </c>
      <c r="D9" s="182">
        <f t="shared" si="91"/>
        <v>6.5613853611178816E-2</v>
      </c>
      <c r="E9" s="182">
        <f t="shared" si="92"/>
        <v>0.27313868110993267</v>
      </c>
      <c r="F9" s="182">
        <f t="shared" ref="F9:F10" si="95">FR9*1.16/GG9</f>
        <v>0.3135317871680447</v>
      </c>
      <c r="G9" s="182">
        <f t="shared" si="22"/>
        <v>0.46256608571569485</v>
      </c>
      <c r="H9" s="182">
        <f t="shared" si="93"/>
        <v>1.2450332448910324</v>
      </c>
      <c r="I9" s="182">
        <f t="shared" si="23"/>
        <v>0.2495920964605251</v>
      </c>
      <c r="J9" s="183">
        <f t="shared" si="94"/>
        <v>0.29196231053925392</v>
      </c>
      <c r="L9" s="184">
        <v>6763.04</v>
      </c>
      <c r="M9" s="184">
        <v>3379.04</v>
      </c>
      <c r="N9" s="184">
        <v>12861.53</v>
      </c>
      <c r="O9" s="184">
        <v>0</v>
      </c>
      <c r="P9" s="184">
        <v>2309.1</v>
      </c>
      <c r="Q9" s="184">
        <v>6288.43</v>
      </c>
      <c r="R9" s="184">
        <v>2309.1</v>
      </c>
      <c r="S9" s="184">
        <v>5649.57</v>
      </c>
      <c r="T9" s="184">
        <v>15960.01</v>
      </c>
      <c r="U9" s="184">
        <v>1412.39</v>
      </c>
      <c r="V9" s="184">
        <v>-3406.57</v>
      </c>
      <c r="W9" s="184">
        <v>3147.4</v>
      </c>
      <c r="X9" s="184">
        <f t="shared" si="24"/>
        <v>56673.04</v>
      </c>
      <c r="Y9" s="184">
        <f t="shared" si="25"/>
        <v>56673.04</v>
      </c>
      <c r="AA9" s="184">
        <v>490896</v>
      </c>
      <c r="AB9" s="184">
        <v>104952</v>
      </c>
      <c r="AC9" s="184">
        <v>126336</v>
      </c>
      <c r="AD9" s="184">
        <v>4128</v>
      </c>
      <c r="AE9" s="184">
        <v>12576</v>
      </c>
      <c r="AF9" s="184">
        <v>40956</v>
      </c>
      <c r="AG9" s="184">
        <v>15762</v>
      </c>
      <c r="AH9" s="184">
        <v>193236</v>
      </c>
      <c r="AI9" s="184">
        <v>1023432</v>
      </c>
      <c r="AJ9" s="184">
        <v>291648</v>
      </c>
      <c r="AK9" s="184">
        <v>97017</v>
      </c>
      <c r="AL9" s="184">
        <v>71061</v>
      </c>
      <c r="AM9" s="184">
        <f t="shared" si="26"/>
        <v>2472000</v>
      </c>
      <c r="AN9" s="184">
        <f t="shared" si="27"/>
        <v>2472000</v>
      </c>
      <c r="AP9" s="184">
        <v>412988.06</v>
      </c>
      <c r="AQ9" s="184">
        <v>16140.09</v>
      </c>
      <c r="AR9" s="184">
        <v>288320.17</v>
      </c>
      <c r="AS9" s="184">
        <v>218482.93</v>
      </c>
      <c r="AT9" s="184">
        <v>45210.740000000005</v>
      </c>
      <c r="AU9" s="184">
        <v>48616.04</v>
      </c>
      <c r="AV9" s="184">
        <v>62458.67</v>
      </c>
      <c r="AW9" s="184">
        <v>45591.14</v>
      </c>
      <c r="AX9" s="184">
        <v>70683.58</v>
      </c>
      <c r="AY9" s="184">
        <v>163786.93</v>
      </c>
      <c r="AZ9" s="184">
        <v>210546.78</v>
      </c>
      <c r="BA9" s="184">
        <v>255391.56</v>
      </c>
      <c r="BB9" s="184">
        <f t="shared" si="28"/>
        <v>1838216.69</v>
      </c>
      <c r="BC9" s="184">
        <f t="shared" si="29"/>
        <v>1838216.69</v>
      </c>
      <c r="BE9" s="184">
        <v>1524476</v>
      </c>
      <c r="BF9" s="184">
        <v>256626</v>
      </c>
      <c r="BG9" s="184">
        <v>1058533</v>
      </c>
      <c r="BH9" s="184">
        <v>674500</v>
      </c>
      <c r="BI9" s="184">
        <v>174363</v>
      </c>
      <c r="BJ9" s="184">
        <v>137123</v>
      </c>
      <c r="BK9" s="184">
        <v>165490</v>
      </c>
      <c r="BL9" s="184">
        <v>109858</v>
      </c>
      <c r="BM9" s="184">
        <v>284392</v>
      </c>
      <c r="BN9" s="184">
        <v>1456863</v>
      </c>
      <c r="BO9" s="184">
        <v>834739</v>
      </c>
      <c r="BP9" s="184">
        <v>1006710</v>
      </c>
      <c r="BQ9" s="184">
        <f t="shared" si="30"/>
        <v>7683673</v>
      </c>
      <c r="BR9" s="184">
        <f t="shared" si="31"/>
        <v>7683673</v>
      </c>
      <c r="BT9" s="184">
        <v>56158.36</v>
      </c>
      <c r="BU9" s="184">
        <v>27740.560000000001</v>
      </c>
      <c r="BV9" s="184">
        <v>60637.8</v>
      </c>
      <c r="BW9" s="184">
        <v>36545.11</v>
      </c>
      <c r="BX9" s="184">
        <v>27432.07</v>
      </c>
      <c r="BY9" s="184">
        <v>36034.990000000005</v>
      </c>
      <c r="BZ9" s="184">
        <v>14811.029999999999</v>
      </c>
      <c r="CA9" s="184">
        <v>21622.6</v>
      </c>
      <c r="CB9" s="184">
        <v>45412.21</v>
      </c>
      <c r="CC9" s="184">
        <v>61273.919999999998</v>
      </c>
      <c r="CD9" s="184">
        <v>220988.92</v>
      </c>
      <c r="CE9" s="184">
        <v>101239.73</v>
      </c>
      <c r="CF9" s="184">
        <f t="shared" si="32"/>
        <v>709897.3</v>
      </c>
      <c r="CG9" s="184">
        <f t="shared" si="33"/>
        <v>709897.3</v>
      </c>
      <c r="CI9" s="184">
        <v>188055</v>
      </c>
      <c r="CJ9" s="184">
        <v>34178</v>
      </c>
      <c r="CK9" s="184">
        <v>85436</v>
      </c>
      <c r="CL9" s="184">
        <v>46042</v>
      </c>
      <c r="CM9" s="184">
        <v>38070</v>
      </c>
      <c r="CN9" s="184">
        <v>62552</v>
      </c>
      <c r="CO9" s="184">
        <v>19071</v>
      </c>
      <c r="CP9" s="184">
        <v>31717</v>
      </c>
      <c r="CQ9" s="184">
        <v>88185</v>
      </c>
      <c r="CR9" s="184">
        <v>100308</v>
      </c>
      <c r="CS9" s="184">
        <v>828600</v>
      </c>
      <c r="CT9" s="184">
        <v>221364</v>
      </c>
      <c r="CU9" s="184">
        <f t="shared" si="34"/>
        <v>1743578</v>
      </c>
      <c r="CV9" s="184">
        <f t="shared" si="35"/>
        <v>1743578</v>
      </c>
      <c r="CX9" s="184">
        <f t="shared" si="36"/>
        <v>475909.45999999996</v>
      </c>
      <c r="CY9" s="184">
        <f t="shared" si="37"/>
        <v>47259.69</v>
      </c>
      <c r="CZ9" s="184">
        <f t="shared" si="38"/>
        <v>361819.5</v>
      </c>
      <c r="DA9" s="184">
        <f t="shared" si="39"/>
        <v>255028.03999999998</v>
      </c>
      <c r="DB9" s="184">
        <f t="shared" si="0"/>
        <v>74951.91</v>
      </c>
      <c r="DC9" s="184">
        <f t="shared" si="1"/>
        <v>90939.46</v>
      </c>
      <c r="DD9" s="184">
        <f t="shared" si="40"/>
        <v>79578.799999999988</v>
      </c>
      <c r="DE9" s="184">
        <f t="shared" si="41"/>
        <v>72863.31</v>
      </c>
      <c r="DF9" s="184">
        <f t="shared" si="42"/>
        <v>132055.79999999999</v>
      </c>
      <c r="DG9" s="184">
        <f t="shared" si="43"/>
        <v>226473.24</v>
      </c>
      <c r="DH9" s="184">
        <f t="shared" si="44"/>
        <v>428129.13</v>
      </c>
      <c r="DI9" s="184">
        <f t="shared" si="45"/>
        <v>359778.69</v>
      </c>
      <c r="DJ9" s="184">
        <f t="shared" si="46"/>
        <v>2604787.0299999998</v>
      </c>
      <c r="DK9" s="184">
        <f t="shared" si="47"/>
        <v>2604787.0299999998</v>
      </c>
      <c r="DM9" s="184">
        <f t="shared" si="48"/>
        <v>2203427</v>
      </c>
      <c r="DN9" s="184">
        <f t="shared" si="49"/>
        <v>395756</v>
      </c>
      <c r="DO9" s="184">
        <f t="shared" si="50"/>
        <v>1270305</v>
      </c>
      <c r="DP9" s="184">
        <f t="shared" si="51"/>
        <v>724670</v>
      </c>
      <c r="DQ9" s="184">
        <f t="shared" si="52"/>
        <v>225009</v>
      </c>
      <c r="DR9" s="184">
        <f t="shared" si="53"/>
        <v>240631</v>
      </c>
      <c r="DS9" s="184">
        <f t="shared" si="54"/>
        <v>200323</v>
      </c>
      <c r="DT9" s="184">
        <f t="shared" si="55"/>
        <v>334811</v>
      </c>
      <c r="DU9" s="184">
        <f t="shared" si="56"/>
        <v>1396009</v>
      </c>
      <c r="DV9" s="184">
        <f t="shared" si="57"/>
        <v>1848819</v>
      </c>
      <c r="DW9" s="184">
        <f t="shared" si="58"/>
        <v>1760356</v>
      </c>
      <c r="DX9" s="184">
        <f t="shared" si="59"/>
        <v>1299135</v>
      </c>
      <c r="DY9" s="184">
        <f t="shared" si="60"/>
        <v>11899251</v>
      </c>
      <c r="DZ9" s="184">
        <f t="shared" si="61"/>
        <v>11899251</v>
      </c>
      <c r="EB9" s="184"/>
      <c r="EC9" s="184"/>
      <c r="ED9" s="184"/>
      <c r="EE9" s="184"/>
      <c r="EF9" s="184"/>
      <c r="EG9" s="184"/>
      <c r="EH9" s="184"/>
      <c r="EI9" s="184"/>
      <c r="EJ9" s="184">
        <v>62096.87</v>
      </c>
      <c r="EK9" s="184">
        <v>12361.17</v>
      </c>
      <c r="EL9" s="184">
        <v>12326.9</v>
      </c>
      <c r="EM9" s="184">
        <v>19719.75</v>
      </c>
      <c r="EN9" s="184">
        <f t="shared" si="62"/>
        <v>106504.69</v>
      </c>
      <c r="EO9" s="184">
        <f t="shared" si="63"/>
        <v>106504.69</v>
      </c>
      <c r="EQ9" s="184"/>
      <c r="ER9" s="184"/>
      <c r="ES9" s="184"/>
      <c r="ET9" s="184"/>
      <c r="EU9" s="184"/>
      <c r="EV9" s="184"/>
      <c r="EW9" s="184"/>
      <c r="EX9" s="184"/>
      <c r="EY9" s="184">
        <v>389139</v>
      </c>
      <c r="EZ9" s="184">
        <v>770754</v>
      </c>
      <c r="FA9" s="184">
        <v>303888</v>
      </c>
      <c r="FB9" s="184">
        <v>419136</v>
      </c>
      <c r="FC9" s="184">
        <f t="shared" si="64"/>
        <v>1882917</v>
      </c>
      <c r="FD9" s="184">
        <f t="shared" si="65"/>
        <v>1882917</v>
      </c>
      <c r="FF9" s="184"/>
      <c r="FG9" s="184"/>
      <c r="FH9" s="184"/>
      <c r="FI9" s="184"/>
      <c r="FJ9" s="184"/>
      <c r="FK9" s="184"/>
      <c r="FL9" s="184"/>
      <c r="FM9" s="184"/>
      <c r="FN9" s="184">
        <v>40882.720000000001</v>
      </c>
      <c r="FO9" s="184">
        <v>256398.11</v>
      </c>
      <c r="FP9" s="184">
        <v>110278.83</v>
      </c>
      <c r="FQ9" s="184">
        <v>112291.99</v>
      </c>
      <c r="FR9" s="184">
        <f t="shared" si="66"/>
        <v>519851.64999999997</v>
      </c>
      <c r="FS9" s="184">
        <f t="shared" si="67"/>
        <v>519851.64999999997</v>
      </c>
      <c r="FU9" s="184"/>
      <c r="FV9" s="184"/>
      <c r="FW9" s="184"/>
      <c r="FX9" s="184"/>
      <c r="FY9" s="184"/>
      <c r="FZ9" s="184"/>
      <c r="GA9" s="184"/>
      <c r="GB9" s="184"/>
      <c r="GC9" s="184">
        <v>118560</v>
      </c>
      <c r="GD9" s="184">
        <v>606480</v>
      </c>
      <c r="GE9" s="184">
        <v>652232</v>
      </c>
      <c r="GF9" s="184">
        <v>546067</v>
      </c>
      <c r="GG9" s="184">
        <f t="shared" si="68"/>
        <v>1923339</v>
      </c>
      <c r="GH9" s="184">
        <f t="shared" si="69"/>
        <v>1923339</v>
      </c>
      <c r="GJ9" s="184"/>
      <c r="GK9" s="184"/>
      <c r="GL9" s="184"/>
      <c r="GM9" s="184"/>
      <c r="GN9" s="184"/>
      <c r="GO9" s="184"/>
      <c r="GP9" s="184"/>
      <c r="GQ9" s="184"/>
      <c r="GR9" s="184">
        <v>54915.38</v>
      </c>
      <c r="GS9" s="184">
        <v>54802.13</v>
      </c>
      <c r="GT9" s="184">
        <v>109687.6</v>
      </c>
      <c r="GU9" s="184">
        <v>213837.48</v>
      </c>
      <c r="GV9" s="184">
        <f t="shared" si="70"/>
        <v>433242.58999999997</v>
      </c>
      <c r="GW9" s="184">
        <f t="shared" si="71"/>
        <v>433242.58999999997</v>
      </c>
      <c r="GY9" s="184"/>
      <c r="GZ9" s="184"/>
      <c r="HA9" s="184"/>
      <c r="HB9" s="184"/>
      <c r="HC9" s="184"/>
      <c r="HD9" s="184"/>
      <c r="HE9" s="184"/>
      <c r="HF9" s="184"/>
      <c r="HG9" s="184">
        <v>65284</v>
      </c>
      <c r="HH9" s="184">
        <v>64600</v>
      </c>
      <c r="HI9" s="184">
        <v>218936</v>
      </c>
      <c r="HJ9" s="184">
        <v>54833</v>
      </c>
      <c r="HK9" s="184">
        <f t="shared" si="72"/>
        <v>403653</v>
      </c>
      <c r="HL9" s="184">
        <f t="shared" si="73"/>
        <v>403653</v>
      </c>
      <c r="HN9" s="184">
        <f t="shared" si="74"/>
        <v>0</v>
      </c>
      <c r="HO9" s="184">
        <f t="shared" si="75"/>
        <v>0</v>
      </c>
      <c r="HP9" s="184">
        <f t="shared" si="76"/>
        <v>0</v>
      </c>
      <c r="HQ9" s="184">
        <f t="shared" si="77"/>
        <v>0</v>
      </c>
      <c r="HR9" s="184">
        <f t="shared" si="78"/>
        <v>0</v>
      </c>
      <c r="HS9" s="184">
        <f t="shared" si="79"/>
        <v>0</v>
      </c>
      <c r="HT9" s="184">
        <f t="shared" si="80"/>
        <v>0</v>
      </c>
      <c r="HU9" s="184">
        <f t="shared" si="81"/>
        <v>0</v>
      </c>
      <c r="HV9" s="184">
        <f t="shared" si="82"/>
        <v>157894.97</v>
      </c>
      <c r="HW9" s="184">
        <f t="shared" si="83"/>
        <v>323561.40999999997</v>
      </c>
      <c r="HX9" s="184">
        <f t="shared" si="84"/>
        <v>232293.33000000002</v>
      </c>
      <c r="HY9" s="184">
        <f t="shared" si="85"/>
        <v>345849.22</v>
      </c>
      <c r="HZ9" s="184">
        <f t="shared" si="86"/>
        <v>1059598.93</v>
      </c>
      <c r="IA9" s="184">
        <f t="shared" si="87"/>
        <v>1059598.93</v>
      </c>
      <c r="IC9" s="184">
        <f t="shared" si="88"/>
        <v>0</v>
      </c>
      <c r="ID9" s="184">
        <f t="shared" si="10"/>
        <v>0</v>
      </c>
      <c r="IE9" s="184">
        <f t="shared" si="11"/>
        <v>0</v>
      </c>
      <c r="IF9" s="184">
        <f t="shared" si="12"/>
        <v>0</v>
      </c>
      <c r="IG9" s="184">
        <f t="shared" si="13"/>
        <v>0</v>
      </c>
      <c r="IH9" s="184">
        <f t="shared" si="14"/>
        <v>0</v>
      </c>
      <c r="II9" s="184">
        <f t="shared" si="15"/>
        <v>0</v>
      </c>
      <c r="IJ9" s="184">
        <f t="shared" si="16"/>
        <v>0</v>
      </c>
      <c r="IK9" s="184">
        <f t="shared" si="17"/>
        <v>572983</v>
      </c>
      <c r="IL9" s="184">
        <f t="shared" si="18"/>
        <v>1441834</v>
      </c>
      <c r="IM9" s="184">
        <f t="shared" si="19"/>
        <v>1175056</v>
      </c>
      <c r="IN9" s="184">
        <f t="shared" si="20"/>
        <v>1020036</v>
      </c>
      <c r="IO9" s="184">
        <f t="shared" si="89"/>
        <v>4209909</v>
      </c>
      <c r="IP9" s="184">
        <f t="shared" si="90"/>
        <v>4209909</v>
      </c>
    </row>
    <row r="10" spans="1:250">
      <c r="A10" s="443"/>
      <c r="B10" s="181" t="s">
        <v>227</v>
      </c>
      <c r="C10" s="182">
        <f t="shared" si="21"/>
        <v>0.23163067561889894</v>
      </c>
      <c r="D10" s="182">
        <f t="shared" si="91"/>
        <v>0.26631266739959203</v>
      </c>
      <c r="E10" s="182">
        <f t="shared" si="92"/>
        <v>0.3433810851139194</v>
      </c>
      <c r="F10" s="182">
        <f t="shared" si="95"/>
        <v>0.42294912382764061</v>
      </c>
      <c r="G10" s="182">
        <f t="shared" si="22"/>
        <v>0.46583912658637561</v>
      </c>
      <c r="H10" s="182">
        <f t="shared" si="93"/>
        <v>0.67810599886959577</v>
      </c>
      <c r="I10" s="182">
        <f t="shared" si="23"/>
        <v>0.31531863665363219</v>
      </c>
      <c r="J10" s="183">
        <f t="shared" si="94"/>
        <v>0.35224992240138892</v>
      </c>
      <c r="L10" s="184">
        <f>SUM(L5:L9)</f>
        <v>5393228.1399999997</v>
      </c>
      <c r="M10" s="184">
        <f t="shared" ref="M10:W10" si="96">SUM(M5:M9)</f>
        <v>3849962.5100000002</v>
      </c>
      <c r="N10" s="184">
        <f t="shared" si="96"/>
        <v>14974355.219999999</v>
      </c>
      <c r="O10" s="184">
        <f t="shared" si="96"/>
        <v>5248120.6400000006</v>
      </c>
      <c r="P10" s="184">
        <f t="shared" si="96"/>
        <v>4199374.42</v>
      </c>
      <c r="Q10" s="184">
        <f t="shared" si="96"/>
        <v>9844973.2699999977</v>
      </c>
      <c r="R10" s="184">
        <f t="shared" si="96"/>
        <v>2431516.5300000003</v>
      </c>
      <c r="S10" s="184">
        <f t="shared" si="96"/>
        <v>2545253.86</v>
      </c>
      <c r="T10" s="184">
        <f t="shared" si="96"/>
        <v>5513271.7699999996</v>
      </c>
      <c r="U10" s="184">
        <f t="shared" si="96"/>
        <v>3062002.2</v>
      </c>
      <c r="V10" s="184">
        <f t="shared" si="96"/>
        <v>3781417.3700000006</v>
      </c>
      <c r="W10" s="184">
        <f t="shared" si="96"/>
        <v>3504509.19</v>
      </c>
      <c r="X10" s="184">
        <f t="shared" si="24"/>
        <v>64347985.119999997</v>
      </c>
      <c r="Y10" s="184">
        <f t="shared" si="25"/>
        <v>64347985.119999997</v>
      </c>
      <c r="AA10" s="184">
        <f>SUM(AA5:AA9)</f>
        <v>24939540</v>
      </c>
      <c r="AB10" s="184">
        <f t="shared" ref="AB10:AL10" si="97">SUM(AB5:AB9)</f>
        <v>18281152</v>
      </c>
      <c r="AC10" s="184">
        <f t="shared" si="97"/>
        <v>70853569</v>
      </c>
      <c r="AD10" s="184">
        <f t="shared" si="97"/>
        <v>22098428</v>
      </c>
      <c r="AE10" s="184">
        <f t="shared" si="97"/>
        <v>18000901</v>
      </c>
      <c r="AF10" s="184">
        <f t="shared" si="97"/>
        <v>48270647</v>
      </c>
      <c r="AG10" s="184">
        <f t="shared" si="97"/>
        <v>17282041</v>
      </c>
      <c r="AH10" s="184">
        <f t="shared" si="97"/>
        <v>15917599</v>
      </c>
      <c r="AI10" s="184">
        <f t="shared" si="97"/>
        <v>29633824</v>
      </c>
      <c r="AJ10" s="184">
        <f t="shared" si="97"/>
        <v>15247733</v>
      </c>
      <c r="AK10" s="184">
        <f t="shared" si="97"/>
        <v>19823861</v>
      </c>
      <c r="AL10" s="184">
        <f t="shared" si="97"/>
        <v>16706075</v>
      </c>
      <c r="AM10" s="184">
        <f t="shared" si="26"/>
        <v>317055370</v>
      </c>
      <c r="AN10" s="184">
        <f t="shared" si="27"/>
        <v>317055370</v>
      </c>
      <c r="AP10" s="184">
        <f>SUM(AP5:AP9)</f>
        <v>10320005.270000001</v>
      </c>
      <c r="AQ10" s="184">
        <f t="shared" ref="AQ10:BA10" si="98">SUM(AQ5:AQ9)</f>
        <v>1325012.2700000003</v>
      </c>
      <c r="AR10" s="184">
        <f t="shared" si="98"/>
        <v>11676187.24</v>
      </c>
      <c r="AS10" s="184">
        <f t="shared" si="98"/>
        <v>8770643.0099999998</v>
      </c>
      <c r="AT10" s="184">
        <f t="shared" si="98"/>
        <v>8757664.5199999996</v>
      </c>
      <c r="AU10" s="184">
        <f t="shared" si="98"/>
        <v>9400574.7899999991</v>
      </c>
      <c r="AV10" s="184">
        <f t="shared" si="98"/>
        <v>8504309.2200000007</v>
      </c>
      <c r="AW10" s="184">
        <f t="shared" si="98"/>
        <v>8176926.1999999993</v>
      </c>
      <c r="AX10" s="184">
        <f t="shared" si="98"/>
        <v>9123270.8100000005</v>
      </c>
      <c r="AY10" s="184">
        <f t="shared" si="98"/>
        <v>10396425.699999999</v>
      </c>
      <c r="AZ10" s="184">
        <f t="shared" si="98"/>
        <v>8011514.4999999991</v>
      </c>
      <c r="BA10" s="184">
        <f t="shared" si="98"/>
        <v>8295568.0899999999</v>
      </c>
      <c r="BB10" s="184">
        <f t="shared" si="28"/>
        <v>102758101.62</v>
      </c>
      <c r="BC10" s="184">
        <f t="shared" si="29"/>
        <v>102758101.62</v>
      </c>
      <c r="BE10" s="184">
        <f>SUM(BE5:BE9)</f>
        <v>29581922</v>
      </c>
      <c r="BF10" s="184">
        <f t="shared" ref="BF10:BP10" si="99">SUM(BF5:BF9)</f>
        <v>12355652</v>
      </c>
      <c r="BG10" s="184">
        <f t="shared" si="99"/>
        <v>35283965</v>
      </c>
      <c r="BH10" s="184">
        <f t="shared" si="99"/>
        <v>30862374</v>
      </c>
      <c r="BI10" s="184">
        <f t="shared" si="99"/>
        <v>35374053</v>
      </c>
      <c r="BJ10" s="184">
        <f t="shared" si="99"/>
        <v>28458608</v>
      </c>
      <c r="BK10" s="184">
        <f t="shared" si="99"/>
        <v>29384064</v>
      </c>
      <c r="BL10" s="184">
        <f t="shared" si="99"/>
        <v>24600651</v>
      </c>
      <c r="BM10" s="184">
        <f t="shared" si="99"/>
        <v>34215435</v>
      </c>
      <c r="BN10" s="184">
        <f t="shared" si="99"/>
        <v>32241857</v>
      </c>
      <c r="BO10" s="184">
        <f t="shared" si="99"/>
        <v>21895948</v>
      </c>
      <c r="BP10" s="184">
        <f t="shared" si="99"/>
        <v>25939780</v>
      </c>
      <c r="BQ10" s="184">
        <f t="shared" si="30"/>
        <v>340194309</v>
      </c>
      <c r="BR10" s="184">
        <f t="shared" si="31"/>
        <v>340194309</v>
      </c>
      <c r="BT10" s="184">
        <f>SUM(BT5:BT9)</f>
        <v>1611098.4400000002</v>
      </c>
      <c r="BU10" s="184">
        <f t="shared" ref="BU10" si="100">SUM(BU5:BU9)</f>
        <v>1413753.69</v>
      </c>
      <c r="BV10" s="184">
        <f t="shared" ref="BV10" si="101">SUM(BV5:BV9)</f>
        <v>2822094.55</v>
      </c>
      <c r="BW10" s="184">
        <f t="shared" ref="BW10" si="102">SUM(BW5:BW9)</f>
        <v>2453804.84</v>
      </c>
      <c r="BX10" s="184">
        <f t="shared" ref="BX10" si="103">SUM(BX5:BX9)</f>
        <v>2672511.36</v>
      </c>
      <c r="BY10" s="184">
        <f t="shared" ref="BY10" si="104">SUM(BY5:BY9)</f>
        <v>3359401.8700000006</v>
      </c>
      <c r="BZ10" s="184">
        <f t="shared" ref="BZ10" si="105">SUM(BZ5:BZ9)</f>
        <v>2409853.0399999996</v>
      </c>
      <c r="CA10" s="184">
        <f t="shared" ref="CA10" si="106">SUM(CA5:CA9)</f>
        <v>3281095.5300000003</v>
      </c>
      <c r="CB10" s="184">
        <f t="shared" ref="CB10" si="107">SUM(CB5:CB9)</f>
        <v>5919947.9299999997</v>
      </c>
      <c r="CC10" s="184">
        <f t="shared" ref="CC10" si="108">SUM(CC5:CC9)</f>
        <v>3357226.39</v>
      </c>
      <c r="CD10" s="184">
        <f t="shared" ref="CD10" si="109">SUM(CD5:CD9)</f>
        <v>12491678.140000002</v>
      </c>
      <c r="CE10" s="184">
        <f t="shared" ref="CE10" si="110">SUM(CE5:CE9)</f>
        <v>4576558.2300000004</v>
      </c>
      <c r="CF10" s="184">
        <f t="shared" si="32"/>
        <v>46369024.010000005</v>
      </c>
      <c r="CG10" s="184">
        <f t="shared" si="33"/>
        <v>46369024.010000005</v>
      </c>
      <c r="CI10" s="184">
        <f>SUM(CI5:CI9)</f>
        <v>3039963</v>
      </c>
      <c r="CJ10" s="184">
        <f t="shared" ref="CJ10" si="111">SUM(CJ5:CJ9)</f>
        <v>1954569</v>
      </c>
      <c r="CK10" s="184">
        <f t="shared" ref="CK10" si="112">SUM(CK5:CK9)</f>
        <v>4911654</v>
      </c>
      <c r="CL10" s="184">
        <f t="shared" ref="CL10" si="113">SUM(CL5:CL9)</f>
        <v>3679800</v>
      </c>
      <c r="CM10" s="184">
        <f t="shared" ref="CM10" si="114">SUM(CM5:CM9)</f>
        <v>4010770</v>
      </c>
      <c r="CN10" s="184">
        <f t="shared" ref="CN10" si="115">SUM(CN5:CN9)</f>
        <v>6617105</v>
      </c>
      <c r="CO10" s="184">
        <f t="shared" ref="CO10" si="116">SUM(CO5:CO9)</f>
        <v>4090879</v>
      </c>
      <c r="CP10" s="184">
        <f t="shared" ref="CP10" si="117">SUM(CP5:CP9)</f>
        <v>6276510</v>
      </c>
      <c r="CQ10" s="184">
        <f t="shared" ref="CQ10" si="118">SUM(CQ5:CQ9)</f>
        <v>19144176</v>
      </c>
      <c r="CR10" s="184">
        <f t="shared" ref="CR10" si="119">SUM(CR5:CR9)</f>
        <v>8916651</v>
      </c>
      <c r="CS10" s="184">
        <f t="shared" ref="CS10" si="120">SUM(CS5:CS9)</f>
        <v>39292797</v>
      </c>
      <c r="CT10" s="184">
        <f t="shared" ref="CT10" si="121">SUM(CT5:CT9)</f>
        <v>10920407</v>
      </c>
      <c r="CU10" s="184">
        <f t="shared" si="34"/>
        <v>112855281</v>
      </c>
      <c r="CV10" s="184">
        <f t="shared" si="35"/>
        <v>112855281</v>
      </c>
      <c r="CX10" s="184">
        <f>SUM(CX5:CX9)</f>
        <v>17324331.850000001</v>
      </c>
      <c r="CY10" s="184">
        <f t="shared" ref="CY10" si="122">SUM(CY5:CY9)</f>
        <v>6588728.4700000007</v>
      </c>
      <c r="CZ10" s="184">
        <f t="shared" ref="CZ10" si="123">SUM(CZ5:CZ9)</f>
        <v>29472637.009999998</v>
      </c>
      <c r="DA10" s="184">
        <f t="shared" ref="DA10" si="124">SUM(DA5:DA9)</f>
        <v>16472568.490000002</v>
      </c>
      <c r="DB10" s="184">
        <f t="shared" ref="DB10" si="125">SUM(DB5:DB9)</f>
        <v>15629550.300000001</v>
      </c>
      <c r="DC10" s="184">
        <f t="shared" ref="DC10" si="126">SUM(DC5:DC9)</f>
        <v>22604949.93</v>
      </c>
      <c r="DD10" s="184">
        <f t="shared" ref="DD10" si="127">SUM(DD5:DD9)</f>
        <v>13345678.790000003</v>
      </c>
      <c r="DE10" s="184">
        <f t="shared" ref="DE10" si="128">SUM(DE5:DE9)</f>
        <v>14003275.590000002</v>
      </c>
      <c r="DF10" s="184">
        <f t="shared" ref="DF10" si="129">SUM(DF5:DF9)</f>
        <v>20556490.510000002</v>
      </c>
      <c r="DG10" s="184">
        <f t="shared" ref="DG10" si="130">SUM(DG5:DG9)</f>
        <v>16815654.289999999</v>
      </c>
      <c r="DH10" s="184">
        <f t="shared" ref="DH10" si="131">SUM(DH5:DH9)</f>
        <v>24284610.009999998</v>
      </c>
      <c r="DI10" s="184">
        <f t="shared" ref="DI10" si="132">SUM(DI5:DI9)</f>
        <v>16376635.51</v>
      </c>
      <c r="DJ10" s="184">
        <f t="shared" si="46"/>
        <v>213475110.74999994</v>
      </c>
      <c r="DK10" s="184">
        <f t="shared" si="47"/>
        <v>213475110.74999994</v>
      </c>
      <c r="DM10" s="184">
        <f>SUM(DM5:DM9)</f>
        <v>57561425</v>
      </c>
      <c r="DN10" s="184">
        <f t="shared" ref="DN10" si="133">SUM(DN5:DN9)</f>
        <v>32591373</v>
      </c>
      <c r="DO10" s="184">
        <f t="shared" ref="DO10" si="134">SUM(DO5:DO9)</f>
        <v>111049188</v>
      </c>
      <c r="DP10" s="184">
        <f t="shared" ref="DP10" si="135">SUM(DP5:DP9)</f>
        <v>56640602</v>
      </c>
      <c r="DQ10" s="184">
        <f t="shared" ref="DQ10" si="136">SUM(DQ5:DQ9)</f>
        <v>57385724</v>
      </c>
      <c r="DR10" s="184">
        <f t="shared" ref="DR10" si="137">SUM(DR5:DR9)</f>
        <v>83346360</v>
      </c>
      <c r="DS10" s="184">
        <f t="shared" ref="DS10" si="138">SUM(DS5:DS9)</f>
        <v>50756984</v>
      </c>
      <c r="DT10" s="184">
        <f t="shared" ref="DT10" si="139">SUM(DT5:DT9)</f>
        <v>46794760</v>
      </c>
      <c r="DU10" s="184">
        <f t="shared" ref="DU10" si="140">SUM(DU5:DU9)</f>
        <v>82993435</v>
      </c>
      <c r="DV10" s="184">
        <f t="shared" ref="DV10" si="141">SUM(DV5:DV9)</f>
        <v>56406241</v>
      </c>
      <c r="DW10" s="184">
        <f t="shared" ref="DW10" si="142">SUM(DW5:DW9)</f>
        <v>81012606</v>
      </c>
      <c r="DX10" s="184">
        <f t="shared" ref="DX10" si="143">SUM(DX5:DX9)</f>
        <v>53566262</v>
      </c>
      <c r="DY10" s="184">
        <f t="shared" si="60"/>
        <v>770104960</v>
      </c>
      <c r="DZ10" s="184">
        <f t="shared" si="61"/>
        <v>770104960</v>
      </c>
      <c r="EB10" s="184">
        <f>SUM(EB5:EB9)</f>
        <v>0</v>
      </c>
      <c r="EC10" s="184">
        <f t="shared" ref="EC10:EM10" si="144">SUM(EC5:EC9)</f>
        <v>0</v>
      </c>
      <c r="ED10" s="184">
        <f t="shared" si="144"/>
        <v>0</v>
      </c>
      <c r="EE10" s="184">
        <f t="shared" si="144"/>
        <v>0</v>
      </c>
      <c r="EF10" s="184">
        <f t="shared" si="144"/>
        <v>0</v>
      </c>
      <c r="EG10" s="184">
        <f t="shared" si="144"/>
        <v>0</v>
      </c>
      <c r="EH10" s="184">
        <f t="shared" si="144"/>
        <v>0</v>
      </c>
      <c r="EI10" s="184">
        <f t="shared" si="144"/>
        <v>0</v>
      </c>
      <c r="EJ10" s="184">
        <f t="shared" si="144"/>
        <v>7824120.7999999998</v>
      </c>
      <c r="EK10" s="184">
        <f t="shared" si="144"/>
        <v>7901929.6899999995</v>
      </c>
      <c r="EL10" s="184">
        <f t="shared" si="144"/>
        <v>6924915.1100000003</v>
      </c>
      <c r="EM10" s="184">
        <f t="shared" si="144"/>
        <v>7146920.1499999994</v>
      </c>
      <c r="EN10" s="184">
        <f t="shared" si="62"/>
        <v>29797885.749999996</v>
      </c>
      <c r="EO10" s="184">
        <f t="shared" si="63"/>
        <v>29797885.749999996</v>
      </c>
      <c r="EQ10" s="184">
        <f>SUM(EQ5:EQ9)</f>
        <v>0</v>
      </c>
      <c r="ER10" s="184">
        <f t="shared" ref="ER10:FB10" si="145">SUM(ER5:ER9)</f>
        <v>0</v>
      </c>
      <c r="ES10" s="184">
        <f t="shared" si="145"/>
        <v>0</v>
      </c>
      <c r="ET10" s="184">
        <f t="shared" si="145"/>
        <v>0</v>
      </c>
      <c r="EU10" s="184">
        <f t="shared" si="145"/>
        <v>0</v>
      </c>
      <c r="EV10" s="184">
        <f t="shared" si="145"/>
        <v>0</v>
      </c>
      <c r="EW10" s="184">
        <f t="shared" si="145"/>
        <v>0</v>
      </c>
      <c r="EX10" s="184">
        <f t="shared" si="145"/>
        <v>0</v>
      </c>
      <c r="EY10" s="184">
        <f t="shared" si="145"/>
        <v>30409281</v>
      </c>
      <c r="EZ10" s="184">
        <f t="shared" si="145"/>
        <v>34943088</v>
      </c>
      <c r="FA10" s="184">
        <f t="shared" si="145"/>
        <v>28225009</v>
      </c>
      <c r="FB10" s="184">
        <f t="shared" si="145"/>
        <v>36215725</v>
      </c>
      <c r="FC10" s="184">
        <f t="shared" si="64"/>
        <v>129793103</v>
      </c>
      <c r="FD10" s="184">
        <f t="shared" si="65"/>
        <v>129793103</v>
      </c>
      <c r="FF10" s="184">
        <f>SUM(FF5:FF9)</f>
        <v>0</v>
      </c>
      <c r="FG10" s="184">
        <f t="shared" ref="FG10:FQ10" si="146">SUM(FG5:FG9)</f>
        <v>0</v>
      </c>
      <c r="FH10" s="184">
        <f t="shared" si="146"/>
        <v>0</v>
      </c>
      <c r="FI10" s="184">
        <f t="shared" si="146"/>
        <v>0</v>
      </c>
      <c r="FJ10" s="184">
        <f t="shared" si="146"/>
        <v>0</v>
      </c>
      <c r="FK10" s="184">
        <f t="shared" si="146"/>
        <v>0</v>
      </c>
      <c r="FL10" s="184">
        <f t="shared" si="146"/>
        <v>0</v>
      </c>
      <c r="FM10" s="184">
        <f t="shared" si="146"/>
        <v>0</v>
      </c>
      <c r="FN10" s="184">
        <f t="shared" si="146"/>
        <v>1852684.15</v>
      </c>
      <c r="FO10" s="184">
        <f t="shared" si="146"/>
        <v>13704910.379999999</v>
      </c>
      <c r="FP10" s="184">
        <f t="shared" si="146"/>
        <v>5487065.8799999999</v>
      </c>
      <c r="FQ10" s="184">
        <f t="shared" si="146"/>
        <v>6211165.5800000001</v>
      </c>
      <c r="FR10" s="184">
        <f t="shared" si="66"/>
        <v>27255825.990000002</v>
      </c>
      <c r="FS10" s="184">
        <f t="shared" si="67"/>
        <v>27255825.990000002</v>
      </c>
      <c r="FU10" s="184">
        <f>SUM(FU5:FU9)</f>
        <v>0</v>
      </c>
      <c r="FV10" s="184">
        <f t="shared" ref="FV10:GF10" si="147">SUM(FV5:FV9)</f>
        <v>0</v>
      </c>
      <c r="FW10" s="184">
        <f t="shared" si="147"/>
        <v>0</v>
      </c>
      <c r="FX10" s="184">
        <f t="shared" si="147"/>
        <v>0</v>
      </c>
      <c r="FY10" s="184">
        <f t="shared" si="147"/>
        <v>0</v>
      </c>
      <c r="FZ10" s="184">
        <f t="shared" si="147"/>
        <v>0</v>
      </c>
      <c r="GA10" s="184">
        <f t="shared" si="147"/>
        <v>0</v>
      </c>
      <c r="GB10" s="184">
        <f t="shared" si="147"/>
        <v>879478</v>
      </c>
      <c r="GC10" s="184">
        <f t="shared" si="147"/>
        <v>5372784</v>
      </c>
      <c r="GD10" s="184">
        <f t="shared" si="147"/>
        <v>34226633</v>
      </c>
      <c r="GE10" s="184">
        <f t="shared" si="147"/>
        <v>17239471</v>
      </c>
      <c r="GF10" s="184">
        <f t="shared" si="147"/>
        <v>17034734</v>
      </c>
      <c r="GG10" s="184">
        <f t="shared" si="68"/>
        <v>74753100</v>
      </c>
      <c r="GH10" s="184">
        <f t="shared" si="69"/>
        <v>74753100</v>
      </c>
      <c r="GJ10" s="184">
        <f>SUM(GJ5:GJ9)</f>
        <v>0</v>
      </c>
      <c r="GK10" s="184">
        <f t="shared" ref="GK10:GU10" si="148">SUM(GK5:GK9)</f>
        <v>0</v>
      </c>
      <c r="GL10" s="184">
        <f t="shared" si="148"/>
        <v>0</v>
      </c>
      <c r="GM10" s="184">
        <f t="shared" si="148"/>
        <v>0</v>
      </c>
      <c r="GN10" s="184">
        <f t="shared" si="148"/>
        <v>0</v>
      </c>
      <c r="GO10" s="184">
        <f t="shared" si="148"/>
        <v>0</v>
      </c>
      <c r="GP10" s="184">
        <f t="shared" si="148"/>
        <v>0</v>
      </c>
      <c r="GQ10" s="184">
        <f t="shared" si="148"/>
        <v>331.03</v>
      </c>
      <c r="GR10" s="184">
        <f t="shared" si="148"/>
        <v>2872985.01</v>
      </c>
      <c r="GS10" s="184">
        <f t="shared" si="148"/>
        <v>1120264.6099999999</v>
      </c>
      <c r="GT10" s="184">
        <f t="shared" si="148"/>
        <v>5019751.4999999991</v>
      </c>
      <c r="GU10" s="184">
        <f t="shared" si="148"/>
        <v>1515584.6199999999</v>
      </c>
      <c r="GV10" s="184">
        <f t="shared" si="70"/>
        <v>10528916.769999998</v>
      </c>
      <c r="GW10" s="184">
        <f t="shared" si="71"/>
        <v>10528916.769999998</v>
      </c>
      <c r="GY10" s="184">
        <f>SUM(GY5:GY9)</f>
        <v>0</v>
      </c>
      <c r="GZ10" s="184">
        <f t="shared" ref="GZ10:HJ10" si="149">SUM(GZ5:GZ9)</f>
        <v>0</v>
      </c>
      <c r="HA10" s="184">
        <f t="shared" si="149"/>
        <v>0</v>
      </c>
      <c r="HB10" s="184">
        <f t="shared" si="149"/>
        <v>0</v>
      </c>
      <c r="HC10" s="184">
        <f t="shared" si="149"/>
        <v>0</v>
      </c>
      <c r="HD10" s="184">
        <f t="shared" si="149"/>
        <v>0</v>
      </c>
      <c r="HE10" s="184">
        <f t="shared" si="149"/>
        <v>0</v>
      </c>
      <c r="HF10" s="184">
        <f t="shared" si="149"/>
        <v>1576</v>
      </c>
      <c r="HG10" s="184">
        <f t="shared" si="149"/>
        <v>3419587</v>
      </c>
      <c r="HH10" s="184">
        <f t="shared" si="149"/>
        <v>1570550</v>
      </c>
      <c r="HI10" s="184">
        <f t="shared" si="149"/>
        <v>10936701</v>
      </c>
      <c r="HJ10" s="184">
        <f t="shared" si="149"/>
        <v>2082846</v>
      </c>
      <c r="HK10" s="184">
        <f t="shared" si="72"/>
        <v>18011260</v>
      </c>
      <c r="HL10" s="184">
        <f t="shared" si="73"/>
        <v>18011260</v>
      </c>
      <c r="HN10" s="184">
        <f t="shared" si="74"/>
        <v>0</v>
      </c>
      <c r="HO10" s="184">
        <f t="shared" si="75"/>
        <v>0</v>
      </c>
      <c r="HP10" s="184">
        <f t="shared" si="76"/>
        <v>0</v>
      </c>
      <c r="HQ10" s="184">
        <f t="shared" si="77"/>
        <v>0</v>
      </c>
      <c r="HR10" s="184">
        <f t="shared" si="78"/>
        <v>0</v>
      </c>
      <c r="HS10" s="184">
        <f t="shared" si="79"/>
        <v>0</v>
      </c>
      <c r="HT10" s="184">
        <f t="shared" si="80"/>
        <v>0</v>
      </c>
      <c r="HU10" s="184">
        <f t="shared" si="81"/>
        <v>331.03</v>
      </c>
      <c r="HV10" s="184">
        <f t="shared" si="82"/>
        <v>12549789.959999999</v>
      </c>
      <c r="HW10" s="184">
        <f t="shared" si="83"/>
        <v>22727104.68</v>
      </c>
      <c r="HX10" s="184">
        <f t="shared" si="84"/>
        <v>17431732.489999998</v>
      </c>
      <c r="HY10" s="184">
        <f t="shared" si="85"/>
        <v>14873670.35</v>
      </c>
      <c r="HZ10" s="184">
        <f t="shared" si="86"/>
        <v>67582628.50999999</v>
      </c>
      <c r="IA10" s="184">
        <f t="shared" si="87"/>
        <v>67582628.50999999</v>
      </c>
      <c r="IC10" s="184">
        <f>SUM(IC5:IC9)</f>
        <v>0</v>
      </c>
      <c r="ID10" s="184">
        <f t="shared" ref="ID10" si="150">SUM(ID5:ID9)</f>
        <v>0</v>
      </c>
      <c r="IE10" s="184">
        <f t="shared" ref="IE10" si="151">SUM(IE5:IE9)</f>
        <v>0</v>
      </c>
      <c r="IF10" s="184">
        <f t="shared" ref="IF10" si="152">SUM(IF5:IF9)</f>
        <v>0</v>
      </c>
      <c r="IG10" s="184">
        <f t="shared" ref="IG10" si="153">SUM(IG5:IG9)</f>
        <v>0</v>
      </c>
      <c r="IH10" s="184">
        <f t="shared" ref="IH10" si="154">SUM(IH5:IH9)</f>
        <v>0</v>
      </c>
      <c r="II10" s="184">
        <f t="shared" ref="II10" si="155">SUM(II5:II9)</f>
        <v>0</v>
      </c>
      <c r="IJ10" s="184">
        <f t="shared" ref="IJ10" si="156">SUM(IJ5:IJ9)</f>
        <v>881054</v>
      </c>
      <c r="IK10" s="184">
        <f t="shared" ref="IK10" si="157">SUM(IK5:IK9)</f>
        <v>39201652</v>
      </c>
      <c r="IL10" s="184">
        <f t="shared" ref="IL10" si="158">SUM(IL5:IL9)</f>
        <v>70740271</v>
      </c>
      <c r="IM10" s="184">
        <f t="shared" ref="IM10" si="159">SUM(IM5:IM9)</f>
        <v>56401181</v>
      </c>
      <c r="IN10" s="184">
        <f t="shared" ref="IN10" si="160">SUM(IN5:IN9)</f>
        <v>55333305</v>
      </c>
      <c r="IO10" s="184">
        <f t="shared" si="89"/>
        <v>222557463</v>
      </c>
      <c r="IP10" s="184">
        <f t="shared" si="90"/>
        <v>222557463</v>
      </c>
    </row>
    <row r="11" spans="1:250">
      <c r="A11" s="444" t="s">
        <v>111</v>
      </c>
      <c r="B11" s="181" t="s">
        <v>146</v>
      </c>
      <c r="C11" s="186"/>
      <c r="D11" s="186"/>
      <c r="E11" s="186"/>
      <c r="F11" s="186"/>
      <c r="G11" s="186"/>
      <c r="H11" s="186"/>
      <c r="I11" s="186"/>
      <c r="J11" s="187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4">
        <f t="shared" si="24"/>
        <v>0</v>
      </c>
      <c r="Y11" s="184">
        <f t="shared" si="25"/>
        <v>0</v>
      </c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>
        <f t="shared" si="26"/>
        <v>0</v>
      </c>
      <c r="AN11" s="184">
        <f t="shared" si="27"/>
        <v>0</v>
      </c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>
        <f t="shared" si="28"/>
        <v>0</v>
      </c>
      <c r="BC11" s="184">
        <f t="shared" si="29"/>
        <v>0</v>
      </c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>
        <f t="shared" si="30"/>
        <v>0</v>
      </c>
      <c r="BR11" s="184">
        <f t="shared" si="31"/>
        <v>0</v>
      </c>
      <c r="BT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  <c r="CF11" s="184">
        <f t="shared" si="32"/>
        <v>0</v>
      </c>
      <c r="CG11" s="184">
        <f t="shared" si="33"/>
        <v>0</v>
      </c>
      <c r="CI11" s="180"/>
      <c r="CJ11" s="180"/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4">
        <f t="shared" si="34"/>
        <v>0</v>
      </c>
      <c r="CV11" s="184">
        <f t="shared" si="35"/>
        <v>0</v>
      </c>
      <c r="CX11" s="180"/>
      <c r="CY11" s="180"/>
      <c r="CZ11" s="180"/>
      <c r="DA11" s="180"/>
      <c r="DB11" s="180"/>
      <c r="DC11" s="180"/>
      <c r="DD11" s="180"/>
      <c r="DE11" s="180"/>
      <c r="DF11" s="180"/>
      <c r="DG11" s="180"/>
      <c r="DH11" s="180"/>
      <c r="DI11" s="180"/>
      <c r="DJ11" s="184">
        <f t="shared" si="46"/>
        <v>0</v>
      </c>
      <c r="DK11" s="184">
        <f t="shared" si="47"/>
        <v>0</v>
      </c>
      <c r="DM11" s="180"/>
      <c r="DN11" s="180"/>
      <c r="DO11" s="180"/>
      <c r="DP11" s="180"/>
      <c r="DQ11" s="180"/>
      <c r="DR11" s="180"/>
      <c r="DS11" s="180"/>
      <c r="DT11" s="180"/>
      <c r="DU11" s="180"/>
      <c r="DV11" s="180"/>
      <c r="DW11" s="180"/>
      <c r="DX11" s="180"/>
      <c r="DY11" s="184">
        <f t="shared" si="60"/>
        <v>0</v>
      </c>
      <c r="DZ11" s="184">
        <f t="shared" si="61"/>
        <v>0</v>
      </c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>
        <f t="shared" si="62"/>
        <v>0</v>
      </c>
      <c r="EO11" s="184">
        <f t="shared" si="63"/>
        <v>0</v>
      </c>
      <c r="EQ11" s="184"/>
      <c r="ER11" s="184"/>
      <c r="ES11" s="184"/>
      <c r="ET11" s="184"/>
      <c r="EU11" s="184"/>
      <c r="EV11" s="184"/>
      <c r="EW11" s="184"/>
      <c r="EX11" s="184"/>
      <c r="EY11" s="184"/>
      <c r="EZ11" s="184"/>
      <c r="FA11" s="184"/>
      <c r="FB11" s="184"/>
      <c r="FC11" s="184">
        <f t="shared" si="64"/>
        <v>0</v>
      </c>
      <c r="FD11" s="184">
        <f t="shared" si="65"/>
        <v>0</v>
      </c>
      <c r="FF11" s="184"/>
      <c r="FG11" s="184"/>
      <c r="FH11" s="184"/>
      <c r="FI11" s="184"/>
      <c r="FJ11" s="184"/>
      <c r="FK11" s="184"/>
      <c r="FL11" s="184"/>
      <c r="FM11" s="184"/>
      <c r="FN11" s="184"/>
      <c r="FO11" s="184"/>
      <c r="FP11" s="184"/>
      <c r="FQ11" s="184"/>
      <c r="FR11" s="184">
        <f t="shared" si="66"/>
        <v>0</v>
      </c>
      <c r="FS11" s="184">
        <f t="shared" si="67"/>
        <v>0</v>
      </c>
      <c r="FU11" s="180"/>
      <c r="FV11" s="180"/>
      <c r="FW11" s="180"/>
      <c r="FX11" s="180"/>
      <c r="FY11" s="180"/>
      <c r="FZ11" s="180"/>
      <c r="GA11" s="180"/>
      <c r="GB11" s="180"/>
      <c r="GC11" s="180"/>
      <c r="GD11" s="180"/>
      <c r="GE11" s="180"/>
      <c r="GF11" s="180"/>
      <c r="GG11" s="184">
        <f t="shared" si="68"/>
        <v>0</v>
      </c>
      <c r="GH11" s="184">
        <f t="shared" si="69"/>
        <v>0</v>
      </c>
      <c r="GJ11" s="180"/>
      <c r="GK11" s="180"/>
      <c r="GL11" s="180"/>
      <c r="GM11" s="180"/>
      <c r="GN11" s="180"/>
      <c r="GO11" s="180"/>
      <c r="GP11" s="180"/>
      <c r="GQ11" s="180"/>
      <c r="GR11" s="180"/>
      <c r="GS11" s="180"/>
      <c r="GT11" s="180"/>
      <c r="GU11" s="180"/>
      <c r="GV11" s="184">
        <f t="shared" si="70"/>
        <v>0</v>
      </c>
      <c r="GW11" s="184">
        <f t="shared" si="71"/>
        <v>0</v>
      </c>
      <c r="GY11" s="180"/>
      <c r="GZ11" s="180"/>
      <c r="HA11" s="180"/>
      <c r="HB11" s="180"/>
      <c r="HC11" s="180"/>
      <c r="HD11" s="180"/>
      <c r="HE11" s="180"/>
      <c r="HF11" s="180"/>
      <c r="HG11" s="180"/>
      <c r="HH11" s="180"/>
      <c r="HI11" s="180"/>
      <c r="HJ11" s="180"/>
      <c r="HK11" s="184">
        <f t="shared" si="72"/>
        <v>0</v>
      </c>
      <c r="HL11" s="184">
        <f t="shared" si="73"/>
        <v>0</v>
      </c>
      <c r="HN11" s="184">
        <f t="shared" si="74"/>
        <v>0</v>
      </c>
      <c r="HO11" s="184">
        <f t="shared" si="75"/>
        <v>0</v>
      </c>
      <c r="HP11" s="184">
        <f t="shared" si="76"/>
        <v>0</v>
      </c>
      <c r="HQ11" s="184">
        <f t="shared" si="77"/>
        <v>0</v>
      </c>
      <c r="HR11" s="184">
        <f t="shared" si="78"/>
        <v>0</v>
      </c>
      <c r="HS11" s="184">
        <f t="shared" si="79"/>
        <v>0</v>
      </c>
      <c r="HT11" s="184">
        <f t="shared" si="80"/>
        <v>0</v>
      </c>
      <c r="HU11" s="184">
        <f t="shared" si="81"/>
        <v>0</v>
      </c>
      <c r="HV11" s="184">
        <f t="shared" si="82"/>
        <v>0</v>
      </c>
      <c r="HW11" s="184">
        <f t="shared" si="83"/>
        <v>0</v>
      </c>
      <c r="HX11" s="184">
        <f t="shared" si="84"/>
        <v>0</v>
      </c>
      <c r="HY11" s="184">
        <f t="shared" si="85"/>
        <v>0</v>
      </c>
      <c r="HZ11" s="184">
        <f t="shared" si="86"/>
        <v>0</v>
      </c>
      <c r="IA11" s="184">
        <f t="shared" si="87"/>
        <v>0</v>
      </c>
      <c r="IC11" s="184">
        <f>EQ11+FU11+GY11</f>
        <v>0</v>
      </c>
      <c r="ID11" s="184">
        <f t="shared" ref="ID11:ID15" si="161">ER11+FV11+GZ11</f>
        <v>0</v>
      </c>
      <c r="IE11" s="184">
        <f t="shared" ref="IE11:IE15" si="162">ES11+FW11+HA11</f>
        <v>0</v>
      </c>
      <c r="IF11" s="184">
        <f t="shared" ref="IF11:IF15" si="163">ET11+FX11+HB11</f>
        <v>0</v>
      </c>
      <c r="IG11" s="184">
        <f t="shared" ref="IG11:IG15" si="164">EU11+FY11+HC11</f>
        <v>0</v>
      </c>
      <c r="IH11" s="184">
        <f t="shared" ref="IH11:IH15" si="165">EV11+FZ11+HD11</f>
        <v>0</v>
      </c>
      <c r="II11" s="184">
        <f t="shared" ref="II11:II15" si="166">EW11+GA11+HE11</f>
        <v>0</v>
      </c>
      <c r="IJ11" s="184">
        <f t="shared" ref="IJ11:IJ15" si="167">EX11+GB11+HF11</f>
        <v>0</v>
      </c>
      <c r="IK11" s="184">
        <f t="shared" ref="IK11:IK15" si="168">EY11+GC11+HG11</f>
        <v>0</v>
      </c>
      <c r="IL11" s="184">
        <f t="shared" ref="IL11:IL15" si="169">EZ11+GD11+HH11</f>
        <v>0</v>
      </c>
      <c r="IM11" s="184">
        <f t="shared" ref="IM11:IM15" si="170">FA11+GE11+HI11</f>
        <v>0</v>
      </c>
      <c r="IN11" s="184">
        <f t="shared" ref="IN11:IN15" si="171">FB11+GF11+HJ11</f>
        <v>0</v>
      </c>
      <c r="IO11" s="184">
        <f t="shared" si="89"/>
        <v>0</v>
      </c>
      <c r="IP11" s="184">
        <f t="shared" si="90"/>
        <v>0</v>
      </c>
    </row>
    <row r="12" spans="1:250">
      <c r="A12" s="445"/>
      <c r="B12" s="181" t="s">
        <v>147</v>
      </c>
      <c r="C12" s="186"/>
      <c r="D12" s="186"/>
      <c r="E12" s="186"/>
      <c r="F12" s="186"/>
      <c r="G12" s="186"/>
      <c r="H12" s="186"/>
      <c r="I12" s="186"/>
      <c r="J12" s="187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4">
        <f t="shared" si="24"/>
        <v>0</v>
      </c>
      <c r="Y12" s="184">
        <f t="shared" si="25"/>
        <v>0</v>
      </c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>
        <f t="shared" si="26"/>
        <v>0</v>
      </c>
      <c r="AN12" s="184">
        <f t="shared" si="27"/>
        <v>0</v>
      </c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>
        <f t="shared" si="28"/>
        <v>0</v>
      </c>
      <c r="BC12" s="184">
        <f t="shared" si="29"/>
        <v>0</v>
      </c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>
        <f t="shared" si="30"/>
        <v>0</v>
      </c>
      <c r="BR12" s="184">
        <f t="shared" si="31"/>
        <v>0</v>
      </c>
      <c r="BT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  <c r="CF12" s="184">
        <f t="shared" si="32"/>
        <v>0</v>
      </c>
      <c r="CG12" s="184">
        <f t="shared" si="33"/>
        <v>0</v>
      </c>
      <c r="CI12" s="180"/>
      <c r="CJ12" s="180"/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4">
        <f t="shared" si="34"/>
        <v>0</v>
      </c>
      <c r="CV12" s="184">
        <f t="shared" si="35"/>
        <v>0</v>
      </c>
      <c r="CX12" s="180"/>
      <c r="CY12" s="180"/>
      <c r="CZ12" s="180"/>
      <c r="DA12" s="180"/>
      <c r="DB12" s="180"/>
      <c r="DC12" s="180"/>
      <c r="DD12" s="180"/>
      <c r="DE12" s="180"/>
      <c r="DF12" s="180"/>
      <c r="DG12" s="180"/>
      <c r="DH12" s="180"/>
      <c r="DI12" s="180"/>
      <c r="DJ12" s="184">
        <f t="shared" si="46"/>
        <v>0</v>
      </c>
      <c r="DK12" s="184">
        <f t="shared" si="47"/>
        <v>0</v>
      </c>
      <c r="DM12" s="180"/>
      <c r="DN12" s="180"/>
      <c r="DO12" s="180"/>
      <c r="DP12" s="180"/>
      <c r="DQ12" s="180"/>
      <c r="DR12" s="180"/>
      <c r="DS12" s="180"/>
      <c r="DT12" s="180"/>
      <c r="DU12" s="180"/>
      <c r="DV12" s="180"/>
      <c r="DW12" s="180"/>
      <c r="DX12" s="180"/>
      <c r="DY12" s="184">
        <f t="shared" si="60"/>
        <v>0</v>
      </c>
      <c r="DZ12" s="184">
        <f t="shared" si="61"/>
        <v>0</v>
      </c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>
        <f t="shared" si="62"/>
        <v>0</v>
      </c>
      <c r="EO12" s="184">
        <f t="shared" si="63"/>
        <v>0</v>
      </c>
      <c r="EQ12" s="184"/>
      <c r="ER12" s="184"/>
      <c r="ES12" s="184"/>
      <c r="ET12" s="184"/>
      <c r="EU12" s="184"/>
      <c r="EV12" s="184"/>
      <c r="EW12" s="184"/>
      <c r="EX12" s="184"/>
      <c r="EY12" s="184"/>
      <c r="EZ12" s="184"/>
      <c r="FA12" s="184"/>
      <c r="FB12" s="184"/>
      <c r="FC12" s="184">
        <f t="shared" si="64"/>
        <v>0</v>
      </c>
      <c r="FD12" s="184">
        <f t="shared" si="65"/>
        <v>0</v>
      </c>
      <c r="FF12" s="184"/>
      <c r="FG12" s="184"/>
      <c r="FH12" s="184"/>
      <c r="FI12" s="184"/>
      <c r="FJ12" s="184"/>
      <c r="FK12" s="184"/>
      <c r="FL12" s="184"/>
      <c r="FM12" s="184"/>
      <c r="FN12" s="184"/>
      <c r="FO12" s="184"/>
      <c r="FP12" s="184"/>
      <c r="FQ12" s="184"/>
      <c r="FR12" s="184">
        <f t="shared" si="66"/>
        <v>0</v>
      </c>
      <c r="FS12" s="184">
        <f t="shared" si="67"/>
        <v>0</v>
      </c>
      <c r="FU12" s="180"/>
      <c r="FV12" s="180"/>
      <c r="FW12" s="180"/>
      <c r="FX12" s="180"/>
      <c r="FY12" s="180"/>
      <c r="FZ12" s="180"/>
      <c r="GA12" s="180"/>
      <c r="GB12" s="180"/>
      <c r="GC12" s="180"/>
      <c r="GD12" s="180"/>
      <c r="GE12" s="180"/>
      <c r="GF12" s="180"/>
      <c r="GG12" s="184">
        <f t="shared" si="68"/>
        <v>0</v>
      </c>
      <c r="GH12" s="184">
        <f t="shared" si="69"/>
        <v>0</v>
      </c>
      <c r="GJ12" s="180"/>
      <c r="GK12" s="180"/>
      <c r="GL12" s="180"/>
      <c r="GM12" s="180"/>
      <c r="GN12" s="180"/>
      <c r="GO12" s="180"/>
      <c r="GP12" s="180"/>
      <c r="GQ12" s="180"/>
      <c r="GR12" s="180"/>
      <c r="GS12" s="180"/>
      <c r="GT12" s="180"/>
      <c r="GU12" s="180"/>
      <c r="GV12" s="184">
        <f t="shared" si="70"/>
        <v>0</v>
      </c>
      <c r="GW12" s="184">
        <f t="shared" si="71"/>
        <v>0</v>
      </c>
      <c r="GY12" s="180"/>
      <c r="GZ12" s="180"/>
      <c r="HA12" s="180"/>
      <c r="HB12" s="180"/>
      <c r="HC12" s="180"/>
      <c r="HD12" s="180"/>
      <c r="HE12" s="180"/>
      <c r="HF12" s="180"/>
      <c r="HG12" s="180"/>
      <c r="HH12" s="180"/>
      <c r="HI12" s="180"/>
      <c r="HJ12" s="180"/>
      <c r="HK12" s="184">
        <f t="shared" si="72"/>
        <v>0</v>
      </c>
      <c r="HL12" s="184">
        <f t="shared" si="73"/>
        <v>0</v>
      </c>
      <c r="HN12" s="184">
        <f t="shared" si="74"/>
        <v>0</v>
      </c>
      <c r="HO12" s="184">
        <f t="shared" si="75"/>
        <v>0</v>
      </c>
      <c r="HP12" s="184">
        <f t="shared" si="76"/>
        <v>0</v>
      </c>
      <c r="HQ12" s="184">
        <f t="shared" si="77"/>
        <v>0</v>
      </c>
      <c r="HR12" s="184">
        <f t="shared" si="78"/>
        <v>0</v>
      </c>
      <c r="HS12" s="184">
        <f t="shared" si="79"/>
        <v>0</v>
      </c>
      <c r="HT12" s="184">
        <f t="shared" si="80"/>
        <v>0</v>
      </c>
      <c r="HU12" s="184">
        <f t="shared" si="81"/>
        <v>0</v>
      </c>
      <c r="HV12" s="184">
        <f t="shared" si="82"/>
        <v>0</v>
      </c>
      <c r="HW12" s="184">
        <f t="shared" si="83"/>
        <v>0</v>
      </c>
      <c r="HX12" s="184">
        <f t="shared" si="84"/>
        <v>0</v>
      </c>
      <c r="HY12" s="184">
        <f t="shared" si="85"/>
        <v>0</v>
      </c>
      <c r="HZ12" s="184">
        <f t="shared" si="86"/>
        <v>0</v>
      </c>
      <c r="IA12" s="184">
        <f t="shared" si="87"/>
        <v>0</v>
      </c>
      <c r="IC12" s="184">
        <f t="shared" ref="IC12:IC15" si="172">EQ12+FU12+GY12</f>
        <v>0</v>
      </c>
      <c r="ID12" s="184">
        <f t="shared" si="161"/>
        <v>0</v>
      </c>
      <c r="IE12" s="184">
        <f t="shared" si="162"/>
        <v>0</v>
      </c>
      <c r="IF12" s="184">
        <f t="shared" si="163"/>
        <v>0</v>
      </c>
      <c r="IG12" s="184">
        <f t="shared" si="164"/>
        <v>0</v>
      </c>
      <c r="IH12" s="184">
        <f t="shared" si="165"/>
        <v>0</v>
      </c>
      <c r="II12" s="184">
        <f t="shared" si="166"/>
        <v>0</v>
      </c>
      <c r="IJ12" s="184">
        <f t="shared" si="167"/>
        <v>0</v>
      </c>
      <c r="IK12" s="184">
        <f t="shared" si="168"/>
        <v>0</v>
      </c>
      <c r="IL12" s="184">
        <f t="shared" si="169"/>
        <v>0</v>
      </c>
      <c r="IM12" s="184">
        <f t="shared" si="170"/>
        <v>0</v>
      </c>
      <c r="IN12" s="184">
        <f t="shared" si="171"/>
        <v>0</v>
      </c>
      <c r="IO12" s="184">
        <f t="shared" si="89"/>
        <v>0</v>
      </c>
      <c r="IP12" s="184">
        <f t="shared" si="90"/>
        <v>0</v>
      </c>
    </row>
    <row r="13" spans="1:250">
      <c r="A13" s="445"/>
      <c r="B13" s="181" t="s">
        <v>148</v>
      </c>
      <c r="C13" s="186"/>
      <c r="D13" s="186"/>
      <c r="E13" s="186">
        <f t="shared" ref="E13:E16" si="173">(SUM(AP13:AR13)*1.16+SUM(AS13:BA13)*1.13)/BQ13</f>
        <v>0.29016245460986811</v>
      </c>
      <c r="F13" s="186">
        <f>(SUM(FF13:FI13)*1.17+SUM(FJ13:FQ13)*1.16)/GG13</f>
        <v>0.28810888371020887</v>
      </c>
      <c r="G13" s="186"/>
      <c r="H13" s="186"/>
      <c r="I13" s="186"/>
      <c r="J13" s="187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4">
        <f t="shared" si="24"/>
        <v>0</v>
      </c>
      <c r="Y13" s="184">
        <f t="shared" si="25"/>
        <v>0</v>
      </c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>
        <f t="shared" si="26"/>
        <v>0</v>
      </c>
      <c r="AN13" s="184">
        <f t="shared" si="27"/>
        <v>0</v>
      </c>
      <c r="AP13" s="184">
        <v>10039657.869999999</v>
      </c>
      <c r="AQ13" s="184">
        <v>8063472.0299999993</v>
      </c>
      <c r="AR13" s="184">
        <v>15506691.810000001</v>
      </c>
      <c r="AS13" s="184">
        <v>9970629.2000000011</v>
      </c>
      <c r="AT13" s="184">
        <v>10297080.08</v>
      </c>
      <c r="AU13" s="184">
        <v>13493423.630000001</v>
      </c>
      <c r="AV13" s="184">
        <v>11872903.99</v>
      </c>
      <c r="AW13" s="184">
        <v>12009044.059999993</v>
      </c>
      <c r="AX13" s="184">
        <f>14022306.42+249953.52</f>
        <v>14272259.939999999</v>
      </c>
      <c r="AY13" s="184">
        <v>16976727.520000003</v>
      </c>
      <c r="AZ13" s="184">
        <f>14970310.1+515462.19</f>
        <v>15485772.289999999</v>
      </c>
      <c r="BA13" s="184">
        <v>14815980.68</v>
      </c>
      <c r="BB13" s="184">
        <f t="shared" si="28"/>
        <v>152803643.09999999</v>
      </c>
      <c r="BC13" s="184">
        <f t="shared" si="29"/>
        <v>152803643.09999999</v>
      </c>
      <c r="BE13" s="184">
        <f>39184543+41312</f>
        <v>39225855</v>
      </c>
      <c r="BF13" s="184">
        <f>30643564-31778</f>
        <v>30611786</v>
      </c>
      <c r="BG13" s="184">
        <f>48832968+101645</f>
        <v>48934613</v>
      </c>
      <c r="BH13" s="184">
        <v>45285306</v>
      </c>
      <c r="BI13" s="185">
        <v>47562733</v>
      </c>
      <c r="BJ13" s="184">
        <v>45900645</v>
      </c>
      <c r="BK13" s="184">
        <v>44523995</v>
      </c>
      <c r="BL13" s="184">
        <v>50763315</v>
      </c>
      <c r="BM13" s="184">
        <f>57849325+325306</f>
        <v>58174631</v>
      </c>
      <c r="BN13" s="184">
        <v>70916767</v>
      </c>
      <c r="BO13" s="184">
        <f>57113742+2809481</f>
        <v>59923223</v>
      </c>
      <c r="BP13" s="184">
        <v>56726008</v>
      </c>
      <c r="BQ13" s="184">
        <f t="shared" si="30"/>
        <v>598548877</v>
      </c>
      <c r="BR13" s="184">
        <f t="shared" si="31"/>
        <v>598548877</v>
      </c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4">
        <f t="shared" si="32"/>
        <v>0</v>
      </c>
      <c r="CG13" s="184">
        <f t="shared" si="33"/>
        <v>0</v>
      </c>
      <c r="CI13" s="180"/>
      <c r="CJ13" s="180"/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4">
        <f t="shared" si="34"/>
        <v>0</v>
      </c>
      <c r="CV13" s="184">
        <f t="shared" si="35"/>
        <v>0</v>
      </c>
      <c r="CX13" s="180"/>
      <c r="CY13" s="180"/>
      <c r="CZ13" s="180"/>
      <c r="DA13" s="180"/>
      <c r="DB13" s="180"/>
      <c r="DC13" s="180"/>
      <c r="DD13" s="180"/>
      <c r="DE13" s="180"/>
      <c r="DF13" s="180"/>
      <c r="DG13" s="180"/>
      <c r="DH13" s="180"/>
      <c r="DI13" s="180"/>
      <c r="DJ13" s="184">
        <f t="shared" si="46"/>
        <v>0</v>
      </c>
      <c r="DK13" s="184">
        <f t="shared" si="47"/>
        <v>0</v>
      </c>
      <c r="DM13" s="180"/>
      <c r="DN13" s="180"/>
      <c r="DO13" s="180"/>
      <c r="DP13" s="180"/>
      <c r="DQ13" s="180"/>
      <c r="DR13" s="180"/>
      <c r="DS13" s="180"/>
      <c r="DT13" s="180"/>
      <c r="DU13" s="180"/>
      <c r="DV13" s="180"/>
      <c r="DW13" s="180"/>
      <c r="DX13" s="180"/>
      <c r="DY13" s="184">
        <f t="shared" si="60"/>
        <v>0</v>
      </c>
      <c r="DZ13" s="184">
        <f t="shared" si="61"/>
        <v>0</v>
      </c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>
        <f t="shared" si="62"/>
        <v>0</v>
      </c>
      <c r="EO13" s="184">
        <f t="shared" si="63"/>
        <v>0</v>
      </c>
      <c r="EQ13" s="184"/>
      <c r="ER13" s="184"/>
      <c r="ES13" s="184"/>
      <c r="ET13" s="184"/>
      <c r="EU13" s="184"/>
      <c r="EV13" s="184"/>
      <c r="EW13" s="184"/>
      <c r="EX13" s="184"/>
      <c r="EY13" s="184"/>
      <c r="EZ13" s="184"/>
      <c r="FA13" s="184"/>
      <c r="FB13" s="184"/>
      <c r="FC13" s="184">
        <f t="shared" si="64"/>
        <v>0</v>
      </c>
      <c r="FD13" s="184">
        <f t="shared" si="65"/>
        <v>0</v>
      </c>
      <c r="FF13" s="184">
        <v>6191121.9399999995</v>
      </c>
      <c r="FG13" s="184">
        <v>416384.51999999996</v>
      </c>
      <c r="FH13" s="184">
        <v>12785310.240000002</v>
      </c>
      <c r="FI13" s="184">
        <v>7352750.9199999981</v>
      </c>
      <c r="FJ13" s="184">
        <v>6821111.6099999985</v>
      </c>
      <c r="FK13" s="184">
        <v>6831330.5999999987</v>
      </c>
      <c r="FL13" s="184">
        <v>10073328.379999997</v>
      </c>
      <c r="FM13" s="184">
        <v>8019556.2999999998</v>
      </c>
      <c r="FN13" s="184">
        <v>11481986.92</v>
      </c>
      <c r="FO13" s="184">
        <v>9267569.0200000014</v>
      </c>
      <c r="FP13" s="184">
        <v>11295754.910000002</v>
      </c>
      <c r="FQ13" s="184">
        <v>9361226.8000000175</v>
      </c>
      <c r="FR13" s="184">
        <f t="shared" si="66"/>
        <v>99897432.159999996</v>
      </c>
      <c r="FS13" s="184">
        <f t="shared" si="67"/>
        <v>99897432.159999996</v>
      </c>
      <c r="FU13" s="184">
        <v>29181412</v>
      </c>
      <c r="FV13" s="184">
        <v>1346902</v>
      </c>
      <c r="FW13" s="184">
        <v>58392799</v>
      </c>
      <c r="FX13" s="184">
        <v>29588012</v>
      </c>
      <c r="FY13" s="184">
        <v>27816314</v>
      </c>
      <c r="FZ13" s="184">
        <v>29706845</v>
      </c>
      <c r="GA13" s="184">
        <v>37481888</v>
      </c>
      <c r="GB13" s="184">
        <v>36749082</v>
      </c>
      <c r="GC13" s="184">
        <v>44460618</v>
      </c>
      <c r="GD13" s="184">
        <v>33261686</v>
      </c>
      <c r="GE13" s="184">
        <v>42304861</v>
      </c>
      <c r="GF13" s="184">
        <v>32850489</v>
      </c>
      <c r="GG13" s="184">
        <f t="shared" si="68"/>
        <v>403140908</v>
      </c>
      <c r="GH13" s="184">
        <f t="shared" si="69"/>
        <v>403140908</v>
      </c>
      <c r="GJ13" s="180"/>
      <c r="GK13" s="180"/>
      <c r="GL13" s="180"/>
      <c r="GM13" s="180"/>
      <c r="GN13" s="180"/>
      <c r="GO13" s="180"/>
      <c r="GP13" s="180"/>
      <c r="GQ13" s="180"/>
      <c r="GR13" s="180"/>
      <c r="GS13" s="180"/>
      <c r="GT13" s="180"/>
      <c r="GU13" s="180"/>
      <c r="GV13" s="184">
        <f t="shared" si="70"/>
        <v>0</v>
      </c>
      <c r="GW13" s="184">
        <f t="shared" si="71"/>
        <v>0</v>
      </c>
      <c r="GY13" s="180"/>
      <c r="GZ13" s="180"/>
      <c r="HA13" s="180"/>
      <c r="HB13" s="180"/>
      <c r="HC13" s="180"/>
      <c r="HD13" s="180"/>
      <c r="HE13" s="180"/>
      <c r="HF13" s="180"/>
      <c r="HG13" s="180"/>
      <c r="HH13" s="180"/>
      <c r="HI13" s="180"/>
      <c r="HJ13" s="180"/>
      <c r="HK13" s="184">
        <f t="shared" si="72"/>
        <v>0</v>
      </c>
      <c r="HL13" s="184">
        <f t="shared" si="73"/>
        <v>0</v>
      </c>
      <c r="HN13" s="184">
        <f t="shared" si="74"/>
        <v>6191121.9399999995</v>
      </c>
      <c r="HO13" s="184">
        <f t="shared" si="75"/>
        <v>416384.51999999996</v>
      </c>
      <c r="HP13" s="184">
        <f t="shared" si="76"/>
        <v>12785310.240000002</v>
      </c>
      <c r="HQ13" s="184">
        <f t="shared" si="77"/>
        <v>7352750.9199999981</v>
      </c>
      <c r="HR13" s="184">
        <f t="shared" si="78"/>
        <v>6821111.6099999985</v>
      </c>
      <c r="HS13" s="184">
        <f t="shared" si="79"/>
        <v>6831330.5999999987</v>
      </c>
      <c r="HT13" s="184">
        <f t="shared" si="80"/>
        <v>10073328.379999997</v>
      </c>
      <c r="HU13" s="184">
        <f t="shared" si="81"/>
        <v>8019556.2999999998</v>
      </c>
      <c r="HV13" s="184">
        <f t="shared" si="82"/>
        <v>11481986.92</v>
      </c>
      <c r="HW13" s="184">
        <f t="shared" si="83"/>
        <v>9267569.0200000014</v>
      </c>
      <c r="HX13" s="184">
        <f t="shared" si="84"/>
        <v>11295754.910000002</v>
      </c>
      <c r="HY13" s="184">
        <f t="shared" si="85"/>
        <v>9361226.8000000175</v>
      </c>
      <c r="HZ13" s="184">
        <f t="shared" si="86"/>
        <v>99897432.159999996</v>
      </c>
      <c r="IA13" s="184">
        <f t="shared" si="87"/>
        <v>99897432.159999996</v>
      </c>
      <c r="IC13" s="184">
        <f t="shared" si="172"/>
        <v>29181412</v>
      </c>
      <c r="ID13" s="184">
        <f t="shared" si="161"/>
        <v>1346902</v>
      </c>
      <c r="IE13" s="184">
        <f t="shared" si="162"/>
        <v>58392799</v>
      </c>
      <c r="IF13" s="184">
        <f t="shared" si="163"/>
        <v>29588012</v>
      </c>
      <c r="IG13" s="184">
        <f t="shared" si="164"/>
        <v>27816314</v>
      </c>
      <c r="IH13" s="184">
        <f t="shared" si="165"/>
        <v>29706845</v>
      </c>
      <c r="II13" s="184">
        <f t="shared" si="166"/>
        <v>37481888</v>
      </c>
      <c r="IJ13" s="184">
        <f t="shared" si="167"/>
        <v>36749082</v>
      </c>
      <c r="IK13" s="184">
        <f t="shared" si="168"/>
        <v>44460618</v>
      </c>
      <c r="IL13" s="184">
        <f t="shared" si="169"/>
        <v>33261686</v>
      </c>
      <c r="IM13" s="184">
        <f t="shared" si="170"/>
        <v>42304861</v>
      </c>
      <c r="IN13" s="184">
        <f t="shared" si="171"/>
        <v>32850489</v>
      </c>
      <c r="IO13" s="184">
        <f t="shared" si="89"/>
        <v>403140908</v>
      </c>
      <c r="IP13" s="184">
        <f t="shared" si="90"/>
        <v>403140908</v>
      </c>
    </row>
    <row r="14" spans="1:250">
      <c r="A14" s="445"/>
      <c r="B14" s="181" t="s">
        <v>149</v>
      </c>
      <c r="C14" s="186"/>
      <c r="D14" s="186"/>
      <c r="E14" s="186">
        <f t="shared" si="173"/>
        <v>0.39101818313997155</v>
      </c>
      <c r="F14" s="186">
        <f>(SUM(FF14:FI14)*1.17+SUM(FJ14:FQ14)*1.16)/GG14</f>
        <v>0.33672417410616851</v>
      </c>
      <c r="G14" s="186"/>
      <c r="H14" s="186"/>
      <c r="I14" s="186"/>
      <c r="J14" s="187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4">
        <f t="shared" si="24"/>
        <v>0</v>
      </c>
      <c r="Y14" s="184">
        <f t="shared" si="25"/>
        <v>0</v>
      </c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>
        <f t="shared" si="26"/>
        <v>0</v>
      </c>
      <c r="AN14" s="184">
        <f t="shared" si="27"/>
        <v>0</v>
      </c>
      <c r="AP14" s="184">
        <v>7851793.6500000004</v>
      </c>
      <c r="AQ14" s="184">
        <v>5467368.8400000008</v>
      </c>
      <c r="AR14" s="184">
        <v>8461497.4999999981</v>
      </c>
      <c r="AS14" s="184">
        <v>7266705.5000000009</v>
      </c>
      <c r="AT14" s="184">
        <v>4736720.17</v>
      </c>
      <c r="AU14" s="184">
        <v>5577988</v>
      </c>
      <c r="AV14" s="184">
        <v>5595263.8600000003</v>
      </c>
      <c r="AW14" s="184">
        <v>4379232.4000000004</v>
      </c>
      <c r="AX14" s="184">
        <f>4451172.76+540257.66</f>
        <v>4991430.42</v>
      </c>
      <c r="AY14" s="184">
        <v>6546764.580000001</v>
      </c>
      <c r="AZ14" s="184">
        <f>6735083.02+1558631.38</f>
        <v>8293714.3999999994</v>
      </c>
      <c r="BA14" s="184">
        <v>7646083.3200000012</v>
      </c>
      <c r="BB14" s="184">
        <f t="shared" si="28"/>
        <v>76814562.640000015</v>
      </c>
      <c r="BC14" s="184">
        <f t="shared" si="29"/>
        <v>76814562.640000015</v>
      </c>
      <c r="BE14" s="184">
        <v>20624605</v>
      </c>
      <c r="BF14" s="184">
        <v>17702954</v>
      </c>
      <c r="BG14" s="184">
        <v>21746586</v>
      </c>
      <c r="BH14" s="184">
        <v>20553708</v>
      </c>
      <c r="BI14" s="184">
        <v>16045267</v>
      </c>
      <c r="BJ14" s="184">
        <v>14570366</v>
      </c>
      <c r="BK14" s="184">
        <v>15255791</v>
      </c>
      <c r="BL14" s="184">
        <v>13984383</v>
      </c>
      <c r="BM14" s="184">
        <f>15968718+1336731</f>
        <v>17305449</v>
      </c>
      <c r="BN14" s="184">
        <v>19051730</v>
      </c>
      <c r="BO14" s="184">
        <f>20619486+3380312</f>
        <v>23999798</v>
      </c>
      <c r="BP14" s="184">
        <v>22816163</v>
      </c>
      <c r="BQ14" s="184">
        <f t="shared" si="30"/>
        <v>223656800</v>
      </c>
      <c r="BR14" s="184">
        <f t="shared" si="31"/>
        <v>223656800</v>
      </c>
      <c r="BT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  <c r="CF14" s="184">
        <f t="shared" si="32"/>
        <v>0</v>
      </c>
      <c r="CG14" s="184">
        <f t="shared" si="33"/>
        <v>0</v>
      </c>
      <c r="CI14" s="180"/>
      <c r="CJ14" s="180"/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4">
        <f t="shared" si="34"/>
        <v>0</v>
      </c>
      <c r="CV14" s="184">
        <f t="shared" si="35"/>
        <v>0</v>
      </c>
      <c r="CX14" s="180"/>
      <c r="CY14" s="180"/>
      <c r="CZ14" s="180"/>
      <c r="DA14" s="180"/>
      <c r="DB14" s="180"/>
      <c r="DC14" s="180"/>
      <c r="DD14" s="180"/>
      <c r="DE14" s="180"/>
      <c r="DF14" s="180"/>
      <c r="DG14" s="180"/>
      <c r="DH14" s="180"/>
      <c r="DI14" s="180"/>
      <c r="DJ14" s="184">
        <f t="shared" si="46"/>
        <v>0</v>
      </c>
      <c r="DK14" s="184">
        <f t="shared" si="47"/>
        <v>0</v>
      </c>
      <c r="DM14" s="180"/>
      <c r="DN14" s="180"/>
      <c r="DO14" s="180"/>
      <c r="DP14" s="180"/>
      <c r="DQ14" s="180"/>
      <c r="DR14" s="180"/>
      <c r="DS14" s="180"/>
      <c r="DT14" s="180"/>
      <c r="DU14" s="180"/>
      <c r="DV14" s="180"/>
      <c r="DW14" s="180"/>
      <c r="DX14" s="180"/>
      <c r="DY14" s="184">
        <f t="shared" si="60"/>
        <v>0</v>
      </c>
      <c r="DZ14" s="184">
        <f t="shared" si="61"/>
        <v>0</v>
      </c>
      <c r="EB14" s="184"/>
      <c r="EC14" s="184"/>
      <c r="ED14" s="184"/>
      <c r="EE14" s="184"/>
      <c r="EF14" s="184"/>
      <c r="EG14" s="184"/>
      <c r="EH14" s="184"/>
      <c r="EI14" s="184"/>
      <c r="EJ14" s="184"/>
      <c r="EK14" s="184"/>
      <c r="EL14" s="184"/>
      <c r="EM14" s="184"/>
      <c r="EN14" s="184">
        <f t="shared" si="62"/>
        <v>0</v>
      </c>
      <c r="EO14" s="184">
        <f t="shared" si="63"/>
        <v>0</v>
      </c>
      <c r="EQ14" s="184"/>
      <c r="ER14" s="184"/>
      <c r="ES14" s="184"/>
      <c r="ET14" s="184"/>
      <c r="EU14" s="184"/>
      <c r="EV14" s="184"/>
      <c r="EW14" s="184"/>
      <c r="EX14" s="184"/>
      <c r="EY14" s="184"/>
      <c r="EZ14" s="184"/>
      <c r="FA14" s="184"/>
      <c r="FB14" s="184"/>
      <c r="FC14" s="184">
        <f t="shared" si="64"/>
        <v>0</v>
      </c>
      <c r="FD14" s="184">
        <f t="shared" si="65"/>
        <v>0</v>
      </c>
      <c r="FF14" s="184">
        <v>0</v>
      </c>
      <c r="FG14" s="184">
        <v>0</v>
      </c>
      <c r="FH14" s="184">
        <v>0</v>
      </c>
      <c r="FI14" s="184">
        <v>0</v>
      </c>
      <c r="FJ14" s="184">
        <v>0</v>
      </c>
      <c r="FK14" s="184">
        <v>0</v>
      </c>
      <c r="FL14" s="184">
        <v>1360682.2100000002</v>
      </c>
      <c r="FM14" s="184">
        <v>1701617.3200000003</v>
      </c>
      <c r="FN14" s="184">
        <v>3026383.8</v>
      </c>
      <c r="FO14" s="184">
        <v>4224587.41</v>
      </c>
      <c r="FP14" s="184">
        <v>6291329.7500000009</v>
      </c>
      <c r="FQ14" s="184">
        <v>7501946.1299999999</v>
      </c>
      <c r="FR14" s="184">
        <f t="shared" si="66"/>
        <v>24106546.620000001</v>
      </c>
      <c r="FS14" s="184">
        <f t="shared" si="67"/>
        <v>24106546.620000001</v>
      </c>
      <c r="FU14" s="184">
        <v>0</v>
      </c>
      <c r="FV14" s="184">
        <v>0</v>
      </c>
      <c r="FW14" s="184">
        <v>0</v>
      </c>
      <c r="FX14" s="184">
        <v>0</v>
      </c>
      <c r="FY14" s="184">
        <v>0</v>
      </c>
      <c r="FZ14" s="184">
        <v>111199</v>
      </c>
      <c r="GA14" s="184">
        <v>7170092</v>
      </c>
      <c r="GB14" s="184">
        <v>5414960</v>
      </c>
      <c r="GC14" s="184">
        <v>9253076</v>
      </c>
      <c r="GD14" s="184">
        <v>13664554</v>
      </c>
      <c r="GE14" s="184">
        <v>27614142</v>
      </c>
      <c r="GF14" s="184">
        <v>19817972</v>
      </c>
      <c r="GG14" s="184">
        <f t="shared" si="68"/>
        <v>83045995</v>
      </c>
      <c r="GH14" s="184">
        <f t="shared" si="69"/>
        <v>83045995</v>
      </c>
      <c r="GJ14" s="180"/>
      <c r="GK14" s="180"/>
      <c r="GL14" s="180"/>
      <c r="GM14" s="180"/>
      <c r="GN14" s="180"/>
      <c r="GO14" s="180"/>
      <c r="GP14" s="180"/>
      <c r="GQ14" s="180"/>
      <c r="GR14" s="180"/>
      <c r="GS14" s="180"/>
      <c r="GT14" s="180"/>
      <c r="GU14" s="180"/>
      <c r="GV14" s="184">
        <f t="shared" si="70"/>
        <v>0</v>
      </c>
      <c r="GW14" s="184">
        <f t="shared" si="71"/>
        <v>0</v>
      </c>
      <c r="GY14" s="180"/>
      <c r="GZ14" s="180"/>
      <c r="HA14" s="180"/>
      <c r="HB14" s="180"/>
      <c r="HC14" s="180"/>
      <c r="HD14" s="180"/>
      <c r="HE14" s="180"/>
      <c r="HF14" s="180"/>
      <c r="HG14" s="180"/>
      <c r="HH14" s="180"/>
      <c r="HI14" s="180"/>
      <c r="HJ14" s="180"/>
      <c r="HK14" s="184">
        <f t="shared" si="72"/>
        <v>0</v>
      </c>
      <c r="HL14" s="184">
        <f t="shared" si="73"/>
        <v>0</v>
      </c>
      <c r="HN14" s="184">
        <f t="shared" si="74"/>
        <v>0</v>
      </c>
      <c r="HO14" s="184">
        <f t="shared" si="75"/>
        <v>0</v>
      </c>
      <c r="HP14" s="184">
        <f t="shared" si="76"/>
        <v>0</v>
      </c>
      <c r="HQ14" s="184">
        <f t="shared" si="77"/>
        <v>0</v>
      </c>
      <c r="HR14" s="184">
        <f t="shared" si="78"/>
        <v>0</v>
      </c>
      <c r="HS14" s="184">
        <f t="shared" si="79"/>
        <v>0</v>
      </c>
      <c r="HT14" s="184">
        <f t="shared" si="80"/>
        <v>1360682.2100000002</v>
      </c>
      <c r="HU14" s="184">
        <f t="shared" si="81"/>
        <v>1701617.3200000003</v>
      </c>
      <c r="HV14" s="184">
        <f t="shared" si="82"/>
        <v>3026383.8</v>
      </c>
      <c r="HW14" s="184">
        <f t="shared" si="83"/>
        <v>4224587.41</v>
      </c>
      <c r="HX14" s="184">
        <f t="shared" si="84"/>
        <v>6291329.7500000009</v>
      </c>
      <c r="HY14" s="184">
        <f t="shared" si="85"/>
        <v>7501946.1299999999</v>
      </c>
      <c r="HZ14" s="184">
        <f t="shared" si="86"/>
        <v>24106546.620000001</v>
      </c>
      <c r="IA14" s="184">
        <f t="shared" si="87"/>
        <v>24106546.620000001</v>
      </c>
      <c r="IC14" s="184">
        <f t="shared" si="172"/>
        <v>0</v>
      </c>
      <c r="ID14" s="184">
        <f t="shared" si="161"/>
        <v>0</v>
      </c>
      <c r="IE14" s="184">
        <f t="shared" si="162"/>
        <v>0</v>
      </c>
      <c r="IF14" s="184">
        <f t="shared" si="163"/>
        <v>0</v>
      </c>
      <c r="IG14" s="184">
        <f t="shared" si="164"/>
        <v>0</v>
      </c>
      <c r="IH14" s="184">
        <f t="shared" si="165"/>
        <v>111199</v>
      </c>
      <c r="II14" s="184">
        <f t="shared" si="166"/>
        <v>7170092</v>
      </c>
      <c r="IJ14" s="184">
        <f t="shared" si="167"/>
        <v>5414960</v>
      </c>
      <c r="IK14" s="184">
        <f t="shared" si="168"/>
        <v>9253076</v>
      </c>
      <c r="IL14" s="184">
        <f t="shared" si="169"/>
        <v>13664554</v>
      </c>
      <c r="IM14" s="184">
        <f t="shared" si="170"/>
        <v>27614142</v>
      </c>
      <c r="IN14" s="184">
        <f t="shared" si="171"/>
        <v>19817972</v>
      </c>
      <c r="IO14" s="184">
        <f t="shared" si="89"/>
        <v>83045995</v>
      </c>
      <c r="IP14" s="184">
        <f t="shared" si="90"/>
        <v>83045995</v>
      </c>
    </row>
    <row r="15" spans="1:250">
      <c r="A15" s="445"/>
      <c r="B15" s="181" t="s">
        <v>223</v>
      </c>
      <c r="C15" s="186"/>
      <c r="D15" s="186"/>
      <c r="E15" s="186"/>
      <c r="F15" s="186"/>
      <c r="G15" s="186"/>
      <c r="H15" s="186"/>
      <c r="I15" s="186"/>
      <c r="J15" s="187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4">
        <f t="shared" si="24"/>
        <v>0</v>
      </c>
      <c r="Y15" s="184">
        <f t="shared" si="25"/>
        <v>0</v>
      </c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>
        <f t="shared" si="26"/>
        <v>0</v>
      </c>
      <c r="AN15" s="184">
        <f t="shared" si="27"/>
        <v>0</v>
      </c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>
        <f t="shared" si="28"/>
        <v>0</v>
      </c>
      <c r="BC15" s="184">
        <f t="shared" si="29"/>
        <v>0</v>
      </c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>
        <f t="shared" si="30"/>
        <v>0</v>
      </c>
      <c r="BR15" s="184">
        <f t="shared" si="31"/>
        <v>0</v>
      </c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4">
        <f t="shared" si="32"/>
        <v>0</v>
      </c>
      <c r="CG15" s="184">
        <f t="shared" si="33"/>
        <v>0</v>
      </c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4">
        <f t="shared" si="34"/>
        <v>0</v>
      </c>
      <c r="CV15" s="184">
        <f t="shared" si="35"/>
        <v>0</v>
      </c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4">
        <f t="shared" si="46"/>
        <v>0</v>
      </c>
      <c r="DK15" s="184">
        <f t="shared" si="47"/>
        <v>0</v>
      </c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4">
        <f t="shared" si="60"/>
        <v>0</v>
      </c>
      <c r="DZ15" s="184">
        <f t="shared" si="61"/>
        <v>0</v>
      </c>
      <c r="EB15" s="184"/>
      <c r="EC15" s="184"/>
      <c r="ED15" s="184"/>
      <c r="EE15" s="184"/>
      <c r="EF15" s="184"/>
      <c r="EG15" s="184"/>
      <c r="EH15" s="184"/>
      <c r="EI15" s="184"/>
      <c r="EJ15" s="184"/>
      <c r="EK15" s="184"/>
      <c r="EL15" s="184"/>
      <c r="EM15" s="184"/>
      <c r="EN15" s="184">
        <f t="shared" si="62"/>
        <v>0</v>
      </c>
      <c r="EO15" s="184">
        <f t="shared" si="63"/>
        <v>0</v>
      </c>
      <c r="EQ15" s="184"/>
      <c r="ER15" s="184"/>
      <c r="ES15" s="184"/>
      <c r="ET15" s="184"/>
      <c r="EU15" s="184"/>
      <c r="EV15" s="184"/>
      <c r="EW15" s="184"/>
      <c r="EX15" s="184"/>
      <c r="EY15" s="184"/>
      <c r="EZ15" s="184"/>
      <c r="FA15" s="184"/>
      <c r="FB15" s="184"/>
      <c r="FC15" s="184">
        <f t="shared" si="64"/>
        <v>0</v>
      </c>
      <c r="FD15" s="184">
        <f t="shared" si="65"/>
        <v>0</v>
      </c>
      <c r="FF15" s="184"/>
      <c r="FG15" s="184"/>
      <c r="FH15" s="184"/>
      <c r="FI15" s="184"/>
      <c r="FJ15" s="184"/>
      <c r="FK15" s="184"/>
      <c r="FL15" s="184"/>
      <c r="FM15" s="184"/>
      <c r="FN15" s="184"/>
      <c r="FO15" s="184"/>
      <c r="FP15" s="184"/>
      <c r="FQ15" s="184"/>
      <c r="FR15" s="184">
        <f t="shared" si="66"/>
        <v>0</v>
      </c>
      <c r="FS15" s="184">
        <f t="shared" si="67"/>
        <v>0</v>
      </c>
      <c r="FU15" s="184"/>
      <c r="FV15" s="184"/>
      <c r="FW15" s="184"/>
      <c r="FX15" s="184"/>
      <c r="FY15" s="184"/>
      <c r="FZ15" s="184"/>
      <c r="GA15" s="184"/>
      <c r="GB15" s="184"/>
      <c r="GC15" s="184"/>
      <c r="GD15" s="184"/>
      <c r="GE15" s="184"/>
      <c r="GF15" s="184"/>
      <c r="GG15" s="184">
        <f t="shared" si="68"/>
        <v>0</v>
      </c>
      <c r="GH15" s="184">
        <f t="shared" si="69"/>
        <v>0</v>
      </c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4">
        <f t="shared" si="70"/>
        <v>0</v>
      </c>
      <c r="GW15" s="184">
        <f t="shared" si="71"/>
        <v>0</v>
      </c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4">
        <f t="shared" si="72"/>
        <v>0</v>
      </c>
      <c r="HL15" s="184">
        <f t="shared" si="73"/>
        <v>0</v>
      </c>
      <c r="HN15" s="184">
        <f t="shared" si="74"/>
        <v>0</v>
      </c>
      <c r="HO15" s="184">
        <f t="shared" si="75"/>
        <v>0</v>
      </c>
      <c r="HP15" s="184">
        <f t="shared" si="76"/>
        <v>0</v>
      </c>
      <c r="HQ15" s="184">
        <f t="shared" si="77"/>
        <v>0</v>
      </c>
      <c r="HR15" s="184">
        <f t="shared" si="78"/>
        <v>0</v>
      </c>
      <c r="HS15" s="184">
        <f t="shared" si="79"/>
        <v>0</v>
      </c>
      <c r="HT15" s="184">
        <f t="shared" si="80"/>
        <v>0</v>
      </c>
      <c r="HU15" s="184">
        <f t="shared" si="81"/>
        <v>0</v>
      </c>
      <c r="HV15" s="184">
        <f t="shared" si="82"/>
        <v>0</v>
      </c>
      <c r="HW15" s="184">
        <f t="shared" si="83"/>
        <v>0</v>
      </c>
      <c r="HX15" s="184">
        <f t="shared" si="84"/>
        <v>0</v>
      </c>
      <c r="HY15" s="184">
        <f t="shared" si="85"/>
        <v>0</v>
      </c>
      <c r="HZ15" s="184">
        <f t="shared" si="86"/>
        <v>0</v>
      </c>
      <c r="IA15" s="184">
        <f t="shared" si="87"/>
        <v>0</v>
      </c>
      <c r="IC15" s="184">
        <f t="shared" si="172"/>
        <v>0</v>
      </c>
      <c r="ID15" s="184">
        <f t="shared" si="161"/>
        <v>0</v>
      </c>
      <c r="IE15" s="184">
        <f t="shared" si="162"/>
        <v>0</v>
      </c>
      <c r="IF15" s="184">
        <f t="shared" si="163"/>
        <v>0</v>
      </c>
      <c r="IG15" s="184">
        <f t="shared" si="164"/>
        <v>0</v>
      </c>
      <c r="IH15" s="184">
        <f t="shared" si="165"/>
        <v>0</v>
      </c>
      <c r="II15" s="184">
        <f t="shared" si="166"/>
        <v>0</v>
      </c>
      <c r="IJ15" s="184">
        <f t="shared" si="167"/>
        <v>0</v>
      </c>
      <c r="IK15" s="184">
        <f t="shared" si="168"/>
        <v>0</v>
      </c>
      <c r="IL15" s="184">
        <f t="shared" si="169"/>
        <v>0</v>
      </c>
      <c r="IM15" s="184">
        <f t="shared" si="170"/>
        <v>0</v>
      </c>
      <c r="IN15" s="184">
        <f t="shared" si="171"/>
        <v>0</v>
      </c>
      <c r="IO15" s="184">
        <f t="shared" si="89"/>
        <v>0</v>
      </c>
      <c r="IP15" s="184">
        <f t="shared" si="90"/>
        <v>0</v>
      </c>
    </row>
    <row r="16" spans="1:250" ht="14.25" thickBot="1">
      <c r="A16" s="446"/>
      <c r="B16" s="188" t="s">
        <v>227</v>
      </c>
      <c r="C16" s="189"/>
      <c r="D16" s="189"/>
      <c r="E16" s="189">
        <f t="shared" si="173"/>
        <v>0.3175972803909502</v>
      </c>
      <c r="F16" s="189">
        <f>(SUM(FF16:FI16)*1.17+SUM(FJ16:FP16)*1.16)/GG16</f>
        <v>0.25617882689489069</v>
      </c>
      <c r="G16" s="189"/>
      <c r="H16" s="189"/>
      <c r="I16" s="189"/>
      <c r="J16" s="19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4">
        <f t="shared" si="24"/>
        <v>0</v>
      </c>
      <c r="Y16" s="184">
        <f t="shared" si="25"/>
        <v>0</v>
      </c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>
        <f t="shared" si="26"/>
        <v>0</v>
      </c>
      <c r="AN16" s="184">
        <f t="shared" si="27"/>
        <v>0</v>
      </c>
      <c r="AP16" s="184">
        <f>SUM(AP11:AP15)</f>
        <v>17891451.52</v>
      </c>
      <c r="AQ16" s="184">
        <f t="shared" ref="AQ16:BA16" si="174">SUM(AQ11:AQ15)</f>
        <v>13530840.870000001</v>
      </c>
      <c r="AR16" s="184">
        <f t="shared" si="174"/>
        <v>23968189.309999999</v>
      </c>
      <c r="AS16" s="184">
        <f t="shared" si="174"/>
        <v>17237334.700000003</v>
      </c>
      <c r="AT16" s="184">
        <f t="shared" si="174"/>
        <v>15033800.25</v>
      </c>
      <c r="AU16" s="184">
        <f t="shared" si="174"/>
        <v>19071411.630000003</v>
      </c>
      <c r="AV16" s="184">
        <f t="shared" si="174"/>
        <v>17468167.850000001</v>
      </c>
      <c r="AW16" s="184">
        <f t="shared" si="174"/>
        <v>16388276.459999993</v>
      </c>
      <c r="AX16" s="184">
        <f t="shared" si="174"/>
        <v>19263690.359999999</v>
      </c>
      <c r="AY16" s="184">
        <f t="shared" si="174"/>
        <v>23523492.100000005</v>
      </c>
      <c r="AZ16" s="184">
        <f t="shared" si="174"/>
        <v>23779486.689999998</v>
      </c>
      <c r="BA16" s="184">
        <f t="shared" si="174"/>
        <v>22462064</v>
      </c>
      <c r="BB16" s="184">
        <f t="shared" si="28"/>
        <v>229618205.73999998</v>
      </c>
      <c r="BC16" s="184">
        <f t="shared" si="29"/>
        <v>229618205.73999998</v>
      </c>
      <c r="BE16" s="184">
        <f>SUM(BE11:BE15)</f>
        <v>59850460</v>
      </c>
      <c r="BF16" s="184">
        <f t="shared" ref="BF16:BP16" si="175">SUM(BF11:BF15)</f>
        <v>48314740</v>
      </c>
      <c r="BG16" s="184">
        <f t="shared" si="175"/>
        <v>70681199</v>
      </c>
      <c r="BH16" s="184">
        <f t="shared" si="175"/>
        <v>65839014</v>
      </c>
      <c r="BI16" s="184">
        <f t="shared" si="175"/>
        <v>63608000</v>
      </c>
      <c r="BJ16" s="184">
        <f t="shared" si="175"/>
        <v>60471011</v>
      </c>
      <c r="BK16" s="184">
        <f t="shared" si="175"/>
        <v>59779786</v>
      </c>
      <c r="BL16" s="184">
        <f t="shared" si="175"/>
        <v>64747698</v>
      </c>
      <c r="BM16" s="184">
        <f t="shared" si="175"/>
        <v>75480080</v>
      </c>
      <c r="BN16" s="184">
        <f t="shared" si="175"/>
        <v>89968497</v>
      </c>
      <c r="BO16" s="184">
        <f t="shared" si="175"/>
        <v>83923021</v>
      </c>
      <c r="BP16" s="184">
        <f t="shared" si="175"/>
        <v>79542171</v>
      </c>
      <c r="BQ16" s="184">
        <f t="shared" si="30"/>
        <v>822205677</v>
      </c>
      <c r="BR16" s="184">
        <f t="shared" si="31"/>
        <v>822205677</v>
      </c>
      <c r="BT16" s="180"/>
      <c r="BU16" s="180"/>
      <c r="BV16" s="180"/>
      <c r="BW16" s="180"/>
      <c r="BX16" s="180"/>
      <c r="BY16" s="180"/>
      <c r="BZ16" s="180"/>
      <c r="CA16" s="180"/>
      <c r="CB16" s="180"/>
      <c r="CC16" s="180"/>
      <c r="CD16" s="180"/>
      <c r="CE16" s="180"/>
      <c r="CF16" s="184">
        <f t="shared" si="32"/>
        <v>0</v>
      </c>
      <c r="CG16" s="184">
        <f t="shared" si="33"/>
        <v>0</v>
      </c>
      <c r="CI16" s="180"/>
      <c r="CJ16" s="180"/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4">
        <f t="shared" si="34"/>
        <v>0</v>
      </c>
      <c r="CV16" s="184">
        <f t="shared" si="35"/>
        <v>0</v>
      </c>
      <c r="CX16" s="180"/>
      <c r="CY16" s="180"/>
      <c r="CZ16" s="180"/>
      <c r="DA16" s="180"/>
      <c r="DB16" s="180"/>
      <c r="DC16" s="180"/>
      <c r="DD16" s="180"/>
      <c r="DE16" s="180"/>
      <c r="DF16" s="180"/>
      <c r="DG16" s="180"/>
      <c r="DH16" s="180"/>
      <c r="DI16" s="180"/>
      <c r="DJ16" s="184">
        <f t="shared" si="46"/>
        <v>0</v>
      </c>
      <c r="DK16" s="184">
        <f t="shared" si="47"/>
        <v>0</v>
      </c>
      <c r="DM16" s="180"/>
      <c r="DN16" s="180"/>
      <c r="DO16" s="180"/>
      <c r="DP16" s="180"/>
      <c r="DQ16" s="180"/>
      <c r="DR16" s="180"/>
      <c r="DS16" s="180"/>
      <c r="DT16" s="180"/>
      <c r="DU16" s="180"/>
      <c r="DV16" s="180"/>
      <c r="DW16" s="180"/>
      <c r="DX16" s="180"/>
      <c r="DY16" s="184">
        <f t="shared" si="60"/>
        <v>0</v>
      </c>
      <c r="DZ16" s="184">
        <f t="shared" si="61"/>
        <v>0</v>
      </c>
      <c r="EB16" s="184"/>
      <c r="EC16" s="184"/>
      <c r="ED16" s="184"/>
      <c r="EE16" s="184"/>
      <c r="EF16" s="184"/>
      <c r="EG16" s="184"/>
      <c r="EH16" s="184"/>
      <c r="EI16" s="184"/>
      <c r="EJ16" s="184"/>
      <c r="EK16" s="184"/>
      <c r="EL16" s="184"/>
      <c r="EM16" s="184"/>
      <c r="EN16" s="184">
        <f t="shared" si="62"/>
        <v>0</v>
      </c>
      <c r="EO16" s="184">
        <f t="shared" si="63"/>
        <v>0</v>
      </c>
      <c r="EQ16" s="184"/>
      <c r="ER16" s="184"/>
      <c r="ES16" s="184"/>
      <c r="ET16" s="184"/>
      <c r="EU16" s="184"/>
      <c r="EV16" s="184"/>
      <c r="EW16" s="184"/>
      <c r="EX16" s="184"/>
      <c r="EY16" s="184"/>
      <c r="EZ16" s="184"/>
      <c r="FA16" s="184"/>
      <c r="FB16" s="184"/>
      <c r="FC16" s="184">
        <f t="shared" si="64"/>
        <v>0</v>
      </c>
      <c r="FD16" s="184">
        <f t="shared" si="65"/>
        <v>0</v>
      </c>
      <c r="FF16" s="184">
        <f>SUM(FF11:FF15)</f>
        <v>6191121.9399999995</v>
      </c>
      <c r="FG16" s="184">
        <f t="shared" ref="FG16:FQ16" si="176">SUM(FG11:FG15)</f>
        <v>416384.51999999996</v>
      </c>
      <c r="FH16" s="184">
        <f t="shared" si="176"/>
        <v>12785310.240000002</v>
      </c>
      <c r="FI16" s="184">
        <f t="shared" si="176"/>
        <v>7352750.9199999981</v>
      </c>
      <c r="FJ16" s="184">
        <f t="shared" si="176"/>
        <v>6821111.6099999985</v>
      </c>
      <c r="FK16" s="184">
        <f t="shared" si="176"/>
        <v>6831330.5999999987</v>
      </c>
      <c r="FL16" s="184">
        <f t="shared" si="176"/>
        <v>11434010.589999998</v>
      </c>
      <c r="FM16" s="184">
        <f t="shared" si="176"/>
        <v>9721173.620000001</v>
      </c>
      <c r="FN16" s="184">
        <f t="shared" si="176"/>
        <v>14508370.719999999</v>
      </c>
      <c r="FO16" s="184">
        <f t="shared" si="176"/>
        <v>13492156.430000002</v>
      </c>
      <c r="FP16" s="184">
        <f t="shared" si="176"/>
        <v>17587084.660000004</v>
      </c>
      <c r="FQ16" s="184">
        <f t="shared" si="176"/>
        <v>16863172.930000018</v>
      </c>
      <c r="FR16" s="184">
        <f t="shared" si="66"/>
        <v>124003978.78000002</v>
      </c>
      <c r="FS16" s="184">
        <f t="shared" si="67"/>
        <v>124003978.78000002</v>
      </c>
      <c r="FU16" s="184">
        <f>SUM(FU11:FU15)</f>
        <v>29181412</v>
      </c>
      <c r="FV16" s="184">
        <f t="shared" ref="FV16:GF16" si="177">SUM(FV11:FV15)</f>
        <v>1346902</v>
      </c>
      <c r="FW16" s="184">
        <f t="shared" si="177"/>
        <v>58392799</v>
      </c>
      <c r="FX16" s="184">
        <f t="shared" si="177"/>
        <v>29588012</v>
      </c>
      <c r="FY16" s="184">
        <f t="shared" si="177"/>
        <v>27816314</v>
      </c>
      <c r="FZ16" s="184">
        <f t="shared" si="177"/>
        <v>29818044</v>
      </c>
      <c r="GA16" s="184">
        <f t="shared" si="177"/>
        <v>44651980</v>
      </c>
      <c r="GB16" s="184">
        <f t="shared" si="177"/>
        <v>42164042</v>
      </c>
      <c r="GC16" s="184">
        <f t="shared" si="177"/>
        <v>53713694</v>
      </c>
      <c r="GD16" s="184">
        <f t="shared" si="177"/>
        <v>46926240</v>
      </c>
      <c r="GE16" s="184">
        <f t="shared" si="177"/>
        <v>69919003</v>
      </c>
      <c r="GF16" s="184">
        <f t="shared" si="177"/>
        <v>52668461</v>
      </c>
      <c r="GG16" s="184">
        <f t="shared" si="68"/>
        <v>486186903</v>
      </c>
      <c r="GH16" s="184">
        <f t="shared" si="69"/>
        <v>486186903</v>
      </c>
      <c r="GJ16" s="180"/>
      <c r="GK16" s="180"/>
      <c r="GL16" s="180"/>
      <c r="GM16" s="180"/>
      <c r="GN16" s="180"/>
      <c r="GO16" s="180"/>
      <c r="GP16" s="180"/>
      <c r="GQ16" s="180"/>
      <c r="GR16" s="180"/>
      <c r="GS16" s="180"/>
      <c r="GT16" s="180"/>
      <c r="GU16" s="180"/>
      <c r="GV16" s="184">
        <f t="shared" si="70"/>
        <v>0</v>
      </c>
      <c r="GW16" s="184">
        <f t="shared" si="71"/>
        <v>0</v>
      </c>
      <c r="GY16" s="180"/>
      <c r="GZ16" s="180"/>
      <c r="HA16" s="180"/>
      <c r="HB16" s="180"/>
      <c r="HC16" s="180"/>
      <c r="HD16" s="180"/>
      <c r="HE16" s="180"/>
      <c r="HF16" s="180"/>
      <c r="HG16" s="180"/>
      <c r="HH16" s="180"/>
      <c r="HI16" s="180"/>
      <c r="HJ16" s="180"/>
      <c r="HK16" s="184">
        <f t="shared" si="72"/>
        <v>0</v>
      </c>
      <c r="HL16" s="184">
        <f t="shared" si="73"/>
        <v>0</v>
      </c>
      <c r="HN16" s="184">
        <f t="shared" si="74"/>
        <v>6191121.9399999995</v>
      </c>
      <c r="HO16" s="184">
        <f t="shared" si="75"/>
        <v>416384.51999999996</v>
      </c>
      <c r="HP16" s="184">
        <f t="shared" si="76"/>
        <v>12785310.240000002</v>
      </c>
      <c r="HQ16" s="184">
        <f t="shared" si="77"/>
        <v>7352750.9199999981</v>
      </c>
      <c r="HR16" s="184">
        <f t="shared" si="78"/>
        <v>6821111.6099999985</v>
      </c>
      <c r="HS16" s="184">
        <f t="shared" si="79"/>
        <v>6831330.5999999987</v>
      </c>
      <c r="HT16" s="184">
        <f t="shared" si="80"/>
        <v>11434010.589999998</v>
      </c>
      <c r="HU16" s="184">
        <f t="shared" si="81"/>
        <v>9721173.620000001</v>
      </c>
      <c r="HV16" s="184">
        <f t="shared" si="82"/>
        <v>14508370.719999999</v>
      </c>
      <c r="HW16" s="184">
        <f t="shared" si="83"/>
        <v>13492156.430000002</v>
      </c>
      <c r="HX16" s="184">
        <f t="shared" si="84"/>
        <v>17587084.660000004</v>
      </c>
      <c r="HY16" s="184">
        <f t="shared" si="85"/>
        <v>16863172.930000018</v>
      </c>
      <c r="HZ16" s="184">
        <f t="shared" si="86"/>
        <v>124003978.78000002</v>
      </c>
      <c r="IA16" s="184">
        <f t="shared" si="87"/>
        <v>124003978.78000002</v>
      </c>
      <c r="IC16" s="184">
        <f>SUM(IC11:IC15)</f>
        <v>29181412</v>
      </c>
      <c r="ID16" s="184">
        <f t="shared" ref="ID16:IN16" si="178">SUM(ID11:ID15)</f>
        <v>1346902</v>
      </c>
      <c r="IE16" s="184">
        <f t="shared" si="178"/>
        <v>58392799</v>
      </c>
      <c r="IF16" s="184">
        <f t="shared" si="178"/>
        <v>29588012</v>
      </c>
      <c r="IG16" s="184">
        <f t="shared" si="178"/>
        <v>27816314</v>
      </c>
      <c r="IH16" s="184">
        <f t="shared" si="178"/>
        <v>29818044</v>
      </c>
      <c r="II16" s="184">
        <f t="shared" si="178"/>
        <v>44651980</v>
      </c>
      <c r="IJ16" s="184">
        <f t="shared" si="178"/>
        <v>42164042</v>
      </c>
      <c r="IK16" s="184">
        <f t="shared" si="178"/>
        <v>53713694</v>
      </c>
      <c r="IL16" s="184">
        <f t="shared" si="178"/>
        <v>46926240</v>
      </c>
      <c r="IM16" s="184">
        <f t="shared" si="178"/>
        <v>69919003</v>
      </c>
      <c r="IN16" s="184">
        <f t="shared" si="178"/>
        <v>52668461</v>
      </c>
      <c r="IO16" s="184">
        <f t="shared" si="89"/>
        <v>486186903</v>
      </c>
      <c r="IP16" s="184">
        <f t="shared" si="90"/>
        <v>486186903</v>
      </c>
    </row>
    <row r="17" spans="1:175">
      <c r="A17" s="191"/>
      <c r="B17" s="191"/>
      <c r="C17" s="191"/>
      <c r="D17" s="191"/>
      <c r="E17" s="191"/>
      <c r="F17" s="191"/>
      <c r="G17" s="191"/>
      <c r="H17" s="191"/>
      <c r="I17" s="191"/>
      <c r="J17" s="191"/>
    </row>
    <row r="18" spans="1:175">
      <c r="FF18" s="219"/>
      <c r="FG18" s="219"/>
      <c r="FH18" s="219"/>
      <c r="FI18" s="219"/>
      <c r="FJ18" s="219"/>
      <c r="FK18" s="219"/>
      <c r="FL18" s="219"/>
      <c r="FM18" s="219"/>
      <c r="FN18" s="219"/>
      <c r="FO18" s="219"/>
      <c r="FP18" s="219"/>
      <c r="FQ18" s="219"/>
      <c r="FS18" s="219"/>
    </row>
    <row r="19" spans="1:175" ht="14.65">
      <c r="A19" s="192" t="s">
        <v>224</v>
      </c>
      <c r="BE19" s="219"/>
      <c r="BF19" s="219"/>
      <c r="BG19" s="219"/>
      <c r="BH19" s="219"/>
      <c r="FF19" s="219"/>
      <c r="FG19" s="219"/>
      <c r="FH19" s="219"/>
      <c r="FI19" s="219"/>
      <c r="FJ19" s="219"/>
      <c r="FK19" s="219"/>
      <c r="FL19" s="219"/>
      <c r="FM19" s="219"/>
      <c r="FN19" s="219"/>
      <c r="FO19" s="219"/>
      <c r="FP19" s="219"/>
      <c r="FQ19" s="219"/>
    </row>
    <row r="20" spans="1:175">
      <c r="AP20" s="219"/>
      <c r="AQ20" s="219"/>
      <c r="AR20" s="219"/>
      <c r="AS20" s="219"/>
    </row>
  </sheetData>
  <mergeCells count="25">
    <mergeCell ref="A1:J1"/>
    <mergeCell ref="A3:A4"/>
    <mergeCell ref="B3:B4"/>
    <mergeCell ref="C3:D3"/>
    <mergeCell ref="E3:F3"/>
    <mergeCell ref="G3:H3"/>
    <mergeCell ref="I3:J3"/>
    <mergeCell ref="AP3:BC3"/>
    <mergeCell ref="BE3:BR3"/>
    <mergeCell ref="A5:A10"/>
    <mergeCell ref="A11:A16"/>
    <mergeCell ref="L3:Y3"/>
    <mergeCell ref="AA3:AN3"/>
    <mergeCell ref="HN3:IA3"/>
    <mergeCell ref="IC3:IP3"/>
    <mergeCell ref="BT3:CG3"/>
    <mergeCell ref="CI3:CV3"/>
    <mergeCell ref="CX3:DK3"/>
    <mergeCell ref="DM3:DZ3"/>
    <mergeCell ref="EB3:EO3"/>
    <mergeCell ref="EQ3:FD3"/>
    <mergeCell ref="FF3:FS3"/>
    <mergeCell ref="FU3:GH3"/>
    <mergeCell ref="GJ3:GW3"/>
    <mergeCell ref="GY3:HL3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R35"/>
  <sheetViews>
    <sheetView zoomScale="90" zoomScaleNormal="90" workbookViewId="0">
      <pane xSplit="2" ySplit="3" topLeftCell="C4" activePane="bottomRight" state="frozen"/>
      <selection activeCell="O8" sqref="A8:O10"/>
      <selection pane="topRight" activeCell="O8" sqref="A8:O10"/>
      <selection pane="bottomLeft" activeCell="O8" sqref="A8:O10"/>
      <selection pane="bottomRight" activeCell="H25" sqref="H25"/>
    </sheetView>
  </sheetViews>
  <sheetFormatPr defaultColWidth="9" defaultRowHeight="15" outlineLevelCol="1"/>
  <cols>
    <col min="1" max="1" width="9" style="115"/>
    <col min="2" max="2" width="21.59765625" style="115" bestFit="1" customWidth="1"/>
    <col min="3" max="11" width="9.59765625" style="115" customWidth="1"/>
    <col min="12" max="12" width="10.1328125" style="115" customWidth="1"/>
    <col min="13" max="16" width="16.1328125" style="115" customWidth="1" outlineLevel="1"/>
    <col min="17" max="19" width="15.46484375" style="115" customWidth="1" outlineLevel="1"/>
    <col min="20" max="20" width="14.265625" style="115" customWidth="1" outlineLevel="1"/>
    <col min="21" max="24" width="15.46484375" style="115" customWidth="1" outlineLevel="1"/>
    <col min="25" max="25" width="17.3984375" style="115" customWidth="1"/>
    <col min="26" max="26" width="9" style="115" customWidth="1"/>
    <col min="27" max="38" width="16.1328125" style="115" hidden="1" customWidth="1" outlineLevel="1"/>
    <col min="39" max="39" width="17.3984375" style="115" customWidth="1" collapsed="1"/>
    <col min="40" max="41" width="9" style="115" customWidth="1"/>
    <col min="42" max="42" width="19.1328125" style="115" bestFit="1" customWidth="1"/>
    <col min="43" max="43" width="21.19921875" style="115" bestFit="1" customWidth="1"/>
    <col min="44" max="44" width="17.86328125" style="405" bestFit="1" customWidth="1"/>
    <col min="45" max="16384" width="9" style="115"/>
  </cols>
  <sheetData>
    <row r="1" spans="1:44" ht="22.9">
      <c r="A1" s="461" t="s">
        <v>1069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</row>
    <row r="2" spans="1:44" ht="15.4" thickBot="1">
      <c r="A2" s="116"/>
      <c r="K2" s="117" t="s">
        <v>49</v>
      </c>
      <c r="M2" s="455" t="s">
        <v>215</v>
      </c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5"/>
      <c r="Y2" s="455"/>
      <c r="AA2" s="456" t="s">
        <v>910</v>
      </c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7"/>
      <c r="AM2" s="458"/>
      <c r="AP2" s="171" t="s">
        <v>1072</v>
      </c>
      <c r="AQ2" s="171" t="s">
        <v>1073</v>
      </c>
    </row>
    <row r="3" spans="1:44" ht="15.75">
      <c r="A3" s="118" t="s">
        <v>114</v>
      </c>
      <c r="B3" s="193" t="s">
        <v>115</v>
      </c>
      <c r="C3" s="193" t="s">
        <v>1070</v>
      </c>
      <c r="D3" s="193" t="s">
        <v>1071</v>
      </c>
      <c r="E3" s="193" t="s">
        <v>116</v>
      </c>
      <c r="F3" s="193" t="s">
        <v>117</v>
      </c>
      <c r="G3" s="193" t="s">
        <v>118</v>
      </c>
      <c r="H3" s="193" t="s">
        <v>119</v>
      </c>
      <c r="I3" s="193" t="s">
        <v>120</v>
      </c>
      <c r="J3" s="193" t="s">
        <v>121</v>
      </c>
      <c r="K3" s="194" t="s">
        <v>122</v>
      </c>
      <c r="M3" s="171" t="s">
        <v>213</v>
      </c>
      <c r="N3" s="171" t="s">
        <v>89</v>
      </c>
      <c r="O3" s="171" t="s">
        <v>90</v>
      </c>
      <c r="P3" s="171" t="s">
        <v>91</v>
      </c>
      <c r="Q3" s="171" t="s">
        <v>92</v>
      </c>
      <c r="R3" s="171" t="s">
        <v>93</v>
      </c>
      <c r="S3" s="171" t="s">
        <v>94</v>
      </c>
      <c r="T3" s="171" t="s">
        <v>95</v>
      </c>
      <c r="U3" s="171" t="s">
        <v>96</v>
      </c>
      <c r="V3" s="171" t="s">
        <v>97</v>
      </c>
      <c r="W3" s="171" t="s">
        <v>98</v>
      </c>
      <c r="X3" s="171" t="s">
        <v>99</v>
      </c>
      <c r="Y3" s="171" t="s">
        <v>214</v>
      </c>
      <c r="AA3" s="171" t="s">
        <v>213</v>
      </c>
      <c r="AB3" s="171" t="s">
        <v>89</v>
      </c>
      <c r="AC3" s="171" t="s">
        <v>90</v>
      </c>
      <c r="AD3" s="171" t="s">
        <v>91</v>
      </c>
      <c r="AE3" s="171" t="s">
        <v>92</v>
      </c>
      <c r="AF3" s="171" t="s">
        <v>93</v>
      </c>
      <c r="AG3" s="171" t="s">
        <v>94</v>
      </c>
      <c r="AH3" s="171" t="s">
        <v>95</v>
      </c>
      <c r="AI3" s="171" t="s">
        <v>96</v>
      </c>
      <c r="AJ3" s="171" t="s">
        <v>97</v>
      </c>
      <c r="AK3" s="171" t="s">
        <v>98</v>
      </c>
      <c r="AL3" s="171" t="s">
        <v>99</v>
      </c>
      <c r="AM3" s="171" t="s">
        <v>214</v>
      </c>
      <c r="AP3" s="171"/>
      <c r="AQ3" s="171"/>
    </row>
    <row r="4" spans="1:44">
      <c r="A4" s="462" t="s">
        <v>111</v>
      </c>
      <c r="B4" s="172" t="s">
        <v>1</v>
      </c>
      <c r="C4" s="195"/>
      <c r="D4" s="195"/>
      <c r="E4" s="196" t="e">
        <f>D4/C4</f>
        <v>#DIV/0!</v>
      </c>
      <c r="F4" s="195"/>
      <c r="G4" s="195"/>
      <c r="H4" s="195"/>
      <c r="I4" s="196" t="e">
        <f>H4/G4</f>
        <v>#DIV/0!</v>
      </c>
      <c r="J4" s="196" t="e">
        <f>H4/F4</f>
        <v>#DIV/0!</v>
      </c>
      <c r="K4" s="197"/>
      <c r="L4" s="124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>
        <f t="shared" ref="Y4:Y7" si="0">SUM(M4:X4)</f>
        <v>0</v>
      </c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>
        <f t="shared" ref="AM4:AM7" si="1">SUM(AA4:AL4)</f>
        <v>0</v>
      </c>
      <c r="AP4" s="240"/>
      <c r="AQ4" s="240"/>
    </row>
    <row r="5" spans="1:44">
      <c r="A5" s="462"/>
      <c r="B5" s="172" t="s">
        <v>123</v>
      </c>
      <c r="C5" s="195"/>
      <c r="D5" s="195"/>
      <c r="E5" s="196" t="e">
        <f t="shared" ref="E5:E19" si="2">D5/C5</f>
        <v>#DIV/0!</v>
      </c>
      <c r="F5" s="195"/>
      <c r="G5" s="195"/>
      <c r="H5" s="195"/>
      <c r="I5" s="196" t="e">
        <f t="shared" ref="I5:I20" si="3">H5/G5</f>
        <v>#DIV/0!</v>
      </c>
      <c r="J5" s="196" t="e">
        <f t="shared" ref="J5:J11" si="4">H5/F5</f>
        <v>#DIV/0!</v>
      </c>
      <c r="K5" s="126"/>
      <c r="L5" s="125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>
        <f t="shared" si="0"/>
        <v>0</v>
      </c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>
        <f t="shared" si="1"/>
        <v>0</v>
      </c>
      <c r="AP5" s="240"/>
      <c r="AQ5" s="240"/>
    </row>
    <row r="6" spans="1:44">
      <c r="A6" s="462"/>
      <c r="B6" s="172" t="s">
        <v>2</v>
      </c>
      <c r="C6" s="195">
        <f>AL6/10000</f>
        <v>2832.6328616049796</v>
      </c>
      <c r="D6" s="195">
        <f>X6/10000</f>
        <v>850.27539999999999</v>
      </c>
      <c r="E6" s="196">
        <f t="shared" si="2"/>
        <v>0.30017140997165126</v>
      </c>
      <c r="F6" s="195">
        <f>AM6/10000</f>
        <v>27669</v>
      </c>
      <c r="G6" s="198">
        <f>SUM(AA6:AL6)/10000</f>
        <v>27669</v>
      </c>
      <c r="H6" s="198">
        <f>Y6/10000</f>
        <v>21565.889574000001</v>
      </c>
      <c r="I6" s="196">
        <f t="shared" si="3"/>
        <v>0.77942425002710614</v>
      </c>
      <c r="J6" s="196">
        <f t="shared" si="4"/>
        <v>0.77942425002710614</v>
      </c>
      <c r="K6" s="126"/>
      <c r="L6" s="125"/>
      <c r="M6" s="173">
        <v>17891451.52</v>
      </c>
      <c r="N6" s="173">
        <v>13530840.869999999</v>
      </c>
      <c r="O6" s="173">
        <v>23968189.309999999</v>
      </c>
      <c r="P6" s="173">
        <v>17237334.699999999</v>
      </c>
      <c r="Q6" s="173">
        <v>15033800.25</v>
      </c>
      <c r="R6" s="173">
        <v>19071411.629999999</v>
      </c>
      <c r="S6" s="173">
        <v>17468167.850000001</v>
      </c>
      <c r="T6" s="173">
        <v>16388276.459999999</v>
      </c>
      <c r="U6" s="173">
        <v>19263690.360000003</v>
      </c>
      <c r="V6" s="173">
        <v>23523492.100000001</v>
      </c>
      <c r="W6" s="173">
        <v>23779486.690000001</v>
      </c>
      <c r="X6" s="173">
        <f>22462064-AR6</f>
        <v>8502754</v>
      </c>
      <c r="Y6" s="173">
        <f t="shared" si="0"/>
        <v>215658895.74000001</v>
      </c>
      <c r="AA6" s="173">
        <v>17891451.52</v>
      </c>
      <c r="AB6" s="173">
        <v>13530840.869999999</v>
      </c>
      <c r="AC6" s="173">
        <v>23968189.309999999</v>
      </c>
      <c r="AD6" s="173">
        <v>17237334.699999999</v>
      </c>
      <c r="AE6" s="173">
        <v>15033800.25</v>
      </c>
      <c r="AF6" s="173">
        <v>19071411.629999999</v>
      </c>
      <c r="AG6" s="173">
        <v>22770460.299928337</v>
      </c>
      <c r="AH6" s="173">
        <v>25548394.457989067</v>
      </c>
      <c r="AI6" s="173">
        <v>28326328.616049796</v>
      </c>
      <c r="AJ6" s="173">
        <v>28326328.616049796</v>
      </c>
      <c r="AK6" s="173">
        <v>36659131.113933191</v>
      </c>
      <c r="AL6" s="173">
        <v>28326328.616049796</v>
      </c>
      <c r="AM6" s="173">
        <f t="shared" si="1"/>
        <v>276690000</v>
      </c>
      <c r="AP6" s="240">
        <v>4977474</v>
      </c>
      <c r="AQ6" s="240">
        <v>8981836</v>
      </c>
      <c r="AR6" s="405">
        <f>SUM(AP6:AQ6)</f>
        <v>13959310</v>
      </c>
    </row>
    <row r="7" spans="1:44">
      <c r="A7" s="462"/>
      <c r="B7" s="172" t="s">
        <v>3</v>
      </c>
      <c r="C7" s="195"/>
      <c r="D7" s="199"/>
      <c r="E7" s="196" t="e">
        <f t="shared" si="2"/>
        <v>#DIV/0!</v>
      </c>
      <c r="F7" s="195"/>
      <c r="G7" s="199"/>
      <c r="H7" s="199"/>
      <c r="I7" s="196" t="e">
        <f t="shared" si="3"/>
        <v>#DIV/0!</v>
      </c>
      <c r="J7" s="196" t="e">
        <f t="shared" si="4"/>
        <v>#DIV/0!</v>
      </c>
      <c r="K7" s="200"/>
      <c r="L7" s="124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>
        <f t="shared" si="0"/>
        <v>0</v>
      </c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>
        <f t="shared" si="1"/>
        <v>0</v>
      </c>
      <c r="AP7" s="240"/>
      <c r="AQ7" s="240"/>
    </row>
    <row r="8" spans="1:44" ht="15.75">
      <c r="A8" s="462"/>
      <c r="B8" s="174" t="s">
        <v>124</v>
      </c>
      <c r="C8" s="201">
        <f>SUM(C4:C7)</f>
        <v>2832.6328616049796</v>
      </c>
      <c r="D8" s="201">
        <f>SUM(D4:D7)</f>
        <v>850.27539999999999</v>
      </c>
      <c r="E8" s="202">
        <f>D8/C8</f>
        <v>0.30017140997165126</v>
      </c>
      <c r="F8" s="201">
        <f>SUM(F4:F7)</f>
        <v>27669</v>
      </c>
      <c r="G8" s="201">
        <f>SUM(G4:G7)</f>
        <v>27669</v>
      </c>
      <c r="H8" s="201">
        <f>SUM(H4:H7)</f>
        <v>21565.889574000001</v>
      </c>
      <c r="I8" s="202">
        <f t="shared" si="3"/>
        <v>0.77942425002710614</v>
      </c>
      <c r="J8" s="202">
        <f>H8/F8</f>
        <v>0.77942425002710614</v>
      </c>
      <c r="K8" s="176"/>
      <c r="M8" s="173">
        <f>SUM(M4:M7)</f>
        <v>17891451.52</v>
      </c>
      <c r="N8" s="173">
        <f t="shared" ref="N8:AA8" si="5">SUM(N4:N7)</f>
        <v>13530840.869999999</v>
      </c>
      <c r="O8" s="173">
        <f t="shared" si="5"/>
        <v>23968189.309999999</v>
      </c>
      <c r="P8" s="173">
        <f t="shared" si="5"/>
        <v>17237334.699999999</v>
      </c>
      <c r="Q8" s="173">
        <f t="shared" si="5"/>
        <v>15033800.25</v>
      </c>
      <c r="R8" s="173">
        <f t="shared" si="5"/>
        <v>19071411.629999999</v>
      </c>
      <c r="S8" s="173">
        <f t="shared" si="5"/>
        <v>17468167.850000001</v>
      </c>
      <c r="T8" s="173">
        <f t="shared" si="5"/>
        <v>16388276.459999999</v>
      </c>
      <c r="U8" s="173">
        <f t="shared" si="5"/>
        <v>19263690.360000003</v>
      </c>
      <c r="V8" s="173">
        <f t="shared" si="5"/>
        <v>23523492.100000001</v>
      </c>
      <c r="W8" s="173">
        <f t="shared" si="5"/>
        <v>23779486.690000001</v>
      </c>
      <c r="X8" s="173">
        <f t="shared" si="5"/>
        <v>8502754</v>
      </c>
      <c r="Y8" s="173">
        <f t="shared" si="5"/>
        <v>215658895.74000001</v>
      </c>
      <c r="AA8" s="173">
        <f t="shared" si="5"/>
        <v>17891451.52</v>
      </c>
      <c r="AB8" s="173">
        <f t="shared" ref="AB8" si="6">SUM(AB4:AB7)</f>
        <v>13530840.869999999</v>
      </c>
      <c r="AC8" s="173">
        <f t="shared" ref="AC8" si="7">SUM(AC4:AC7)</f>
        <v>23968189.309999999</v>
      </c>
      <c r="AD8" s="173">
        <f t="shared" ref="AD8" si="8">SUM(AD4:AD7)</f>
        <v>17237334.699999999</v>
      </c>
      <c r="AE8" s="173">
        <f t="shared" ref="AE8" si="9">SUM(AE4:AE7)</f>
        <v>15033800.25</v>
      </c>
      <c r="AF8" s="173">
        <f t="shared" ref="AF8" si="10">SUM(AF4:AF7)</f>
        <v>19071411.629999999</v>
      </c>
      <c r="AG8" s="173">
        <f t="shared" ref="AG8" si="11">SUM(AG4:AG7)</f>
        <v>22770460.299928337</v>
      </c>
      <c r="AH8" s="173">
        <f t="shared" ref="AH8" si="12">SUM(AH4:AH7)</f>
        <v>25548394.457989067</v>
      </c>
      <c r="AI8" s="173">
        <f t="shared" ref="AI8" si="13">SUM(AI4:AI7)</f>
        <v>28326328.616049796</v>
      </c>
      <c r="AJ8" s="173">
        <f t="shared" ref="AJ8" si="14">SUM(AJ4:AJ7)</f>
        <v>28326328.616049796</v>
      </c>
      <c r="AK8" s="173">
        <f t="shared" ref="AK8" si="15">SUM(AK4:AK7)</f>
        <v>36659131.113933191</v>
      </c>
      <c r="AL8" s="173">
        <f t="shared" ref="AL8" si="16">SUM(AL4:AL7)</f>
        <v>28326328.616049796</v>
      </c>
      <c r="AM8" s="173">
        <f t="shared" ref="AM8" si="17">SUM(AM4:AM7)</f>
        <v>276690000</v>
      </c>
      <c r="AP8" s="240"/>
      <c r="AQ8" s="240"/>
    </row>
    <row r="9" spans="1:44" hidden="1">
      <c r="A9" s="463" t="s">
        <v>125</v>
      </c>
      <c r="B9" s="172" t="s">
        <v>126</v>
      </c>
      <c r="C9" s="203"/>
      <c r="D9" s="203"/>
      <c r="E9" s="196" t="e">
        <f t="shared" si="2"/>
        <v>#DIV/0!</v>
      </c>
      <c r="F9" s="203"/>
      <c r="G9" s="203"/>
      <c r="H9" s="203"/>
      <c r="I9" s="196" t="e">
        <f t="shared" si="3"/>
        <v>#DIV/0!</v>
      </c>
      <c r="J9" s="196" t="e">
        <f t="shared" si="4"/>
        <v>#DIV/0!</v>
      </c>
      <c r="K9" s="126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P9" s="240"/>
      <c r="AQ9" s="240"/>
    </row>
    <row r="10" spans="1:44" hidden="1">
      <c r="A10" s="464"/>
      <c r="B10" s="172" t="s">
        <v>127</v>
      </c>
      <c r="C10" s="203"/>
      <c r="D10" s="203"/>
      <c r="E10" s="196" t="e">
        <f t="shared" si="2"/>
        <v>#DIV/0!</v>
      </c>
      <c r="F10" s="203"/>
      <c r="G10" s="203"/>
      <c r="H10" s="203"/>
      <c r="I10" s="196" t="e">
        <f t="shared" si="3"/>
        <v>#DIV/0!</v>
      </c>
      <c r="J10" s="196" t="e">
        <f t="shared" si="4"/>
        <v>#DIV/0!</v>
      </c>
      <c r="K10" s="126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P10" s="240"/>
      <c r="AQ10" s="240"/>
    </row>
    <row r="11" spans="1:44" hidden="1">
      <c r="A11" s="464"/>
      <c r="B11" s="172" t="s">
        <v>3</v>
      </c>
      <c r="C11" s="203"/>
      <c r="D11" s="203"/>
      <c r="E11" s="196" t="e">
        <f t="shared" si="2"/>
        <v>#DIV/0!</v>
      </c>
      <c r="F11" s="203"/>
      <c r="G11" s="203"/>
      <c r="H11" s="203"/>
      <c r="I11" s="196" t="e">
        <f t="shared" si="3"/>
        <v>#DIV/0!</v>
      </c>
      <c r="J11" s="196" t="e">
        <f t="shared" si="4"/>
        <v>#DIV/0!</v>
      </c>
      <c r="K11" s="126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P11" s="240"/>
      <c r="AQ11" s="240"/>
    </row>
    <row r="12" spans="1:44" ht="15.75" hidden="1">
      <c r="A12" s="465"/>
      <c r="B12" s="204" t="s">
        <v>128</v>
      </c>
      <c r="C12" s="205">
        <f>SUM(C9:C11)</f>
        <v>0</v>
      </c>
      <c r="D12" s="205">
        <f>SUM(D9:D11)</f>
        <v>0</v>
      </c>
      <c r="E12" s="206" t="e">
        <f>D12/C12</f>
        <v>#DIV/0!</v>
      </c>
      <c r="F12" s="205">
        <f>SUM(F9:F11)</f>
        <v>0</v>
      </c>
      <c r="G12" s="205">
        <f t="shared" ref="G12:H12" si="18">SUM(G9:G11)</f>
        <v>0</v>
      </c>
      <c r="H12" s="205">
        <f t="shared" si="18"/>
        <v>0</v>
      </c>
      <c r="I12" s="206" t="e">
        <f t="shared" si="3"/>
        <v>#DIV/0!</v>
      </c>
      <c r="J12" s="206" t="e">
        <f>H12/F12</f>
        <v>#DIV/0!</v>
      </c>
      <c r="K12" s="127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P12" s="240"/>
      <c r="AQ12" s="240"/>
    </row>
    <row r="13" spans="1:44" hidden="1">
      <c r="A13" s="463" t="s">
        <v>129</v>
      </c>
      <c r="B13" s="172" t="s">
        <v>1</v>
      </c>
      <c r="C13" s="195"/>
      <c r="D13" s="195"/>
      <c r="E13" s="196" t="e">
        <f t="shared" si="2"/>
        <v>#DIV/0!</v>
      </c>
      <c r="F13" s="195"/>
      <c r="G13" s="195"/>
      <c r="H13" s="195"/>
      <c r="I13" s="196" t="e">
        <f t="shared" si="3"/>
        <v>#DIV/0!</v>
      </c>
      <c r="J13" s="196" t="e">
        <f>H13/F13</f>
        <v>#DIV/0!</v>
      </c>
      <c r="K13" s="126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P13" s="240"/>
      <c r="AQ13" s="240"/>
    </row>
    <row r="14" spans="1:44" hidden="1">
      <c r="A14" s="464"/>
      <c r="B14" s="207" t="s">
        <v>3</v>
      </c>
      <c r="C14" s="208"/>
      <c r="D14" s="208"/>
      <c r="E14" s="196" t="e">
        <f t="shared" si="2"/>
        <v>#DIV/0!</v>
      </c>
      <c r="F14" s="208"/>
      <c r="G14" s="208"/>
      <c r="H14" s="208"/>
      <c r="I14" s="196" t="e">
        <f t="shared" si="3"/>
        <v>#DIV/0!</v>
      </c>
      <c r="J14" s="196" t="e">
        <f>H14/F14</f>
        <v>#DIV/0!</v>
      </c>
      <c r="K14" s="128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P14" s="240"/>
      <c r="AQ14" s="240"/>
    </row>
    <row r="15" spans="1:44" ht="15.75" hidden="1">
      <c r="A15" s="465"/>
      <c r="B15" s="209" t="s">
        <v>128</v>
      </c>
      <c r="C15" s="210">
        <f>SUM(C13:C14)</f>
        <v>0</v>
      </c>
      <c r="D15" s="210">
        <f>SUM(D13:D14)</f>
        <v>0</v>
      </c>
      <c r="E15" s="206" t="e">
        <f>D15/C15</f>
        <v>#DIV/0!</v>
      </c>
      <c r="F15" s="210">
        <f>SUM(F13:F14)</f>
        <v>0</v>
      </c>
      <c r="G15" s="210">
        <f>SUM(G13:G14)</f>
        <v>0</v>
      </c>
      <c r="H15" s="210">
        <f>SUM(H13:H14)</f>
        <v>0</v>
      </c>
      <c r="I15" s="206" t="e">
        <f t="shared" si="3"/>
        <v>#DIV/0!</v>
      </c>
      <c r="J15" s="206" t="e">
        <f>H15/F15</f>
        <v>#DIV/0!</v>
      </c>
      <c r="K15" s="129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P15" s="240"/>
      <c r="AQ15" s="240"/>
    </row>
    <row r="16" spans="1:44" ht="15.75">
      <c r="A16" s="463" t="s">
        <v>107</v>
      </c>
      <c r="B16" s="211" t="s">
        <v>1</v>
      </c>
      <c r="C16" s="212">
        <f>AL16/10000</f>
        <v>1090.532325596708</v>
      </c>
      <c r="D16" s="212">
        <f>X16/10000</f>
        <v>-84.877281000000011</v>
      </c>
      <c r="E16" s="213">
        <f t="shared" si="2"/>
        <v>-7.7831054621473592E-2</v>
      </c>
      <c r="F16" s="198">
        <f t="shared" ref="F16:F18" si="19">AM16/10000</f>
        <v>9847.0931266097105</v>
      </c>
      <c r="G16" s="198">
        <f>SUM(AA16:AL16)/10000</f>
        <v>9847.0931266097105</v>
      </c>
      <c r="H16" s="198">
        <f>Y16/10000</f>
        <v>5999.4703119999995</v>
      </c>
      <c r="I16" s="213">
        <f t="shared" si="3"/>
        <v>0.60926308250174721</v>
      </c>
      <c r="J16" s="213">
        <f t="shared" ref="J16:J20" si="20">H16/F16</f>
        <v>0.60926308250174721</v>
      </c>
      <c r="K16" s="130"/>
      <c r="M16" s="173">
        <v>5393228.1400000006</v>
      </c>
      <c r="N16" s="173">
        <v>3849962.51</v>
      </c>
      <c r="O16" s="173">
        <v>14974355.220000001</v>
      </c>
      <c r="P16" s="173">
        <v>5248120.6399999997</v>
      </c>
      <c r="Q16" s="173">
        <v>4199374.42</v>
      </c>
      <c r="R16" s="173">
        <v>9844973.2699999996</v>
      </c>
      <c r="S16" s="173">
        <v>2431516.5299999998</v>
      </c>
      <c r="T16" s="173">
        <v>2545253.86</v>
      </c>
      <c r="U16" s="173">
        <v>5513271.7699999996</v>
      </c>
      <c r="V16" s="173">
        <v>3062002.2</v>
      </c>
      <c r="W16" s="173">
        <v>3781417.37</v>
      </c>
      <c r="X16" s="173">
        <f>3504509.19-AR16</f>
        <v>-848772.81</v>
      </c>
      <c r="Y16" s="173">
        <f>SUM(M16:X16)</f>
        <v>59994703.119999997</v>
      </c>
      <c r="AA16" s="173">
        <v>5393228.1400000015</v>
      </c>
      <c r="AB16" s="173">
        <v>3849962.51</v>
      </c>
      <c r="AC16" s="173">
        <v>14974355.220000001</v>
      </c>
      <c r="AD16" s="173">
        <v>5248120.6399999997</v>
      </c>
      <c r="AE16" s="173">
        <v>4199374.42</v>
      </c>
      <c r="AF16" s="173">
        <v>9844973.2699999996</v>
      </c>
      <c r="AG16" s="173">
        <v>5689645.4293862926</v>
      </c>
      <c r="AH16" s="173">
        <v>7679088.8437373107</v>
      </c>
      <c r="AI16" s="173">
        <v>11386410.54379327</v>
      </c>
      <c r="AJ16" s="173">
        <v>8984025.398242604</v>
      </c>
      <c r="AK16" s="173">
        <v>10316423.594970535</v>
      </c>
      <c r="AL16" s="173">
        <v>10905323.255967081</v>
      </c>
      <c r="AM16" s="173">
        <f>SUM(AA16:AL16)</f>
        <v>98470931.266097113</v>
      </c>
      <c r="AP16" s="240">
        <v>4353282</v>
      </c>
      <c r="AQ16" s="240"/>
      <c r="AR16" s="405">
        <f t="shared" ref="AR16:AR17" si="21">SUM(AP16:AQ16)</f>
        <v>4353282</v>
      </c>
    </row>
    <row r="17" spans="1:44" ht="15.75">
      <c r="A17" s="464"/>
      <c r="B17" s="211" t="s">
        <v>2</v>
      </c>
      <c r="C17" s="212">
        <f>AL17/10000</f>
        <v>1496.8429340369405</v>
      </c>
      <c r="D17" s="212">
        <f>X17/10000</f>
        <v>-682.04929100000004</v>
      </c>
      <c r="E17" s="213">
        <f t="shared" si="2"/>
        <v>-0.4556585567468549</v>
      </c>
      <c r="F17" s="198">
        <f t="shared" si="19"/>
        <v>13473.308731862304</v>
      </c>
      <c r="G17" s="198">
        <f t="shared" ref="G17:G18" si="22">SUM(AA17:AL17)/10000</f>
        <v>13473.308731862304</v>
      </c>
      <c r="H17" s="198">
        <f t="shared" ref="H17:H18" si="23">Y17/10000</f>
        <v>8764.2040620000007</v>
      </c>
      <c r="I17" s="213">
        <f t="shared" si="3"/>
        <v>0.65048639769338956</v>
      </c>
      <c r="J17" s="213">
        <f t="shared" si="20"/>
        <v>0.65048639769338956</v>
      </c>
      <c r="K17" s="130"/>
      <c r="M17" s="173">
        <v>10320005.27</v>
      </c>
      <c r="N17" s="173">
        <v>1325012.27</v>
      </c>
      <c r="O17" s="173">
        <v>11676187.24</v>
      </c>
      <c r="P17" s="173">
        <v>8770643.0099999998</v>
      </c>
      <c r="Q17" s="173">
        <v>8757664.5199999996</v>
      </c>
      <c r="R17" s="173">
        <v>9400574.7899999991</v>
      </c>
      <c r="S17" s="173">
        <v>8504309.2200000007</v>
      </c>
      <c r="T17" s="173">
        <v>8176926.2000000002</v>
      </c>
      <c r="U17" s="173">
        <v>9123270.8100000005</v>
      </c>
      <c r="V17" s="173">
        <v>10396425.699999999</v>
      </c>
      <c r="W17" s="173">
        <v>8011514.5</v>
      </c>
      <c r="X17" s="173">
        <f>8295568.09-AR17</f>
        <v>-6820492.9100000001</v>
      </c>
      <c r="Y17" s="173">
        <f t="shared" ref="Y17:Y18" si="24">SUM(M17:X17)</f>
        <v>87642040.620000005</v>
      </c>
      <c r="AA17" s="173">
        <v>10320005.27</v>
      </c>
      <c r="AB17" s="173">
        <v>1325012.27</v>
      </c>
      <c r="AC17" s="173">
        <v>11676187.239999998</v>
      </c>
      <c r="AD17" s="173">
        <v>8770643.0099999998</v>
      </c>
      <c r="AE17" s="173">
        <v>8757664.5199999996</v>
      </c>
      <c r="AF17" s="173">
        <v>9400574.7899999991</v>
      </c>
      <c r="AG17" s="173">
        <v>10684275.058852069</v>
      </c>
      <c r="AH17" s="173">
        <v>11765858.312765375</v>
      </c>
      <c r="AI17" s="173">
        <v>14449229.208268028</v>
      </c>
      <c r="AJ17" s="173">
        <v>15725638.043666186</v>
      </c>
      <c r="AK17" s="173">
        <v>16889570.254701953</v>
      </c>
      <c r="AL17" s="173">
        <v>14968429.340369405</v>
      </c>
      <c r="AM17" s="173">
        <f t="shared" ref="AM17:AM18" si="25">SUM(AA17:AL17)</f>
        <v>134733087.31862304</v>
      </c>
      <c r="AP17" s="240">
        <v>10285173</v>
      </c>
      <c r="AQ17" s="240">
        <v>4830888</v>
      </c>
      <c r="AR17" s="405">
        <f t="shared" si="21"/>
        <v>15116061</v>
      </c>
    </row>
    <row r="18" spans="1:44" ht="15.75">
      <c r="A18" s="464"/>
      <c r="B18" s="211" t="s">
        <v>130</v>
      </c>
      <c r="C18" s="212">
        <f>AL18/10000</f>
        <v>434.29831576824068</v>
      </c>
      <c r="D18" s="212">
        <f>X18/10000</f>
        <v>457.65582300000005</v>
      </c>
      <c r="E18" s="213">
        <f t="shared" si="2"/>
        <v>1.0537821731830612</v>
      </c>
      <c r="F18" s="198">
        <f t="shared" si="19"/>
        <v>5294.4919133353678</v>
      </c>
      <c r="G18" s="198">
        <f t="shared" si="22"/>
        <v>5294.4919133353678</v>
      </c>
      <c r="H18" s="198">
        <f t="shared" si="23"/>
        <v>4636.9024010000003</v>
      </c>
      <c r="I18" s="213">
        <f t="shared" si="3"/>
        <v>0.87579742813865091</v>
      </c>
      <c r="J18" s="213">
        <f t="shared" si="20"/>
        <v>0.87579742813865091</v>
      </c>
      <c r="K18" s="130"/>
      <c r="M18" s="173">
        <v>1611098.44</v>
      </c>
      <c r="N18" s="173">
        <v>1413753.69</v>
      </c>
      <c r="O18" s="173">
        <v>2822094.55</v>
      </c>
      <c r="P18" s="173">
        <v>2453804.84</v>
      </c>
      <c r="Q18" s="173">
        <v>2672511.36</v>
      </c>
      <c r="R18" s="173">
        <v>3359401.87</v>
      </c>
      <c r="S18" s="173">
        <v>2409853.04</v>
      </c>
      <c r="T18" s="173">
        <v>3281095.53</v>
      </c>
      <c r="U18" s="173">
        <v>5919947.9299999997</v>
      </c>
      <c r="V18" s="173">
        <v>3357226.39</v>
      </c>
      <c r="W18" s="173">
        <v>12491678.140000001</v>
      </c>
      <c r="X18" s="173">
        <f>4576558.23</f>
        <v>4576558.2300000004</v>
      </c>
      <c r="Y18" s="173">
        <f t="shared" si="24"/>
        <v>46369024.010000005</v>
      </c>
      <c r="AA18" s="173">
        <v>1611098.4399999997</v>
      </c>
      <c r="AB18" s="173">
        <v>1413753.6900000002</v>
      </c>
      <c r="AC18" s="173">
        <v>2822094.55</v>
      </c>
      <c r="AD18" s="173">
        <v>2453804.84</v>
      </c>
      <c r="AE18" s="173">
        <v>2672511.36</v>
      </c>
      <c r="AF18" s="173">
        <v>3359401.8699999996</v>
      </c>
      <c r="AG18" s="173">
        <v>3331112.8549646502</v>
      </c>
      <c r="AH18" s="173">
        <v>4351937.7621312365</v>
      </c>
      <c r="AI18" s="173">
        <v>4378801.5754777258</v>
      </c>
      <c r="AJ18" s="173">
        <v>5918993.5406764355</v>
      </c>
      <c r="AK18" s="173">
        <v>16288425.492421234</v>
      </c>
      <c r="AL18" s="173">
        <v>4342983.1576824067</v>
      </c>
      <c r="AM18" s="173">
        <f t="shared" si="25"/>
        <v>52944919.13335368</v>
      </c>
      <c r="AP18" s="240"/>
      <c r="AQ18" s="240"/>
      <c r="AR18" s="405">
        <f>SUM(AR6:AR17)</f>
        <v>33428653</v>
      </c>
    </row>
    <row r="19" spans="1:44" ht="15.75">
      <c r="A19" s="466"/>
      <c r="B19" s="174" t="s">
        <v>124</v>
      </c>
      <c r="C19" s="214">
        <f>SUM(C16:C18)</f>
        <v>3021.6735754018891</v>
      </c>
      <c r="D19" s="214">
        <f>SUM(D16:D18)</f>
        <v>-309.27074900000002</v>
      </c>
      <c r="E19" s="215">
        <f t="shared" si="2"/>
        <v>-0.10235081364103545</v>
      </c>
      <c r="F19" s="214">
        <f>SUM(F16:F18)</f>
        <v>28614.893771807383</v>
      </c>
      <c r="G19" s="214">
        <f>SUM(G16:G18)</f>
        <v>28614.893771807383</v>
      </c>
      <c r="H19" s="214">
        <f>SUM(H16:H18)</f>
        <v>19400.576775000001</v>
      </c>
      <c r="I19" s="215">
        <f t="shared" si="3"/>
        <v>0.67798877499640686</v>
      </c>
      <c r="J19" s="215">
        <f t="shared" si="20"/>
        <v>0.67798877499640686</v>
      </c>
      <c r="K19" s="175"/>
      <c r="M19" s="173">
        <f>SUM(M16:M18)</f>
        <v>17324331.850000001</v>
      </c>
      <c r="N19" s="173">
        <f t="shared" ref="N19:Y19" si="26">SUM(N16:N18)</f>
        <v>6588728.4699999988</v>
      </c>
      <c r="O19" s="173">
        <f t="shared" si="26"/>
        <v>29472637.010000002</v>
      </c>
      <c r="P19" s="173">
        <f t="shared" si="26"/>
        <v>16472568.489999998</v>
      </c>
      <c r="Q19" s="173">
        <f t="shared" si="26"/>
        <v>15629550.299999999</v>
      </c>
      <c r="R19" s="173">
        <f t="shared" si="26"/>
        <v>22604949.93</v>
      </c>
      <c r="S19" s="173">
        <f t="shared" si="26"/>
        <v>13345678.789999999</v>
      </c>
      <c r="T19" s="173">
        <f t="shared" si="26"/>
        <v>14003275.59</v>
      </c>
      <c r="U19" s="173">
        <f t="shared" si="26"/>
        <v>20556490.509999998</v>
      </c>
      <c r="V19" s="173">
        <f t="shared" si="26"/>
        <v>16815654.289999999</v>
      </c>
      <c r="W19" s="173">
        <f t="shared" si="26"/>
        <v>24284610.010000002</v>
      </c>
      <c r="X19" s="173">
        <f t="shared" si="26"/>
        <v>-3092707.49</v>
      </c>
      <c r="Y19" s="173">
        <f t="shared" si="26"/>
        <v>194005767.75</v>
      </c>
      <c r="AA19" s="173">
        <f>SUM(AA16:AA18)</f>
        <v>17324331.850000001</v>
      </c>
      <c r="AB19" s="173">
        <f t="shared" ref="AB19:AM19" si="27">SUM(AB16:AB18)</f>
        <v>6588728.4699999997</v>
      </c>
      <c r="AC19" s="173">
        <f t="shared" si="27"/>
        <v>29472637.010000002</v>
      </c>
      <c r="AD19" s="173">
        <f t="shared" si="27"/>
        <v>16472568.489999998</v>
      </c>
      <c r="AE19" s="173">
        <f t="shared" si="27"/>
        <v>15629550.299999999</v>
      </c>
      <c r="AF19" s="173">
        <f t="shared" si="27"/>
        <v>22604949.93</v>
      </c>
      <c r="AG19" s="173">
        <f t="shared" si="27"/>
        <v>19705033.343203012</v>
      </c>
      <c r="AH19" s="173">
        <f t="shared" si="27"/>
        <v>23796884.918633923</v>
      </c>
      <c r="AI19" s="173">
        <f t="shared" si="27"/>
        <v>30214441.327539027</v>
      </c>
      <c r="AJ19" s="173">
        <f t="shared" si="27"/>
        <v>30628656.982585229</v>
      </c>
      <c r="AK19" s="173">
        <f t="shared" si="27"/>
        <v>43494419.342093721</v>
      </c>
      <c r="AL19" s="173">
        <f t="shared" si="27"/>
        <v>30216735.754018892</v>
      </c>
      <c r="AM19" s="173">
        <f t="shared" si="27"/>
        <v>286148937.71807384</v>
      </c>
      <c r="AP19" s="240"/>
      <c r="AQ19" s="240"/>
    </row>
    <row r="20" spans="1:44" ht="15.75">
      <c r="B20" s="174" t="s">
        <v>216</v>
      </c>
      <c r="C20" s="214">
        <f>C6+C17</f>
        <v>4329.4757956419198</v>
      </c>
      <c r="D20" s="214">
        <f>D6+D17</f>
        <v>168.22610899999995</v>
      </c>
      <c r="E20" s="216">
        <f>E19/E18</f>
        <v>-9.7127106764269805E-2</v>
      </c>
      <c r="F20" s="214">
        <f t="shared" ref="F20:H20" si="28">F6+F17</f>
        <v>41142.3087318623</v>
      </c>
      <c r="G20" s="214">
        <f t="shared" si="28"/>
        <v>41142.3087318623</v>
      </c>
      <c r="H20" s="214">
        <f t="shared" si="28"/>
        <v>30330.093636000001</v>
      </c>
      <c r="I20" s="215">
        <f t="shared" si="3"/>
        <v>0.73719960232837212</v>
      </c>
      <c r="J20" s="215">
        <f t="shared" si="20"/>
        <v>0.73719960232837212</v>
      </c>
      <c r="K20" s="175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P20" s="240"/>
      <c r="AQ20" s="240"/>
    </row>
    <row r="21" spans="1:44" ht="16.149999999999999" thickBot="1">
      <c r="A21" s="459" t="s">
        <v>131</v>
      </c>
      <c r="B21" s="460"/>
      <c r="C21" s="217">
        <f>SUM(C8,C12,C15,C19)</f>
        <v>5854.3064370068687</v>
      </c>
      <c r="D21" s="217">
        <f>SUM(D8,D12,D15,D19)</f>
        <v>541.00465099999997</v>
      </c>
      <c r="E21" s="218">
        <f>D21/C21</f>
        <v>9.2411399509281483E-2</v>
      </c>
      <c r="F21" s="217">
        <f>SUM(F8,F12,F15,F19)</f>
        <v>56283.893771807387</v>
      </c>
      <c r="G21" s="217">
        <f>SUM(G8,G12,G15,G19)</f>
        <v>56283.893771807387</v>
      </c>
      <c r="H21" s="217">
        <f>SUM(H8,H12,H15,H19)</f>
        <v>40966.466349000002</v>
      </c>
      <c r="I21" s="218">
        <f>H21/G21</f>
        <v>0.72785416224206068</v>
      </c>
      <c r="J21" s="218">
        <f>H21/F21</f>
        <v>0.72785416224206068</v>
      </c>
      <c r="K21" s="131"/>
      <c r="M21" s="173">
        <f>M8+M19</f>
        <v>35215783.370000005</v>
      </c>
      <c r="N21" s="173">
        <f t="shared" ref="N21:AA21" si="29">N8+N19</f>
        <v>20119569.339999996</v>
      </c>
      <c r="O21" s="173">
        <f t="shared" si="29"/>
        <v>53440826.32</v>
      </c>
      <c r="P21" s="173">
        <f t="shared" si="29"/>
        <v>33709903.189999998</v>
      </c>
      <c r="Q21" s="173">
        <f t="shared" si="29"/>
        <v>30663350.549999997</v>
      </c>
      <c r="R21" s="173">
        <f t="shared" si="29"/>
        <v>41676361.560000002</v>
      </c>
      <c r="S21" s="173">
        <f t="shared" si="29"/>
        <v>30813846.640000001</v>
      </c>
      <c r="T21" s="173">
        <f t="shared" si="29"/>
        <v>30391552.049999997</v>
      </c>
      <c r="U21" s="173">
        <f t="shared" si="29"/>
        <v>39820180.870000005</v>
      </c>
      <c r="V21" s="173">
        <f t="shared" si="29"/>
        <v>40339146.390000001</v>
      </c>
      <c r="W21" s="173">
        <f t="shared" si="29"/>
        <v>48064096.700000003</v>
      </c>
      <c r="X21" s="173">
        <f t="shared" si="29"/>
        <v>5410046.5099999998</v>
      </c>
      <c r="Y21" s="173">
        <f t="shared" si="29"/>
        <v>409664663.49000001</v>
      </c>
      <c r="AA21" s="173">
        <f t="shared" si="29"/>
        <v>35215783.370000005</v>
      </c>
      <c r="AB21" s="173">
        <f t="shared" ref="AB21" si="30">AB8+AB19</f>
        <v>20119569.34</v>
      </c>
      <c r="AC21" s="173">
        <f t="shared" ref="AC21" si="31">AC8+AC19</f>
        <v>53440826.32</v>
      </c>
      <c r="AD21" s="173">
        <f t="shared" ref="AD21" si="32">AD8+AD19</f>
        <v>33709903.189999998</v>
      </c>
      <c r="AE21" s="173">
        <f t="shared" ref="AE21" si="33">AE8+AE19</f>
        <v>30663350.549999997</v>
      </c>
      <c r="AF21" s="173">
        <f t="shared" ref="AF21" si="34">AF8+AF19</f>
        <v>41676361.560000002</v>
      </c>
      <c r="AG21" s="173">
        <f t="shared" ref="AG21" si="35">AG8+AG19</f>
        <v>42475493.643131346</v>
      </c>
      <c r="AH21" s="173">
        <f t="shared" ref="AH21" si="36">AH8+AH19</f>
        <v>49345279.37662299</v>
      </c>
      <c r="AI21" s="173">
        <f t="shared" ref="AI21" si="37">AI8+AI19</f>
        <v>58540769.943588823</v>
      </c>
      <c r="AJ21" s="173">
        <f t="shared" ref="AJ21" si="38">AJ8+AJ19</f>
        <v>58954985.598635025</v>
      </c>
      <c r="AK21" s="173">
        <f t="shared" ref="AK21" si="39">AK8+AK19</f>
        <v>80153550.456026912</v>
      </c>
      <c r="AL21" s="173">
        <f t="shared" ref="AL21" si="40">AL8+AL19</f>
        <v>58543064.370068684</v>
      </c>
      <c r="AM21" s="173">
        <f t="shared" ref="AM21" si="41">AM8+AM19</f>
        <v>562838937.71807384</v>
      </c>
      <c r="AP21" s="240"/>
      <c r="AQ21" s="240"/>
    </row>
    <row r="22" spans="1:44">
      <c r="H22" s="132"/>
      <c r="I22" s="132"/>
      <c r="J22" s="133"/>
    </row>
    <row r="23" spans="1:44">
      <c r="A23" s="115" t="s">
        <v>132</v>
      </c>
      <c r="E23" s="115" t="s">
        <v>133</v>
      </c>
      <c r="H23" s="125"/>
      <c r="I23" s="125"/>
      <c r="AA23" s="115">
        <v>10000</v>
      </c>
    </row>
    <row r="24" spans="1:44">
      <c r="C24" s="133"/>
      <c r="D24" s="133"/>
      <c r="E24" s="133"/>
      <c r="H24" s="134"/>
      <c r="I24" s="134"/>
    </row>
    <row r="27" spans="1:44">
      <c r="C27" s="125"/>
      <c r="D27" s="125"/>
      <c r="E27" s="125"/>
      <c r="F27" s="125"/>
      <c r="G27" s="125"/>
      <c r="H27" s="125"/>
      <c r="I27" s="125"/>
      <c r="J27" s="125"/>
    </row>
    <row r="35" spans="3:4">
      <c r="C35" s="135"/>
      <c r="D35" s="135"/>
    </row>
  </sheetData>
  <mergeCells count="8">
    <mergeCell ref="M2:Y2"/>
    <mergeCell ref="AA2:AM2"/>
    <mergeCell ref="A21:B21"/>
    <mergeCell ref="A1:K1"/>
    <mergeCell ref="A4:A8"/>
    <mergeCell ref="A9:A12"/>
    <mergeCell ref="A13:A15"/>
    <mergeCell ref="A16:A19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4" sqref="I24"/>
    </sheetView>
  </sheetViews>
  <sheetFormatPr defaultColWidth="9" defaultRowHeight="15"/>
  <cols>
    <col min="1" max="1" width="9" style="233"/>
    <col min="2" max="2" width="31.46484375" style="233" customWidth="1"/>
    <col min="3" max="3" width="13.265625" style="233" bestFit="1" customWidth="1"/>
    <col min="4" max="4" width="14.59765625" style="233" customWidth="1"/>
    <col min="5" max="5" width="14.46484375" style="233" customWidth="1"/>
    <col min="6" max="6" width="13.3984375" style="233" customWidth="1"/>
    <col min="7" max="16384" width="9" style="233"/>
  </cols>
  <sheetData>
    <row r="1" spans="1:8" ht="22.9">
      <c r="B1" s="447" t="s">
        <v>277</v>
      </c>
      <c r="C1" s="447"/>
      <c r="D1" s="447"/>
      <c r="E1" s="447"/>
      <c r="F1" s="447"/>
    </row>
    <row r="2" spans="1:8">
      <c r="F2" s="233" t="s">
        <v>457</v>
      </c>
    </row>
    <row r="3" spans="1:8" ht="15.75">
      <c r="A3" s="467" t="s">
        <v>278</v>
      </c>
      <c r="B3" s="467"/>
      <c r="C3" s="227" t="s">
        <v>1077</v>
      </c>
      <c r="D3" s="227" t="s">
        <v>1078</v>
      </c>
      <c r="E3" s="227" t="s">
        <v>455</v>
      </c>
      <c r="F3" s="227" t="s">
        <v>456</v>
      </c>
    </row>
    <row r="4" spans="1:8">
      <c r="A4" s="468" t="s">
        <v>107</v>
      </c>
      <c r="B4" s="228" t="s">
        <v>444</v>
      </c>
      <c r="C4" s="234">
        <v>107.91570400000001</v>
      </c>
      <c r="D4" s="229">
        <f>C4/$C$24</f>
        <v>6.5792348844861612E-2</v>
      </c>
      <c r="E4" s="234">
        <v>1964.9670729999996</v>
      </c>
      <c r="F4" s="229">
        <f>E4/$E$24</f>
        <v>9.1901549042701411E-2</v>
      </c>
      <c r="H4" s="233">
        <v>10000</v>
      </c>
    </row>
    <row r="5" spans="1:8">
      <c r="A5" s="468"/>
      <c r="B5" s="228" t="s">
        <v>445</v>
      </c>
      <c r="C5" s="234">
        <v>472.78957199999996</v>
      </c>
      <c r="D5" s="229">
        <f t="shared" ref="D5:D23" si="0">C5/$C$24</f>
        <v>0.28824290903237598</v>
      </c>
      <c r="E5" s="234">
        <v>6994.503270000002</v>
      </c>
      <c r="F5" s="229">
        <f t="shared" ref="F5:F23" si="1">E5/$E$24</f>
        <v>0.32713305689944289</v>
      </c>
    </row>
    <row r="6" spans="1:8">
      <c r="A6" s="468"/>
      <c r="B6" s="228" t="s">
        <v>446</v>
      </c>
      <c r="C6" s="234">
        <v>174.31761799999998</v>
      </c>
      <c r="D6" s="229">
        <f t="shared" si="0"/>
        <v>0.10627522323591872</v>
      </c>
      <c r="E6" s="234">
        <v>2264.6949989999998</v>
      </c>
      <c r="F6" s="229">
        <f t="shared" si="1"/>
        <v>0.10591983009649096</v>
      </c>
    </row>
    <row r="7" spans="1:8">
      <c r="A7" s="468"/>
      <c r="B7" s="228" t="s">
        <v>447</v>
      </c>
      <c r="C7" s="234">
        <v>97.62497900000001</v>
      </c>
      <c r="D7" s="229">
        <f t="shared" si="0"/>
        <v>5.9518461505290179E-2</v>
      </c>
      <c r="E7" s="234">
        <v>1611.0973220000003</v>
      </c>
      <c r="F7" s="229">
        <f t="shared" si="1"/>
        <v>7.5351053758012751E-2</v>
      </c>
    </row>
    <row r="8" spans="1:8">
      <c r="A8" s="468"/>
      <c r="B8" s="228" t="s">
        <v>448</v>
      </c>
      <c r="C8" s="234">
        <v>265.17957899999999</v>
      </c>
      <c r="D8" s="229">
        <f t="shared" si="0"/>
        <v>0.16167051431274115</v>
      </c>
      <c r="E8" s="234">
        <v>2677.3757170000003</v>
      </c>
      <c r="F8" s="229">
        <f t="shared" si="1"/>
        <v>0.12522091547618183</v>
      </c>
      <c r="H8" s="235"/>
    </row>
    <row r="9" spans="1:8">
      <c r="A9" s="468"/>
      <c r="B9" s="228" t="s">
        <v>449</v>
      </c>
      <c r="C9" s="234">
        <v>56.555067000000001</v>
      </c>
      <c r="D9" s="229">
        <f t="shared" si="0"/>
        <v>3.4479603608095086E-2</v>
      </c>
      <c r="E9" s="234">
        <v>864.55893100000003</v>
      </c>
      <c r="F9" s="229">
        <f t="shared" si="1"/>
        <v>4.0435438379278134E-2</v>
      </c>
      <c r="H9" s="235"/>
    </row>
    <row r="10" spans="1:8">
      <c r="A10" s="468"/>
      <c r="B10" s="228" t="s">
        <v>450</v>
      </c>
      <c r="C10" s="234">
        <v>156.81151599999998</v>
      </c>
      <c r="D10" s="229">
        <f t="shared" si="0"/>
        <v>9.560237834860065E-2</v>
      </c>
      <c r="E10" s="234">
        <v>2307.3747429999999</v>
      </c>
      <c r="F10" s="229">
        <f t="shared" si="1"/>
        <v>0.10791596257130009</v>
      </c>
      <c r="H10" s="235"/>
    </row>
    <row r="11" spans="1:8">
      <c r="A11" s="468"/>
      <c r="B11" s="228" t="s">
        <v>451</v>
      </c>
      <c r="C11" s="234">
        <v>36.024318999999998</v>
      </c>
      <c r="D11" s="229">
        <f t="shared" si="0"/>
        <v>2.196274012674352E-2</v>
      </c>
      <c r="E11" s="234">
        <v>260.89320400000003</v>
      </c>
      <c r="F11" s="229">
        <f t="shared" si="1"/>
        <v>1.2201980334310423E-2</v>
      </c>
      <c r="H11" s="235"/>
    </row>
    <row r="12" spans="1:8">
      <c r="A12" s="468"/>
      <c r="B12" s="228" t="s">
        <v>279</v>
      </c>
      <c r="C12" s="234">
        <v>36.634081000000002</v>
      </c>
      <c r="D12" s="229">
        <f t="shared" si="0"/>
        <v>2.2334490231031776E-2</v>
      </c>
      <c r="E12" s="234">
        <v>1581.2206050000002</v>
      </c>
      <c r="F12" s="229">
        <f t="shared" si="1"/>
        <v>7.3953719110354546E-2</v>
      </c>
      <c r="H12" s="235"/>
    </row>
    <row r="13" spans="1:8">
      <c r="A13" s="468"/>
      <c r="B13" s="228" t="s">
        <v>1004</v>
      </c>
      <c r="C13" s="234">
        <v>30.846969000000001</v>
      </c>
      <c r="D13" s="229">
        <f t="shared" si="0"/>
        <v>1.8806294821137728E-2</v>
      </c>
      <c r="E13" s="234">
        <v>163.56362499999997</v>
      </c>
      <c r="F13" s="229">
        <f t="shared" si="1"/>
        <v>7.6498739908093735E-3</v>
      </c>
      <c r="H13" s="235"/>
    </row>
    <row r="14" spans="1:8">
      <c r="A14" s="468"/>
      <c r="B14" s="228" t="s">
        <v>945</v>
      </c>
      <c r="C14" s="234">
        <v>16.246670000000002</v>
      </c>
      <c r="D14" s="229">
        <f t="shared" si="0"/>
        <v>9.9050141970750422E-3</v>
      </c>
      <c r="E14" s="234">
        <v>182.63022100000001</v>
      </c>
      <c r="F14" s="229">
        <f t="shared" si="1"/>
        <v>8.5416190645301975E-3</v>
      </c>
      <c r="H14" s="235"/>
    </row>
    <row r="15" spans="1:8">
      <c r="A15" s="468"/>
      <c r="B15" s="228" t="s">
        <v>968</v>
      </c>
      <c r="C15" s="234">
        <v>39.332079999999998</v>
      </c>
      <c r="D15" s="229">
        <f t="shared" si="0"/>
        <v>2.3979363820431587E-2</v>
      </c>
      <c r="E15" s="234">
        <v>201.64220299999999</v>
      </c>
      <c r="F15" s="229">
        <f t="shared" si="1"/>
        <v>9.43080984038599E-3</v>
      </c>
    </row>
    <row r="16" spans="1:8">
      <c r="A16" s="468"/>
      <c r="B16" s="228" t="s">
        <v>1048</v>
      </c>
      <c r="C16" s="234">
        <v>1.3888459999999998</v>
      </c>
      <c r="D16" s="229">
        <f t="shared" si="0"/>
        <v>8.4672978201384534E-4</v>
      </c>
      <c r="E16" s="234">
        <v>4.9925430000000004</v>
      </c>
      <c r="F16" s="229">
        <f t="shared" si="1"/>
        <v>2.3350133529809829E-4</v>
      </c>
    </row>
    <row r="17" spans="1:11" hidden="1">
      <c r="A17" s="468"/>
      <c r="B17" s="228" t="s">
        <v>1049</v>
      </c>
      <c r="C17" s="234">
        <v>0.27086199999999999</v>
      </c>
      <c r="D17" s="229">
        <f t="shared" si="0"/>
        <v>1.651348833605988E-4</v>
      </c>
      <c r="E17" s="234">
        <v>13.385907000000001</v>
      </c>
      <c r="F17" s="229">
        <f t="shared" si="1"/>
        <v>6.2605913633115642E-4</v>
      </c>
    </row>
    <row r="18" spans="1:11">
      <c r="A18" s="468"/>
      <c r="B18" s="228" t="s">
        <v>1050</v>
      </c>
      <c r="C18" s="234">
        <v>147.79421000000002</v>
      </c>
      <c r="D18" s="229">
        <f t="shared" si="0"/>
        <v>9.0104849073409515E-2</v>
      </c>
      <c r="E18" s="234">
        <v>198.71072599999999</v>
      </c>
      <c r="F18" s="229">
        <f t="shared" si="1"/>
        <v>9.2937046028556056E-3</v>
      </c>
    </row>
    <row r="19" spans="1:11" hidden="1">
      <c r="A19" s="468"/>
      <c r="B19" s="228" t="s">
        <v>1051</v>
      </c>
      <c r="C19" s="234">
        <v>0</v>
      </c>
      <c r="D19" s="229">
        <f t="shared" si="0"/>
        <v>0</v>
      </c>
      <c r="E19" s="234">
        <v>0</v>
      </c>
      <c r="F19" s="229">
        <f t="shared" si="1"/>
        <v>0</v>
      </c>
    </row>
    <row r="20" spans="1:11" hidden="1">
      <c r="A20" s="468"/>
      <c r="B20" s="228" t="s">
        <v>452</v>
      </c>
      <c r="C20" s="234">
        <v>0.41337200000000002</v>
      </c>
      <c r="D20" s="229">
        <f t="shared" si="0"/>
        <v>2.520181384045656E-4</v>
      </c>
      <c r="E20" s="234">
        <v>7.9605740000000003</v>
      </c>
      <c r="F20" s="229">
        <f t="shared" si="1"/>
        <v>3.7231620413471117E-4</v>
      </c>
    </row>
    <row r="21" spans="1:11" hidden="1">
      <c r="A21" s="468"/>
      <c r="B21" s="228" t="s">
        <v>453</v>
      </c>
      <c r="C21" s="234">
        <v>8.5791999999999993E-2</v>
      </c>
      <c r="D21" s="229">
        <f t="shared" si="0"/>
        <v>5.2304317007452101E-5</v>
      </c>
      <c r="E21" s="234">
        <v>49.195129999999999</v>
      </c>
      <c r="F21" s="229">
        <f t="shared" si="1"/>
        <v>2.3008572074719302E-3</v>
      </c>
    </row>
    <row r="22" spans="1:11" hidden="1">
      <c r="A22" s="468"/>
      <c r="B22" s="228" t="s">
        <v>971</v>
      </c>
      <c r="C22" s="234">
        <v>0</v>
      </c>
      <c r="D22" s="229">
        <f t="shared" si="0"/>
        <v>0</v>
      </c>
      <c r="E22" s="234">
        <v>5.9999999999999995E-5</v>
      </c>
      <c r="F22" s="229">
        <f t="shared" si="1"/>
        <v>2.8062011920349799E-9</v>
      </c>
    </row>
    <row r="23" spans="1:11" hidden="1">
      <c r="A23" s="468"/>
      <c r="B23" s="228" t="s">
        <v>454</v>
      </c>
      <c r="C23" s="234">
        <v>1.5782000000000001E-2</v>
      </c>
      <c r="D23" s="229">
        <f t="shared" si="0"/>
        <v>9.6217215009745573E-6</v>
      </c>
      <c r="E23" s="234">
        <v>32.451347000000005</v>
      </c>
      <c r="F23" s="229">
        <f t="shared" si="1"/>
        <v>1.5177501439090132E-3</v>
      </c>
    </row>
    <row r="24" spans="1:11" ht="15.75">
      <c r="A24" s="467" t="s">
        <v>458</v>
      </c>
      <c r="B24" s="467"/>
      <c r="C24" s="230">
        <f>SUM(C4:C23)</f>
        <v>1640.247018</v>
      </c>
      <c r="D24" s="231">
        <f t="shared" ref="D24" si="2">C24/$C$24</f>
        <v>1</v>
      </c>
      <c r="E24" s="230">
        <f>SUM(E4:E23)</f>
        <v>21381.218199999996</v>
      </c>
      <c r="F24" s="231">
        <f>E24/$E$24</f>
        <v>1</v>
      </c>
      <c r="K24" s="235"/>
    </row>
    <row r="25" spans="1:11" hidden="1">
      <c r="A25" s="468" t="s">
        <v>111</v>
      </c>
      <c r="B25" s="233" t="s">
        <v>969</v>
      </c>
      <c r="C25" s="234">
        <v>0</v>
      </c>
      <c r="D25" s="229">
        <f>C25/$C$42</f>
        <v>0</v>
      </c>
      <c r="E25" s="234">
        <v>0</v>
      </c>
      <c r="F25" s="229">
        <f>E25/$E$42</f>
        <v>0</v>
      </c>
    </row>
    <row r="26" spans="1:11" hidden="1">
      <c r="A26" s="468"/>
      <c r="B26" s="233" t="s">
        <v>459</v>
      </c>
      <c r="C26" s="234">
        <v>0</v>
      </c>
      <c r="D26" s="229">
        <f t="shared" ref="D26:D41" si="3">C26/$C$42</f>
        <v>0</v>
      </c>
      <c r="E26" s="234">
        <v>75.810260000000014</v>
      </c>
      <c r="F26" s="229">
        <f t="shared" ref="F26:F41" si="4">E26/$E$42</f>
        <v>3.3015787992804477E-3</v>
      </c>
    </row>
    <row r="27" spans="1:11">
      <c r="A27" s="468"/>
      <c r="B27" s="233" t="s">
        <v>460</v>
      </c>
      <c r="C27" s="234">
        <v>77.24375400000001</v>
      </c>
      <c r="D27" s="229">
        <f t="shared" si="3"/>
        <v>3.4388537936674034E-2</v>
      </c>
      <c r="E27" s="234">
        <v>1467.8805179999999</v>
      </c>
      <c r="F27" s="229">
        <f t="shared" si="4"/>
        <v>6.3927009327043594E-2</v>
      </c>
    </row>
    <row r="28" spans="1:11">
      <c r="A28" s="468"/>
      <c r="B28" s="233" t="s">
        <v>461</v>
      </c>
      <c r="C28" s="234">
        <v>-4.834479</v>
      </c>
      <c r="D28" s="229">
        <f t="shared" si="3"/>
        <v>-2.1522861834958711E-3</v>
      </c>
      <c r="E28" s="234">
        <v>35.297245000000018</v>
      </c>
      <c r="F28" s="229">
        <f t="shared" si="4"/>
        <v>1.5372145638995014E-3</v>
      </c>
      <c r="H28" s="235"/>
    </row>
    <row r="29" spans="1:11">
      <c r="A29" s="468"/>
      <c r="B29" s="233" t="s">
        <v>462</v>
      </c>
      <c r="C29" s="234">
        <v>836.33039800000006</v>
      </c>
      <c r="D29" s="229">
        <f t="shared" si="3"/>
        <v>0.37233016431615545</v>
      </c>
      <c r="E29" s="234">
        <v>7362.3556900000003</v>
      </c>
      <c r="F29" s="229">
        <f t="shared" si="4"/>
        <v>0.32063466684939174</v>
      </c>
    </row>
    <row r="30" spans="1:11" hidden="1">
      <c r="A30" s="468"/>
      <c r="B30" s="233" t="s">
        <v>471</v>
      </c>
      <c r="C30" s="234">
        <v>-1.0439E-2</v>
      </c>
      <c r="D30" s="229">
        <f t="shared" si="3"/>
        <v>-4.6473912637770061E-6</v>
      </c>
      <c r="E30" s="234">
        <v>-5.3271000000000006E-2</v>
      </c>
      <c r="F30" s="229">
        <f t="shared" si="4"/>
        <v>-2.3199815462507145E-6</v>
      </c>
    </row>
    <row r="31" spans="1:11">
      <c r="A31" s="468"/>
      <c r="B31" s="233" t="s">
        <v>970</v>
      </c>
      <c r="C31" s="234">
        <v>282.42890299999999</v>
      </c>
      <c r="D31" s="229">
        <f t="shared" si="3"/>
        <v>0.12573595329440784</v>
      </c>
      <c r="E31" s="234">
        <v>4292.1688759999997</v>
      </c>
      <c r="F31" s="229">
        <f t="shared" si="4"/>
        <v>0.1869263311316039</v>
      </c>
    </row>
    <row r="32" spans="1:11">
      <c r="A32" s="468"/>
      <c r="B32" s="233" t="s">
        <v>463</v>
      </c>
      <c r="C32" s="234">
        <v>246.56756099999998</v>
      </c>
      <c r="D32" s="229">
        <f t="shared" si="3"/>
        <v>0.10977066087960571</v>
      </c>
      <c r="E32" s="234">
        <v>2303.3771690000003</v>
      </c>
      <c r="F32" s="229">
        <f t="shared" si="4"/>
        <v>0.10031335109412652</v>
      </c>
    </row>
    <row r="33" spans="1:6">
      <c r="A33" s="468"/>
      <c r="B33" s="233" t="s">
        <v>464</v>
      </c>
      <c r="C33" s="234">
        <v>177.67168899999999</v>
      </c>
      <c r="D33" s="229">
        <f t="shared" si="3"/>
        <v>7.90985587967339E-2</v>
      </c>
      <c r="E33" s="234">
        <v>2465.9636699999996</v>
      </c>
      <c r="F33" s="229">
        <f t="shared" si="4"/>
        <v>0.10739408323712124</v>
      </c>
    </row>
    <row r="34" spans="1:6">
      <c r="A34" s="468"/>
      <c r="B34" s="233" t="s">
        <v>465</v>
      </c>
      <c r="C34" s="234">
        <v>340.36908199999999</v>
      </c>
      <c r="D34" s="229">
        <f t="shared" si="3"/>
        <v>0.15153063494076055</v>
      </c>
      <c r="E34" s="234">
        <v>2912.1021509999996</v>
      </c>
      <c r="F34" s="229">
        <f t="shared" si="4"/>
        <v>0.12682366111236903</v>
      </c>
    </row>
    <row r="35" spans="1:6" hidden="1">
      <c r="A35" s="468"/>
      <c r="B35" s="233" t="s">
        <v>946</v>
      </c>
      <c r="C35" s="234">
        <v>0</v>
      </c>
      <c r="D35" s="229">
        <f t="shared" si="3"/>
        <v>0</v>
      </c>
      <c r="E35" s="234">
        <v>0</v>
      </c>
      <c r="F35" s="229">
        <f t="shared" si="4"/>
        <v>0</v>
      </c>
    </row>
    <row r="36" spans="1:6">
      <c r="A36" s="468"/>
      <c r="B36" s="233" t="s">
        <v>466</v>
      </c>
      <c r="C36" s="234">
        <v>245.71757799999997</v>
      </c>
      <c r="D36" s="229">
        <f t="shared" si="3"/>
        <v>0.10939225264428058</v>
      </c>
      <c r="E36" s="234">
        <v>1800.170932</v>
      </c>
      <c r="F36" s="229">
        <f t="shared" si="4"/>
        <v>7.8398440846557227E-2</v>
      </c>
    </row>
    <row r="37" spans="1:6">
      <c r="A37" s="468"/>
      <c r="B37" s="233" t="s">
        <v>1052</v>
      </c>
      <c r="C37" s="234">
        <v>32.498102000000003</v>
      </c>
      <c r="D37" s="229">
        <f t="shared" si="3"/>
        <v>1.4467994570757167E-2</v>
      </c>
      <c r="E37" s="234">
        <v>36.417569999999998</v>
      </c>
      <c r="F37" s="229">
        <f t="shared" si="4"/>
        <v>1.5860053379755145E-3</v>
      </c>
    </row>
    <row r="38" spans="1:6" hidden="1">
      <c r="A38" s="468"/>
      <c r="B38" s="233" t="s">
        <v>453</v>
      </c>
      <c r="C38" s="234">
        <v>0</v>
      </c>
      <c r="D38" s="229">
        <f t="shared" si="3"/>
        <v>0</v>
      </c>
      <c r="E38" s="234">
        <v>0</v>
      </c>
      <c r="F38" s="229">
        <f t="shared" si="4"/>
        <v>0</v>
      </c>
    </row>
    <row r="39" spans="1:6">
      <c r="A39" s="468"/>
      <c r="B39" s="233" t="s">
        <v>467</v>
      </c>
      <c r="C39" s="234">
        <v>12.224250999999999</v>
      </c>
      <c r="D39" s="229">
        <f t="shared" si="3"/>
        <v>5.4421761953843597E-3</v>
      </c>
      <c r="E39" s="234">
        <v>210.31648999999999</v>
      </c>
      <c r="F39" s="229">
        <f t="shared" si="4"/>
        <v>9.1593995921274776E-3</v>
      </c>
    </row>
    <row r="40" spans="1:6" hidden="1">
      <c r="A40" s="468"/>
      <c r="B40" s="233" t="s">
        <v>971</v>
      </c>
      <c r="C40" s="234">
        <v>0</v>
      </c>
      <c r="D40" s="229">
        <f t="shared" si="3"/>
        <v>0</v>
      </c>
      <c r="E40" s="234">
        <v>1.3274000000000001E-2</v>
      </c>
      <c r="F40" s="229">
        <f t="shared" si="4"/>
        <v>5.780900498382232E-7</v>
      </c>
    </row>
    <row r="41" spans="1:6" hidden="1">
      <c r="A41" s="468"/>
      <c r="B41" s="233" t="s">
        <v>454</v>
      </c>
      <c r="C41" s="234">
        <v>0</v>
      </c>
      <c r="D41" s="229">
        <f t="shared" si="3"/>
        <v>0</v>
      </c>
      <c r="E41" s="234">
        <v>0</v>
      </c>
      <c r="F41" s="229">
        <f t="shared" si="4"/>
        <v>0</v>
      </c>
    </row>
    <row r="42" spans="1:6" ht="15.75">
      <c r="A42" s="467" t="s">
        <v>4</v>
      </c>
      <c r="B42" s="467"/>
      <c r="C42" s="230">
        <f>SUM(C25:C41)</f>
        <v>2246.2064</v>
      </c>
      <c r="D42" s="231">
        <f>C42/$C$42</f>
        <v>1</v>
      </c>
      <c r="E42" s="230">
        <f>SUM(E25:E41)</f>
        <v>22961.820574000005</v>
      </c>
      <c r="F42" s="231">
        <f>E42/$E$42</f>
        <v>1</v>
      </c>
    </row>
  </sheetData>
  <mergeCells count="6">
    <mergeCell ref="B1:F1"/>
    <mergeCell ref="A24:B24"/>
    <mergeCell ref="A3:B3"/>
    <mergeCell ref="A42:B42"/>
    <mergeCell ref="A25:A41"/>
    <mergeCell ref="A4:A23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3"/>
  <sheetViews>
    <sheetView zoomScale="90" zoomScaleNormal="90" workbookViewId="0">
      <pane xSplit="3" ySplit="3" topLeftCell="D19" activePane="bottomRight" state="frozen"/>
      <selection activeCell="O8" sqref="A8:O10"/>
      <selection pane="topRight" activeCell="O8" sqref="A8:O10"/>
      <selection pane="bottomLeft" activeCell="O8" sqref="A8:O10"/>
      <selection pane="bottomRight" activeCell="E28" sqref="E28"/>
    </sheetView>
  </sheetViews>
  <sheetFormatPr defaultColWidth="9" defaultRowHeight="15"/>
  <cols>
    <col min="1" max="1" width="7.46484375" style="115" bestFit="1" customWidth="1"/>
    <col min="2" max="2" width="14.59765625" style="115" bestFit="1" customWidth="1"/>
    <col min="3" max="3" width="10" style="115" bestFit="1" customWidth="1"/>
    <col min="4" max="4" width="11.86328125" style="115" bestFit="1" customWidth="1"/>
    <col min="5" max="5" width="10" style="115" bestFit="1" customWidth="1"/>
    <col min="6" max="6" width="9.59765625" style="115" bestFit="1" customWidth="1"/>
    <col min="7" max="7" width="10.1328125" style="115" bestFit="1" customWidth="1"/>
    <col min="8" max="8" width="10.73046875" style="115" bestFit="1" customWidth="1"/>
    <col min="9" max="9" width="12.73046875" style="115" bestFit="1" customWidth="1"/>
    <col min="10" max="10" width="12.3984375" style="115" customWidth="1"/>
    <col min="11" max="11" width="8" style="115" customWidth="1"/>
    <col min="12" max="12" width="11.3984375" style="115" customWidth="1"/>
    <col min="13" max="14" width="10.73046875" style="115" customWidth="1"/>
    <col min="15" max="15" width="14.265625" style="115" customWidth="1"/>
    <col min="16" max="17" width="11.73046875" style="115" customWidth="1"/>
    <col min="18" max="18" width="13" style="115" customWidth="1"/>
    <col min="19" max="19" width="11.73046875" style="115" customWidth="1"/>
    <col min="20" max="20" width="13" style="115" customWidth="1"/>
    <col min="21" max="22" width="11.73046875" style="115" customWidth="1"/>
    <col min="23" max="25" width="13" style="115" customWidth="1"/>
    <col min="26" max="26" width="11.73046875" style="115" customWidth="1"/>
    <col min="27" max="27" width="13" style="115" customWidth="1"/>
    <col min="28" max="28" width="9" style="115" customWidth="1"/>
    <col min="29" max="16384" width="9" style="115"/>
  </cols>
  <sheetData>
    <row r="1" spans="1:27" ht="30.75">
      <c r="A1" s="469" t="s">
        <v>1079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</row>
    <row r="2" spans="1:27" ht="15.4" thickBot="1">
      <c r="L2" s="117" t="s">
        <v>134</v>
      </c>
    </row>
    <row r="3" spans="1:27" ht="16.899999999999999">
      <c r="A3" s="118" t="s">
        <v>135</v>
      </c>
      <c r="B3" s="119" t="s">
        <v>115</v>
      </c>
      <c r="C3" s="119" t="s">
        <v>136</v>
      </c>
      <c r="D3" s="119" t="s">
        <v>1070</v>
      </c>
      <c r="E3" s="119" t="s">
        <v>1080</v>
      </c>
      <c r="F3" s="119" t="s">
        <v>137</v>
      </c>
      <c r="G3" s="136" t="s">
        <v>138</v>
      </c>
      <c r="H3" s="136" t="s">
        <v>139</v>
      </c>
      <c r="I3" s="136" t="s">
        <v>140</v>
      </c>
      <c r="J3" s="136" t="s">
        <v>141</v>
      </c>
      <c r="K3" s="136" t="s">
        <v>142</v>
      </c>
      <c r="L3" s="120" t="s">
        <v>143</v>
      </c>
      <c r="O3" s="171" t="s">
        <v>469</v>
      </c>
      <c r="P3" s="171" t="s">
        <v>468</v>
      </c>
      <c r="Q3" s="171" t="s">
        <v>89</v>
      </c>
      <c r="R3" s="171" t="s">
        <v>90</v>
      </c>
      <c r="S3" s="171" t="s">
        <v>91</v>
      </c>
      <c r="T3" s="171" t="s">
        <v>92</v>
      </c>
      <c r="U3" s="171" t="s">
        <v>93</v>
      </c>
      <c r="V3" s="171" t="s">
        <v>94</v>
      </c>
      <c r="W3" s="171" t="s">
        <v>95</v>
      </c>
      <c r="X3" s="171" t="s">
        <v>96</v>
      </c>
      <c r="Y3" s="171" t="s">
        <v>97</v>
      </c>
      <c r="Z3" s="171" t="s">
        <v>98</v>
      </c>
      <c r="AA3" s="171" t="s">
        <v>99</v>
      </c>
    </row>
    <row r="4" spans="1:27" ht="16.149999999999999">
      <c r="A4" s="462" t="s">
        <v>144</v>
      </c>
      <c r="B4" s="470" t="s">
        <v>145</v>
      </c>
      <c r="C4" s="121" t="s">
        <v>146</v>
      </c>
      <c r="D4" s="242"/>
      <c r="E4" s="122">
        <f>'1.03品牌、渠道分品类实际营收折扣报表'!W5/10000</f>
        <v>294.63568399999997</v>
      </c>
      <c r="F4" s="123" t="e">
        <f>(E4+E7)/D4</f>
        <v>#DIV/0!</v>
      </c>
      <c r="G4" s="244"/>
      <c r="H4" s="244"/>
      <c r="I4" s="138">
        <f>'1.03品牌、渠道分品类实际营收折扣报表'!X5/10000</f>
        <v>5419.3939060000002</v>
      </c>
      <c r="J4" s="137" t="e">
        <f>(I4+I7)/H4</f>
        <v>#DIV/0!</v>
      </c>
      <c r="K4" s="137"/>
      <c r="L4" s="139"/>
      <c r="N4" s="232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</row>
    <row r="5" spans="1:27" ht="16.149999999999999">
      <c r="A5" s="462"/>
      <c r="B5" s="470"/>
      <c r="C5" s="121" t="s">
        <v>147</v>
      </c>
      <c r="D5" s="242"/>
      <c r="E5" s="122">
        <f>'1.03品牌、渠道分品类实际营收折扣报表'!W6/10000</f>
        <v>22.504909999999999</v>
      </c>
      <c r="F5" s="123" t="e">
        <f t="shared" ref="F5:F20" si="0">E5/D5</f>
        <v>#DIV/0!</v>
      </c>
      <c r="G5" s="137"/>
      <c r="H5" s="137"/>
      <c r="I5" s="138">
        <f>'1.03品牌、渠道分品类实际营收折扣报表'!X6/10000</f>
        <v>110.19781100000002</v>
      </c>
      <c r="J5" s="137" t="e">
        <f t="shared" ref="J5:J20" si="1">I5/H5</f>
        <v>#DIV/0!</v>
      </c>
      <c r="K5" s="137"/>
      <c r="L5" s="139"/>
      <c r="N5" s="232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</row>
    <row r="6" spans="1:27" ht="16.149999999999999">
      <c r="A6" s="462"/>
      <c r="B6" s="470"/>
      <c r="C6" s="121" t="s">
        <v>148</v>
      </c>
      <c r="D6" s="242"/>
      <c r="E6" s="122">
        <f>'1.03品牌、渠道分品类实际营收折扣报表'!W7/10000</f>
        <v>32.995584999999998</v>
      </c>
      <c r="F6" s="123" t="e">
        <f t="shared" si="0"/>
        <v>#DIV/0!</v>
      </c>
      <c r="G6" s="244"/>
      <c r="H6" s="244"/>
      <c r="I6" s="138">
        <f>'1.03品牌、渠道分品类实际营收折扣报表'!X7/10000</f>
        <v>899.53949099999988</v>
      </c>
      <c r="J6" s="137" t="e">
        <f t="shared" si="1"/>
        <v>#DIV/0!</v>
      </c>
      <c r="K6" s="137"/>
      <c r="L6" s="139"/>
      <c r="N6" s="232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</row>
    <row r="7" spans="1:27" ht="16.149999999999999">
      <c r="A7" s="462"/>
      <c r="B7" s="470"/>
      <c r="C7" s="121" t="s">
        <v>149</v>
      </c>
      <c r="D7" s="140"/>
      <c r="E7" s="122">
        <f>'1.03品牌、渠道分品类实际营收折扣报表'!W8/10000</f>
        <v>0</v>
      </c>
      <c r="F7" s="123" t="e">
        <f t="shared" si="0"/>
        <v>#DIV/0!</v>
      </c>
      <c r="G7" s="137"/>
      <c r="H7" s="137"/>
      <c r="I7" s="138">
        <f>'1.03品牌、渠道分品类实际营收折扣报表'!X8/10000</f>
        <v>0</v>
      </c>
      <c r="J7" s="137" t="e">
        <f t="shared" si="1"/>
        <v>#DIV/0!</v>
      </c>
      <c r="K7" s="137"/>
      <c r="L7" s="139"/>
      <c r="N7" s="232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</row>
    <row r="8" spans="1:27" ht="16.149999999999999">
      <c r="A8" s="462"/>
      <c r="B8" s="470"/>
      <c r="C8" s="121" t="s">
        <v>150</v>
      </c>
      <c r="D8" s="122"/>
      <c r="E8" s="122">
        <f>'1.03品牌、渠道分品类实际营收折扣报表'!W9/10000</f>
        <v>0.31474000000000002</v>
      </c>
      <c r="F8" s="123" t="e">
        <f t="shared" si="0"/>
        <v>#DIV/0!</v>
      </c>
      <c r="G8" s="137"/>
      <c r="H8" s="137"/>
      <c r="I8" s="138">
        <f>'1.03品牌、渠道分品类实际营收折扣报表'!X9/10000</f>
        <v>5.6673039999999997</v>
      </c>
      <c r="J8" s="137" t="e">
        <f t="shared" si="1"/>
        <v>#DIV/0!</v>
      </c>
      <c r="K8" s="137"/>
      <c r="L8" s="139"/>
      <c r="N8" s="232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</row>
    <row r="9" spans="1:27" ht="16.149999999999999">
      <c r="A9" s="462"/>
      <c r="B9" s="470"/>
      <c r="C9" s="141" t="s">
        <v>151</v>
      </c>
      <c r="D9" s="142">
        <f>AA9</f>
        <v>1090.532325596708</v>
      </c>
      <c r="E9" s="142">
        <f>SUM(E4:E8)</f>
        <v>350.45091899999994</v>
      </c>
      <c r="F9" s="243">
        <f t="shared" si="0"/>
        <v>0.32135766246841263</v>
      </c>
      <c r="G9" s="142">
        <f>O9</f>
        <v>9847.0931266097105</v>
      </c>
      <c r="H9" s="245">
        <f>SUM(P9:AA15)</f>
        <v>9847.0931266097105</v>
      </c>
      <c r="I9" s="143">
        <f>SUM(I4:I8)</f>
        <v>6434.7985119999994</v>
      </c>
      <c r="J9" s="153">
        <f t="shared" si="1"/>
        <v>0.65347188548580915</v>
      </c>
      <c r="K9" s="153">
        <f>I9/G9</f>
        <v>0.65347188548580915</v>
      </c>
      <c r="L9" s="144"/>
      <c r="N9" s="232"/>
      <c r="O9" s="240">
        <v>9847.0931266097105</v>
      </c>
      <c r="P9" s="240">
        <v>539.32281400000011</v>
      </c>
      <c r="Q9" s="240">
        <v>384.99625099999997</v>
      </c>
      <c r="R9" s="241">
        <v>1497.435522</v>
      </c>
      <c r="S9" s="241">
        <v>524.81206399999996</v>
      </c>
      <c r="T9" s="240">
        <v>419.93744199999998</v>
      </c>
      <c r="U9" s="240">
        <v>984.49732700000004</v>
      </c>
      <c r="V9" s="240">
        <v>568.96454293862928</v>
      </c>
      <c r="W9" s="240">
        <v>767.9088843737311</v>
      </c>
      <c r="X9" s="240">
        <v>1138.641054379327</v>
      </c>
      <c r="Y9" s="240">
        <v>898.40253982426043</v>
      </c>
      <c r="Z9" s="240">
        <v>1031.6423594970536</v>
      </c>
      <c r="AA9" s="240">
        <v>1090.532325596708</v>
      </c>
    </row>
    <row r="10" spans="1:27" ht="18" hidden="1">
      <c r="A10" s="462"/>
      <c r="B10" s="471" t="s">
        <v>152</v>
      </c>
      <c r="C10" s="121" t="s">
        <v>146</v>
      </c>
      <c r="D10" s="122"/>
      <c r="E10" s="122"/>
      <c r="F10" s="123" t="e">
        <f t="shared" si="0"/>
        <v>#DIV/0!</v>
      </c>
      <c r="G10" s="137"/>
      <c r="H10" s="137"/>
      <c r="I10" s="138"/>
      <c r="J10" s="137" t="e">
        <f t="shared" si="1"/>
        <v>#DIV/0!</v>
      </c>
      <c r="K10" s="137"/>
      <c r="L10" s="139"/>
      <c r="N10" s="232"/>
      <c r="O10" s="236"/>
      <c r="P10" s="171"/>
      <c r="Q10" s="171"/>
      <c r="R10" s="237"/>
      <c r="S10" s="238"/>
      <c r="T10" s="239"/>
      <c r="U10" s="171"/>
      <c r="V10" s="171"/>
      <c r="W10" s="171"/>
      <c r="X10" s="171"/>
      <c r="Y10" s="171"/>
      <c r="Z10" s="171"/>
      <c r="AA10" s="171"/>
    </row>
    <row r="11" spans="1:27" ht="18" hidden="1">
      <c r="A11" s="462"/>
      <c r="B11" s="472"/>
      <c r="C11" s="121" t="s">
        <v>147</v>
      </c>
      <c r="D11" s="122"/>
      <c r="E11" s="122"/>
      <c r="F11" s="123" t="e">
        <f t="shared" si="0"/>
        <v>#DIV/0!</v>
      </c>
      <c r="G11" s="137"/>
      <c r="H11" s="137"/>
      <c r="I11" s="138"/>
      <c r="J11" s="137" t="e">
        <f t="shared" si="1"/>
        <v>#DIV/0!</v>
      </c>
      <c r="K11" s="137"/>
      <c r="L11" s="139"/>
      <c r="N11" s="232"/>
      <c r="O11" s="236"/>
      <c r="P11" s="171"/>
      <c r="Q11" s="171"/>
      <c r="R11" s="238"/>
      <c r="S11" s="238"/>
      <c r="T11" s="239"/>
      <c r="U11" s="171"/>
      <c r="V11" s="171"/>
      <c r="W11" s="171"/>
      <c r="X11" s="171"/>
      <c r="Y11" s="171"/>
      <c r="Z11" s="171"/>
      <c r="AA11" s="171"/>
    </row>
    <row r="12" spans="1:27" ht="18" hidden="1">
      <c r="A12" s="462"/>
      <c r="B12" s="472"/>
      <c r="C12" s="121" t="s">
        <v>148</v>
      </c>
      <c r="D12" s="122"/>
      <c r="E12" s="122"/>
      <c r="F12" s="123" t="e">
        <f t="shared" si="0"/>
        <v>#DIV/0!</v>
      </c>
      <c r="G12" s="137"/>
      <c r="H12" s="137"/>
      <c r="I12" s="138"/>
      <c r="J12" s="137" t="e">
        <f t="shared" si="1"/>
        <v>#DIV/0!</v>
      </c>
      <c r="K12" s="137"/>
      <c r="L12" s="139"/>
      <c r="N12" s="232"/>
      <c r="O12" s="236"/>
      <c r="P12" s="171"/>
      <c r="Q12" s="171"/>
      <c r="R12" s="238"/>
      <c r="S12" s="238"/>
      <c r="T12" s="239"/>
      <c r="U12" s="171"/>
      <c r="V12" s="171"/>
      <c r="W12" s="171"/>
      <c r="X12" s="171"/>
      <c r="Y12" s="171"/>
      <c r="Z12" s="171"/>
      <c r="AA12" s="171"/>
    </row>
    <row r="13" spans="1:27" ht="16.149999999999999" hidden="1">
      <c r="A13" s="462"/>
      <c r="B13" s="472"/>
      <c r="C13" s="121" t="s">
        <v>149</v>
      </c>
      <c r="D13" s="122"/>
      <c r="E13" s="122"/>
      <c r="F13" s="123" t="e">
        <f t="shared" si="0"/>
        <v>#DIV/0!</v>
      </c>
      <c r="G13" s="137"/>
      <c r="H13" s="137"/>
      <c r="I13" s="138"/>
      <c r="J13" s="137" t="e">
        <f t="shared" si="1"/>
        <v>#DIV/0!</v>
      </c>
      <c r="K13" s="137"/>
      <c r="L13" s="139"/>
      <c r="N13" s="232"/>
      <c r="O13" s="236"/>
      <c r="P13" s="171"/>
      <c r="Q13" s="171"/>
      <c r="R13" s="237"/>
      <c r="S13" s="237"/>
      <c r="T13" s="171"/>
      <c r="U13" s="171"/>
      <c r="V13" s="171"/>
      <c r="W13" s="171"/>
      <c r="X13" s="171"/>
      <c r="Y13" s="171"/>
      <c r="Z13" s="171"/>
      <c r="AA13" s="171"/>
    </row>
    <row r="14" spans="1:27" ht="16.149999999999999" hidden="1">
      <c r="A14" s="462"/>
      <c r="B14" s="472"/>
      <c r="C14" s="121" t="s">
        <v>150</v>
      </c>
      <c r="D14" s="122"/>
      <c r="E14" s="122"/>
      <c r="F14" s="123" t="e">
        <f t="shared" si="0"/>
        <v>#DIV/0!</v>
      </c>
      <c r="G14" s="137"/>
      <c r="H14" s="137"/>
      <c r="I14" s="138"/>
      <c r="J14" s="137" t="e">
        <f t="shared" si="1"/>
        <v>#DIV/0!</v>
      </c>
      <c r="K14" s="137"/>
      <c r="L14" s="126"/>
      <c r="N14" s="232"/>
      <c r="O14" s="236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</row>
    <row r="15" spans="1:27" ht="16.149999999999999" hidden="1">
      <c r="A15" s="462"/>
      <c r="B15" s="473"/>
      <c r="C15" s="141" t="s">
        <v>124</v>
      </c>
      <c r="D15" s="142">
        <f>SUM(D10:D14)</f>
        <v>0</v>
      </c>
      <c r="E15" s="142">
        <f>SUM(E10:E14)</f>
        <v>0</v>
      </c>
      <c r="F15" s="142" t="e">
        <f t="shared" si="0"/>
        <v>#DIV/0!</v>
      </c>
      <c r="G15" s="142"/>
      <c r="H15" s="142"/>
      <c r="I15" s="143"/>
      <c r="J15" s="142" t="e">
        <f t="shared" si="1"/>
        <v>#DIV/0!</v>
      </c>
      <c r="K15" s="142"/>
      <c r="L15" s="144"/>
      <c r="N15" s="232"/>
      <c r="O15" s="236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</row>
    <row r="16" spans="1:27" ht="16.149999999999999">
      <c r="A16" s="462"/>
      <c r="B16" s="470" t="s">
        <v>153</v>
      </c>
      <c r="C16" s="121" t="s">
        <v>146</v>
      </c>
      <c r="D16" s="145"/>
      <c r="E16" s="122">
        <f>'1.03品牌、渠道分品类实际营收折扣报表'!BA5/10000</f>
        <v>748.37168299999996</v>
      </c>
      <c r="F16" s="123" t="e">
        <f t="shared" si="0"/>
        <v>#DIV/0!</v>
      </c>
      <c r="G16" s="137"/>
      <c r="H16" s="137"/>
      <c r="I16" s="138">
        <f>'1.03品牌、渠道分品类实际营收折扣报表'!BB5/10000</f>
        <v>9286.6592180000007</v>
      </c>
      <c r="J16" s="137" t="e">
        <f t="shared" si="1"/>
        <v>#DIV/0!</v>
      </c>
      <c r="K16" s="137"/>
      <c r="L16" s="126"/>
      <c r="N16" s="232"/>
      <c r="O16" s="236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</row>
    <row r="17" spans="1:27" ht="16.149999999999999">
      <c r="A17" s="462"/>
      <c r="B17" s="470"/>
      <c r="C17" s="121" t="s">
        <v>147</v>
      </c>
      <c r="D17" s="145"/>
      <c r="E17" s="122">
        <f>'1.03品牌、渠道分品类实际营收折扣报表'!BA6/10000</f>
        <v>0</v>
      </c>
      <c r="F17" s="123" t="e">
        <f t="shared" si="0"/>
        <v>#DIV/0!</v>
      </c>
      <c r="G17" s="137"/>
      <c r="H17" s="137"/>
      <c r="I17" s="138">
        <f>'1.03品牌、渠道分品类实际营收折扣报表'!BB6/10000</f>
        <v>0.90414099999999997</v>
      </c>
      <c r="J17" s="137" t="e">
        <f t="shared" si="1"/>
        <v>#DIV/0!</v>
      </c>
      <c r="K17" s="137"/>
      <c r="L17" s="126"/>
      <c r="N17" s="232"/>
      <c r="O17" s="236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</row>
    <row r="18" spans="1:27" ht="16.149999999999999">
      <c r="A18" s="462"/>
      <c r="B18" s="470"/>
      <c r="C18" s="121" t="s">
        <v>148</v>
      </c>
      <c r="D18" s="146"/>
      <c r="E18" s="122">
        <f>'1.03品牌、渠道分品类实际营收折扣报表'!BA7/10000</f>
        <v>55.645969999999998</v>
      </c>
      <c r="F18" s="123" t="e">
        <f t="shared" si="0"/>
        <v>#DIV/0!</v>
      </c>
      <c r="G18" s="137"/>
      <c r="H18" s="137"/>
      <c r="I18" s="138">
        <f>'1.03品牌、渠道分品类实际营收折扣报表'!BB7/10000</f>
        <v>804.42513399999984</v>
      </c>
      <c r="J18" s="137" t="e">
        <f t="shared" si="1"/>
        <v>#DIV/0!</v>
      </c>
      <c r="K18" s="137"/>
      <c r="L18" s="126"/>
      <c r="N18" s="232"/>
      <c r="O18" s="236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</row>
    <row r="19" spans="1:27" ht="16.149999999999999">
      <c r="A19" s="462"/>
      <c r="B19" s="470"/>
      <c r="C19" s="121" t="s">
        <v>149</v>
      </c>
      <c r="D19" s="146"/>
      <c r="E19" s="122">
        <f>'1.03品牌、渠道分品类实际营收折扣报表'!BA8/10000</f>
        <v>0</v>
      </c>
      <c r="F19" s="123" t="e">
        <f t="shared" si="0"/>
        <v>#DIV/0!</v>
      </c>
      <c r="G19" s="137"/>
      <c r="H19" s="137"/>
      <c r="I19" s="138">
        <f>'1.03品牌、渠道分品类实际营收折扣报表'!BB8/10000</f>
        <v>0</v>
      </c>
      <c r="J19" s="137" t="e">
        <f t="shared" si="1"/>
        <v>#DIV/0!</v>
      </c>
      <c r="K19" s="137"/>
      <c r="L19" s="126"/>
      <c r="N19" s="232"/>
      <c r="O19" s="236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</row>
    <row r="20" spans="1:27" ht="16.149999999999999">
      <c r="A20" s="462"/>
      <c r="B20" s="470"/>
      <c r="C20" s="121" t="s">
        <v>150</v>
      </c>
      <c r="D20" s="145"/>
      <c r="E20" s="122">
        <f>'1.03品牌、渠道分品类实际营收折扣报表'!BA9/10000</f>
        <v>25.539155999999998</v>
      </c>
      <c r="F20" s="123" t="e">
        <f t="shared" si="0"/>
        <v>#DIV/0!</v>
      </c>
      <c r="G20" s="137"/>
      <c r="H20" s="137"/>
      <c r="I20" s="138">
        <f>'1.03品牌、渠道分品类实际营收折扣报表'!BB9/10000</f>
        <v>183.82166899999999</v>
      </c>
      <c r="J20" s="137" t="e">
        <f t="shared" si="1"/>
        <v>#DIV/0!</v>
      </c>
      <c r="K20" s="137"/>
      <c r="L20" s="126"/>
      <c r="N20" s="232"/>
      <c r="O20" s="236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</row>
    <row r="21" spans="1:27" ht="16.149999999999999">
      <c r="A21" s="462"/>
      <c r="B21" s="470"/>
      <c r="C21" s="141" t="s">
        <v>151</v>
      </c>
      <c r="D21" s="142">
        <f>AA21</f>
        <v>1496.8429340369405</v>
      </c>
      <c r="E21" s="142">
        <f t="shared" ref="E21" si="2">SUM(E16:E20)</f>
        <v>829.55680900000004</v>
      </c>
      <c r="F21" s="153">
        <f>E21/D21</f>
        <v>0.55420431238079881</v>
      </c>
      <c r="G21" s="142">
        <f>O21</f>
        <v>13473.3087318623</v>
      </c>
      <c r="H21" s="245">
        <f>SUM(P21:AA21)</f>
        <v>13473.308731862302</v>
      </c>
      <c r="I21" s="143">
        <f t="shared" ref="I21" si="3">SUM(I16:I20)</f>
        <v>10275.810162000002</v>
      </c>
      <c r="J21" s="153">
        <f>I21/H21</f>
        <v>0.76267903946261484</v>
      </c>
      <c r="K21" s="153">
        <f>I21/G21</f>
        <v>0.76267903946261495</v>
      </c>
      <c r="L21" s="144"/>
      <c r="N21" s="232"/>
      <c r="O21" s="240">
        <v>13473.3087318623</v>
      </c>
      <c r="P21" s="240">
        <v>1032.0005269999999</v>
      </c>
      <c r="Q21" s="240">
        <v>132.501227</v>
      </c>
      <c r="R21" s="240">
        <v>1167.6187239999999</v>
      </c>
      <c r="S21" s="240">
        <v>877.064301</v>
      </c>
      <c r="T21" s="240">
        <v>875.76645199999996</v>
      </c>
      <c r="U21" s="240">
        <v>940.05747899999994</v>
      </c>
      <c r="V21" s="240">
        <v>1068.427505885207</v>
      </c>
      <c r="W21" s="240">
        <v>1176.5858312765374</v>
      </c>
      <c r="X21" s="240">
        <v>1444.9229208268027</v>
      </c>
      <c r="Y21" s="240">
        <v>1572.5638043666186</v>
      </c>
      <c r="Z21" s="240">
        <v>1688.9570254701953</v>
      </c>
      <c r="AA21" s="240">
        <v>1496.8429340369405</v>
      </c>
    </row>
    <row r="22" spans="1:27" ht="16.149999999999999">
      <c r="A22" s="462"/>
      <c r="B22" s="470" t="s">
        <v>154</v>
      </c>
      <c r="C22" s="121" t="s">
        <v>146</v>
      </c>
      <c r="D22" s="147"/>
      <c r="E22" s="148">
        <f>'1.03品牌、渠道分品类实际营收折扣报表'!CE5/10000</f>
        <v>396.43435100000005</v>
      </c>
      <c r="F22" s="149">
        <f>E27/D27</f>
        <v>1.0537821731830612</v>
      </c>
      <c r="G22" s="137"/>
      <c r="H22" s="137"/>
      <c r="I22" s="138">
        <f>'1.03品牌、渠道分品类实际营收折扣报表'!CF5/10000</f>
        <v>3793.783465</v>
      </c>
      <c r="J22" s="137">
        <f>I27/H27</f>
        <v>0.8757974281386508</v>
      </c>
      <c r="K22" s="137"/>
      <c r="L22" s="126"/>
      <c r="N22" s="232"/>
      <c r="O22" s="236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</row>
    <row r="23" spans="1:27" ht="16.149999999999999">
      <c r="A23" s="462"/>
      <c r="B23" s="470"/>
      <c r="C23" s="121" t="s">
        <v>147</v>
      </c>
      <c r="D23" s="147"/>
      <c r="E23" s="148">
        <f>'1.03品牌、渠道分品类实际营收折扣报表'!CE6/10000</f>
        <v>8.1045080000000009</v>
      </c>
      <c r="F23" s="149">
        <f t="shared" ref="F23:F26" si="4">E28/D28</f>
        <v>0.5419723574152735</v>
      </c>
      <c r="G23" s="137"/>
      <c r="H23" s="137"/>
      <c r="I23" s="138">
        <f>'1.03品牌、渠道分品类实际营收折扣报表'!CF6/10000</f>
        <v>44.889905999999996</v>
      </c>
      <c r="J23" s="137">
        <f t="shared" ref="J23:J26" si="5">I28/H28</f>
        <v>0.74602796869483701</v>
      </c>
      <c r="K23" s="137"/>
      <c r="L23" s="126"/>
      <c r="N23" s="232"/>
      <c r="O23" s="236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</row>
    <row r="24" spans="1:27" ht="16.149999999999999">
      <c r="A24" s="462"/>
      <c r="B24" s="470"/>
      <c r="C24" s="121" t="s">
        <v>148</v>
      </c>
      <c r="D24" s="147"/>
      <c r="E24" s="148">
        <f>'1.03品牌、渠道分品类实际营收折扣报表'!CE7/10000</f>
        <v>42.992990999999996</v>
      </c>
      <c r="F24" s="149" t="e">
        <f t="shared" si="4"/>
        <v>#DIV/0!</v>
      </c>
      <c r="G24" s="137"/>
      <c r="H24" s="137"/>
      <c r="I24" s="138">
        <f>'1.03品牌、渠道分品类实际营收折扣报表'!CF7/10000</f>
        <v>727.23929999999996</v>
      </c>
      <c r="J24" s="137" t="e">
        <f t="shared" si="5"/>
        <v>#DIV/0!</v>
      </c>
      <c r="K24" s="137"/>
      <c r="L24" s="126"/>
      <c r="N24" s="232"/>
      <c r="O24" s="236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</row>
    <row r="25" spans="1:27" ht="16.149999999999999">
      <c r="A25" s="462"/>
      <c r="B25" s="470"/>
      <c r="C25" s="121" t="s">
        <v>149</v>
      </c>
      <c r="D25" s="147"/>
      <c r="E25" s="148">
        <f>'1.03品牌、渠道分品类实际营收折扣报表'!CE8/10000</f>
        <v>0</v>
      </c>
      <c r="F25" s="149" t="e">
        <f t="shared" si="4"/>
        <v>#DIV/0!</v>
      </c>
      <c r="G25" s="137"/>
      <c r="H25" s="137"/>
      <c r="I25" s="138">
        <f>'1.03品牌、渠道分品类实际营收折扣报表'!CF8/10000</f>
        <v>0</v>
      </c>
      <c r="J25" s="137" t="e">
        <f t="shared" si="5"/>
        <v>#DIV/0!</v>
      </c>
      <c r="K25" s="137"/>
      <c r="L25" s="126"/>
      <c r="N25" s="232"/>
      <c r="O25" s="236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</row>
    <row r="26" spans="1:27" ht="16.149999999999999">
      <c r="A26" s="462"/>
      <c r="B26" s="470"/>
      <c r="C26" s="121" t="s">
        <v>150</v>
      </c>
      <c r="D26" s="147"/>
      <c r="E26" s="148">
        <f>'1.03品牌、渠道分品类实际营收折扣报表'!CE9/10000</f>
        <v>10.123972999999999</v>
      </c>
      <c r="F26" s="149" t="e">
        <f t="shared" si="4"/>
        <v>#DIV/0!</v>
      </c>
      <c r="G26" s="137"/>
      <c r="H26" s="137"/>
      <c r="I26" s="138">
        <f>'1.03品牌、渠道分品类实际营收折扣报表'!CF9/10000</f>
        <v>70.989730000000009</v>
      </c>
      <c r="J26" s="137" t="e">
        <f t="shared" si="5"/>
        <v>#DIV/0!</v>
      </c>
      <c r="K26" s="137"/>
      <c r="L26" s="126"/>
      <c r="N26" s="232"/>
      <c r="O26" s="236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</row>
    <row r="27" spans="1:27" ht="16.149999999999999">
      <c r="A27" s="462"/>
      <c r="B27" s="470"/>
      <c r="C27" s="141" t="s">
        <v>124</v>
      </c>
      <c r="D27" s="142">
        <f>AA27</f>
        <v>434.29831576824068</v>
      </c>
      <c r="E27" s="142">
        <f>SUM(E22:E26)</f>
        <v>457.65582300000005</v>
      </c>
      <c r="F27" s="153">
        <f>E27/D27</f>
        <v>1.0537821731830612</v>
      </c>
      <c r="G27" s="142">
        <f>O27</f>
        <v>5294.4919133353696</v>
      </c>
      <c r="H27" s="245">
        <f>SUM(P27:AA27)</f>
        <v>5294.4919133353687</v>
      </c>
      <c r="I27" s="143">
        <f>SUM(I22:I26)</f>
        <v>4636.9024010000003</v>
      </c>
      <c r="J27" s="153">
        <f>I27/H27</f>
        <v>0.8757974281386508</v>
      </c>
      <c r="K27" s="153">
        <f>I27/G27</f>
        <v>0.87579742813865058</v>
      </c>
      <c r="L27" s="144"/>
      <c r="N27" s="232"/>
      <c r="O27" s="240">
        <v>5294.4919133353696</v>
      </c>
      <c r="P27" s="240">
        <v>161.10984399999998</v>
      </c>
      <c r="Q27" s="240">
        <v>141.37536900000001</v>
      </c>
      <c r="R27" s="240">
        <v>282.20945499999999</v>
      </c>
      <c r="S27" s="240">
        <v>245.380484</v>
      </c>
      <c r="T27" s="240">
        <v>267.25113599999997</v>
      </c>
      <c r="U27" s="240">
        <v>335.94018699999998</v>
      </c>
      <c r="V27" s="240">
        <v>333.11128549646503</v>
      </c>
      <c r="W27" s="240">
        <v>435.19377621312361</v>
      </c>
      <c r="X27" s="240">
        <v>437.88015754777257</v>
      </c>
      <c r="Y27" s="240">
        <v>591.89935406764357</v>
      </c>
      <c r="Z27" s="240">
        <v>1628.8425492421234</v>
      </c>
      <c r="AA27" s="240">
        <v>434.29831576824068</v>
      </c>
    </row>
    <row r="28" spans="1:27" ht="17.25" thickBot="1">
      <c r="A28" s="459"/>
      <c r="B28" s="474" t="s">
        <v>155</v>
      </c>
      <c r="C28" s="474"/>
      <c r="D28" s="150">
        <f>SUM(D27,D15,D21,D9)</f>
        <v>3021.6735754018891</v>
      </c>
      <c r="E28" s="150">
        <f>SUM(E27,E15,,E21,E9)</f>
        <v>1637.6635510000001</v>
      </c>
      <c r="F28" s="154">
        <f>E28/D28</f>
        <v>0.5419723574152735</v>
      </c>
      <c r="G28" s="150">
        <f>O28</f>
        <v>28614.893771807379</v>
      </c>
      <c r="H28" s="150">
        <f>SUM(P28:AA28)</f>
        <v>28614.893771807379</v>
      </c>
      <c r="I28" s="151">
        <f>SUM(I27,I15,I21,I9)</f>
        <v>21347.511075000002</v>
      </c>
      <c r="J28" s="154">
        <f>I28/H28</f>
        <v>0.74602796869483701</v>
      </c>
      <c r="K28" s="154">
        <f>I28/G28</f>
        <v>0.74602796869483701</v>
      </c>
      <c r="L28" s="152"/>
      <c r="O28" s="240">
        <v>28614.893771807379</v>
      </c>
      <c r="P28" s="240">
        <v>1732.4331850000001</v>
      </c>
      <c r="Q28" s="240">
        <v>658.87284699999998</v>
      </c>
      <c r="R28" s="240">
        <v>2947.2637009999999</v>
      </c>
      <c r="S28" s="240">
        <v>1647.2568490000001</v>
      </c>
      <c r="T28" s="240">
        <v>1562.9550300000001</v>
      </c>
      <c r="U28" s="240">
        <v>2260.4949930000002</v>
      </c>
      <c r="V28" s="240">
        <v>1970.5033343203013</v>
      </c>
      <c r="W28" s="240">
        <v>2379.6884918633923</v>
      </c>
      <c r="X28" s="240">
        <v>3021.4441327539025</v>
      </c>
      <c r="Y28" s="240">
        <v>3062.8656982585226</v>
      </c>
      <c r="Z28" s="240">
        <v>4349.4419342093715</v>
      </c>
      <c r="AA28" s="240">
        <v>3021.6735754018891</v>
      </c>
    </row>
    <row r="29" spans="1:27" ht="16.149999999999999" hidden="1">
      <c r="A29" s="462" t="s">
        <v>111</v>
      </c>
      <c r="B29" s="470" t="s">
        <v>1</v>
      </c>
      <c r="C29" s="121" t="s">
        <v>146</v>
      </c>
      <c r="D29" s="122"/>
      <c r="E29" s="122"/>
      <c r="F29" s="123" t="e">
        <f>(E29+E32)/D29</f>
        <v>#DIV/0!</v>
      </c>
      <c r="G29" s="137"/>
      <c r="H29" s="137"/>
      <c r="I29" s="138">
        <f>E29+'[14]2月春夏品类业绩'!I29</f>
        <v>0</v>
      </c>
      <c r="J29" s="137" t="e">
        <f>(I29+I32)/H29</f>
        <v>#DIV/0!</v>
      </c>
      <c r="K29" s="137"/>
      <c r="L29" s="139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</row>
    <row r="30" spans="1:27" ht="16.149999999999999" hidden="1">
      <c r="A30" s="462"/>
      <c r="B30" s="470"/>
      <c r="C30" s="121" t="s">
        <v>147</v>
      </c>
      <c r="D30" s="122"/>
      <c r="E30" s="122"/>
      <c r="F30" s="123" t="e">
        <f t="shared" ref="F30:F45" si="6">E30/D30</f>
        <v>#DIV/0!</v>
      </c>
      <c r="G30" s="137"/>
      <c r="H30" s="137"/>
      <c r="I30" s="138">
        <f>E30+'[14]2月春夏品类业绩'!I30</f>
        <v>0</v>
      </c>
      <c r="J30" s="137" t="e">
        <f t="shared" ref="J30:J45" si="7">I30/H30</f>
        <v>#DIV/0!</v>
      </c>
      <c r="K30" s="137"/>
      <c r="L30" s="139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</row>
    <row r="31" spans="1:27" ht="16.149999999999999" hidden="1">
      <c r="A31" s="462"/>
      <c r="B31" s="470"/>
      <c r="C31" s="121" t="s">
        <v>148</v>
      </c>
      <c r="D31" s="122"/>
      <c r="E31" s="122"/>
      <c r="F31" s="123" t="e">
        <f t="shared" si="6"/>
        <v>#DIV/0!</v>
      </c>
      <c r="G31" s="137"/>
      <c r="H31" s="137"/>
      <c r="I31" s="138">
        <f>E31+'[14]2月春夏品类业绩'!I31</f>
        <v>0</v>
      </c>
      <c r="J31" s="137" t="e">
        <f t="shared" si="7"/>
        <v>#DIV/0!</v>
      </c>
      <c r="K31" s="137"/>
      <c r="L31" s="139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</row>
    <row r="32" spans="1:27" ht="16.149999999999999" hidden="1">
      <c r="A32" s="462"/>
      <c r="B32" s="470"/>
      <c r="C32" s="121" t="s">
        <v>149</v>
      </c>
      <c r="D32" s="140"/>
      <c r="E32" s="122"/>
      <c r="F32" s="123" t="e">
        <f t="shared" si="6"/>
        <v>#DIV/0!</v>
      </c>
      <c r="G32" s="137"/>
      <c r="H32" s="137"/>
      <c r="I32" s="138">
        <f>E32+'[14]2月春夏品类业绩'!I32</f>
        <v>0</v>
      </c>
      <c r="J32" s="137" t="e">
        <f t="shared" si="7"/>
        <v>#DIV/0!</v>
      </c>
      <c r="K32" s="137"/>
      <c r="L32" s="139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</row>
    <row r="33" spans="1:27" ht="16.149999999999999" hidden="1">
      <c r="A33" s="462"/>
      <c r="B33" s="470"/>
      <c r="C33" s="121" t="s">
        <v>150</v>
      </c>
      <c r="D33" s="122"/>
      <c r="E33" s="122"/>
      <c r="F33" s="123" t="e">
        <f t="shared" si="6"/>
        <v>#DIV/0!</v>
      </c>
      <c r="G33" s="137"/>
      <c r="H33" s="137"/>
      <c r="I33" s="138">
        <f>E33+'[14]2月春夏品类业绩'!I33</f>
        <v>0</v>
      </c>
      <c r="J33" s="137" t="e">
        <f t="shared" si="7"/>
        <v>#DIV/0!</v>
      </c>
      <c r="K33" s="137"/>
      <c r="L33" s="139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</row>
    <row r="34" spans="1:27" ht="16.149999999999999" hidden="1">
      <c r="A34" s="462"/>
      <c r="B34" s="470"/>
      <c r="C34" s="141" t="s">
        <v>124</v>
      </c>
      <c r="D34" s="142">
        <f>SUM(D29:D33)</f>
        <v>0</v>
      </c>
      <c r="E34" s="142">
        <f>SUM(E29:E33)</f>
        <v>0</v>
      </c>
      <c r="F34" s="142" t="e">
        <f t="shared" si="6"/>
        <v>#DIV/0!</v>
      </c>
      <c r="G34" s="142"/>
      <c r="H34" s="142"/>
      <c r="I34" s="142">
        <f>SUM(I29:I33)</f>
        <v>0</v>
      </c>
      <c r="J34" s="142" t="e">
        <f t="shared" si="7"/>
        <v>#DIV/0!</v>
      </c>
      <c r="K34" s="142"/>
      <c r="L34" s="144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</row>
    <row r="35" spans="1:27" ht="16.149999999999999" hidden="1">
      <c r="A35" s="462"/>
      <c r="B35" s="470" t="s">
        <v>156</v>
      </c>
      <c r="C35" s="121" t="s">
        <v>146</v>
      </c>
      <c r="D35" s="122"/>
      <c r="E35" s="122"/>
      <c r="F35" s="123" t="e">
        <f t="shared" si="6"/>
        <v>#DIV/0!</v>
      </c>
      <c r="G35" s="137"/>
      <c r="H35" s="137"/>
      <c r="I35" s="137"/>
      <c r="J35" s="137" t="e">
        <f t="shared" si="7"/>
        <v>#DIV/0!</v>
      </c>
      <c r="K35" s="137"/>
      <c r="L35" s="139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</row>
    <row r="36" spans="1:27" ht="16.149999999999999" hidden="1">
      <c r="A36" s="462"/>
      <c r="B36" s="470"/>
      <c r="C36" s="121" t="s">
        <v>147</v>
      </c>
      <c r="D36" s="122"/>
      <c r="E36" s="122"/>
      <c r="F36" s="123" t="e">
        <f t="shared" si="6"/>
        <v>#DIV/0!</v>
      </c>
      <c r="G36" s="137"/>
      <c r="H36" s="137"/>
      <c r="I36" s="137"/>
      <c r="J36" s="137" t="e">
        <f t="shared" si="7"/>
        <v>#DIV/0!</v>
      </c>
      <c r="K36" s="137"/>
      <c r="L36" s="139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</row>
    <row r="37" spans="1:27" ht="16.149999999999999" hidden="1">
      <c r="A37" s="462"/>
      <c r="B37" s="470"/>
      <c r="C37" s="121" t="s">
        <v>148</v>
      </c>
      <c r="D37" s="122"/>
      <c r="E37" s="122"/>
      <c r="F37" s="123" t="e">
        <f t="shared" si="6"/>
        <v>#DIV/0!</v>
      </c>
      <c r="G37" s="137"/>
      <c r="H37" s="137"/>
      <c r="I37" s="137"/>
      <c r="J37" s="137" t="e">
        <f t="shared" si="7"/>
        <v>#DIV/0!</v>
      </c>
      <c r="K37" s="137"/>
      <c r="L37" s="139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</row>
    <row r="38" spans="1:27" ht="16.149999999999999" hidden="1">
      <c r="A38" s="462"/>
      <c r="B38" s="470"/>
      <c r="C38" s="121" t="s">
        <v>149</v>
      </c>
      <c r="D38" s="122"/>
      <c r="E38" s="122"/>
      <c r="F38" s="123" t="e">
        <f t="shared" si="6"/>
        <v>#DIV/0!</v>
      </c>
      <c r="G38" s="137"/>
      <c r="H38" s="137"/>
      <c r="I38" s="137"/>
      <c r="J38" s="137" t="e">
        <f t="shared" si="7"/>
        <v>#DIV/0!</v>
      </c>
      <c r="K38" s="137"/>
      <c r="L38" s="139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</row>
    <row r="39" spans="1:27" ht="16.149999999999999" hidden="1">
      <c r="A39" s="462"/>
      <c r="B39" s="470"/>
      <c r="C39" s="121" t="s">
        <v>150</v>
      </c>
      <c r="D39" s="122"/>
      <c r="E39" s="122"/>
      <c r="F39" s="123" t="e">
        <f t="shared" si="6"/>
        <v>#DIV/0!</v>
      </c>
      <c r="G39" s="137"/>
      <c r="H39" s="137"/>
      <c r="I39" s="137"/>
      <c r="J39" s="137" t="e">
        <f t="shared" si="7"/>
        <v>#DIV/0!</v>
      </c>
      <c r="K39" s="137"/>
      <c r="L39" s="126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</row>
    <row r="40" spans="1:27" ht="16.149999999999999" hidden="1">
      <c r="A40" s="462"/>
      <c r="B40" s="470"/>
      <c r="C40" s="141" t="s">
        <v>124</v>
      </c>
      <c r="D40" s="142">
        <f>SUM(D35:D39)</f>
        <v>0</v>
      </c>
      <c r="E40" s="142">
        <f>SUM(E35:E39)</f>
        <v>0</v>
      </c>
      <c r="F40" s="142" t="e">
        <f t="shared" si="6"/>
        <v>#DIV/0!</v>
      </c>
      <c r="G40" s="142"/>
      <c r="H40" s="142"/>
      <c r="I40" s="142"/>
      <c r="J40" s="142" t="e">
        <f t="shared" si="7"/>
        <v>#DIV/0!</v>
      </c>
      <c r="K40" s="142"/>
      <c r="L40" s="144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</row>
    <row r="41" spans="1:27" ht="16.149999999999999">
      <c r="A41" s="462"/>
      <c r="B41" s="470" t="s">
        <v>2</v>
      </c>
      <c r="C41" s="121" t="s">
        <v>146</v>
      </c>
      <c r="D41" s="145"/>
      <c r="E41" s="122"/>
      <c r="F41" s="123" t="e">
        <f t="shared" si="6"/>
        <v>#DIV/0!</v>
      </c>
      <c r="G41" s="137"/>
      <c r="H41" s="137"/>
      <c r="I41" s="138"/>
      <c r="J41" s="137" t="e">
        <f t="shared" si="7"/>
        <v>#DIV/0!</v>
      </c>
      <c r="K41" s="137"/>
      <c r="L41" s="126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</row>
    <row r="42" spans="1:27" ht="16.149999999999999">
      <c r="A42" s="462"/>
      <c r="B42" s="470"/>
      <c r="C42" s="121" t="s">
        <v>147</v>
      </c>
      <c r="D42" s="145"/>
      <c r="E42" s="122"/>
      <c r="F42" s="123" t="e">
        <f t="shared" si="6"/>
        <v>#DIV/0!</v>
      </c>
      <c r="G42" s="137"/>
      <c r="H42" s="137"/>
      <c r="I42" s="138"/>
      <c r="J42" s="137" t="e">
        <f t="shared" si="7"/>
        <v>#DIV/0!</v>
      </c>
      <c r="K42" s="137"/>
      <c r="L42" s="126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</row>
    <row r="43" spans="1:27" ht="16.149999999999999">
      <c r="A43" s="462"/>
      <c r="B43" s="470"/>
      <c r="C43" s="121" t="s">
        <v>148</v>
      </c>
      <c r="D43" s="145">
        <f>AA43</f>
        <v>1758.8003349253047</v>
      </c>
      <c r="E43" s="122">
        <f>'1.03品牌、渠道分品类实际营收折扣报表'!BA13/10000</f>
        <v>1481.598068</v>
      </c>
      <c r="F43" s="123">
        <f t="shared" si="6"/>
        <v>0.84239128147705444</v>
      </c>
      <c r="G43" s="244">
        <f>O43</f>
        <v>17179.863697364195</v>
      </c>
      <c r="H43" s="138">
        <f>SUM(P43:AA43)</f>
        <v>17179.863697364195</v>
      </c>
      <c r="I43" s="138">
        <f>'1.03品牌、渠道分品类实际营收折扣报表'!BB13/10000</f>
        <v>15280.364309999999</v>
      </c>
      <c r="J43" s="137">
        <f t="shared" si="7"/>
        <v>0.8894345484443148</v>
      </c>
      <c r="K43" s="137">
        <f>I43/G43</f>
        <v>0.8894345484443148</v>
      </c>
      <c r="L43" s="126"/>
      <c r="O43" s="240">
        <v>17179.863697364195</v>
      </c>
      <c r="P43" s="240">
        <v>1110.8919674061206</v>
      </c>
      <c r="Q43" s="240">
        <v>840.13879018874843</v>
      </c>
      <c r="R43" s="240">
        <v>1488.2006050757946</v>
      </c>
      <c r="S43" s="240">
        <v>1070.2774247419356</v>
      </c>
      <c r="T43" s="240">
        <v>933.45852451624489</v>
      </c>
      <c r="U43" s="240">
        <v>1184.1564650682221</v>
      </c>
      <c r="V43" s="240">
        <v>1413.8328247461473</v>
      </c>
      <c r="W43" s="240">
        <v>1586.3165798357261</v>
      </c>
      <c r="X43" s="240">
        <v>1758.8003349253047</v>
      </c>
      <c r="Y43" s="240">
        <v>1758.8003349253047</v>
      </c>
      <c r="Z43" s="240">
        <v>2276.1895110093433</v>
      </c>
      <c r="AA43" s="240">
        <v>1758.8003349253047</v>
      </c>
    </row>
    <row r="44" spans="1:27" ht="16.149999999999999">
      <c r="A44" s="462"/>
      <c r="B44" s="470"/>
      <c r="C44" s="121" t="s">
        <v>149</v>
      </c>
      <c r="D44" s="145">
        <f>AA44</f>
        <v>1073.8325266796749</v>
      </c>
      <c r="E44" s="122">
        <f>'1.03品牌、渠道分品类实际营收折扣报表'!BA14/10000</f>
        <v>764.60833200000013</v>
      </c>
      <c r="F44" s="123">
        <f t="shared" si="6"/>
        <v>0.71203685211901147</v>
      </c>
      <c r="G44" s="244">
        <f>O44</f>
        <v>10489.136302635799</v>
      </c>
      <c r="H44" s="138">
        <f>SUM(P44:AA44)</f>
        <v>10489.136302635799</v>
      </c>
      <c r="I44" s="138">
        <f>'1.03品牌、渠道分品类实际营收折扣报表'!BB14/10000</f>
        <v>7681.4562640000013</v>
      </c>
      <c r="J44" s="137">
        <f t="shared" si="7"/>
        <v>0.73232495435012501</v>
      </c>
      <c r="K44" s="137">
        <f>I44/G44</f>
        <v>0.73232495435012501</v>
      </c>
      <c r="L44" s="126"/>
      <c r="O44" s="240">
        <v>10489.136302635799</v>
      </c>
      <c r="P44" s="240">
        <v>678.25318459387938</v>
      </c>
      <c r="Q44" s="240">
        <v>512.94529681125152</v>
      </c>
      <c r="R44" s="240">
        <v>908.61832592420512</v>
      </c>
      <c r="S44" s="240">
        <v>653.45604525806425</v>
      </c>
      <c r="T44" s="240">
        <v>569.92150048375504</v>
      </c>
      <c r="U44" s="240">
        <v>722.98469793177787</v>
      </c>
      <c r="V44" s="240">
        <v>863.21320524668624</v>
      </c>
      <c r="W44" s="240">
        <v>968.52286596318061</v>
      </c>
      <c r="X44" s="240">
        <v>1073.8325266796749</v>
      </c>
      <c r="Y44" s="240">
        <v>1073.8325266796749</v>
      </c>
      <c r="Z44" s="240">
        <v>1389.7236003839757</v>
      </c>
      <c r="AA44" s="240">
        <v>1073.8325266796749</v>
      </c>
    </row>
    <row r="45" spans="1:27" ht="16.149999999999999">
      <c r="A45" s="462"/>
      <c r="B45" s="470"/>
      <c r="C45" s="121" t="s">
        <v>150</v>
      </c>
      <c r="D45" s="145"/>
      <c r="E45" s="122"/>
      <c r="F45" s="123" t="e">
        <f t="shared" si="6"/>
        <v>#DIV/0!</v>
      </c>
      <c r="G45" s="137"/>
      <c r="H45" s="137"/>
      <c r="I45" s="138"/>
      <c r="J45" s="137" t="e">
        <f t="shared" si="7"/>
        <v>#DIV/0!</v>
      </c>
      <c r="K45" s="137"/>
      <c r="L45" s="126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</row>
    <row r="46" spans="1:27" ht="16.149999999999999">
      <c r="A46" s="462"/>
      <c r="B46" s="470"/>
      <c r="C46" s="141" t="s">
        <v>124</v>
      </c>
      <c r="D46" s="142">
        <f>SUM(D41:D45)</f>
        <v>2832.6328616049796</v>
      </c>
      <c r="E46" s="142">
        <f t="shared" ref="E46:G46" si="8">SUM(E41:E45)</f>
        <v>2246.2064</v>
      </c>
      <c r="F46" s="153">
        <f>E46/D46</f>
        <v>0.79297477285047513</v>
      </c>
      <c r="G46" s="142">
        <f t="shared" si="8"/>
        <v>27668.999999999993</v>
      </c>
      <c r="H46" s="142">
        <f>SUM(H41:H45)</f>
        <v>27668.999999999993</v>
      </c>
      <c r="I46" s="143">
        <f t="shared" ref="I46" si="9">SUM(I41:I45)</f>
        <v>22961.820574000001</v>
      </c>
      <c r="J46" s="153">
        <f>I46/H46</f>
        <v>0.82987533246593692</v>
      </c>
      <c r="K46" s="142"/>
      <c r="L46" s="144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</row>
    <row r="47" spans="1:27" ht="16.149999999999999" hidden="1">
      <c r="A47" s="462"/>
      <c r="B47" s="470" t="s">
        <v>3</v>
      </c>
      <c r="C47" s="121" t="s">
        <v>146</v>
      </c>
      <c r="D47" s="147"/>
      <c r="E47" s="148"/>
      <c r="F47" s="149" t="e">
        <f>E52/D52</f>
        <v>#DIV/0!</v>
      </c>
      <c r="G47" s="137"/>
      <c r="H47" s="137"/>
      <c r="I47" s="138">
        <f>E47+'[14]2月春夏品类业绩'!E47</f>
        <v>0</v>
      </c>
      <c r="J47" s="137" t="e">
        <f>I52/H52</f>
        <v>#DIV/0!</v>
      </c>
      <c r="K47" s="137"/>
      <c r="L47" s="126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</row>
    <row r="48" spans="1:27" ht="16.149999999999999" hidden="1">
      <c r="A48" s="462"/>
      <c r="B48" s="470"/>
      <c r="C48" s="121" t="s">
        <v>147</v>
      </c>
      <c r="D48" s="147"/>
      <c r="E48" s="148"/>
      <c r="F48" s="149">
        <f t="shared" ref="F48:F51" si="10">E53/D53</f>
        <v>0.79297477285047513</v>
      </c>
      <c r="G48" s="137"/>
      <c r="H48" s="137"/>
      <c r="I48" s="138">
        <f>E48+'[14]2月春夏品类业绩'!E48</f>
        <v>0</v>
      </c>
      <c r="J48" s="137">
        <f t="shared" ref="J48:J51" si="11">I53/H53</f>
        <v>0.82987533246593692</v>
      </c>
      <c r="K48" s="137"/>
      <c r="L48" s="126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</row>
    <row r="49" spans="1:27" ht="16.149999999999999" hidden="1">
      <c r="A49" s="462"/>
      <c r="B49" s="470"/>
      <c r="C49" s="121" t="s">
        <v>148</v>
      </c>
      <c r="D49" s="147"/>
      <c r="E49" s="148"/>
      <c r="F49" s="149" t="e">
        <f t="shared" si="10"/>
        <v>#DIV/0!</v>
      </c>
      <c r="G49" s="137"/>
      <c r="H49" s="137"/>
      <c r="I49" s="138">
        <f>E49+'[14]2月春夏品类业绩'!E49</f>
        <v>0</v>
      </c>
      <c r="J49" s="137" t="e">
        <f t="shared" si="11"/>
        <v>#DIV/0!</v>
      </c>
      <c r="K49" s="137"/>
      <c r="L49" s="126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</row>
    <row r="50" spans="1:27" ht="16.149999999999999" hidden="1">
      <c r="A50" s="462"/>
      <c r="B50" s="470"/>
      <c r="C50" s="121" t="s">
        <v>149</v>
      </c>
      <c r="D50" s="147"/>
      <c r="E50" s="148"/>
      <c r="F50" s="149" t="e">
        <f t="shared" si="10"/>
        <v>#DIV/0!</v>
      </c>
      <c r="G50" s="137"/>
      <c r="H50" s="137"/>
      <c r="I50" s="138">
        <f>E50+'[14]2月春夏品类业绩'!E50</f>
        <v>0</v>
      </c>
      <c r="J50" s="137" t="e">
        <f t="shared" si="11"/>
        <v>#DIV/0!</v>
      </c>
      <c r="K50" s="137"/>
      <c r="L50" s="126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</row>
    <row r="51" spans="1:27" ht="16.149999999999999" hidden="1">
      <c r="A51" s="462"/>
      <c r="B51" s="470"/>
      <c r="C51" s="121" t="s">
        <v>150</v>
      </c>
      <c r="D51" s="147"/>
      <c r="E51" s="148"/>
      <c r="F51" s="149" t="e">
        <f t="shared" si="10"/>
        <v>#DIV/0!</v>
      </c>
      <c r="G51" s="137"/>
      <c r="H51" s="137"/>
      <c r="I51" s="138">
        <f>E51+'[14]2月春夏品类业绩'!E51</f>
        <v>0</v>
      </c>
      <c r="J51" s="137" t="e">
        <f t="shared" si="11"/>
        <v>#DIV/0!</v>
      </c>
      <c r="K51" s="137"/>
      <c r="L51" s="126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</row>
    <row r="52" spans="1:27" ht="16.149999999999999" hidden="1">
      <c r="A52" s="462"/>
      <c r="B52" s="470"/>
      <c r="C52" s="141" t="s">
        <v>124</v>
      </c>
      <c r="D52" s="142">
        <f>SUM(D47:D51)</f>
        <v>0</v>
      </c>
      <c r="E52" s="142">
        <f>SUM(E47:E51)</f>
        <v>0</v>
      </c>
      <c r="F52" s="142" t="e">
        <f>E52/D52</f>
        <v>#DIV/0!</v>
      </c>
      <c r="G52" s="142"/>
      <c r="H52" s="142"/>
      <c r="I52" s="143">
        <f>SUM(I47:I51)</f>
        <v>0</v>
      </c>
      <c r="J52" s="142" t="e">
        <f>I52/H52</f>
        <v>#DIV/0!</v>
      </c>
      <c r="K52" s="142"/>
      <c r="L52" s="144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</row>
    <row r="53" spans="1:27" ht="17.25" thickBot="1">
      <c r="A53" s="459"/>
      <c r="B53" s="474" t="s">
        <v>4</v>
      </c>
      <c r="C53" s="474"/>
      <c r="D53" s="150">
        <f>SUM(D52,D40,,D46,D34)</f>
        <v>2832.6328616049796</v>
      </c>
      <c r="E53" s="150">
        <f>SUM(E52,E40,,E46,E34)</f>
        <v>2246.2064</v>
      </c>
      <c r="F53" s="154">
        <f>E53/D53</f>
        <v>0.79297477285047513</v>
      </c>
      <c r="G53" s="150">
        <f>SUM(G52,G40,,G46,G34)</f>
        <v>27668.999999999993</v>
      </c>
      <c r="H53" s="150">
        <f>SUM(H52,H40,,H46,H34)</f>
        <v>27668.999999999993</v>
      </c>
      <c r="I53" s="151">
        <f>SUM(I52,I40,,I46,I34)</f>
        <v>22961.820574000001</v>
      </c>
      <c r="J53" s="154">
        <f>I53/H53</f>
        <v>0.82987533246593692</v>
      </c>
      <c r="K53" s="150"/>
      <c r="L53" s="152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</row>
  </sheetData>
  <mergeCells count="13">
    <mergeCell ref="A29:A53"/>
    <mergeCell ref="B29:B34"/>
    <mergeCell ref="B35:B40"/>
    <mergeCell ref="B41:B46"/>
    <mergeCell ref="B47:B52"/>
    <mergeCell ref="B53:C53"/>
    <mergeCell ref="A1:L1"/>
    <mergeCell ref="A4:A28"/>
    <mergeCell ref="B4:B9"/>
    <mergeCell ref="B10:B15"/>
    <mergeCell ref="B16:B21"/>
    <mergeCell ref="B22:B27"/>
    <mergeCell ref="B28:C28"/>
  </mergeCells>
  <phoneticPr fontId="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目录</vt:lpstr>
      <vt:lpstr>1.01经营快报月-调营收</vt:lpstr>
      <vt:lpstr>1.01经营快报累计-调营收</vt:lpstr>
      <vt:lpstr>1.02春夏利润表-调营收</vt:lpstr>
      <vt:lpstr>1.02货架渠道利润表-调营收</vt:lpstr>
      <vt:lpstr>1.03品牌、渠道分品类实际营收折扣报表</vt:lpstr>
      <vt:lpstr>1.04分渠道营收达成统计表-调营收</vt:lpstr>
      <vt:lpstr>1.05分系列营收贡献报表</vt:lpstr>
      <vt:lpstr>1.05营收业绩统计表-附表</vt:lpstr>
      <vt:lpstr>1.06应收账龄分析及逾期款追踪表</vt:lpstr>
      <vt:lpstr>1.07代理商进货指标达成统计表</vt:lpstr>
      <vt:lpstr>1.08渠道客户毛利贡献表</vt:lpstr>
      <vt:lpstr>1.09其他应收款追踪明细表</vt:lpstr>
      <vt:lpstr>1.10采购支出台账报表（新增）</vt:lpstr>
      <vt:lpstr>1.11促销费-分渠道沟通确认表</vt:lpstr>
      <vt:lpstr>1.12金税及系统开票差异比对表</vt:lpstr>
      <vt:lpstr>1.13重点费用差异分析表-春夏</vt:lpstr>
      <vt:lpstr>1.13重点费用差异分析表-货架</vt:lpstr>
      <vt:lpstr>1.14保证金进销存报表</vt:lpstr>
      <vt:lpstr>1.15库存（柜台及大仓）盘存差异报表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2020-02-19T07:58:47Z</dcterms:modified>
</cp:coreProperties>
</file>