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1.xml" ContentType="application/vnd.openxmlformats-officedocument.drawing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omments1.xml" ContentType="application/vnd.openxmlformats-officedocument.spreadsheetml.comments+xml"/>
  <Override PartName="/xl/customProperty8.bin" ContentType="application/vnd.openxmlformats-officedocument.spreadsheetml.customProperty"/>
  <Override PartName="/xl/comments2.xml" ContentType="application/vnd.openxmlformats-officedocument.spreadsheetml.comments+xml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omments3.xml" ContentType="application/vnd.openxmlformats-officedocument.spreadsheetml.comments+xml"/>
  <Override PartName="/xl/customProperty11.bin" ContentType="application/vnd.openxmlformats-officedocument.spreadsheetml.customProperty"/>
  <Override PartName="/xl/comments4.xml" ContentType="application/vnd.openxmlformats-officedocument.spreadsheetml.comments+xml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原桌面数据\2021.03.22\"/>
    </mc:Choice>
  </mc:AlternateContent>
  <bookViews>
    <workbookView xWindow="-105" yWindow="105" windowWidth="19320" windowHeight="10215" firstSheet="5" activeTab="5"/>
  </bookViews>
  <sheets>
    <sheet name="渠道费用明细 (邹雨晴)" sheetId="5" state="hidden" r:id="rId1"/>
    <sheet name="市场部费用明细 (邹雨晴)" sheetId="6" state="hidden" r:id="rId2"/>
    <sheet name="序列勿动" sheetId="12" state="hidden" r:id="rId3"/>
    <sheet name="好的分析报表截图" sheetId="14" state="hidden" r:id="rId4"/>
    <sheet name="植物智慧20年最新签批全年预算" sheetId="16" r:id="rId5"/>
    <sheet name="植物智慧19年利润表（实际）" sheetId="8" r:id="rId6"/>
    <sheet name="植物智慧20年利润表（实际）" sheetId="15" r:id="rId7"/>
    <sheet name="植物智慧21年最新签批全年预算" sheetId="9" r:id="rId8"/>
    <sheet name="植物智慧21年利润表（实际）" sheetId="4" r:id="rId9"/>
    <sheet name="植物智慧经营分析2021-02" sheetId="11" r:id="rId10"/>
    <sheet name="植物智慧经营分析2020-7（老版本）" sheetId="1" state="hidden" r:id="rId11"/>
    <sheet name="渠道费用明细" sheetId="3" r:id="rId12"/>
    <sheet name="市场部费用明细" sheetId="2" r:id="rId13"/>
    <sheet name="应收账款" sheetId="13" r:id="rId14"/>
    <sheet name="植物智慧20年利润表 (原数据)" sheetId="7" state="hidden" r:id="rId15"/>
  </sheets>
  <externalReferences>
    <externalReference r:id="rId16"/>
  </externalReferences>
  <definedNames>
    <definedName name="_xlnm._FilterDatabase" localSheetId="11" hidden="1">渠道费用明细!$A$1:$R$37</definedName>
    <definedName name="_xlnm._FilterDatabase" localSheetId="0" hidden="1">'渠道费用明细 (邹雨晴)'!$A$1:$R$36</definedName>
    <definedName name="_xlnm._FilterDatabase" localSheetId="12" hidden="1">市场部费用明细!$A$1:$R$158</definedName>
    <definedName name="_xlnm._FilterDatabase" localSheetId="1" hidden="1">'市场部费用明细 (邹雨晴)'!$A$1:$R$158</definedName>
    <definedName name="_xlnm.Print_Area" localSheetId="5">'植物智慧19年利润表（实际）'!$A$1:$N$46</definedName>
    <definedName name="_xlnm.Print_Area" localSheetId="6">'植物智慧20年利润表（实际）'!$A$1:$N$46</definedName>
    <definedName name="_xlnm.Print_Area" localSheetId="8">'植物智慧21年利润表（实际）'!$A$1:$N$46</definedName>
    <definedName name="月度">序列勿动!$A$3:$B$14</definedName>
  </definedNames>
  <calcPr calcId="152511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3" l="1"/>
  <c r="F7" i="13"/>
  <c r="D7" i="13"/>
  <c r="D6" i="13"/>
  <c r="R3" i="15" l="1"/>
  <c r="R46" i="15"/>
  <c r="R45" i="15"/>
  <c r="R44" i="15"/>
  <c r="R43" i="15"/>
  <c r="R42" i="15"/>
  <c r="R41" i="15"/>
  <c r="R40" i="15"/>
  <c r="R39" i="15"/>
  <c r="R38" i="15"/>
  <c r="R37" i="15"/>
  <c r="R36" i="15"/>
  <c r="R35" i="15"/>
  <c r="R34" i="15"/>
  <c r="R33" i="15"/>
  <c r="R32" i="15"/>
  <c r="R31" i="15"/>
  <c r="R30" i="15"/>
  <c r="R29" i="15"/>
  <c r="R28" i="15"/>
  <c r="R27" i="15"/>
  <c r="R26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R8" i="15"/>
  <c r="R7" i="15"/>
  <c r="R6" i="15"/>
  <c r="R5" i="15"/>
  <c r="R4" i="15"/>
  <c r="I10" i="13" l="1"/>
  <c r="H10" i="13"/>
  <c r="G10" i="13"/>
  <c r="F10" i="13"/>
  <c r="E10" i="13"/>
  <c r="G37" i="3" l="1"/>
  <c r="C12" i="4" l="1"/>
  <c r="C7" i="4"/>
  <c r="C3" i="4"/>
  <c r="C5" i="4"/>
  <c r="C4" i="4" s="1"/>
  <c r="C6" i="4"/>
  <c r="I5" i="13" l="1"/>
  <c r="E5" i="13"/>
  <c r="D5" i="13"/>
  <c r="C3" i="9" l="1"/>
  <c r="D3" i="9"/>
  <c r="E3" i="9"/>
  <c r="F3" i="9"/>
  <c r="G3" i="9"/>
  <c r="H3" i="9"/>
  <c r="I3" i="9"/>
  <c r="J3" i="9"/>
  <c r="K3" i="9"/>
  <c r="L3" i="9"/>
  <c r="M3" i="9"/>
  <c r="B12" i="4" l="1"/>
  <c r="B4" i="4"/>
  <c r="B5" i="4"/>
  <c r="L7" i="9"/>
  <c r="K7" i="9"/>
  <c r="J7" i="9"/>
  <c r="I7" i="9"/>
  <c r="H7" i="9"/>
  <c r="G7" i="9"/>
  <c r="F7" i="9"/>
  <c r="E7" i="9"/>
  <c r="D7" i="9"/>
  <c r="C7" i="9"/>
  <c r="B7" i="9"/>
  <c r="M7" i="9"/>
  <c r="R45" i="16" l="1"/>
  <c r="N45" i="16"/>
  <c r="R44" i="16"/>
  <c r="N44" i="16"/>
  <c r="R43" i="16"/>
  <c r="N43" i="16"/>
  <c r="R42" i="16"/>
  <c r="N42" i="16"/>
  <c r="R41" i="16"/>
  <c r="N41" i="16"/>
  <c r="R40" i="16"/>
  <c r="N40" i="16"/>
  <c r="R39" i="16"/>
  <c r="N39" i="16"/>
  <c r="R38" i="16"/>
  <c r="N38" i="16"/>
  <c r="R37" i="16"/>
  <c r="N37" i="16"/>
  <c r="R36" i="16"/>
  <c r="N36" i="16"/>
  <c r="R35" i="16"/>
  <c r="N35" i="16"/>
  <c r="R34" i="16"/>
  <c r="N34" i="16"/>
  <c r="R33" i="16"/>
  <c r="N33" i="16"/>
  <c r="R32" i="16"/>
  <c r="N32" i="16"/>
  <c r="R31" i="16"/>
  <c r="N31" i="16"/>
  <c r="R30" i="16"/>
  <c r="N30" i="16"/>
  <c r="M29" i="16"/>
  <c r="L29" i="16"/>
  <c r="K29" i="16"/>
  <c r="J29" i="16"/>
  <c r="I29" i="16"/>
  <c r="H29" i="16"/>
  <c r="G29" i="16"/>
  <c r="F29" i="16"/>
  <c r="E29" i="16"/>
  <c r="D29" i="16"/>
  <c r="C29" i="16"/>
  <c r="O29" i="16" s="1"/>
  <c r="B29" i="16"/>
  <c r="R29" i="16" s="1"/>
  <c r="R27" i="16"/>
  <c r="N27" i="16"/>
  <c r="R26" i="16"/>
  <c r="N26" i="16"/>
  <c r="R25" i="16"/>
  <c r="N25" i="16"/>
  <c r="R24" i="16"/>
  <c r="N24" i="16"/>
  <c r="R23" i="16"/>
  <c r="N23" i="16"/>
  <c r="R22" i="16"/>
  <c r="N22" i="16"/>
  <c r="R21" i="16"/>
  <c r="N21" i="16"/>
  <c r="R20" i="16"/>
  <c r="N20" i="16"/>
  <c r="R19" i="16"/>
  <c r="N19" i="16"/>
  <c r="R18" i="16"/>
  <c r="N18" i="16"/>
  <c r="R17" i="16"/>
  <c r="N17" i="16"/>
  <c r="R16" i="16"/>
  <c r="N16" i="16"/>
  <c r="R15" i="16"/>
  <c r="N15" i="16"/>
  <c r="R14" i="16"/>
  <c r="N14" i="16"/>
  <c r="R13" i="16"/>
  <c r="N13" i="16"/>
  <c r="R12" i="16"/>
  <c r="N12" i="16"/>
  <c r="R11" i="16"/>
  <c r="N11" i="16"/>
  <c r="M10" i="16"/>
  <c r="L10" i="16"/>
  <c r="K10" i="16"/>
  <c r="J10" i="16"/>
  <c r="I10" i="16"/>
  <c r="H10" i="16"/>
  <c r="G10" i="16"/>
  <c r="F10" i="16"/>
  <c r="E10" i="16"/>
  <c r="D10" i="16"/>
  <c r="C10" i="16"/>
  <c r="O10" i="16" s="1"/>
  <c r="B10" i="16"/>
  <c r="R10" i="16" s="1"/>
  <c r="G9" i="16"/>
  <c r="E9" i="16"/>
  <c r="C9" i="16"/>
  <c r="L8" i="16"/>
  <c r="L28" i="16" s="1"/>
  <c r="L46" i="16" s="1"/>
  <c r="J8" i="16"/>
  <c r="J28" i="16" s="1"/>
  <c r="J46" i="16" s="1"/>
  <c r="H8" i="16"/>
  <c r="H28" i="16" s="1"/>
  <c r="H46" i="16" s="1"/>
  <c r="G8" i="16"/>
  <c r="G28" i="16" s="1"/>
  <c r="G46" i="16" s="1"/>
  <c r="F8" i="16"/>
  <c r="F28" i="16" s="1"/>
  <c r="F46" i="16" s="1"/>
  <c r="E8" i="16"/>
  <c r="E28" i="16" s="1"/>
  <c r="E46" i="16" s="1"/>
  <c r="D8" i="16"/>
  <c r="D28" i="16" s="1"/>
  <c r="D46" i="16" s="1"/>
  <c r="C8" i="16"/>
  <c r="C28" i="16" s="1"/>
  <c r="C46" i="16" s="1"/>
  <c r="B8" i="16"/>
  <c r="B28" i="16" s="1"/>
  <c r="O7" i="16"/>
  <c r="M7" i="16"/>
  <c r="M8" i="16" s="1"/>
  <c r="L7" i="16"/>
  <c r="K7" i="16"/>
  <c r="K8" i="16" s="1"/>
  <c r="J7" i="16"/>
  <c r="I7" i="16"/>
  <c r="I8" i="16" s="1"/>
  <c r="H7" i="16"/>
  <c r="R7" i="16" s="1"/>
  <c r="R6" i="16"/>
  <c r="O6" i="16"/>
  <c r="O8" i="16" s="1"/>
  <c r="O28" i="16" s="1"/>
  <c r="O46" i="16" s="1"/>
  <c r="N6" i="16"/>
  <c r="M5" i="16"/>
  <c r="L5" i="16"/>
  <c r="K5" i="16"/>
  <c r="J5" i="16"/>
  <c r="I5" i="16"/>
  <c r="H5" i="16"/>
  <c r="G5" i="16"/>
  <c r="F5" i="16"/>
  <c r="E5" i="16"/>
  <c r="D5" i="16"/>
  <c r="C5" i="16"/>
  <c r="B5" i="16"/>
  <c r="R5" i="16" s="1"/>
  <c r="M4" i="16"/>
  <c r="L4" i="16"/>
  <c r="K4" i="16"/>
  <c r="J4" i="16"/>
  <c r="I4" i="16"/>
  <c r="H4" i="16"/>
  <c r="G4" i="16"/>
  <c r="F4" i="16"/>
  <c r="E4" i="16"/>
  <c r="D4" i="16"/>
  <c r="C4" i="16"/>
  <c r="B4" i="16"/>
  <c r="R4" i="16" s="1"/>
  <c r="M3" i="16"/>
  <c r="L3" i="16"/>
  <c r="K3" i="16"/>
  <c r="J3" i="16"/>
  <c r="I3" i="16"/>
  <c r="H3" i="16"/>
  <c r="R3" i="16" s="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9" i="11"/>
  <c r="K8" i="11"/>
  <c r="K7" i="11"/>
  <c r="K6" i="11"/>
  <c r="K5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9" i="11"/>
  <c r="E8" i="11"/>
  <c r="E7" i="11"/>
  <c r="E6" i="11"/>
  <c r="E5" i="11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N29" i="15" s="1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L12" i="15"/>
  <c r="J12" i="15"/>
  <c r="N12" i="15" s="1"/>
  <c r="N11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N10" i="15" s="1"/>
  <c r="M9" i="15"/>
  <c r="K9" i="15"/>
  <c r="E9" i="15"/>
  <c r="C9" i="15"/>
  <c r="M8" i="15"/>
  <c r="M28" i="15" s="1"/>
  <c r="M46" i="15" s="1"/>
  <c r="L8" i="15"/>
  <c r="L9" i="15" s="1"/>
  <c r="K8" i="15"/>
  <c r="K28" i="15" s="1"/>
  <c r="K46" i="15" s="1"/>
  <c r="J8" i="15"/>
  <c r="J9" i="15" s="1"/>
  <c r="F8" i="15"/>
  <c r="F9" i="15" s="1"/>
  <c r="E8" i="15"/>
  <c r="E28" i="15" s="1"/>
  <c r="E46" i="15" s="1"/>
  <c r="D8" i="15"/>
  <c r="D9" i="15" s="1"/>
  <c r="C8" i="15"/>
  <c r="C28" i="15" s="1"/>
  <c r="C46" i="15" s="1"/>
  <c r="B8" i="15"/>
  <c r="B9" i="15" s="1"/>
  <c r="H7" i="15"/>
  <c r="G7" i="15"/>
  <c r="N7" i="15" s="1"/>
  <c r="I6" i="15"/>
  <c r="I8" i="15" s="1"/>
  <c r="H6" i="15"/>
  <c r="H8" i="15" s="1"/>
  <c r="G6" i="15"/>
  <c r="G8" i="15" s="1"/>
  <c r="M5" i="15"/>
  <c r="L5" i="15"/>
  <c r="L4" i="15" s="1"/>
  <c r="K5" i="15"/>
  <c r="J5" i="15"/>
  <c r="J4" i="15" s="1"/>
  <c r="I5" i="15"/>
  <c r="H5" i="15"/>
  <c r="H4" i="15" s="1"/>
  <c r="G5" i="15"/>
  <c r="F5" i="15"/>
  <c r="F4" i="15" s="1"/>
  <c r="N4" i="15" s="1"/>
  <c r="M4" i="15"/>
  <c r="K4" i="15"/>
  <c r="I4" i="15"/>
  <c r="G4" i="15"/>
  <c r="K3" i="15"/>
  <c r="I3" i="15"/>
  <c r="H3" i="15"/>
  <c r="G3" i="15"/>
  <c r="N3" i="15" s="1"/>
  <c r="I28" i="16" l="1"/>
  <c r="I46" i="16" s="1"/>
  <c r="I9" i="16"/>
  <c r="K28" i="16"/>
  <c r="K46" i="16" s="1"/>
  <c r="K9" i="16"/>
  <c r="M28" i="16"/>
  <c r="M46" i="16" s="1"/>
  <c r="M9" i="16"/>
  <c r="B46" i="16"/>
  <c r="R28" i="16"/>
  <c r="N28" i="16"/>
  <c r="N3" i="16"/>
  <c r="N4" i="16"/>
  <c r="N5" i="16"/>
  <c r="N8" i="16"/>
  <c r="N9" i="16" s="1"/>
  <c r="R8" i="16"/>
  <c r="N10" i="16"/>
  <c r="N29" i="16"/>
  <c r="N7" i="16"/>
  <c r="B9" i="16"/>
  <c r="D9" i="16"/>
  <c r="F9" i="16"/>
  <c r="H9" i="16"/>
  <c r="J9" i="16"/>
  <c r="L9" i="16"/>
  <c r="H9" i="15"/>
  <c r="H28" i="15"/>
  <c r="H46" i="15" s="1"/>
  <c r="G28" i="15"/>
  <c r="G46" i="15" s="1"/>
  <c r="G9" i="15"/>
  <c r="I28" i="15"/>
  <c r="I46" i="15" s="1"/>
  <c r="I9" i="15"/>
  <c r="N5" i="15"/>
  <c r="N6" i="15"/>
  <c r="N8" i="15"/>
  <c r="N9" i="15" s="1"/>
  <c r="B28" i="15"/>
  <c r="D28" i="15"/>
  <c r="D46" i="15" s="1"/>
  <c r="F28" i="15"/>
  <c r="F46" i="15" s="1"/>
  <c r="J28" i="15"/>
  <c r="J46" i="15" s="1"/>
  <c r="L28" i="15"/>
  <c r="L46" i="15" s="1"/>
  <c r="R24" i="3"/>
  <c r="R46" i="16" l="1"/>
  <c r="N46" i="16"/>
  <c r="B46" i="15"/>
  <c r="N46" i="15" s="1"/>
  <c r="N28" i="15"/>
  <c r="O158" i="2" l="1"/>
  <c r="O37" i="3"/>
  <c r="N3" i="4" l="1"/>
  <c r="R46" i="8" l="1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8" i="8"/>
  <c r="R7" i="8"/>
  <c r="R6" i="8"/>
  <c r="R5" i="8"/>
  <c r="R4" i="8"/>
  <c r="R3" i="8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7" i="9"/>
  <c r="R6" i="9"/>
  <c r="R5" i="9"/>
  <c r="R4" i="9"/>
  <c r="R3" i="9"/>
  <c r="M47" i="11"/>
  <c r="M46" i="11"/>
  <c r="M45" i="11"/>
  <c r="M44" i="11"/>
  <c r="N44" i="11" s="1"/>
  <c r="M43" i="11"/>
  <c r="M42" i="11"/>
  <c r="M41" i="11"/>
  <c r="M40" i="11"/>
  <c r="N40" i="11" s="1"/>
  <c r="M39" i="11"/>
  <c r="M38" i="11"/>
  <c r="N38" i="11" s="1"/>
  <c r="M37" i="11"/>
  <c r="M36" i="11"/>
  <c r="N36" i="11" s="1"/>
  <c r="M35" i="11"/>
  <c r="N35" i="11" s="1"/>
  <c r="M34" i="11"/>
  <c r="M33" i="11"/>
  <c r="N33" i="11" s="1"/>
  <c r="M32" i="11"/>
  <c r="M29" i="11"/>
  <c r="M28" i="11"/>
  <c r="N28" i="11" s="1"/>
  <c r="M27" i="11"/>
  <c r="N27" i="11" s="1"/>
  <c r="M26" i="11"/>
  <c r="M25" i="11"/>
  <c r="M24" i="11"/>
  <c r="M23" i="11"/>
  <c r="M22" i="11"/>
  <c r="N22" i="11" s="1"/>
  <c r="M21" i="11"/>
  <c r="N21" i="11" s="1"/>
  <c r="M20" i="11"/>
  <c r="N20" i="11" s="1"/>
  <c r="M19" i="11"/>
  <c r="M18" i="11"/>
  <c r="N18" i="11" s="1"/>
  <c r="M17" i="11"/>
  <c r="N17" i="11" s="1"/>
  <c r="M16" i="11"/>
  <c r="N16" i="11" s="1"/>
  <c r="M15" i="11"/>
  <c r="N15" i="11" s="1"/>
  <c r="M14" i="11"/>
  <c r="M13" i="11"/>
  <c r="M9" i="11"/>
  <c r="M8" i="11"/>
  <c r="M7" i="11"/>
  <c r="M6" i="11"/>
  <c r="M5" i="11"/>
  <c r="I47" i="11"/>
  <c r="I46" i="11"/>
  <c r="I45" i="11"/>
  <c r="I44" i="11"/>
  <c r="I43" i="11"/>
  <c r="L43" i="11" s="1"/>
  <c r="I42" i="11"/>
  <c r="I41" i="11"/>
  <c r="I40" i="11"/>
  <c r="I39" i="11"/>
  <c r="I38" i="11"/>
  <c r="I37" i="11"/>
  <c r="I36" i="11"/>
  <c r="I35" i="11"/>
  <c r="I34" i="11"/>
  <c r="I33" i="11"/>
  <c r="I32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8" i="11"/>
  <c r="I9" i="11"/>
  <c r="I5" i="11"/>
  <c r="G47" i="11"/>
  <c r="G46" i="11"/>
  <c r="G45" i="11"/>
  <c r="G44" i="11"/>
  <c r="H44" i="11" s="1"/>
  <c r="G43" i="11"/>
  <c r="G42" i="11"/>
  <c r="G41" i="11"/>
  <c r="H41" i="11" s="1"/>
  <c r="G40" i="11"/>
  <c r="H40" i="11" s="1"/>
  <c r="G39" i="11"/>
  <c r="G38" i="11"/>
  <c r="H38" i="11" s="1"/>
  <c r="G37" i="11"/>
  <c r="H37" i="11" s="1"/>
  <c r="G36" i="11"/>
  <c r="H36" i="11" s="1"/>
  <c r="G35" i="11"/>
  <c r="H35" i="11" s="1"/>
  <c r="G34" i="11"/>
  <c r="G33" i="11"/>
  <c r="H33" i="11" s="1"/>
  <c r="G32" i="11"/>
  <c r="G29" i="11"/>
  <c r="G28" i="11"/>
  <c r="H28" i="11" s="1"/>
  <c r="G27" i="11"/>
  <c r="H27" i="11" s="1"/>
  <c r="G26" i="11"/>
  <c r="G25" i="11"/>
  <c r="G24" i="11"/>
  <c r="G23" i="11"/>
  <c r="G22" i="11"/>
  <c r="H22" i="11" s="1"/>
  <c r="G21" i="11"/>
  <c r="H21" i="11" s="1"/>
  <c r="G20" i="11"/>
  <c r="H20" i="11" s="1"/>
  <c r="G19" i="11"/>
  <c r="G18" i="11"/>
  <c r="H18" i="11" s="1"/>
  <c r="G17" i="11"/>
  <c r="H17" i="11" s="1"/>
  <c r="G16" i="11"/>
  <c r="H16" i="11" s="1"/>
  <c r="G15" i="11"/>
  <c r="H15" i="11" s="1"/>
  <c r="G14" i="11"/>
  <c r="G13" i="11"/>
  <c r="G6" i="11"/>
  <c r="G7" i="11"/>
  <c r="G8" i="11"/>
  <c r="G9" i="11"/>
  <c r="G5" i="11"/>
  <c r="C47" i="11"/>
  <c r="C46" i="11"/>
  <c r="C45" i="11"/>
  <c r="C44" i="11"/>
  <c r="C43" i="11"/>
  <c r="C42" i="11"/>
  <c r="C41" i="11"/>
  <c r="C40" i="11"/>
  <c r="F40" i="11" s="1"/>
  <c r="C39" i="11"/>
  <c r="C38" i="11"/>
  <c r="C37" i="11"/>
  <c r="C36" i="11"/>
  <c r="C35" i="11"/>
  <c r="C34" i="11"/>
  <c r="C33" i="11"/>
  <c r="C32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6" i="11"/>
  <c r="C7" i="11"/>
  <c r="C8" i="11"/>
  <c r="C9" i="11"/>
  <c r="C5" i="11"/>
  <c r="M8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M29" i="9"/>
  <c r="L29" i="9"/>
  <c r="K29" i="9"/>
  <c r="J29" i="9"/>
  <c r="I29" i="9"/>
  <c r="H29" i="9"/>
  <c r="G29" i="9"/>
  <c r="F29" i="9"/>
  <c r="E29" i="9"/>
  <c r="D29" i="9"/>
  <c r="C29" i="9"/>
  <c r="B29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M10" i="9"/>
  <c r="M28" i="9" s="1"/>
  <c r="M46" i="9" s="1"/>
  <c r="L10" i="9"/>
  <c r="K10" i="9"/>
  <c r="J10" i="9"/>
  <c r="I10" i="9"/>
  <c r="H10" i="9"/>
  <c r="G10" i="9"/>
  <c r="F10" i="9"/>
  <c r="E10" i="9"/>
  <c r="D10" i="9"/>
  <c r="C10" i="9"/>
  <c r="B10" i="9"/>
  <c r="L8" i="9"/>
  <c r="L9" i="9" s="1"/>
  <c r="K8" i="9"/>
  <c r="K9" i="9" s="1"/>
  <c r="J8" i="9"/>
  <c r="I8" i="9"/>
  <c r="I28" i="9" s="1"/>
  <c r="I46" i="9" s="1"/>
  <c r="H8" i="9"/>
  <c r="H9" i="9" s="1"/>
  <c r="G8" i="9"/>
  <c r="G28" i="9" s="1"/>
  <c r="G46" i="9" s="1"/>
  <c r="F8" i="9"/>
  <c r="F9" i="9" s="1"/>
  <c r="E8" i="9"/>
  <c r="E28" i="9" s="1"/>
  <c r="D8" i="9"/>
  <c r="D9" i="9" s="1"/>
  <c r="C8" i="9"/>
  <c r="C28" i="9" s="1"/>
  <c r="C46" i="9" s="1"/>
  <c r="B8" i="9"/>
  <c r="O7" i="9"/>
  <c r="O8" i="9" s="1"/>
  <c r="N7" i="9"/>
  <c r="O6" i="9"/>
  <c r="N6" i="9"/>
  <c r="N5" i="9"/>
  <c r="N4" i="9"/>
  <c r="N3" i="9"/>
  <c r="F158" i="2"/>
  <c r="F37" i="3"/>
  <c r="H28" i="9"/>
  <c r="F28" i="9"/>
  <c r="J28" i="9"/>
  <c r="B9" i="9"/>
  <c r="J9" i="9"/>
  <c r="E9" i="9"/>
  <c r="I9" i="9"/>
  <c r="M9" i="9"/>
  <c r="R10" i="3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8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2" i="1"/>
  <c r="K5" i="1"/>
  <c r="K6" i="1"/>
  <c r="K7" i="1"/>
  <c r="K8" i="1"/>
  <c r="K9" i="1"/>
  <c r="K4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5" i="1"/>
  <c r="E6" i="1"/>
  <c r="E7" i="1"/>
  <c r="E8" i="1"/>
  <c r="E9" i="1"/>
  <c r="E4" i="1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M29" i="8"/>
  <c r="L29" i="8"/>
  <c r="K29" i="8"/>
  <c r="J29" i="8"/>
  <c r="I29" i="8"/>
  <c r="H29" i="8"/>
  <c r="G29" i="8"/>
  <c r="F29" i="8"/>
  <c r="E29" i="8"/>
  <c r="D29" i="8"/>
  <c r="C29" i="8"/>
  <c r="O29" i="8"/>
  <c r="B29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M10" i="8"/>
  <c r="L10" i="8"/>
  <c r="K10" i="8"/>
  <c r="J10" i="8"/>
  <c r="I10" i="8"/>
  <c r="H10" i="8"/>
  <c r="G10" i="8"/>
  <c r="F10" i="8"/>
  <c r="E10" i="8"/>
  <c r="D10" i="8"/>
  <c r="C10" i="8"/>
  <c r="O10" i="8"/>
  <c r="B10" i="8"/>
  <c r="M8" i="8"/>
  <c r="M28" i="8"/>
  <c r="M46" i="8"/>
  <c r="L8" i="8"/>
  <c r="L28" i="8"/>
  <c r="L46" i="8"/>
  <c r="K8" i="8"/>
  <c r="K28" i="8"/>
  <c r="K46" i="8"/>
  <c r="J8" i="8"/>
  <c r="J28" i="8"/>
  <c r="J46" i="8"/>
  <c r="I8" i="8"/>
  <c r="I28" i="8"/>
  <c r="I46" i="8"/>
  <c r="H8" i="8"/>
  <c r="H28" i="8"/>
  <c r="H46" i="8"/>
  <c r="G8" i="8"/>
  <c r="G28" i="8"/>
  <c r="G46" i="8"/>
  <c r="F8" i="8"/>
  <c r="F28" i="8"/>
  <c r="F46" i="8"/>
  <c r="E8" i="8"/>
  <c r="E28" i="8"/>
  <c r="E46" i="8"/>
  <c r="D8" i="8"/>
  <c r="D28" i="8"/>
  <c r="D46" i="8"/>
  <c r="C8" i="8"/>
  <c r="C28" i="8"/>
  <c r="C46" i="8"/>
  <c r="B8" i="8"/>
  <c r="B28" i="8"/>
  <c r="O7" i="8"/>
  <c r="N7" i="8"/>
  <c r="O6" i="8"/>
  <c r="O8" i="8"/>
  <c r="O28" i="8"/>
  <c r="O46" i="8"/>
  <c r="N6" i="8"/>
  <c r="N5" i="8"/>
  <c r="N4" i="8"/>
  <c r="N3" i="8"/>
  <c r="B46" i="8"/>
  <c r="N28" i="8"/>
  <c r="N8" i="8"/>
  <c r="N9" i="8"/>
  <c r="C9" i="8"/>
  <c r="E9" i="8"/>
  <c r="G9" i="8"/>
  <c r="I9" i="8"/>
  <c r="K9" i="8"/>
  <c r="M9" i="8"/>
  <c r="N10" i="8"/>
  <c r="N29" i="8"/>
  <c r="B9" i="8"/>
  <c r="D9" i="8"/>
  <c r="F9" i="8"/>
  <c r="H9" i="8"/>
  <c r="J9" i="8"/>
  <c r="L9" i="8"/>
  <c r="N46" i="8"/>
  <c r="C46" i="1"/>
  <c r="F46" i="1" s="1"/>
  <c r="C45" i="1"/>
  <c r="C44" i="1"/>
  <c r="D44" i="1" s="1"/>
  <c r="C43" i="1"/>
  <c r="C42" i="1"/>
  <c r="F42" i="1" s="1"/>
  <c r="C41" i="1"/>
  <c r="C40" i="1"/>
  <c r="D40" i="1" s="1"/>
  <c r="C39" i="1"/>
  <c r="C38" i="1"/>
  <c r="F38" i="1" s="1"/>
  <c r="C37" i="1"/>
  <c r="C36" i="1"/>
  <c r="D36" i="1" s="1"/>
  <c r="C35" i="1"/>
  <c r="C34" i="1"/>
  <c r="F34" i="1" s="1"/>
  <c r="C33" i="1"/>
  <c r="C32" i="1"/>
  <c r="D32" i="1" s="1"/>
  <c r="C31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5" i="1"/>
  <c r="H5" i="1" s="1"/>
  <c r="C6" i="1"/>
  <c r="C7" i="1"/>
  <c r="D8" i="1" s="1"/>
  <c r="C8" i="1"/>
  <c r="C9" i="1"/>
  <c r="C10" i="1" s="1"/>
  <c r="D10" i="1" s="1"/>
  <c r="C4" i="1"/>
  <c r="I4" i="1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M29" i="7"/>
  <c r="L29" i="7"/>
  <c r="K29" i="7"/>
  <c r="J29" i="7"/>
  <c r="I29" i="7"/>
  <c r="H29" i="7"/>
  <c r="G29" i="7"/>
  <c r="F29" i="7"/>
  <c r="E29" i="7"/>
  <c r="D29" i="7"/>
  <c r="C29" i="7"/>
  <c r="B29" i="7"/>
  <c r="N29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M10" i="7"/>
  <c r="L10" i="7"/>
  <c r="K10" i="7"/>
  <c r="J10" i="7"/>
  <c r="I10" i="7"/>
  <c r="H10" i="7"/>
  <c r="G10" i="7"/>
  <c r="F10" i="7"/>
  <c r="E10" i="7"/>
  <c r="D10" i="7"/>
  <c r="C10" i="7"/>
  <c r="B10" i="7"/>
  <c r="N10" i="7"/>
  <c r="M9" i="7"/>
  <c r="K9" i="7"/>
  <c r="I9" i="7"/>
  <c r="E9" i="7"/>
  <c r="C9" i="7"/>
  <c r="M8" i="7"/>
  <c r="M28" i="7"/>
  <c r="M46" i="7"/>
  <c r="L8" i="7"/>
  <c r="L9" i="7"/>
  <c r="K8" i="7"/>
  <c r="K28" i="7"/>
  <c r="K46" i="7"/>
  <c r="J8" i="7"/>
  <c r="J9" i="7"/>
  <c r="I8" i="7"/>
  <c r="I28" i="7"/>
  <c r="I46" i="7"/>
  <c r="H8" i="7"/>
  <c r="H9" i="7"/>
  <c r="F8" i="7"/>
  <c r="F9" i="7"/>
  <c r="E8" i="7"/>
  <c r="E28" i="7"/>
  <c r="E46" i="7"/>
  <c r="D8" i="7"/>
  <c r="D9" i="7"/>
  <c r="C8" i="7"/>
  <c r="C28" i="7"/>
  <c r="C46" i="7"/>
  <c r="B8" i="7"/>
  <c r="B9" i="7"/>
  <c r="G7" i="7"/>
  <c r="N7" i="7"/>
  <c r="G6" i="7"/>
  <c r="G8" i="7"/>
  <c r="G5" i="7"/>
  <c r="G4" i="7"/>
  <c r="F5" i="7"/>
  <c r="N5" i="7"/>
  <c r="F4" i="7"/>
  <c r="N4" i="7"/>
  <c r="G3" i="7"/>
  <c r="N3" i="7"/>
  <c r="G28" i="7"/>
  <c r="G46" i="7"/>
  <c r="G9" i="7"/>
  <c r="N8" i="7"/>
  <c r="N9" i="7"/>
  <c r="B28" i="7"/>
  <c r="D28" i="7"/>
  <c r="D46" i="7"/>
  <c r="F28" i="7"/>
  <c r="F46" i="7"/>
  <c r="H28" i="7"/>
  <c r="H46" i="7"/>
  <c r="J28" i="7"/>
  <c r="J46" i="7"/>
  <c r="L28" i="7"/>
  <c r="L46" i="7"/>
  <c r="N6" i="7"/>
  <c r="Q158" i="6"/>
  <c r="P158" i="6"/>
  <c r="O158" i="6"/>
  <c r="N158" i="6"/>
  <c r="M158" i="6"/>
  <c r="L158" i="6"/>
  <c r="K158" i="6"/>
  <c r="J158" i="6"/>
  <c r="I158" i="6"/>
  <c r="H158" i="6"/>
  <c r="G158" i="6"/>
  <c r="F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158" i="6"/>
  <c r="Q36" i="5"/>
  <c r="P36" i="5"/>
  <c r="O36" i="5"/>
  <c r="N36" i="5"/>
  <c r="M36" i="5"/>
  <c r="L36" i="5"/>
  <c r="K36" i="5"/>
  <c r="J36" i="5"/>
  <c r="I36" i="5"/>
  <c r="H36" i="5"/>
  <c r="G36" i="5"/>
  <c r="F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R36" i="5"/>
  <c r="B46" i="7"/>
  <c r="N46" i="7"/>
  <c r="N28" i="7"/>
  <c r="R2" i="3"/>
  <c r="N21" i="4"/>
  <c r="I22" i="1" s="1"/>
  <c r="N22" i="1" s="1"/>
  <c r="I7" i="11"/>
  <c r="H158" i="2"/>
  <c r="D12" i="1"/>
  <c r="D14" i="1"/>
  <c r="D16" i="1"/>
  <c r="D18" i="1"/>
  <c r="D20" i="1"/>
  <c r="D22" i="1"/>
  <c r="D24" i="1"/>
  <c r="D26" i="1"/>
  <c r="D28" i="1"/>
  <c r="D34" i="1"/>
  <c r="D38" i="1"/>
  <c r="D42" i="1"/>
  <c r="D46" i="1"/>
  <c r="F4" i="1"/>
  <c r="N45" i="4"/>
  <c r="I46" i="1" s="1"/>
  <c r="N44" i="4"/>
  <c r="N43" i="4"/>
  <c r="I44" i="1" s="1"/>
  <c r="N42" i="4"/>
  <c r="N41" i="4"/>
  <c r="I42" i="1" s="1"/>
  <c r="N40" i="4"/>
  <c r="N39" i="4"/>
  <c r="I40" i="1" s="1"/>
  <c r="L40" i="1" s="1"/>
  <c r="N38" i="4"/>
  <c r="N37" i="4"/>
  <c r="I38" i="1" s="1"/>
  <c r="N38" i="1" s="1"/>
  <c r="N36" i="4"/>
  <c r="N35" i="4"/>
  <c r="I36" i="1" s="1"/>
  <c r="L36" i="1" s="1"/>
  <c r="N34" i="4"/>
  <c r="N33" i="4"/>
  <c r="I34" i="1" s="1"/>
  <c r="L34" i="1" s="1"/>
  <c r="N32" i="4"/>
  <c r="N31" i="4"/>
  <c r="I32" i="1" s="1"/>
  <c r="L32" i="1" s="1"/>
  <c r="N30" i="4"/>
  <c r="M29" i="4"/>
  <c r="L29" i="4"/>
  <c r="K29" i="4"/>
  <c r="J29" i="4"/>
  <c r="I29" i="4"/>
  <c r="H29" i="4"/>
  <c r="G29" i="4"/>
  <c r="F29" i="4"/>
  <c r="E29" i="4"/>
  <c r="D29" i="4"/>
  <c r="C29" i="4"/>
  <c r="B29" i="4"/>
  <c r="N27" i="4"/>
  <c r="I28" i="1" s="1"/>
  <c r="N26" i="4"/>
  <c r="N25" i="4"/>
  <c r="N24" i="4"/>
  <c r="I25" i="1" s="1"/>
  <c r="N23" i="4"/>
  <c r="I24" i="1" s="1"/>
  <c r="N22" i="4"/>
  <c r="I23" i="1" s="1"/>
  <c r="N20" i="4"/>
  <c r="I21" i="1" s="1"/>
  <c r="L21" i="1" s="1"/>
  <c r="N19" i="4"/>
  <c r="N18" i="4"/>
  <c r="N17" i="4"/>
  <c r="I18" i="1" s="1"/>
  <c r="L18" i="1" s="1"/>
  <c r="N16" i="4"/>
  <c r="I17" i="1" s="1"/>
  <c r="L17" i="1" s="1"/>
  <c r="N15" i="4"/>
  <c r="I16" i="1" s="1"/>
  <c r="L16" i="1" s="1"/>
  <c r="N14" i="4"/>
  <c r="I15" i="1" s="1"/>
  <c r="L15" i="1" s="1"/>
  <c r="N13" i="4"/>
  <c r="I14" i="1" s="1"/>
  <c r="L14" i="1" s="1"/>
  <c r="N12" i="4"/>
  <c r="I13" i="1" s="1"/>
  <c r="N11" i="4"/>
  <c r="I12" i="1" s="1"/>
  <c r="M10" i="4"/>
  <c r="L10" i="4"/>
  <c r="K10" i="4"/>
  <c r="K28" i="4" s="1"/>
  <c r="J10" i="4"/>
  <c r="I10" i="4"/>
  <c r="H10" i="4"/>
  <c r="G10" i="4"/>
  <c r="F10" i="4"/>
  <c r="E10" i="4"/>
  <c r="D10" i="4"/>
  <c r="C10" i="4"/>
  <c r="B10" i="4"/>
  <c r="M8" i="4"/>
  <c r="M9" i="4" s="1"/>
  <c r="L8" i="4"/>
  <c r="L9" i="4" s="1"/>
  <c r="K8" i="4"/>
  <c r="J8" i="4"/>
  <c r="J9" i="4" s="1"/>
  <c r="I8" i="4"/>
  <c r="I9" i="4"/>
  <c r="H8" i="4"/>
  <c r="H9" i="4"/>
  <c r="G8" i="4"/>
  <c r="F8" i="4"/>
  <c r="F9" i="4" s="1"/>
  <c r="E8" i="4"/>
  <c r="E9" i="4" s="1"/>
  <c r="D8" i="4"/>
  <c r="D9" i="4" s="1"/>
  <c r="C8" i="4"/>
  <c r="B8" i="4"/>
  <c r="B9" i="4"/>
  <c r="N7" i="4"/>
  <c r="I8" i="1" s="1"/>
  <c r="N6" i="4"/>
  <c r="I7" i="1" s="1"/>
  <c r="K40" i="5"/>
  <c r="G9" i="4"/>
  <c r="I31" i="1"/>
  <c r="I33" i="1"/>
  <c r="N33" i="1" s="1"/>
  <c r="I35" i="1"/>
  <c r="L35" i="1" s="1"/>
  <c r="I37" i="1"/>
  <c r="N37" i="1" s="1"/>
  <c r="I39" i="1"/>
  <c r="I41" i="1"/>
  <c r="N41" i="1" s="1"/>
  <c r="I43" i="1"/>
  <c r="L43" i="1" s="1"/>
  <c r="I45" i="1"/>
  <c r="N45" i="1" s="1"/>
  <c r="I20" i="1"/>
  <c r="L20" i="1" s="1"/>
  <c r="I26" i="1"/>
  <c r="L26" i="1" s="1"/>
  <c r="I19" i="1"/>
  <c r="L19" i="1" s="1"/>
  <c r="I27" i="1"/>
  <c r="D28" i="4"/>
  <c r="D46" i="4" s="1"/>
  <c r="K9" i="4"/>
  <c r="C9" i="4"/>
  <c r="G28" i="4"/>
  <c r="G46" i="4" s="1"/>
  <c r="H28" i="4"/>
  <c r="H46" i="4" s="1"/>
  <c r="E28" i="4"/>
  <c r="E46" i="4" s="1"/>
  <c r="I28" i="4"/>
  <c r="I46" i="4"/>
  <c r="B28" i="4"/>
  <c r="B46" i="4" s="1"/>
  <c r="R3" i="3"/>
  <c r="R4" i="3"/>
  <c r="R5" i="3"/>
  <c r="R6" i="3"/>
  <c r="R7" i="3"/>
  <c r="R8" i="3"/>
  <c r="R9" i="3"/>
  <c r="R12" i="3"/>
  <c r="R13" i="3"/>
  <c r="R14" i="3"/>
  <c r="R15" i="3"/>
  <c r="R16" i="3"/>
  <c r="R17" i="3"/>
  <c r="R18" i="3"/>
  <c r="R19" i="3"/>
  <c r="R20" i="3"/>
  <c r="R21" i="3"/>
  <c r="R22" i="3"/>
  <c r="R23" i="3"/>
  <c r="R25" i="3"/>
  <c r="R26" i="3"/>
  <c r="R27" i="3"/>
  <c r="R28" i="3"/>
  <c r="R29" i="3"/>
  <c r="R30" i="3"/>
  <c r="R31" i="3"/>
  <c r="R32" i="3"/>
  <c r="R33" i="3"/>
  <c r="R34" i="3"/>
  <c r="R35" i="3"/>
  <c r="R36" i="3"/>
  <c r="N31" i="1"/>
  <c r="N32" i="1"/>
  <c r="N34" i="1"/>
  <c r="N35" i="1"/>
  <c r="N36" i="1"/>
  <c r="N39" i="1"/>
  <c r="N40" i="1"/>
  <c r="N43" i="1"/>
  <c r="N14" i="1"/>
  <c r="N15" i="1"/>
  <c r="N16" i="1"/>
  <c r="N17" i="1"/>
  <c r="N18" i="1"/>
  <c r="N19" i="1"/>
  <c r="N20" i="1"/>
  <c r="N21" i="1"/>
  <c r="N26" i="1"/>
  <c r="N27" i="1"/>
  <c r="H4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12" i="1"/>
  <c r="F5" i="1"/>
  <c r="F6" i="1"/>
  <c r="F7" i="1"/>
  <c r="F8" i="1"/>
  <c r="K30" i="1"/>
  <c r="G158" i="2"/>
  <c r="I158" i="2"/>
  <c r="J158" i="2"/>
  <c r="K158" i="2"/>
  <c r="L158" i="2"/>
  <c r="M158" i="2"/>
  <c r="N158" i="2"/>
  <c r="P158" i="2"/>
  <c r="Q158" i="2"/>
  <c r="H37" i="3"/>
  <c r="I37" i="3"/>
  <c r="J37" i="3"/>
  <c r="L37" i="3"/>
  <c r="M37" i="3"/>
  <c r="N37" i="3"/>
  <c r="P37" i="3"/>
  <c r="Q37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2" i="2"/>
  <c r="L39" i="1"/>
  <c r="L31" i="1"/>
  <c r="M30" i="1"/>
  <c r="M47" i="1"/>
  <c r="M11" i="1"/>
  <c r="K11" i="1"/>
  <c r="K10" i="1"/>
  <c r="K29" i="1"/>
  <c r="K47" i="1"/>
  <c r="M29" i="1"/>
  <c r="M10" i="1"/>
  <c r="G30" i="1"/>
  <c r="E30" i="1"/>
  <c r="G11" i="1"/>
  <c r="E11" i="1"/>
  <c r="C11" i="1"/>
  <c r="F45" i="1"/>
  <c r="F43" i="1"/>
  <c r="F41" i="1"/>
  <c r="F39" i="1"/>
  <c r="F37" i="1"/>
  <c r="F35" i="1"/>
  <c r="F33" i="1"/>
  <c r="F3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12" i="1"/>
  <c r="H6" i="1"/>
  <c r="H8" i="1"/>
  <c r="D9" i="1"/>
  <c r="H9" i="1"/>
  <c r="E10" i="1"/>
  <c r="G10" i="1"/>
  <c r="E29" i="1"/>
  <c r="E47" i="1"/>
  <c r="F11" i="1"/>
  <c r="G29" i="1"/>
  <c r="H11" i="1"/>
  <c r="G47" i="1"/>
  <c r="K37" i="3"/>
  <c r="R11" i="3"/>
  <c r="W9" i="5"/>
  <c r="W6" i="5"/>
  <c r="W3" i="5"/>
  <c r="W4" i="5"/>
  <c r="W7" i="5"/>
  <c r="W5" i="5"/>
  <c r="G162" i="2"/>
  <c r="H32" i="11" l="1"/>
  <c r="C28" i="4"/>
  <c r="C46" i="4" s="1"/>
  <c r="N23" i="1"/>
  <c r="L23" i="1"/>
  <c r="F46" i="9"/>
  <c r="R29" i="9"/>
  <c r="O29" i="9"/>
  <c r="R10" i="9"/>
  <c r="O10" i="9"/>
  <c r="G9" i="9"/>
  <c r="N8" i="9"/>
  <c r="N9" i="9" s="1"/>
  <c r="R8" i="9"/>
  <c r="C9" i="9"/>
  <c r="B28" i="9"/>
  <c r="B46" i="9" s="1"/>
  <c r="L28" i="9"/>
  <c r="L46" i="9" s="1"/>
  <c r="D28" i="9"/>
  <c r="D46" i="9" s="1"/>
  <c r="O28" i="9"/>
  <c r="K28" i="9"/>
  <c r="K46" i="9" s="1"/>
  <c r="O46" i="9"/>
  <c r="N29" i="9"/>
  <c r="J46" i="9"/>
  <c r="H46" i="9"/>
  <c r="N10" i="9"/>
  <c r="R28" i="9"/>
  <c r="E46" i="9"/>
  <c r="N28" i="9"/>
  <c r="F32" i="1"/>
  <c r="F36" i="1"/>
  <c r="F40" i="1"/>
  <c r="F44" i="1"/>
  <c r="C30" i="1"/>
  <c r="K46" i="4"/>
  <c r="C29" i="1"/>
  <c r="F9" i="1"/>
  <c r="H7" i="1"/>
  <c r="D11" i="1"/>
  <c r="M28" i="4"/>
  <c r="D7" i="1"/>
  <c r="D45" i="1"/>
  <c r="D43" i="1"/>
  <c r="D41" i="1"/>
  <c r="D39" i="1"/>
  <c r="D37" i="1"/>
  <c r="D35" i="1"/>
  <c r="D33" i="1"/>
  <c r="D31" i="1"/>
  <c r="D27" i="1"/>
  <c r="D25" i="1"/>
  <c r="D23" i="1"/>
  <c r="D21" i="1"/>
  <c r="D19" i="1"/>
  <c r="D17" i="1"/>
  <c r="D15" i="1"/>
  <c r="D13" i="1"/>
  <c r="L38" i="1"/>
  <c r="H6" i="11"/>
  <c r="L5" i="11"/>
  <c r="H24" i="11"/>
  <c r="N46" i="1"/>
  <c r="L46" i="1"/>
  <c r="N42" i="1"/>
  <c r="L42" i="1"/>
  <c r="M46" i="4"/>
  <c r="L22" i="1"/>
  <c r="F18" i="11"/>
  <c r="L36" i="11"/>
  <c r="L47" i="11"/>
  <c r="L45" i="11"/>
  <c r="L34" i="11"/>
  <c r="L38" i="11"/>
  <c r="F46" i="11"/>
  <c r="L32" i="11"/>
  <c r="F36" i="11"/>
  <c r="F16" i="11"/>
  <c r="L22" i="11"/>
  <c r="L20" i="11"/>
  <c r="L40" i="11"/>
  <c r="F33" i="11"/>
  <c r="L26" i="11"/>
  <c r="L18" i="11"/>
  <c r="L8" i="11"/>
  <c r="L16" i="11"/>
  <c r="L24" i="11"/>
  <c r="F44" i="11"/>
  <c r="F8" i="11"/>
  <c r="F24" i="11"/>
  <c r="F5" i="11"/>
  <c r="L33" i="11"/>
  <c r="H26" i="11"/>
  <c r="L9" i="11"/>
  <c r="L37" i="11"/>
  <c r="F27" i="11"/>
  <c r="F20" i="11"/>
  <c r="F22" i="11"/>
  <c r="L15" i="11"/>
  <c r="L27" i="11"/>
  <c r="L35" i="11"/>
  <c r="F47" i="11"/>
  <c r="L17" i="11"/>
  <c r="L29" i="11"/>
  <c r="L41" i="11"/>
  <c r="F39" i="11"/>
  <c r="L25" i="11"/>
  <c r="L39" i="11"/>
  <c r="N44" i="1"/>
  <c r="L44" i="1"/>
  <c r="L33" i="1"/>
  <c r="L37" i="1"/>
  <c r="L41" i="1"/>
  <c r="L45" i="1"/>
  <c r="L28" i="4"/>
  <c r="L46" i="4" s="1"/>
  <c r="F28" i="4"/>
  <c r="F46" i="4" s="1"/>
  <c r="N5" i="4"/>
  <c r="I6" i="1" s="1"/>
  <c r="L6" i="1" s="1"/>
  <c r="N29" i="4"/>
  <c r="N12" i="1"/>
  <c r="L12" i="1"/>
  <c r="N24" i="1"/>
  <c r="L24" i="1"/>
  <c r="L28" i="1"/>
  <c r="N28" i="1"/>
  <c r="H39" i="11"/>
  <c r="L46" i="11"/>
  <c r="N10" i="4"/>
  <c r="N8" i="1"/>
  <c r="L8" i="1"/>
  <c r="R158" i="2"/>
  <c r="R37" i="3"/>
  <c r="L7" i="11"/>
  <c r="N43" i="11"/>
  <c r="F15" i="11"/>
  <c r="H34" i="11"/>
  <c r="N34" i="11"/>
  <c r="I30" i="1"/>
  <c r="L30" i="1" s="1"/>
  <c r="N25" i="1"/>
  <c r="L25" i="1"/>
  <c r="L44" i="11"/>
  <c r="N4" i="1"/>
  <c r="L4" i="1"/>
  <c r="N13" i="1"/>
  <c r="L13" i="1"/>
  <c r="J28" i="4"/>
  <c r="J46" i="4" s="1"/>
  <c r="I11" i="1"/>
  <c r="N11" i="1" s="1"/>
  <c r="J20" i="1"/>
  <c r="J32" i="1"/>
  <c r="J38" i="1"/>
  <c r="J44" i="1"/>
  <c r="J8" i="1"/>
  <c r="J13" i="1"/>
  <c r="J15" i="1"/>
  <c r="J17" i="1"/>
  <c r="J19" i="1"/>
  <c r="J21" i="1"/>
  <c r="J23" i="1"/>
  <c r="J25" i="1"/>
  <c r="J27" i="1"/>
  <c r="J31" i="1"/>
  <c r="J33" i="1"/>
  <c r="J35" i="1"/>
  <c r="J37" i="1"/>
  <c r="J39" i="1"/>
  <c r="J41" i="1"/>
  <c r="J43" i="1"/>
  <c r="J45" i="1"/>
  <c r="J7" i="1"/>
  <c r="L7" i="1"/>
  <c r="J12" i="1"/>
  <c r="J14" i="1"/>
  <c r="J16" i="1"/>
  <c r="J18" i="1"/>
  <c r="J22" i="1"/>
  <c r="J24" i="1"/>
  <c r="J26" i="1"/>
  <c r="J28" i="1"/>
  <c r="J34" i="1"/>
  <c r="J36" i="1"/>
  <c r="J40" i="1"/>
  <c r="J42" i="1"/>
  <c r="J46" i="1"/>
  <c r="N7" i="1"/>
  <c r="N8" i="4"/>
  <c r="J38" i="11"/>
  <c r="J22" i="11"/>
  <c r="N39" i="11"/>
  <c r="N45" i="11"/>
  <c r="K10" i="11"/>
  <c r="K11" i="11" s="1"/>
  <c r="J24" i="11"/>
  <c r="F32" i="11"/>
  <c r="H7" i="11"/>
  <c r="N47" i="11"/>
  <c r="J35" i="11"/>
  <c r="N9" i="11"/>
  <c r="N26" i="11"/>
  <c r="J46" i="11"/>
  <c r="J41" i="11"/>
  <c r="J32" i="11"/>
  <c r="D22" i="11"/>
  <c r="D43" i="11"/>
  <c r="G10" i="11"/>
  <c r="G11" i="11" s="1"/>
  <c r="N25" i="11"/>
  <c r="H29" i="11"/>
  <c r="N7" i="11"/>
  <c r="D25" i="11"/>
  <c r="J29" i="11"/>
  <c r="I12" i="11"/>
  <c r="J12" i="11" s="1"/>
  <c r="J40" i="11"/>
  <c r="J42" i="11"/>
  <c r="N5" i="11"/>
  <c r="N32" i="11"/>
  <c r="N46" i="11"/>
  <c r="D19" i="11"/>
  <c r="J44" i="11"/>
  <c r="J36" i="11"/>
  <c r="J14" i="11"/>
  <c r="D44" i="11"/>
  <c r="H9" i="11"/>
  <c r="D15" i="11"/>
  <c r="F17" i="11"/>
  <c r="F19" i="11"/>
  <c r="F21" i="11"/>
  <c r="H23" i="11"/>
  <c r="F25" i="11"/>
  <c r="G31" i="11"/>
  <c r="I10" i="11"/>
  <c r="J10" i="11" s="1"/>
  <c r="I31" i="11"/>
  <c r="J31" i="11" s="1"/>
  <c r="M10" i="11"/>
  <c r="D18" i="11"/>
  <c r="J21" i="11"/>
  <c r="J25" i="11"/>
  <c r="J27" i="11"/>
  <c r="J37" i="11"/>
  <c r="J39" i="11"/>
  <c r="J45" i="11"/>
  <c r="J47" i="11"/>
  <c r="D28" i="11"/>
  <c r="D38" i="11"/>
  <c r="D42" i="11"/>
  <c r="D46" i="11"/>
  <c r="H43" i="11"/>
  <c r="H47" i="11"/>
  <c r="N37" i="11"/>
  <c r="D41" i="11"/>
  <c r="D29" i="11"/>
  <c r="D21" i="11"/>
  <c r="D36" i="11"/>
  <c r="D32" i="11"/>
  <c r="D24" i="11"/>
  <c r="D47" i="11"/>
  <c r="F13" i="11"/>
  <c r="F23" i="11"/>
  <c r="F29" i="11"/>
  <c r="E31" i="11"/>
  <c r="F45" i="11"/>
  <c r="H19" i="11"/>
  <c r="D34" i="11"/>
  <c r="D40" i="11"/>
  <c r="D39" i="11"/>
  <c r="J33" i="11"/>
  <c r="D33" i="11"/>
  <c r="D26" i="11"/>
  <c r="D23" i="11"/>
  <c r="L21" i="11"/>
  <c r="D20" i="11"/>
  <c r="D17" i="11"/>
  <c r="D16" i="11"/>
  <c r="D13" i="11"/>
  <c r="H8" i="11"/>
  <c r="C31" i="11"/>
  <c r="D27" i="11"/>
  <c r="D8" i="11"/>
  <c r="F7" i="11"/>
  <c r="F41" i="11"/>
  <c r="F43" i="11"/>
  <c r="E10" i="11"/>
  <c r="F6" i="11"/>
  <c r="E12" i="11"/>
  <c r="F26" i="11"/>
  <c r="F38" i="11"/>
  <c r="H25" i="11"/>
  <c r="H46" i="11"/>
  <c r="K31" i="11"/>
  <c r="N14" i="11"/>
  <c r="N29" i="11"/>
  <c r="N41" i="11"/>
  <c r="F14" i="11"/>
  <c r="D14" i="11"/>
  <c r="H42" i="11"/>
  <c r="F42" i="11"/>
  <c r="N13" i="11"/>
  <c r="L13" i="11"/>
  <c r="N19" i="11"/>
  <c r="L19" i="11"/>
  <c r="L23" i="11"/>
  <c r="N23" i="11"/>
  <c r="J19" i="11"/>
  <c r="J17" i="11"/>
  <c r="J15" i="11"/>
  <c r="J23" i="11"/>
  <c r="J13" i="11"/>
  <c r="F34" i="11"/>
  <c r="H5" i="11"/>
  <c r="M12" i="11"/>
  <c r="F9" i="11"/>
  <c r="C10" i="11"/>
  <c r="D9" i="11"/>
  <c r="C12" i="11"/>
  <c r="H13" i="11"/>
  <c r="F35" i="11"/>
  <c r="D35" i="11"/>
  <c r="F37" i="11"/>
  <c r="D37" i="11"/>
  <c r="H45" i="11"/>
  <c r="D45" i="11"/>
  <c r="G12" i="11"/>
  <c r="H14" i="11"/>
  <c r="N8" i="11"/>
  <c r="J43" i="11"/>
  <c r="J8" i="11"/>
  <c r="J9" i="11"/>
  <c r="J16" i="11"/>
  <c r="J18" i="11"/>
  <c r="J20" i="11"/>
  <c r="J26" i="11"/>
  <c r="J28" i="11"/>
  <c r="J34" i="11"/>
  <c r="L42" i="11"/>
  <c r="N42" i="11"/>
  <c r="K12" i="11"/>
  <c r="L14" i="11"/>
  <c r="N24" i="11"/>
  <c r="M31" i="11"/>
  <c r="N6" i="1" l="1"/>
  <c r="R46" i="9"/>
  <c r="N46" i="9"/>
  <c r="D30" i="1"/>
  <c r="F30" i="1"/>
  <c r="H30" i="1"/>
  <c r="C47" i="1"/>
  <c r="F29" i="1"/>
  <c r="H29" i="1"/>
  <c r="D29" i="1"/>
  <c r="R39" i="3"/>
  <c r="J30" i="1"/>
  <c r="R160" i="2"/>
  <c r="H12" i="11"/>
  <c r="N46" i="4"/>
  <c r="I6" i="11"/>
  <c r="N4" i="4"/>
  <c r="I5" i="1" s="1"/>
  <c r="N10" i="11"/>
  <c r="N30" i="1"/>
  <c r="L11" i="1"/>
  <c r="J11" i="1"/>
  <c r="N28" i="4"/>
  <c r="I9" i="1"/>
  <c r="N9" i="4"/>
  <c r="N31" i="11"/>
  <c r="L31" i="11"/>
  <c r="I30" i="11"/>
  <c r="J30" i="11" s="1"/>
  <c r="M11" i="11"/>
  <c r="L10" i="11"/>
  <c r="I11" i="11"/>
  <c r="F31" i="11"/>
  <c r="D31" i="11"/>
  <c r="E30" i="11"/>
  <c r="E48" i="11" s="1"/>
  <c r="E11" i="11"/>
  <c r="H31" i="11"/>
  <c r="K30" i="11"/>
  <c r="L12" i="11"/>
  <c r="F12" i="11"/>
  <c r="D12" i="11"/>
  <c r="F10" i="11"/>
  <c r="C30" i="11"/>
  <c r="D10" i="11"/>
  <c r="H10" i="11"/>
  <c r="C11" i="11"/>
  <c r="N12" i="11"/>
  <c r="M30" i="11"/>
  <c r="G30" i="11"/>
  <c r="D47" i="1" l="1"/>
  <c r="F47" i="1"/>
  <c r="H47" i="1"/>
  <c r="I48" i="11"/>
  <c r="J48" i="11" s="1"/>
  <c r="L5" i="1"/>
  <c r="N5" i="1"/>
  <c r="L6" i="11"/>
  <c r="N6" i="11"/>
  <c r="J9" i="1"/>
  <c r="L9" i="1"/>
  <c r="I29" i="1"/>
  <c r="I10" i="1"/>
  <c r="N9" i="1"/>
  <c r="M48" i="11"/>
  <c r="N30" i="11"/>
  <c r="K48" i="11"/>
  <c r="L30" i="11"/>
  <c r="G48" i="11"/>
  <c r="H30" i="11"/>
  <c r="F30" i="11"/>
  <c r="D30" i="11"/>
  <c r="C48" i="11"/>
  <c r="L48" i="11" l="1"/>
  <c r="N48" i="11"/>
  <c r="L29" i="1"/>
  <c r="J29" i="1"/>
  <c r="I47" i="1"/>
  <c r="N29" i="1"/>
  <c r="D48" i="11"/>
  <c r="F48" i="11"/>
  <c r="H48" i="11"/>
  <c r="L47" i="1" l="1"/>
  <c r="N47" i="1"/>
  <c r="J47" i="1"/>
</calcChain>
</file>

<file path=xl/comments1.xml><?xml version="1.0" encoding="utf-8"?>
<comments xmlns="http://schemas.openxmlformats.org/spreadsheetml/2006/main">
  <authors>
    <author>胡徵昱</author>
  </authors>
  <commentList>
    <comment ref="J12" authorId="0" shape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补1-9月个人领用物料费用1.57万</t>
        </r>
      </text>
    </comment>
    <comment ref="K12" authorId="0" shape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279元是物料领用9992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1157.3元是物料领用9992</t>
        </r>
      </text>
    </comment>
    <comment ref="M12" authorId="0" shape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155.3元是物料领用9993</t>
        </r>
      </text>
    </comment>
    <comment ref="D21" authorId="0" shape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其中有54万离职补偿金</t>
        </r>
      </text>
    </comment>
    <comment ref="E21" authorId="0" shape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其中有20万离职补偿金</t>
        </r>
      </text>
    </comment>
    <comment ref="G21" authorId="0" shape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工资录入规则变化当月录入了2个月工资（5月实际发生和6月暂估工资），对后期无其他影响</t>
        </r>
      </text>
    </comment>
    <comment ref="J23" authorId="0" shape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今年BW运费分摊报表出现问题，9月整体调减，导致金额较小</t>
        </r>
      </text>
    </comment>
  </commentList>
</comments>
</file>

<file path=xl/comments2.xml><?xml version="1.0" encoding="utf-8"?>
<comments xmlns="http://schemas.openxmlformats.org/spreadsheetml/2006/main">
  <authors>
    <author>胡徵昱</author>
  </authors>
  <commentLis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年度预算为607.436万，后祝总在3月5日修改，差额会在后期补充，最终形成回款合计总额3000万</t>
        </r>
      </text>
    </comment>
    <comment ref="N5" authorId="0" shape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年度预算为3000万，后祝总在3月5日修改了3月回款，差额会在后期补充，最终形成回款合计总额3000万</t>
        </r>
      </text>
    </comment>
  </commentList>
</comments>
</file>

<file path=xl/comments3.xml><?xml version="1.0" encoding="utf-8"?>
<comments xmlns="http://schemas.openxmlformats.org/spreadsheetml/2006/main">
  <authors>
    <author>李娟</author>
  </authors>
  <commentLis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</commentList>
</comments>
</file>

<file path=xl/comments4.xml><?xml version="1.0" encoding="utf-8"?>
<comments xmlns="http://schemas.openxmlformats.org/spreadsheetml/2006/main">
  <authors>
    <author>李娟</author>
  </authors>
  <commentList>
    <comment ref="A12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</commentList>
</comments>
</file>

<file path=xl/sharedStrings.xml><?xml version="1.0" encoding="utf-8"?>
<sst xmlns="http://schemas.openxmlformats.org/spreadsheetml/2006/main" count="2242" uniqueCount="567">
  <si>
    <t>二、公司零售额</t>
  </si>
  <si>
    <t>销售利润</t>
  </si>
  <si>
    <t>当月实际</t>
    <phoneticPr fontId="2" type="noConversion"/>
  </si>
  <si>
    <t>去同</t>
    <phoneticPr fontId="2" type="noConversion"/>
  </si>
  <si>
    <t>增长率</t>
    <phoneticPr fontId="2" type="noConversion"/>
  </si>
  <si>
    <t>三、回款</t>
  </si>
  <si>
    <t>六、销售毛利</t>
  </si>
  <si>
    <t>销售毛利率</t>
  </si>
  <si>
    <t>七、销售费用-渠道费用</t>
  </si>
  <si>
    <t>渠道利润</t>
  </si>
  <si>
    <t>渠道</t>
    <phoneticPr fontId="2" type="noConversion"/>
  </si>
  <si>
    <t>项目</t>
    <phoneticPr fontId="2" type="noConversion"/>
  </si>
  <si>
    <t>仓储物流费</t>
  </si>
  <si>
    <t>促销费</t>
  </si>
  <si>
    <t>广告费</t>
  </si>
  <si>
    <t>培训和会议</t>
  </si>
  <si>
    <t>渠道发展费</t>
  </si>
  <si>
    <t>渠道建设费</t>
  </si>
  <si>
    <t>物料配赠费用</t>
  </si>
  <si>
    <t>CRM费用</t>
  </si>
  <si>
    <t>信息系统维护费</t>
  </si>
  <si>
    <t>销售费用-市场费用</t>
  </si>
  <si>
    <t>公关费</t>
  </si>
  <si>
    <t>广告劳务费</t>
  </si>
  <si>
    <t>广告制作费</t>
  </si>
  <si>
    <t>长期待摊、折旧费用</t>
  </si>
  <si>
    <t>折扣折让、货补费用</t>
  </si>
  <si>
    <t>创新营销费</t>
  </si>
  <si>
    <t>创意咨询服务</t>
  </si>
  <si>
    <t>市场调研费</t>
  </si>
  <si>
    <t>人资费</t>
  </si>
  <si>
    <t>办公费</t>
  </si>
  <si>
    <t>促销费</t>
    <phoneticPr fontId="2" type="noConversion"/>
  </si>
  <si>
    <t>四、营业收入</t>
    <phoneticPr fontId="2" type="noConversion"/>
  </si>
  <si>
    <t>五、营业成本</t>
    <phoneticPr fontId="2" type="noConversion"/>
  </si>
  <si>
    <t>一、零售原价金额</t>
    <phoneticPr fontId="2" type="noConversion"/>
  </si>
  <si>
    <t>BA劳务费用</t>
    <phoneticPr fontId="2" type="noConversion"/>
  </si>
  <si>
    <t>人资费（减掉BA劳务费）</t>
    <phoneticPr fontId="2" type="noConversion"/>
  </si>
  <si>
    <t>市场秩序维护费</t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</si>
  <si>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</si>
  <si>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</si>
  <si>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</si>
  <si>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</si>
  <si>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</si>
  <si>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</si>
  <si>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</si>
  <si>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</si>
  <si>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</si>
  <si>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</si>
  <si>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</si>
  <si>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</si>
  <si>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13、仓储物流费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</si>
  <si>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</si>
  <si>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</si>
  <si>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</si>
  <si>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</si>
  <si>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</si>
  <si>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</si>
  <si>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</si>
  <si>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</si>
  <si>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</si>
  <si>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7、公关费</t>
  </si>
  <si>
    <t>8、市场调研费</t>
  </si>
  <si>
    <t>9、促销费</t>
  </si>
  <si>
    <t>10、渠道建设费</t>
  </si>
  <si>
    <t>11、人资费</t>
  </si>
  <si>
    <t>16、办公费</t>
  </si>
  <si>
    <t>累计实际</t>
    <phoneticPr fontId="2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</si>
  <si>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</si>
  <si>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</si>
  <si>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</si>
  <si>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</si>
  <si>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</si>
  <si>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</si>
  <si>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</si>
  <si>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</si>
  <si>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</si>
  <si>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</si>
  <si>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</si>
  <si>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</si>
  <si>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电视</t>
  </si>
  <si>
    <t>广告费-电视-全国性电视</t>
  </si>
  <si>
    <t>CCTV、各省卫视、凤凰卫视</t>
  </si>
  <si>
    <t>广告费-电视-地方性电视</t>
  </si>
  <si>
    <t>省级、市级、县级和企业等地方电视台</t>
  </si>
  <si>
    <t>广告费-电视-OTV</t>
  </si>
  <si>
    <t>在网络同步播出的电视剧、电视综艺节目的硬广和赞助</t>
  </si>
  <si>
    <t>广告费-电视-机顶盒</t>
  </si>
  <si>
    <t>纸媒</t>
  </si>
  <si>
    <t>含杂志、报纸、DM等媒体的纸质版及这些纸媒的网络版的硬广和软广，软广指付费的选题、测评、专题、活动赞助等</t>
  </si>
  <si>
    <t>网络广告</t>
  </si>
  <si>
    <t>广告费-网络广告-搜索引擎</t>
  </si>
  <si>
    <t>广告费-新媒体-网页广告</t>
  </si>
  <si>
    <t>数字营销</t>
  </si>
  <si>
    <t>广告费-数字营销-社交媒体</t>
  </si>
  <si>
    <t>户外</t>
  </si>
  <si>
    <t>广告费-户外-户外</t>
  </si>
  <si>
    <t>广告费-户外-候车厅广告</t>
  </si>
  <si>
    <t>广告费-户外-交通工具</t>
  </si>
  <si>
    <t>内容植入</t>
  </si>
  <si>
    <t>广告费-内容植入-网络自制内容植入</t>
  </si>
  <si>
    <t>广告费-户外-影院</t>
  </si>
  <si>
    <t>在影院出入口、影院内投入的所有形式的广告和电影开场前投视频广告</t>
  </si>
  <si>
    <t>广告费-内容植入-文体娱乐植入</t>
  </si>
  <si>
    <t>广播</t>
  </si>
  <si>
    <t>广告费-广播</t>
  </si>
  <si>
    <t>广告费-内容植入-影视植入</t>
  </si>
  <si>
    <t>咨询服务</t>
  </si>
  <si>
    <t>广告费-咨询服务-广告监测费用</t>
  </si>
  <si>
    <t>自媒体</t>
  </si>
  <si>
    <t>（禁用）数字营销-自媒体-官网</t>
  </si>
  <si>
    <t>（禁用）数字营销-自媒体-微博、微信</t>
  </si>
  <si>
    <t>数字营销-数字营销推广</t>
  </si>
  <si>
    <t>线上(o2o, 二维码, mini-site, 口碑传播、社会化媒体、游戏、电商钻展、电商直通车等)</t>
  </si>
  <si>
    <t>电视广告制作</t>
  </si>
  <si>
    <t>广告制作费 -电视广告制作</t>
  </si>
  <si>
    <t>平面广告制作</t>
  </si>
  <si>
    <t>广告制作费 -平面广告制作</t>
  </si>
  <si>
    <t>视频广告制作</t>
  </si>
  <si>
    <t>广告制作费-视频广告制作</t>
  </si>
  <si>
    <t>代言劳务</t>
  </si>
  <si>
    <t>广告劳务费-代言劳务</t>
  </si>
  <si>
    <t>非代言劳务</t>
  </si>
  <si>
    <t>广告劳务费-非代言劳务</t>
  </si>
  <si>
    <t>外购赠品</t>
  </si>
  <si>
    <t>CRM费用-外购赠品</t>
  </si>
  <si>
    <t>CRM费用用于归集CRM部门费用数据，CRM部门作为公司产品面向会员的推广部门，会外购部分物品，用于会员活动，一般用于VIP生日礼</t>
  </si>
  <si>
    <t>自产赠品</t>
  </si>
  <si>
    <t>CRM费用-自产赠品</t>
  </si>
  <si>
    <t>CRM费用用于归集CRM部门费用数据，CRM部门作为公司产品面向会员的推广部门，会选取公司自产的产品，用于会员活动，一般用于VIP生日礼</t>
  </si>
  <si>
    <t>宣传物料</t>
  </si>
  <si>
    <t>CRM费用-宣传物料</t>
  </si>
  <si>
    <t>CRM费用用于归集CRM部门费用数据，CRM部门作为公司产品面向会员的推广部门，会印制部分宣传物料，用于会员活动，比如POP会员推广宣传单页</t>
  </si>
  <si>
    <t>会员活动</t>
  </si>
  <si>
    <t>CRM费用-会员活动</t>
  </si>
  <si>
    <t>会员推广</t>
  </si>
  <si>
    <t>CRM费用-会员推广</t>
  </si>
  <si>
    <t>会员推广相关费用</t>
  </si>
  <si>
    <t>系统维护费</t>
  </si>
  <si>
    <t>CRM费用-系统维护费</t>
  </si>
  <si>
    <t>平台开发、数据分析、数据维护、设备仪器购置费、咨询服务费、短信费、400平台管理费</t>
  </si>
  <si>
    <t>过敏核销</t>
  </si>
  <si>
    <t>CRM费用-过敏核销</t>
  </si>
  <si>
    <t xml:space="preserve">顾客过敏，公司承担的相应费用。CRM部门负责汇总提交财务，费用归属400集团客服部。
</t>
  </si>
  <si>
    <t>日常公关</t>
  </si>
  <si>
    <t>公关费-日常公关</t>
  </si>
  <si>
    <t>赞助费</t>
  </si>
  <si>
    <t>公关费-赞助费</t>
  </si>
  <si>
    <t>公关活动</t>
  </si>
  <si>
    <t>公关费-公关活动</t>
  </si>
  <si>
    <t>内容合作与授权</t>
  </si>
  <si>
    <t>创新营销费-内容合作与授权</t>
  </si>
  <si>
    <t>调研费</t>
  </si>
  <si>
    <t>调研费-市场调研费</t>
  </si>
  <si>
    <t>市场调研费用</t>
  </si>
  <si>
    <t>数据购买与分析</t>
  </si>
  <si>
    <t>调研费-数据购买与分析</t>
  </si>
  <si>
    <t>标杆样品采购费用</t>
  </si>
  <si>
    <t>促销活动费</t>
  </si>
  <si>
    <t>促销费-促销活动费-促销道具设计费</t>
  </si>
  <si>
    <t>促销道具设计费</t>
  </si>
  <si>
    <t>促销费-促销活动费-制作费</t>
  </si>
  <si>
    <t>促销道具制作费</t>
  </si>
  <si>
    <t>促销费-促销活动费-搭建制作费</t>
  </si>
  <si>
    <t>会场搭建制作费</t>
  </si>
  <si>
    <t>促销费-促销活动费-运费</t>
  </si>
  <si>
    <t>会场搭建设备及器材 运费</t>
  </si>
  <si>
    <t>促销费-促销活动费-场租费</t>
  </si>
  <si>
    <t>会场场地租赁费用等</t>
  </si>
  <si>
    <t>促销费-促销活动费-劳务费</t>
  </si>
  <si>
    <t>会场相关人员费用</t>
  </si>
  <si>
    <t>促销费-促销活动费-策划创意费 </t>
  </si>
  <si>
    <t>会场活动策划费</t>
  </si>
  <si>
    <t>促销费-促销活动费-杂费</t>
  </si>
  <si>
    <t>活动杂费等其他费用</t>
  </si>
  <si>
    <t>促销费-促销活动费-促销支持费</t>
  </si>
  <si>
    <t>促销活动相关支持费用</t>
  </si>
  <si>
    <t>促销费-物料配赠费用-外购赠品</t>
  </si>
  <si>
    <t>外购赠品（不含会员礼品）</t>
  </si>
  <si>
    <t>促销费-物料配赠费用-产成品-非商品非试用装</t>
  </si>
  <si>
    <t>自产的用于赠送给消费者（含会员）的袋装、小样、中样、小包装、类产品等</t>
  </si>
  <si>
    <t>促销费-物料配赠费用-销售物料</t>
  </si>
  <si>
    <t>单页、海报、折页、展架、空礼盒、手提袋</t>
  </si>
  <si>
    <t>促销费-物料配赠费用-产成品-试用装</t>
  </si>
  <si>
    <t>柜台陈列试用产品</t>
  </si>
  <si>
    <t>促销费-物料配赠费用-道具</t>
  </si>
  <si>
    <t>促销费-物料配赠费用-销售员工物料</t>
  </si>
  <si>
    <t>折扣折让费用</t>
  </si>
  <si>
    <t>促销费-折扣折让费用</t>
  </si>
  <si>
    <t>促销费-折扣折让费用-产成品-商品</t>
  </si>
  <si>
    <t>促销费-促销活动费-执行管理费</t>
  </si>
  <si>
    <t>活动管理服务费用等</t>
  </si>
  <si>
    <t>劳务费</t>
  </si>
  <si>
    <t>人资费-劳务费-BA/BC劳务费</t>
  </si>
  <si>
    <t>BA/BC工资（底薪）、社保（五险一金）、奖金、企业福利费、管理费（外服）</t>
  </si>
  <si>
    <t>人资费-劳务费-其他劳务费</t>
  </si>
  <si>
    <t>其他劳务人员费用</t>
  </si>
  <si>
    <t>人员薪酬</t>
  </si>
  <si>
    <t>人资费-人员薪酬-工资</t>
  </si>
  <si>
    <t>集团、上分、工厂工资（底薪）+提成</t>
  </si>
  <si>
    <t>人资费-人员薪酬-津贴</t>
  </si>
  <si>
    <t>集团、上分、工厂津贴费用</t>
  </si>
  <si>
    <t>人资费-人员薪酬-奖金</t>
  </si>
  <si>
    <t>集团、上分、工厂奖金费用</t>
  </si>
  <si>
    <t>人资费-人员薪酬-社保</t>
  </si>
  <si>
    <t>集团、上分、工厂社保费用</t>
  </si>
  <si>
    <t>人资费-人员薪酬-公积金</t>
  </si>
  <si>
    <t>集团、上分、工厂公积金费用</t>
  </si>
  <si>
    <t>人资费-人员薪酬-福利费</t>
  </si>
  <si>
    <t>人资部门给予员工的福利，比如：每两个月的福利、过年过节的给员工的礼物，员工婚礼、生育、生病探望费，康乐活动费。餐厅宿舍维修费用放在行政部</t>
  </si>
  <si>
    <t>人资费-人员薪酬-工会经费</t>
  </si>
  <si>
    <t>工会经费费用</t>
  </si>
  <si>
    <t>人资费-人员薪酬-补偿金</t>
  </si>
  <si>
    <t>员工补偿金</t>
  </si>
  <si>
    <t>人资费-人员薪酬-管理费</t>
  </si>
  <si>
    <t>管理服务费</t>
  </si>
  <si>
    <t>人资费-人员薪酬-福利费餐费</t>
  </si>
  <si>
    <t>招聘费</t>
  </si>
  <si>
    <t>人资费-招聘费</t>
  </si>
  <si>
    <t>人资招聘时发生的所有费用（车费、餐费、招聘用广告等）</t>
  </si>
  <si>
    <t>柜台设计制作费</t>
  </si>
  <si>
    <t>渠道建设费-柜台设计制作费</t>
  </si>
  <si>
    <t>柜台设计费、柜台制作费</t>
  </si>
  <si>
    <t>终端视觉陈列费</t>
  </si>
  <si>
    <t>渠道建设费-终端视觉陈列费</t>
  </si>
  <si>
    <t>灯片制作费、灯片更换人工费、陈列道具制作费、陈列道具安装费、维修费</t>
  </si>
  <si>
    <t>进场费</t>
  </si>
  <si>
    <t>渠道建设费-进场费</t>
  </si>
  <si>
    <t>新品条码费、进场费、进场业务招待费</t>
  </si>
  <si>
    <t>装修费</t>
  </si>
  <si>
    <t>渠道建设费-装修费</t>
  </si>
  <si>
    <t>单品牌专卖店相关装修费</t>
  </si>
  <si>
    <t>平台佣金</t>
  </si>
  <si>
    <t>渠道建设费-平台佣金-淘宝客佣金</t>
  </si>
  <si>
    <t>淘宝客佣金</t>
  </si>
  <si>
    <t>渠道建设费-平台佣金-信用卡服务费</t>
  </si>
  <si>
    <t>信用卡服务费</t>
  </si>
  <si>
    <t>渠道建设费-平台佣金-积分返利</t>
  </si>
  <si>
    <t>积分返利</t>
  </si>
  <si>
    <t>渠道建设费-平台佣金-品牌佣金</t>
  </si>
  <si>
    <t>品牌佣金</t>
  </si>
  <si>
    <t>渠道建设费-平台佣金-聚划算佣金</t>
  </si>
  <si>
    <t>聚划算佣金</t>
  </si>
  <si>
    <t>技术服务费</t>
  </si>
  <si>
    <t>渠道建设费-技术服务费-软件购买</t>
  </si>
  <si>
    <t>软件购买、程序开发</t>
  </si>
  <si>
    <t>渠道建设费-技术服务费-技术支持费</t>
  </si>
  <si>
    <t>技术开发及服务费</t>
  </si>
  <si>
    <t>竞品费</t>
  </si>
  <si>
    <t>渠道建设费-竞品费</t>
  </si>
  <si>
    <t>竞品采购费用</t>
  </si>
  <si>
    <t>营销推广费</t>
  </si>
  <si>
    <t>渠道建设费-营销推广费</t>
  </si>
  <si>
    <t>市场推广费，如旗舰店直通车及品牌团费用等</t>
  </si>
  <si>
    <t>商超维护费</t>
  </si>
  <si>
    <t>渠道发展费-商超维护费</t>
  </si>
  <si>
    <t>商超管理费、老店改造费、理赔金、促销违约金、促销活动费、新店宣传费、商业发展基金、彩页制作、买单分摊</t>
  </si>
  <si>
    <t>渠道陈列费</t>
  </si>
  <si>
    <t>渠道发展费-渠道陈列费</t>
  </si>
  <si>
    <t>TG（堆头）、DM（直邮）、陈列区装修</t>
  </si>
  <si>
    <t>节庆费</t>
  </si>
  <si>
    <t>渠道发展费-节庆费</t>
  </si>
  <si>
    <t>周年庆、节日活动赞助</t>
  </si>
  <si>
    <t>信息系统服务费</t>
  </si>
  <si>
    <t>渠道发展费-信息系统服务费</t>
  </si>
  <si>
    <t>技术改造费、平台扣点</t>
  </si>
  <si>
    <t>促销违约金</t>
  </si>
  <si>
    <t>渠道发展费-促销违约金</t>
  </si>
  <si>
    <t>违约罚款，如延误送货罚款</t>
  </si>
  <si>
    <t>配送服务费</t>
  </si>
  <si>
    <t>渠道发展费-配送服务费</t>
  </si>
  <si>
    <t>物流费用</t>
  </si>
  <si>
    <t>店铺租金</t>
  </si>
  <si>
    <t>渠道发展费-店铺租金</t>
  </si>
  <si>
    <t>单品牌专卖店租赁费</t>
  </si>
  <si>
    <t>会议费</t>
  </si>
  <si>
    <t>培训和会议-会议费</t>
  </si>
  <si>
    <t>各项会议费用（差旅费、场地费、餐费、会议筹备费等）</t>
  </si>
  <si>
    <t>培训费</t>
  </si>
  <si>
    <t>培训和会议-培训费</t>
  </si>
  <si>
    <t>各项培训费用（差旅费、场地费、餐费、培训筹备费用）</t>
  </si>
  <si>
    <t>仓储费</t>
  </si>
  <si>
    <t>仓储物流费 -仓储费</t>
  </si>
  <si>
    <t>仓库租赁费，各类存货存放地。</t>
  </si>
  <si>
    <t>物流费</t>
  </si>
  <si>
    <t>仓储物流费-物流费</t>
  </si>
  <si>
    <t>物流运输费用，包含运输货物及柜台费用。运输货物应以系统内每年核定的运费单价*计费重量+保险费+送货费计算，柜台含运输费+当地城市配送+其他物流费用（包装箱来回运输、押车费、当地存储费、多地点提货）</t>
  </si>
  <si>
    <t>包装材料</t>
  </si>
  <si>
    <t>仓储物流费-包装材料</t>
  </si>
  <si>
    <t>碳带、束带等非存货化管理的包材费用</t>
  </si>
  <si>
    <t>物业管理费</t>
  </si>
  <si>
    <t>仓储物流费 -物业管理费</t>
  </si>
  <si>
    <t>外租仓库水、电费用</t>
  </si>
  <si>
    <t>长期待摊费用摊销</t>
  </si>
  <si>
    <t>柜台摊销</t>
  </si>
  <si>
    <t>折旧费</t>
  </si>
  <si>
    <t>房屋建筑</t>
  </si>
  <si>
    <t>折旧费-房屋建筑</t>
  </si>
  <si>
    <t>房屋建筑折旧费</t>
  </si>
  <si>
    <t>机器设备</t>
  </si>
  <si>
    <t>折旧费-机器设备</t>
  </si>
  <si>
    <t>机器设备折旧费</t>
  </si>
  <si>
    <t>运输设备</t>
  </si>
  <si>
    <t>折旧费-运输设备</t>
  </si>
  <si>
    <t>运输设备折旧费</t>
  </si>
  <si>
    <t>电子设备</t>
  </si>
  <si>
    <t>折旧费-电子设备</t>
  </si>
  <si>
    <t>电子设备折旧费</t>
  </si>
  <si>
    <t>办公设备</t>
  </si>
  <si>
    <t>折旧费-办公设备</t>
  </si>
  <si>
    <t>办公设备折旧费</t>
  </si>
  <si>
    <t>模具</t>
  </si>
  <si>
    <t>折旧费-模具</t>
  </si>
  <si>
    <t>模具折旧费</t>
  </si>
  <si>
    <t>无形资产摊销</t>
  </si>
  <si>
    <t>土地</t>
  </si>
  <si>
    <t>无形资产摊销-土地</t>
  </si>
  <si>
    <t>土地摊销</t>
  </si>
  <si>
    <t>商标</t>
  </si>
  <si>
    <t>无形资产摊销-商标</t>
  </si>
  <si>
    <t>商标摊销</t>
  </si>
  <si>
    <t>软件</t>
  </si>
  <si>
    <t>无形资产摊销-软件</t>
  </si>
  <si>
    <t>软件摊销</t>
  </si>
  <si>
    <t>专利权</t>
  </si>
  <si>
    <t>无形资产摊销-专利权</t>
  </si>
  <si>
    <t>专利权摊销</t>
  </si>
  <si>
    <t>非专利技术</t>
  </si>
  <si>
    <t>无形资产摊销-非专利技术</t>
  </si>
  <si>
    <t>非专利技术摊销</t>
  </si>
  <si>
    <t>特许权</t>
  </si>
  <si>
    <t>无形资产摊销-特许权</t>
  </si>
  <si>
    <t>特许权摊销</t>
  </si>
  <si>
    <t>日常费用</t>
  </si>
  <si>
    <t>信息系统维护费-日常费用-耗材</t>
  </si>
  <si>
    <t>信息系统耗材费用</t>
  </si>
  <si>
    <t>信息系统维护费-日常费用-信息系统维保</t>
  </si>
  <si>
    <t>信息系统维护费用</t>
  </si>
  <si>
    <t>设备设施采购费</t>
  </si>
  <si>
    <t>信息系统维护费-设备设施采购费</t>
  </si>
  <si>
    <t>项目费用</t>
  </si>
  <si>
    <t>信息系统维护费-项目费用</t>
  </si>
  <si>
    <t>第三方年度咨询服务费用</t>
  </si>
  <si>
    <t>税费</t>
  </si>
  <si>
    <t>河道管理费</t>
  </si>
  <si>
    <t>税费-河道管理费</t>
  </si>
  <si>
    <t>附加税 河道管理费</t>
  </si>
  <si>
    <t>印花税</t>
  </si>
  <si>
    <t>税费-印花税</t>
  </si>
  <si>
    <t>购买印花税费用</t>
  </si>
  <si>
    <t>土地使用税</t>
  </si>
  <si>
    <t>税费-土地使用税</t>
  </si>
  <si>
    <t>房产税</t>
  </si>
  <si>
    <t>税费-房产税</t>
  </si>
  <si>
    <t>车船使用税</t>
  </si>
  <si>
    <t>税费-车船使用税</t>
  </si>
  <si>
    <t>资产盘盈亏</t>
  </si>
  <si>
    <t>产品盘盈亏</t>
  </si>
  <si>
    <t>资产盘盈亏-产品盘盈亏</t>
  </si>
  <si>
    <t>物料盘盈亏</t>
  </si>
  <si>
    <t>资产盘盈亏-物料盘盈亏</t>
  </si>
  <si>
    <t>固定资产盘盈亏</t>
  </si>
  <si>
    <t>资产盘盈亏-固定资产盘盈亏</t>
  </si>
  <si>
    <t>房屋租赁费</t>
  </si>
  <si>
    <t>办公费-办公室使用费-房屋租赁费</t>
  </si>
  <si>
    <t>集团及分公司房租，上海商城及思南公馆房租</t>
  </si>
  <si>
    <t>办公类</t>
  </si>
  <si>
    <t>办公费-杂费-办公费</t>
  </si>
  <si>
    <t>一般的办公用品采购，报刊，低值易耗品的采购（电风扇、钟等）、窗帘安装、扫把、洗衣液、洁厕液、卫生纸、物业工具等。（质量管理用材料费、试剂费用、实验器材费、设为质检耗材）办公用品费。</t>
  </si>
  <si>
    <t>办公费-办公室使用费-手机话费</t>
  </si>
  <si>
    <t>根据集团政策实行报销员工的手机话费</t>
  </si>
  <si>
    <t>办公费-办公室使用费-办公话费（网络费）</t>
  </si>
  <si>
    <t>集团及分公司固定电话及网络费用</t>
  </si>
  <si>
    <t>办公费-杂费-快递费</t>
  </si>
  <si>
    <t>因办公需要用快递形式发出货物货文件产生的运费，前台应登记发货明晰表，各部门签领费用。</t>
  </si>
  <si>
    <t>办公费-杂费-保险费</t>
  </si>
  <si>
    <t>集团员工保险及财产保险等</t>
  </si>
  <si>
    <t>办公费-杂费-杂费</t>
  </si>
  <si>
    <t>保洁费、垃圾清理处置费、虫害防治服务费、下水道清洗费、（环境测评，配电房电试费用放在---安全检测费）。</t>
  </si>
  <si>
    <t>办公费-杂费-会员费</t>
  </si>
  <si>
    <t>会员费，如亚洲论坛会员、工商联会费、商标协会、日用化学品行业会费等</t>
  </si>
  <si>
    <t>办公费-办公室使用费-绿化费</t>
  </si>
  <si>
    <t>厂区及办公区域内的绿化费用</t>
  </si>
  <si>
    <t>办公费-杂费-排污费</t>
  </si>
  <si>
    <t>政府每季度征收的排污费</t>
  </si>
  <si>
    <t>办公费-杂费-工伤</t>
  </si>
  <si>
    <t>员工工作时间或上下班途中受伤治疗所用的医药费用等，涉及保险索赔的，保险公司赔付后冲减此科目。费用由各部门承担。</t>
  </si>
  <si>
    <t>办公费-办公室使用费-警卫消防费</t>
  </si>
  <si>
    <t>消防设备检查费、购买防火设备、消防设备，维修消防设施，进行消防演习等费用，警卫设备、软件新增、维护费用。</t>
  </si>
  <si>
    <t>办公费-杂费-劳动保护费</t>
  </si>
  <si>
    <t>劳动保护支出：如厂服、鞋子、鞋套、防割手套、防护眼镜、购买药品等安全保护用品、职业健康体检</t>
  </si>
  <si>
    <t>差旅费</t>
  </si>
  <si>
    <t>办公费-差旅费</t>
  </si>
  <si>
    <t>本公司职工出差期间发生的费用（本市或外省市出差车费、住宿费等）。</t>
  </si>
  <si>
    <t>巡店费</t>
  </si>
  <si>
    <t>办公费-巡店费</t>
  </si>
  <si>
    <t>市场人员巡店所产生的费用</t>
  </si>
  <si>
    <t>业务招待费</t>
  </si>
  <si>
    <t>办公费-业务招待费</t>
  </si>
  <si>
    <t>招待外部人员的费用</t>
  </si>
  <si>
    <t>车辆费</t>
  </si>
  <si>
    <t>办公费-杂费-车辆保险费</t>
  </si>
  <si>
    <t>车辆保险费及车船税费等</t>
  </si>
  <si>
    <t>办公费-杂费-车辆汽油费</t>
  </si>
  <si>
    <t>车辆汽油费、柴油费</t>
  </si>
  <si>
    <t>办公费-杂费-车辆修理费</t>
  </si>
  <si>
    <t>车辆修理费、保养费，不含叉车修理费用，叉车修理费归为生成设备维修。</t>
  </si>
  <si>
    <t>办公费-杂费-车辆通行停车费、租金</t>
  </si>
  <si>
    <t>车辆通行费用</t>
  </si>
  <si>
    <t>能源消耗</t>
  </si>
  <si>
    <t>办公费-办公室使用费-电费</t>
  </si>
  <si>
    <t>办公场所及工厂电费费用</t>
  </si>
  <si>
    <t>办公费-办公室使用费-水费</t>
  </si>
  <si>
    <t>办公场所及工厂水费费用</t>
  </si>
  <si>
    <t>办公费-办公室使用费-燃气费</t>
  </si>
  <si>
    <t>食堂使用的液化气</t>
  </si>
  <si>
    <t>办公费-办公室使用费-柴油费</t>
  </si>
  <si>
    <t>柴油燃油费、液压车柴油</t>
  </si>
  <si>
    <t>厂房及公用设施修理费</t>
  </si>
  <si>
    <t>办公费-办公室使用费-厂房及公用设施修理费</t>
  </si>
  <si>
    <t>除二期基建外的厂房及公用设施的维修费用（不含水、电、汽设备的维护费、空压机、冷冻机维保）</t>
  </si>
  <si>
    <t>设备修理费</t>
  </si>
  <si>
    <t>办公费-杂费-设备修理费</t>
  </si>
  <si>
    <t>叉车维修、除厂房及公用设施以外的设备维修费用，含水、电、汽设备的维护费、空压机、冷冻机维保</t>
  </si>
  <si>
    <t>无形资产管理费</t>
  </si>
  <si>
    <t>办公费-杂费-无形资产管理费</t>
  </si>
  <si>
    <t>检验费</t>
  </si>
  <si>
    <t>办公费-杂费-检验费</t>
  </si>
  <si>
    <t>样品取样等费用，由系统自动生成。</t>
  </si>
  <si>
    <t>房屋装修费</t>
  </si>
  <si>
    <t>办公费-办公室使用费-房屋装修费</t>
  </si>
  <si>
    <t>安全管理费</t>
  </si>
  <si>
    <t>废物处理费</t>
  </si>
  <si>
    <t>安全管理费-废物处理费</t>
  </si>
  <si>
    <t>安全检测费</t>
  </si>
  <si>
    <t>安全管理费-安全检测费</t>
  </si>
  <si>
    <t>安全物资</t>
  </si>
  <si>
    <t>安全管理费-安全物资</t>
  </si>
  <si>
    <t>防汛物资、黄沙、安全标识、安全钟及安全月活动等安全物资</t>
  </si>
  <si>
    <t>打假、防窜、维权、调查</t>
  </si>
  <si>
    <t>以前年度损益调整</t>
  </si>
  <si>
    <t>二级科目</t>
  </si>
  <si>
    <t>三级科目</t>
  </si>
  <si>
    <t>新总帐科目</t>
  </si>
  <si>
    <t>新会计科目名称</t>
  </si>
  <si>
    <t>iptv、机顶盒、智能盒子、智能电视、有线开机屏和贴片广告</t>
  </si>
  <si>
    <t>广告费-纸媒</t>
  </si>
  <si>
    <t>网络搜索引擎，包括百度、360、搜狗等</t>
  </si>
  <si>
    <t>在门户网站、女垂、企业网站等各类网站页面上投放的平面、动态、视频广告等硬广，不含网综和电视剧贴片</t>
  </si>
  <si>
    <t>含EPR、微信、微博、小红书、抖音、火山、西瓜、知乎、网站发稿、KOL推荐等硬广和软宣</t>
  </si>
  <si>
    <t>戶外大牌、戶外框架、户外LED、电子屏、灯箱及墙体</t>
  </si>
  <si>
    <t>以高铁、机场、地铁候车厅内外、公交站台为载体投入的所有形式的广告，含电子屏、静态展、冠名、广播等形式的广告</t>
  </si>
  <si>
    <t>以飞机、高铁、公交、地铁、游船等交通工具为载体投放的所有形式的广告，含冠名、车机身外喷、车内海报、靠垫、车载屏幕、广播等各种广告形式</t>
  </si>
  <si>
    <t>网络综艺及网络自制剧的冠名、行赞、联赞及内容植入，以及投放的硬广、赞助（冠名、特约、指定产品等各种形式的赞助），和以此为载体创造的内容二次传播费用（侧重于剧情植入）</t>
  </si>
  <si>
    <t>演唱会、音乐节、体育赛事、时装周、电影电视节、生活方式类节日、艺人生日会及首发会等地面活动的赞助及内容植入费</t>
  </si>
  <si>
    <t>含无线电台、网络电台的硬广、软广、赞助，及网络电台登录界面的各种形式的广告</t>
  </si>
  <si>
    <t>影视剧内容植入、项目赞助等，和以此为载体创造的内容二次传播</t>
  </si>
  <si>
    <t>广告监测费用（含项目内人员差旅招待等、项目比稿费）</t>
  </si>
  <si>
    <t>广告费-自媒体</t>
  </si>
  <si>
    <t>官网、微博、微信、小红书、抖音等所有数字平台上的官方账号及“产品会说话”的平台维护、系统开发、内容制作、短信费、服务器租赁、监测费</t>
  </si>
  <si>
    <t>禁用</t>
  </si>
  <si>
    <t>TVC（包括电视、网络、影院、LED等媒体播放的广告片），含导演、制作、版权、播带等费用</t>
  </si>
  <si>
    <t>含摄影、修片、版权、打样、设计、租图等费用</t>
  </si>
  <si>
    <t>低于TVC制作等级和费用标准的视频短片、动图、神广告的制作费</t>
  </si>
  <si>
    <t>代言费、代言人及随行差旅费、服装费、造型费、安保费、礼品费、招待费、杂费及额外增加的权益费</t>
  </si>
  <si>
    <t>非代言性质的艺人、KOL、主持人、专家等一次性出席活动、拍摄权益等支付给人的相关所有费用（同上）</t>
  </si>
  <si>
    <t>会员外购礼品费、短信费、400平台管理费、消费者投诉、pos机通讯费</t>
  </si>
  <si>
    <t>日常公关活动相关的业务招待费、选题费、版面费等</t>
  </si>
  <si>
    <t>（属于权益性赞助费）公益、媒体活动、非代言人性质的KOL及明星活动、行业会议及学术会议的权益性赞助费等</t>
  </si>
  <si>
    <t>按公关项目分类核算，包括搭建费、场地费、车马费、工作人员的报酬和差旅费、小物料采购、紧急物料制作费</t>
  </si>
  <si>
    <t>版权使用、ip授权、网络小说植入、跨界合作商标及个人形象授权费</t>
  </si>
  <si>
    <t>销售给员工的物料费</t>
  </si>
  <si>
    <t>费用池中折扣折让费用</t>
  </si>
  <si>
    <t>费用池中折扣折让商品费用</t>
  </si>
  <si>
    <t>工厂食堂餐费</t>
  </si>
  <si>
    <t>办公楼装修费用 如三楼、五楼、国立、花桥客服中心</t>
  </si>
  <si>
    <t>污泥处理、有害化工原料物品等报废物资处理</t>
  </si>
  <si>
    <t>叉车检测、电梯检验、压力表检验费、防雷检测费，这些费用都是第三方检验，在得到检验报告后才能完整报销</t>
  </si>
  <si>
    <t>咨询公司年费、项目型服务费、设计费及其他</t>
  </si>
  <si>
    <t>合计</t>
    <phoneticPr fontId="2" type="noConversion"/>
  </si>
  <si>
    <t>二级科目</t>
    <phoneticPr fontId="2" type="noConversion"/>
  </si>
  <si>
    <t>三级科目</t>
    <phoneticPr fontId="2" type="noConversion"/>
  </si>
  <si>
    <t>新总帐科目</t>
    <phoneticPr fontId="2" type="noConversion"/>
  </si>
  <si>
    <t>新会计科目名称</t>
    <phoneticPr fontId="2" type="noConversion"/>
  </si>
  <si>
    <t>核算项目明细</t>
    <phoneticPr fontId="2" type="noConversion"/>
  </si>
  <si>
    <t>促销道具制作费</t>
    <phoneticPr fontId="2" type="noConversion"/>
  </si>
  <si>
    <t>费用池中折扣折让费用</t>
    <phoneticPr fontId="2" type="noConversion"/>
  </si>
  <si>
    <t>费用池中折扣折让商品费用</t>
    <phoneticPr fontId="2" type="noConversion"/>
  </si>
  <si>
    <t>人资费-人员薪酬-奖金</t>
    <phoneticPr fontId="2" type="noConversion"/>
  </si>
  <si>
    <t>工厂食堂餐费</t>
    <phoneticPr fontId="2" type="noConversion"/>
  </si>
  <si>
    <t>招待外部人员的费用</t>
    <phoneticPr fontId="2" type="noConversion"/>
  </si>
  <si>
    <t>折旧费-办公设备</t>
    <phoneticPr fontId="2" type="noConversion"/>
  </si>
  <si>
    <t>柜台摊销</t>
    <phoneticPr fontId="2" type="noConversion"/>
  </si>
  <si>
    <t>本月合计</t>
    <phoneticPr fontId="2" type="noConversion"/>
  </si>
  <si>
    <t>预算指标</t>
  </si>
  <si>
    <t>预算达成率</t>
    <phoneticPr fontId="2" type="noConversion"/>
  </si>
  <si>
    <t>单位：万元</t>
  </si>
  <si>
    <t>一、零售原价金额</t>
  </si>
  <si>
    <t>2020年利润表-植物智慧美妆渠道</t>
    <phoneticPr fontId="2" type="noConversion"/>
  </si>
  <si>
    <t>返回目录</t>
    <phoneticPr fontId="2" type="noConversion"/>
  </si>
  <si>
    <t>单位：万元</t>
    <phoneticPr fontId="2" type="noConversion"/>
  </si>
  <si>
    <t>1月</t>
    <phoneticPr fontId="2" type="noConversion"/>
  </si>
  <si>
    <t>合计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</si>
  <si>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</si>
  <si>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</si>
  <si>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</si>
  <si>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</si>
  <si>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销售毛利率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</si>
  <si>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</si>
  <si>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</si>
  <si>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合计</t>
    <phoneticPr fontId="2" type="noConversion"/>
  </si>
  <si>
    <t>合计</t>
    <phoneticPr fontId="2" type="noConversion"/>
  </si>
  <si>
    <t>占营收%</t>
  </si>
  <si>
    <t>人资费用</t>
  </si>
  <si>
    <t>咨询服务费</t>
  </si>
  <si>
    <t>公关费</t>
    <phoneticPr fontId="2" type="noConversion"/>
  </si>
  <si>
    <t>行标签</t>
  </si>
  <si>
    <t>总计</t>
  </si>
  <si>
    <t>求和项:6月</t>
  </si>
  <si>
    <t xml:space="preserve">  编制：胡徵昱</t>
    <phoneticPr fontId="2" type="noConversion"/>
  </si>
  <si>
    <t xml:space="preserve">  日期：2020.7.3</t>
    <phoneticPr fontId="2" type="noConversion"/>
  </si>
  <si>
    <t>1-7月累计</t>
    <phoneticPr fontId="2" type="noConversion"/>
  </si>
  <si>
    <t>2019年利润表-植物智慧美妆渠道</t>
    <phoneticPr fontId="2" type="noConversion"/>
  </si>
  <si>
    <t>返回目录</t>
    <phoneticPr fontId="2" type="noConversion"/>
  </si>
  <si>
    <t>单位：万元</t>
    <phoneticPr fontId="2" type="noConversion"/>
  </si>
  <si>
    <t>1月</t>
    <phoneticPr fontId="2" type="noConversion"/>
  </si>
  <si>
    <t>合计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</si>
  <si>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</si>
  <si>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</si>
  <si>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</si>
  <si>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</si>
  <si>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销售毛利率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</si>
  <si>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</si>
  <si>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</si>
  <si>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2020年7月管理报表--植物智慧美妆店渠道</t>
    <phoneticPr fontId="2" type="noConversion"/>
  </si>
  <si>
    <t>注：1-7月费用已根据预算科目定义略作调整</t>
    <phoneticPr fontId="2" type="noConversion"/>
  </si>
  <si>
    <t>月度</t>
    <phoneticPr fontId="2" type="noConversion"/>
  </si>
  <si>
    <t>1月</t>
    <phoneticPr fontId="2" type="noConversion"/>
  </si>
  <si>
    <t>月度：</t>
    <phoneticPr fontId="2" type="noConversion"/>
  </si>
  <si>
    <t>客户名称</t>
    <phoneticPr fontId="35" type="noConversion"/>
  </si>
  <si>
    <t>信用期限(天)</t>
    <phoneticPr fontId="35" type="noConversion"/>
  </si>
  <si>
    <t>应收余额</t>
    <phoneticPr fontId="35" type="noConversion"/>
  </si>
  <si>
    <t>1-30天</t>
    <phoneticPr fontId="35" type="noConversion"/>
  </si>
  <si>
    <t>31-60天</t>
    <phoneticPr fontId="35" type="noConversion"/>
  </si>
  <si>
    <t>61-180天</t>
    <phoneticPr fontId="35" type="noConversion"/>
  </si>
  <si>
    <t>180天以上</t>
    <phoneticPr fontId="35" type="noConversion"/>
  </si>
  <si>
    <t>逾期备注</t>
    <phoneticPr fontId="35" type="noConversion"/>
  </si>
  <si>
    <t>余额</t>
    <phoneticPr fontId="35" type="noConversion"/>
  </si>
  <si>
    <t>其中：逾期</t>
    <phoneticPr fontId="35" type="noConversion"/>
  </si>
  <si>
    <t>合  计</t>
    <phoneticPr fontId="2" type="noConversion"/>
  </si>
  <si>
    <t>12月</t>
    <phoneticPr fontId="2" type="noConversion"/>
  </si>
  <si>
    <t>总裁办2020.12.11邮件确认维持原状,对方公司法人跑路，员工仍愿意对债务负责，保持着几月还一次款的状态，故继续维持原状</t>
    <phoneticPr fontId="2" type="noConversion"/>
  </si>
  <si>
    <t xml:space="preserve">  日期：2021.1.8</t>
    <phoneticPr fontId="2" type="noConversion"/>
  </si>
  <si>
    <t>2021年利润表-植物智慧美妆渠道</t>
    <phoneticPr fontId="2" type="noConversion"/>
  </si>
  <si>
    <t>2021年利润表-植物智慧美妆渠道-预算</t>
    <phoneticPr fontId="2" type="noConversion"/>
  </si>
  <si>
    <t>汕头市宾虹日化有限公司（植物智慧美妆店）</t>
    <phoneticPr fontId="2" type="noConversion"/>
  </si>
  <si>
    <t>1-2月累计</t>
    <phoneticPr fontId="2" type="noConversion"/>
  </si>
  <si>
    <t>2月</t>
    <phoneticPr fontId="2" type="noConversion"/>
  </si>
  <si>
    <t>2021年02月管理报表--植物智慧美妆店渠道</t>
    <phoneticPr fontId="2" type="noConversion"/>
  </si>
  <si>
    <t xml:space="preserve">  日期：2021.3.4</t>
    <phoneticPr fontId="2" type="noConversion"/>
  </si>
  <si>
    <t xml:space="preserve">  日期：2021.03.04</t>
    <phoneticPr fontId="2" type="noConversion"/>
  </si>
  <si>
    <t>西安市高新区优美臣品化妆品经销处（植物智慧美妆店）</t>
    <phoneticPr fontId="2" type="noConversion"/>
  </si>
  <si>
    <t>《万人试用铺货》授信，按照7万元金额分3期分别在4-6月还款</t>
    <phoneticPr fontId="2" type="noConversion"/>
  </si>
  <si>
    <t>植燊（重庆）科技有限公司</t>
  </si>
  <si>
    <t>药房渠道，根据合同及政策，授信至年底还款</t>
    <phoneticPr fontId="2" type="noConversion"/>
  </si>
  <si>
    <t>2021年3月应收账款账龄分析表-植物智慧事业部</t>
    <phoneticPr fontId="2" type="noConversion"/>
  </si>
  <si>
    <t>编码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</si>
</sst>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_ * #,##0_ ;_ * \-#,##0_ ;_ * &quot;-&quot;??_ ;_ @_ "/>
    <numFmt numFmtId="178" formatCode="0_);[Red]\(0\)"/>
    <numFmt numFmtId="179" formatCode="0_ "/>
    <numFmt numFmtId="180" formatCode="###,000"/>
    <numFmt numFmtId="181" formatCode="0.00_ "/>
    <numFmt numFmtId="182" formatCode="_ * #,##0.0_ ;_ * \-#,##0.0_ ;_ * &quot;-&quot;??_ ;_ @_ "/>
    <numFmt numFmtId="183" formatCode="_(* #,##0.00_);_(* \(#,##0.00\);_(* &quot;-&quot;??_);_(@_)"/>
    <numFmt numFmtId="184" formatCode="_ * #,##0.000_ ;_ * \-#,##0.000_ ;_ * &quot;-&quot;??_ ;_ @_ "/>
  </numFmts>
  <fonts count="40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0"/>
      <color rgb="FF0070C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color theme="1"/>
      <name val="等线"/>
      <family val="2"/>
      <scheme val="minor"/>
    </font>
    <font>
      <b/>
      <sz val="10"/>
      <color theme="1"/>
      <name val="华文细黑"/>
      <family val="3"/>
      <charset val="134"/>
    </font>
    <font>
      <b/>
      <sz val="8"/>
      <color theme="1"/>
      <name val="Verdana"/>
      <family val="2"/>
    </font>
    <font>
      <sz val="10"/>
      <color theme="1"/>
      <name val="华文细黑"/>
      <family val="3"/>
      <charset val="134"/>
    </font>
    <font>
      <sz val="8"/>
      <color theme="1"/>
      <name val="Verdana"/>
      <family val="2"/>
    </font>
    <font>
      <sz val="10"/>
      <color rgb="FFFF0000"/>
      <name val="华文细黑"/>
      <family val="3"/>
      <charset val="134"/>
    </font>
    <font>
      <b/>
      <sz val="10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i/>
      <sz val="10"/>
      <color rgb="FF0070C0"/>
      <name val="微软雅黑"/>
      <family val="2"/>
      <charset val="134"/>
    </font>
    <font>
      <i/>
      <sz val="10"/>
      <color rgb="FF0070C0"/>
      <name val="微软雅黑"/>
      <family val="2"/>
      <charset val="134"/>
    </font>
    <font>
      <i/>
      <sz val="11"/>
      <color rgb="FF0070C0"/>
      <name val="微软雅黑"/>
      <family val="2"/>
      <charset val="134"/>
    </font>
    <font>
      <b/>
      <sz val="14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u/>
      <sz val="11"/>
      <color indexed="62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华文细黑"/>
      <family val="3"/>
      <charset val="134"/>
    </font>
    <font>
      <b/>
      <sz val="11"/>
      <color theme="1"/>
      <name val="华文细黑"/>
      <family val="3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华文细黑"/>
      <family val="3"/>
      <charset val="134"/>
    </font>
    <font>
      <b/>
      <sz val="10.5"/>
      <color rgb="FFFF0000"/>
      <name val="华文细黑"/>
      <family val="3"/>
      <charset val="134"/>
    </font>
    <font>
      <b/>
      <sz val="16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华文细黑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5" borderId="6" applyNumberFormat="0" applyAlignment="0" applyProtection="0">
      <alignment horizontal="left" vertical="center" indent="1"/>
    </xf>
    <xf numFmtId="180" fontId="10" fillId="6" borderId="6" applyNumberFormat="0" applyAlignment="0" applyProtection="0">
      <alignment horizontal="left" vertical="center" indent="1"/>
    </xf>
    <xf numFmtId="0" fontId="21" fillId="0" borderId="0" applyNumberFormat="0" applyFill="0" applyBorder="0" applyAlignment="0" applyProtection="0"/>
    <xf numFmtId="183" fontId="37" fillId="0" borderId="0" applyFont="0" applyFill="0" applyBorder="0" applyAlignment="0" applyProtection="0">
      <alignment vertical="center"/>
    </xf>
  </cellStyleXfs>
  <cellXfs count="217">
    <xf numFmtId="0" fontId="0" fillId="0" borderId="0" xfId="0"/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176" fontId="3" fillId="0" borderId="0" xfId="2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177" fontId="0" fillId="0" borderId="0" xfId="0" applyNumberFormat="1" applyAlignment="1" applyProtection="1">
      <alignment horizontal="center" vertical="center"/>
    </xf>
    <xf numFmtId="0" fontId="9" fillId="0" borderId="1" xfId="0" applyFont="1" applyBorder="1"/>
    <xf numFmtId="181" fontId="9" fillId="0" borderId="1" xfId="0" applyNumberFormat="1" applyFont="1" applyBorder="1"/>
    <xf numFmtId="0" fontId="7" fillId="0" borderId="1" xfId="0" applyFont="1" applyBorder="1"/>
    <xf numFmtId="181" fontId="7" fillId="0" borderId="1" xfId="0" applyNumberFormat="1" applyFont="1" applyBorder="1"/>
    <xf numFmtId="0" fontId="9" fillId="0" borderId="0" xfId="0" applyFont="1"/>
    <xf numFmtId="0" fontId="7" fillId="0" borderId="0" xfId="0" applyFont="1"/>
    <xf numFmtId="0" fontId="9" fillId="0" borderId="1" xfId="0" applyNumberFormat="1" applyFont="1" applyBorder="1"/>
    <xf numFmtId="0" fontId="7" fillId="6" borderId="1" xfId="4" quotePrefix="1" applyNumberFormat="1" applyFont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181" fontId="9" fillId="6" borderId="1" xfId="4" quotePrefix="1" applyNumberFormat="1" applyFont="1" applyBorder="1" applyAlignment="1">
      <alignment vertical="center"/>
    </xf>
    <xf numFmtId="181" fontId="7" fillId="6" borderId="1" xfId="4" quotePrefix="1" applyNumberFormat="1" applyFont="1" applyBorder="1" applyAlignment="1">
      <alignment vertical="center"/>
    </xf>
    <xf numFmtId="181" fontId="11" fillId="6" borderId="1" xfId="4" quotePrefix="1" applyNumberFormat="1" applyFont="1" applyBorder="1" applyAlignment="1">
      <alignment vertical="center"/>
    </xf>
    <xf numFmtId="0" fontId="7" fillId="0" borderId="1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6" fillId="0" borderId="0" xfId="0" applyFont="1"/>
    <xf numFmtId="0" fontId="9" fillId="0" borderId="1" xfId="0" applyFont="1" applyFill="1" applyBorder="1"/>
    <xf numFmtId="0" fontId="7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12" fillId="0" borderId="1" xfId="0" applyFont="1" applyBorder="1"/>
    <xf numFmtId="0" fontId="12" fillId="0" borderId="0" xfId="0" applyFont="1"/>
    <xf numFmtId="181" fontId="9" fillId="7" borderId="1" xfId="4" quotePrefix="1" applyNumberFormat="1" applyFont="1" applyFill="1" applyBorder="1" applyAlignment="1">
      <alignment vertical="center"/>
    </xf>
    <xf numFmtId="0" fontId="14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0" fontId="16" fillId="2" borderId="11" xfId="0" applyFont="1" applyFill="1" applyBorder="1" applyAlignment="1" applyProtection="1">
      <alignment horizontal="center" vertical="center"/>
    </xf>
    <xf numFmtId="0" fontId="16" fillId="2" borderId="10" xfId="0" applyFont="1" applyFill="1" applyBorder="1" applyAlignment="1" applyProtection="1">
      <alignment vertical="center"/>
    </xf>
    <xf numFmtId="0" fontId="16" fillId="2" borderId="2" xfId="0" applyFont="1" applyFill="1" applyBorder="1" applyAlignment="1" applyProtection="1">
      <alignment horizontal="center" vertical="center"/>
    </xf>
    <xf numFmtId="0" fontId="16" fillId="2" borderId="1" xfId="0" applyFont="1" applyFill="1" applyBorder="1" applyAlignment="1" applyProtection="1">
      <alignment vertical="center"/>
    </xf>
    <xf numFmtId="0" fontId="16" fillId="2" borderId="1" xfId="0" applyFont="1" applyFill="1" applyBorder="1" applyAlignment="1" applyProtection="1">
      <alignment horizontal="center" vertical="center" wrapText="1"/>
    </xf>
    <xf numFmtId="0" fontId="17" fillId="2" borderId="1" xfId="0" applyFont="1" applyFill="1" applyBorder="1" applyAlignment="1" applyProtection="1">
      <alignment horizontal="center" vertical="center" wrapText="1"/>
    </xf>
    <xf numFmtId="0" fontId="17" fillId="2" borderId="3" xfId="0" applyFont="1" applyFill="1" applyBorder="1" applyAlignment="1" applyProtection="1">
      <alignment horizontal="center" vertical="center" wrapText="1"/>
    </xf>
    <xf numFmtId="0" fontId="15" fillId="0" borderId="2" xfId="0" applyFont="1" applyBorder="1" applyAlignment="1" applyProtection="1">
      <alignment horizontal="left" vertical="center"/>
    </xf>
    <xf numFmtId="0" fontId="15" fillId="0" borderId="1" xfId="0" applyFont="1" applyBorder="1" applyAlignment="1" applyProtection="1">
      <alignment vertical="center"/>
    </xf>
    <xf numFmtId="177" fontId="15" fillId="0" borderId="1" xfId="1" applyNumberFormat="1" applyFont="1" applyBorder="1" applyAlignment="1" applyProtection="1">
      <alignment horizontal="center" vertical="center"/>
    </xf>
    <xf numFmtId="176" fontId="18" fillId="0" borderId="1" xfId="2" applyNumberFormat="1" applyFont="1" applyBorder="1" applyAlignment="1" applyProtection="1">
      <alignment horizontal="center" vertical="center"/>
    </xf>
    <xf numFmtId="0" fontId="15" fillId="4" borderId="2" xfId="0" applyFont="1" applyFill="1" applyBorder="1" applyAlignment="1" applyProtection="1">
      <alignment horizontal="left" vertical="center" indent="2"/>
    </xf>
    <xf numFmtId="0" fontId="15" fillId="4" borderId="1" xfId="0" applyFont="1" applyFill="1" applyBorder="1" applyAlignment="1" applyProtection="1">
      <alignment vertical="center"/>
    </xf>
    <xf numFmtId="177" fontId="15" fillId="0" borderId="1" xfId="1" applyNumberFormat="1" applyFont="1" applyBorder="1" applyAlignment="1" applyProtection="1">
      <alignment horizontal="left" vertical="center"/>
    </xf>
    <xf numFmtId="0" fontId="15" fillId="0" borderId="2" xfId="0" applyFont="1" applyFill="1" applyBorder="1" applyAlignment="1" applyProtection="1">
      <alignment horizontal="left" vertical="center" indent="2"/>
    </xf>
    <xf numFmtId="0" fontId="15" fillId="0" borderId="1" xfId="0" applyFont="1" applyFill="1" applyBorder="1" applyAlignment="1" applyProtection="1">
      <alignment vertical="center"/>
    </xf>
    <xf numFmtId="0" fontId="15" fillId="0" borderId="2" xfId="0" applyFont="1" applyBorder="1" applyAlignment="1" applyProtection="1">
      <alignment horizontal="left" vertical="center" indent="2"/>
    </xf>
    <xf numFmtId="176" fontId="18" fillId="0" borderId="13" xfId="2" applyNumberFormat="1" applyFont="1" applyBorder="1" applyAlignment="1" applyProtection="1">
      <alignment horizontal="center" vertical="center"/>
    </xf>
    <xf numFmtId="43" fontId="15" fillId="0" borderId="1" xfId="1" applyNumberFormat="1" applyFont="1" applyBorder="1" applyAlignment="1" applyProtection="1">
      <alignment horizontal="center" vertical="center"/>
    </xf>
    <xf numFmtId="0" fontId="16" fillId="0" borderId="4" xfId="0" applyFont="1" applyBorder="1" applyAlignment="1" applyProtection="1">
      <alignment horizontal="left" vertical="center" indent="1"/>
    </xf>
    <xf numFmtId="0" fontId="16" fillId="0" borderId="5" xfId="0" applyFont="1" applyBorder="1" applyAlignment="1" applyProtection="1">
      <alignment vertical="center"/>
    </xf>
    <xf numFmtId="177" fontId="16" fillId="0" borderId="5" xfId="1" applyNumberFormat="1" applyFont="1" applyBorder="1" applyAlignment="1" applyProtection="1">
      <alignment horizontal="center" vertical="center"/>
    </xf>
    <xf numFmtId="176" fontId="17" fillId="0" borderId="5" xfId="2" applyNumberFormat="1" applyFont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0" fontId="16" fillId="0" borderId="0" xfId="0" applyFont="1" applyAlignment="1" applyProtection="1">
      <alignment vertical="center"/>
    </xf>
    <xf numFmtId="0" fontId="16" fillId="0" borderId="0" xfId="0" applyFont="1" applyFill="1" applyAlignment="1" applyProtection="1">
      <alignment horizontal="left" vertical="center"/>
    </xf>
    <xf numFmtId="0" fontId="15" fillId="0" borderId="0" xfId="0" applyFont="1" applyAlignment="1" applyProtection="1">
      <alignment horizontal="center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176" fontId="14" fillId="0" borderId="0" xfId="0" applyNumberFormat="1" applyFont="1" applyAlignment="1" applyProtection="1">
      <alignment horizontal="center" vertical="center"/>
    </xf>
    <xf numFmtId="176" fontId="6" fillId="0" borderId="0" xfId="0" applyNumberFormat="1" applyFont="1" applyFill="1" applyBorder="1" applyAlignment="1" applyProtection="1">
      <alignment horizontal="center" vertical="center"/>
    </xf>
    <xf numFmtId="176" fontId="6" fillId="0" borderId="0" xfId="0" applyNumberFormat="1" applyFont="1" applyAlignment="1" applyProtection="1">
      <alignment horizontal="center" vertical="center"/>
    </xf>
    <xf numFmtId="178" fontId="15" fillId="0" borderId="1" xfId="0" applyNumberFormat="1" applyFont="1" applyBorder="1" applyAlignment="1" applyProtection="1">
      <alignment horizontal="right" vertical="center"/>
    </xf>
    <xf numFmtId="179" fontId="15" fillId="0" borderId="1" xfId="0" applyNumberFormat="1" applyFont="1" applyBorder="1" applyAlignment="1" applyProtection="1">
      <alignment horizontal="right" vertical="center"/>
    </xf>
    <xf numFmtId="177" fontId="15" fillId="0" borderId="1" xfId="1" applyNumberFormat="1" applyFont="1" applyBorder="1" applyAlignment="1" applyProtection="1">
      <alignment horizontal="right" vertical="center"/>
    </xf>
    <xf numFmtId="178" fontId="15" fillId="0" borderId="1" xfId="1" applyNumberFormat="1" applyFont="1" applyBorder="1" applyAlignment="1" applyProtection="1">
      <alignment horizontal="right" vertical="center"/>
    </xf>
    <xf numFmtId="177" fontId="16" fillId="0" borderId="5" xfId="1" applyNumberFormat="1" applyFont="1" applyBorder="1" applyAlignment="1" applyProtection="1">
      <alignment horizontal="right" vertical="center"/>
    </xf>
    <xf numFmtId="177" fontId="15" fillId="0" borderId="1" xfId="0" applyNumberFormat="1" applyFont="1" applyBorder="1" applyAlignment="1" applyProtection="1">
      <alignment horizontal="right" vertical="center"/>
    </xf>
    <xf numFmtId="176" fontId="18" fillId="0" borderId="14" xfId="2" applyNumberFormat="1" applyFont="1" applyBorder="1" applyAlignment="1" applyProtection="1">
      <alignment horizontal="center" vertical="center"/>
    </xf>
    <xf numFmtId="43" fontId="0" fillId="0" borderId="0" xfId="0" applyNumberFormat="1" applyAlignment="1" applyProtection="1">
      <alignment horizontal="center" vertical="center"/>
    </xf>
    <xf numFmtId="176" fontId="6" fillId="0" borderId="0" xfId="2" applyNumberFormat="1" applyFont="1" applyAlignment="1" applyProtection="1">
      <alignment horizontal="center" vertical="center"/>
    </xf>
    <xf numFmtId="176" fontId="18" fillId="0" borderId="0" xfId="2" applyNumberFormat="1" applyFont="1" applyBorder="1" applyAlignment="1" applyProtection="1">
      <alignment horizontal="center" vertical="center"/>
    </xf>
    <xf numFmtId="176" fontId="18" fillId="0" borderId="5" xfId="2" applyNumberFormat="1" applyFont="1" applyBorder="1" applyAlignment="1" applyProtection="1">
      <alignment horizontal="center" vertical="center"/>
    </xf>
    <xf numFmtId="9" fontId="18" fillId="0" borderId="3" xfId="2" applyNumberFormat="1" applyFont="1" applyBorder="1" applyAlignment="1" applyProtection="1">
      <alignment horizontal="center" vertical="center"/>
    </xf>
    <xf numFmtId="9" fontId="18" fillId="0" borderId="16" xfId="2" applyNumberFormat="1" applyFont="1" applyBorder="1" applyAlignment="1" applyProtection="1">
      <alignment horizontal="center" vertical="center"/>
    </xf>
    <xf numFmtId="9" fontId="18" fillId="0" borderId="17" xfId="2" applyNumberFormat="1" applyFont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left" vertical="center" indent="2"/>
    </xf>
    <xf numFmtId="0" fontId="15" fillId="0" borderId="22" xfId="0" applyFont="1" applyBorder="1" applyAlignment="1" applyProtection="1">
      <alignment vertical="center"/>
    </xf>
    <xf numFmtId="178" fontId="15" fillId="0" borderId="22" xfId="0" applyNumberFormat="1" applyFont="1" applyBorder="1" applyAlignment="1" applyProtection="1">
      <alignment horizontal="right" vertical="center"/>
    </xf>
    <xf numFmtId="177" fontId="15" fillId="0" borderId="22" xfId="1" applyNumberFormat="1" applyFont="1" applyBorder="1" applyAlignment="1" applyProtection="1">
      <alignment horizontal="left" vertical="center"/>
    </xf>
    <xf numFmtId="176" fontId="18" fillId="0" borderId="22" xfId="2" applyNumberFormat="1" applyFont="1" applyBorder="1" applyAlignment="1" applyProtection="1">
      <alignment horizontal="center" vertical="center"/>
    </xf>
    <xf numFmtId="177" fontId="15" fillId="0" borderId="22" xfId="1" applyNumberFormat="1" applyFont="1" applyBorder="1" applyAlignment="1" applyProtection="1">
      <alignment horizontal="center" vertical="center"/>
    </xf>
    <xf numFmtId="177" fontId="15" fillId="0" borderId="22" xfId="1" applyNumberFormat="1" applyFont="1" applyBorder="1" applyAlignment="1" applyProtection="1">
      <alignment horizontal="right" vertical="center"/>
    </xf>
    <xf numFmtId="9" fontId="18" fillId="0" borderId="23" xfId="2" applyNumberFormat="1" applyFont="1" applyBorder="1" applyAlignment="1" applyProtection="1">
      <alignment horizontal="center" vertical="center"/>
    </xf>
    <xf numFmtId="0" fontId="16" fillId="0" borderId="24" xfId="0" applyFont="1" applyBorder="1" applyAlignment="1" applyProtection="1">
      <alignment horizontal="left" vertical="center" indent="2"/>
    </xf>
    <xf numFmtId="0" fontId="16" fillId="0" borderId="14" xfId="0" applyFont="1" applyBorder="1" applyAlignment="1" applyProtection="1">
      <alignment vertical="center"/>
    </xf>
    <xf numFmtId="177" fontId="16" fillId="0" borderId="14" xfId="1" applyNumberFormat="1" applyFont="1" applyBorder="1" applyAlignment="1" applyProtection="1">
      <alignment horizontal="right" vertical="center"/>
    </xf>
    <xf numFmtId="177" fontId="16" fillId="0" borderId="14" xfId="1" applyNumberFormat="1" applyFont="1" applyBorder="1" applyAlignment="1" applyProtection="1">
      <alignment horizontal="center" vertical="center"/>
    </xf>
    <xf numFmtId="176" fontId="17" fillId="0" borderId="14" xfId="2" applyNumberFormat="1" applyFont="1" applyBorder="1" applyAlignment="1" applyProtection="1">
      <alignment horizontal="center" vertical="center"/>
    </xf>
    <xf numFmtId="9" fontId="18" fillId="0" borderId="25" xfId="2" applyNumberFormat="1" applyFont="1" applyBorder="1" applyAlignment="1" applyProtection="1">
      <alignment horizontal="center" vertical="center"/>
    </xf>
    <xf numFmtId="0" fontId="15" fillId="2" borderId="1" xfId="0" applyFont="1" applyFill="1" applyBorder="1" applyAlignment="1" applyProtection="1">
      <alignment vertical="center"/>
    </xf>
    <xf numFmtId="177" fontId="15" fillId="2" borderId="1" xfId="1" applyNumberFormat="1" applyFont="1" applyFill="1" applyBorder="1" applyAlignment="1" applyProtection="1">
      <alignment horizontal="right" vertical="center"/>
    </xf>
    <xf numFmtId="177" fontId="15" fillId="2" borderId="1" xfId="1" applyNumberFormat="1" applyFont="1" applyFill="1" applyBorder="1" applyAlignment="1" applyProtection="1">
      <alignment horizontal="center" vertical="center"/>
    </xf>
    <xf numFmtId="176" fontId="18" fillId="2" borderId="1" xfId="2" applyNumberFormat="1" applyFont="1" applyFill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horizontal="left" vertical="center" indent="2"/>
    </xf>
    <xf numFmtId="0" fontId="16" fillId="2" borderId="9" xfId="0" applyFont="1" applyFill="1" applyBorder="1" applyAlignment="1" applyProtection="1">
      <alignment horizontal="center" vertical="center" wrapText="1"/>
    </xf>
    <xf numFmtId="176" fontId="17" fillId="2" borderId="1" xfId="0" applyNumberFormat="1" applyFont="1" applyFill="1" applyBorder="1" applyAlignment="1" applyProtection="1">
      <alignment horizontal="center" vertical="center" wrapText="1"/>
    </xf>
    <xf numFmtId="176" fontId="19" fillId="0" borderId="13" xfId="2" applyNumberFormat="1" applyFont="1" applyBorder="1" applyAlignment="1" applyProtection="1">
      <alignment horizontal="center" vertical="center"/>
    </xf>
    <xf numFmtId="176" fontId="19" fillId="0" borderId="13" xfId="2" applyNumberFormat="1" applyFont="1" applyBorder="1" applyAlignment="1" applyProtection="1">
      <alignment vertical="center"/>
    </xf>
    <xf numFmtId="176" fontId="19" fillId="0" borderId="13" xfId="2" applyNumberFormat="1" applyFont="1" applyBorder="1" applyAlignment="1" applyProtection="1">
      <alignment horizontal="right" vertical="center"/>
    </xf>
    <xf numFmtId="0" fontId="15" fillId="8" borderId="18" xfId="0" applyFont="1" applyFill="1" applyBorder="1" applyAlignment="1" applyProtection="1">
      <alignment horizontal="left" vertical="center"/>
    </xf>
    <xf numFmtId="0" fontId="15" fillId="8" borderId="19" xfId="0" applyFont="1" applyFill="1" applyBorder="1" applyAlignment="1" applyProtection="1">
      <alignment vertical="center"/>
    </xf>
    <xf numFmtId="177" fontId="15" fillId="8" borderId="19" xfId="1" applyNumberFormat="1" applyFont="1" applyFill="1" applyBorder="1" applyAlignment="1" applyProtection="1">
      <alignment horizontal="center" vertical="center"/>
    </xf>
    <xf numFmtId="176" fontId="18" fillId="8" borderId="19" xfId="2" applyNumberFormat="1" applyFont="1" applyFill="1" applyBorder="1" applyAlignment="1" applyProtection="1">
      <alignment horizontal="center" vertical="center"/>
    </xf>
    <xf numFmtId="177" fontId="15" fillId="8" borderId="19" xfId="1" applyNumberFormat="1" applyFont="1" applyFill="1" applyBorder="1" applyAlignment="1" applyProtection="1">
      <alignment horizontal="right" vertical="center"/>
    </xf>
    <xf numFmtId="9" fontId="18" fillId="8" borderId="20" xfId="2" applyNumberFormat="1" applyFont="1" applyFill="1" applyBorder="1" applyAlignment="1" applyProtection="1">
      <alignment horizontal="center" vertical="center"/>
    </xf>
    <xf numFmtId="176" fontId="19" fillId="0" borderId="12" xfId="2" applyNumberFormat="1" applyFont="1" applyBorder="1" applyAlignment="1" applyProtection="1">
      <alignment horizontal="center" vertical="center"/>
    </xf>
    <xf numFmtId="182" fontId="15" fillId="0" borderId="1" xfId="1" applyNumberFormat="1" applyFont="1" applyBorder="1" applyAlignment="1" applyProtection="1">
      <alignment horizontal="center" vertical="center"/>
    </xf>
    <xf numFmtId="0" fontId="20" fillId="0" borderId="0" xfId="0" applyFont="1" applyAlignment="1">
      <alignment vertical="center"/>
    </xf>
    <xf numFmtId="0" fontId="22" fillId="0" borderId="0" xfId="5" applyFont="1" applyFill="1" applyAlignment="1">
      <alignment horizontal="center" vertical="center"/>
    </xf>
    <xf numFmtId="0" fontId="6" fillId="0" borderId="26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28" xfId="0" applyFont="1" applyBorder="1" applyAlignment="1">
      <alignment vertical="center"/>
    </xf>
    <xf numFmtId="177" fontId="0" fillId="0" borderId="9" xfId="1" applyNumberFormat="1" applyFont="1" applyBorder="1" applyAlignment="1">
      <alignment vertical="center"/>
    </xf>
    <xf numFmtId="177" fontId="0" fillId="0" borderId="1" xfId="1" applyNumberFormat="1" applyFont="1" applyBorder="1" applyAlignment="1">
      <alignment vertical="center"/>
    </xf>
    <xf numFmtId="177" fontId="0" fillId="8" borderId="1" xfId="1" applyNumberFormat="1" applyFont="1" applyFill="1" applyBorder="1" applyAlignment="1">
      <alignment vertical="center"/>
    </xf>
    <xf numFmtId="177" fontId="0" fillId="0" borderId="0" xfId="0" applyNumberFormat="1" applyFont="1" applyAlignment="1">
      <alignment vertical="center"/>
    </xf>
    <xf numFmtId="0" fontId="0" fillId="8" borderId="28" xfId="0" applyFont="1" applyFill="1" applyBorder="1" applyAlignment="1">
      <alignment vertical="center"/>
    </xf>
    <xf numFmtId="177" fontId="0" fillId="8" borderId="9" xfId="1" applyNumberFormat="1" applyFont="1" applyFill="1" applyBorder="1" applyAlignment="1">
      <alignment vertical="center"/>
    </xf>
    <xf numFmtId="0" fontId="23" fillId="8" borderId="28" xfId="0" applyFont="1" applyFill="1" applyBorder="1" applyAlignment="1">
      <alignment horizontal="left" vertical="center" indent="2"/>
    </xf>
    <xf numFmtId="9" fontId="23" fillId="8" borderId="9" xfId="2" applyFont="1" applyFill="1" applyBorder="1" applyAlignment="1">
      <alignment vertical="center"/>
    </xf>
    <xf numFmtId="9" fontId="23" fillId="8" borderId="1" xfId="2" applyFont="1" applyFill="1" applyBorder="1" applyAlignment="1">
      <alignment vertical="center"/>
    </xf>
    <xf numFmtId="0" fontId="0" fillId="0" borderId="28" xfId="0" applyFont="1" applyBorder="1" applyAlignment="1">
      <alignment horizontal="left" vertical="center" indent="2"/>
    </xf>
    <xf numFmtId="0" fontId="0" fillId="8" borderId="28" xfId="0" applyFont="1" applyFill="1" applyBorder="1" applyAlignment="1">
      <alignment horizontal="left" vertical="center" indent="2"/>
    </xf>
    <xf numFmtId="0" fontId="0" fillId="8" borderId="29" xfId="0" applyFont="1" applyFill="1" applyBorder="1" applyAlignment="1">
      <alignment horizontal="left" vertical="center" indent="2"/>
    </xf>
    <xf numFmtId="177" fontId="0" fillId="8" borderId="30" xfId="1" applyNumberFormat="1" applyFont="1" applyFill="1" applyBorder="1" applyAlignment="1">
      <alignment vertical="center"/>
    </xf>
    <xf numFmtId="177" fontId="0" fillId="8" borderId="5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4" fillId="0" borderId="0" xfId="0" applyFont="1" applyFill="1" applyAlignment="1" applyProtection="1">
      <alignment horizontal="left" vertical="center"/>
    </xf>
    <xf numFmtId="0" fontId="24" fillId="2" borderId="1" xfId="0" applyFont="1" applyFill="1" applyBorder="1" applyAlignment="1" applyProtection="1">
      <alignment horizontal="center" vertical="center" wrapText="1"/>
    </xf>
    <xf numFmtId="177" fontId="14" fillId="0" borderId="1" xfId="1" applyNumberFormat="1" applyFont="1" applyBorder="1" applyAlignment="1" applyProtection="1">
      <alignment horizontal="center" vertical="center"/>
    </xf>
    <xf numFmtId="9" fontId="14" fillId="0" borderId="1" xfId="2" applyNumberFormat="1" applyFont="1" applyBorder="1" applyAlignment="1" applyProtection="1">
      <alignment horizontal="center" vertical="center"/>
    </xf>
    <xf numFmtId="9" fontId="14" fillId="0" borderId="0" xfId="0" applyNumberFormat="1" applyFont="1" applyFill="1" applyBorder="1" applyAlignment="1" applyProtection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 wrapText="1"/>
    </xf>
    <xf numFmtId="9" fontId="14" fillId="0" borderId="1" xfId="1" applyNumberFormat="1" applyFont="1" applyBorder="1" applyAlignment="1" applyProtection="1">
      <alignment horizontal="center" vertical="center"/>
    </xf>
    <xf numFmtId="9" fontId="14" fillId="0" borderId="13" xfId="2" applyNumberFormat="1" applyFont="1" applyBorder="1" applyAlignment="1" applyProtection="1">
      <alignment horizontal="center" vertical="center"/>
    </xf>
    <xf numFmtId="9" fontId="14" fillId="8" borderId="19" xfId="2" applyNumberFormat="1" applyFont="1" applyFill="1" applyBorder="1" applyAlignment="1" applyProtection="1">
      <alignment horizontal="center" vertical="center"/>
    </xf>
    <xf numFmtId="9" fontId="14" fillId="0" borderId="22" xfId="2" applyNumberFormat="1" applyFont="1" applyBorder="1" applyAlignment="1" applyProtection="1">
      <alignment horizontal="center" vertical="center"/>
    </xf>
    <xf numFmtId="9" fontId="14" fillId="0" borderId="14" xfId="2" applyNumberFormat="1" applyFont="1" applyBorder="1" applyAlignment="1" applyProtection="1">
      <alignment horizontal="center" vertical="center"/>
    </xf>
    <xf numFmtId="9" fontId="14" fillId="0" borderId="5" xfId="2" applyNumberFormat="1" applyFont="1" applyBorder="1" applyAlignment="1" applyProtection="1">
      <alignment horizontal="center" vertical="center"/>
    </xf>
    <xf numFmtId="9" fontId="6" fillId="0" borderId="0" xfId="0" applyNumberFormat="1" applyFont="1" applyFill="1" applyBorder="1" applyAlignment="1" applyProtection="1">
      <alignment horizontal="center" vertical="center"/>
    </xf>
    <xf numFmtId="9" fontId="14" fillId="0" borderId="31" xfId="2" applyNumberFormat="1" applyFont="1" applyBorder="1" applyAlignment="1" applyProtection="1">
      <alignment horizontal="center" vertical="center"/>
    </xf>
    <xf numFmtId="0" fontId="25" fillId="9" borderId="0" xfId="0" applyFont="1" applyFill="1" applyAlignment="1">
      <alignment vertical="center"/>
    </xf>
    <xf numFmtId="0" fontId="25" fillId="9" borderId="0" xfId="0" applyFont="1" applyFill="1" applyAlignment="1">
      <alignment horizontal="left" vertical="center"/>
    </xf>
    <xf numFmtId="0" fontId="26" fillId="0" borderId="0" xfId="0" applyFont="1" applyAlignment="1" applyProtection="1">
      <alignment horizontal="left" vertic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9" fontId="15" fillId="2" borderId="1" xfId="2" applyFont="1" applyFill="1" applyBorder="1" applyAlignment="1" applyProtection="1">
      <alignment horizontal="center" vertical="center"/>
    </xf>
    <xf numFmtId="0" fontId="7" fillId="0" borderId="1" xfId="3" quotePrefix="1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77" fontId="0" fillId="0" borderId="0" xfId="0" applyNumberFormat="1" applyAlignment="1">
      <alignment vertical="center"/>
    </xf>
    <xf numFmtId="43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0" fontId="0" fillId="0" borderId="0" xfId="0" applyAlignment="1">
      <alignment vertical="top"/>
    </xf>
    <xf numFmtId="43" fontId="0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right"/>
    </xf>
    <xf numFmtId="43" fontId="6" fillId="0" borderId="0" xfId="1" applyFont="1" applyAlignment="1"/>
    <xf numFmtId="43" fontId="9" fillId="6" borderId="1" xfId="1" quotePrefix="1" applyFont="1" applyFill="1" applyBorder="1" applyAlignment="1">
      <alignment vertical="center"/>
    </xf>
    <xf numFmtId="181" fontId="0" fillId="0" borderId="0" xfId="0" applyNumberFormat="1"/>
    <xf numFmtId="0" fontId="0" fillId="0" borderId="0" xfId="0" applyNumberFormat="1"/>
    <xf numFmtId="43" fontId="0" fillId="0" borderId="0" xfId="1" applyFont="1" applyAlignment="1"/>
    <xf numFmtId="43" fontId="12" fillId="0" borderId="0" xfId="1" applyFont="1" applyAlignment="1"/>
    <xf numFmtId="43" fontId="9" fillId="0" borderId="0" xfId="1" applyFont="1" applyAlignment="1"/>
    <xf numFmtId="181" fontId="27" fillId="6" borderId="1" xfId="4" quotePrefix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181" fontId="9" fillId="0" borderId="0" xfId="0" applyNumberFormat="1" applyFont="1"/>
    <xf numFmtId="0" fontId="0" fillId="3" borderId="0" xfId="0" applyFill="1"/>
    <xf numFmtId="0" fontId="16" fillId="0" borderId="0" xfId="0" applyFont="1" applyFill="1" applyAlignment="1" applyProtection="1">
      <alignment horizontal="right" vertical="center"/>
    </xf>
    <xf numFmtId="0" fontId="24" fillId="0" borderId="0" xfId="0" applyFont="1" applyAlignment="1" applyProtection="1">
      <alignment horizontal="center" vertical="center"/>
    </xf>
    <xf numFmtId="177" fontId="0" fillId="0" borderId="0" xfId="0" applyNumberFormat="1" applyFill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31" fillId="9" borderId="0" xfId="0" applyFont="1" applyFill="1" applyAlignment="1">
      <alignment vertical="center"/>
    </xf>
    <xf numFmtId="0" fontId="33" fillId="0" borderId="0" xfId="0" applyFont="1" applyFill="1" applyAlignment="1"/>
    <xf numFmtId="181" fontId="34" fillId="10" borderId="1" xfId="0" applyNumberFormat="1" applyFont="1" applyFill="1" applyBorder="1" applyAlignment="1">
      <alignment horizontal="center" vertical="center"/>
    </xf>
    <xf numFmtId="0" fontId="36" fillId="0" borderId="1" xfId="0" quotePrefix="1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182" fontId="36" fillId="0" borderId="1" xfId="6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 wrapText="1"/>
    </xf>
    <xf numFmtId="182" fontId="38" fillId="0" borderId="1" xfId="1" applyNumberFormat="1" applyFont="1" applyFill="1" applyBorder="1" applyAlignment="1">
      <alignment horizontal="center" vertical="center"/>
    </xf>
    <xf numFmtId="0" fontId="38" fillId="0" borderId="1" xfId="0" applyNumberFormat="1" applyFont="1" applyFill="1" applyBorder="1" applyAlignment="1">
      <alignment horizontal="center" vertical="center" wrapText="1"/>
    </xf>
    <xf numFmtId="0" fontId="39" fillId="0" borderId="0" xfId="0" applyFont="1" applyFill="1" applyAlignment="1">
      <alignment horizontal="right"/>
    </xf>
    <xf numFmtId="43" fontId="7" fillId="6" borderId="1" xfId="1" quotePrefix="1" applyFont="1" applyFill="1" applyBorder="1" applyAlignment="1">
      <alignment vertical="center"/>
    </xf>
    <xf numFmtId="43" fontId="7" fillId="0" borderId="1" xfId="1" applyFont="1" applyBorder="1" applyAlignment="1"/>
    <xf numFmtId="43" fontId="9" fillId="0" borderId="1" xfId="1" applyFont="1" applyBorder="1" applyAlignment="1"/>
    <xf numFmtId="184" fontId="0" fillId="0" borderId="0" xfId="0" applyNumberFormat="1" applyAlignment="1">
      <alignment vertical="center"/>
    </xf>
    <xf numFmtId="10" fontId="0" fillId="0" borderId="0" xfId="2" applyNumberFormat="1" applyFont="1" applyAlignment="1">
      <alignment vertical="center"/>
    </xf>
    <xf numFmtId="9" fontId="18" fillId="2" borderId="3" xfId="2" applyNumberFormat="1" applyFont="1" applyFill="1" applyBorder="1" applyAlignment="1" applyProtection="1">
      <alignment horizontal="center" vertical="center"/>
    </xf>
    <xf numFmtId="10" fontId="0" fillId="0" borderId="0" xfId="2" applyNumberFormat="1" applyFont="1" applyFill="1" applyBorder="1" applyAlignment="1" applyProtection="1">
      <alignment horizontal="center" vertical="center"/>
    </xf>
    <xf numFmtId="41" fontId="0" fillId="0" borderId="2" xfId="1" applyNumberFormat="1" applyFont="1" applyFill="1" applyBorder="1" applyAlignment="1" applyProtection="1">
      <alignment vertical="center"/>
    </xf>
    <xf numFmtId="9" fontId="18" fillId="0" borderId="1" xfId="2" applyNumberFormat="1" applyFont="1" applyBorder="1" applyAlignment="1" applyProtection="1">
      <alignment horizontal="center" vertical="center"/>
    </xf>
    <xf numFmtId="9" fontId="18" fillId="0" borderId="13" xfId="2" applyNumberFormat="1" applyFont="1" applyBorder="1" applyAlignment="1" applyProtection="1">
      <alignment horizontal="center" vertical="center"/>
    </xf>
    <xf numFmtId="9" fontId="18" fillId="8" borderId="19" xfId="2" applyNumberFormat="1" applyFont="1" applyFill="1" applyBorder="1" applyAlignment="1" applyProtection="1">
      <alignment horizontal="center" vertical="center"/>
    </xf>
    <xf numFmtId="9" fontId="18" fillId="0" borderId="22" xfId="2" applyNumberFormat="1" applyFont="1" applyBorder="1" applyAlignment="1" applyProtection="1">
      <alignment horizontal="center" vertical="center"/>
    </xf>
    <xf numFmtId="9" fontId="18" fillId="0" borderId="14" xfId="2" applyNumberFormat="1" applyFont="1" applyBorder="1" applyAlignment="1" applyProtection="1">
      <alignment horizontal="center" vertical="center"/>
    </xf>
    <xf numFmtId="9" fontId="18" fillId="2" borderId="1" xfId="2" applyNumberFormat="1" applyFont="1" applyFill="1" applyBorder="1" applyAlignment="1" applyProtection="1">
      <alignment horizontal="center" vertical="center"/>
    </xf>
    <xf numFmtId="9" fontId="18" fillId="0" borderId="5" xfId="2" applyNumberFormat="1" applyFont="1" applyBorder="1" applyAlignment="1" applyProtection="1">
      <alignment horizontal="center" vertical="center"/>
    </xf>
    <xf numFmtId="9" fontId="17" fillId="0" borderId="14" xfId="2" applyNumberFormat="1" applyFont="1" applyBorder="1" applyAlignment="1" applyProtection="1">
      <alignment horizontal="center" vertical="center"/>
    </xf>
    <xf numFmtId="9" fontId="17" fillId="0" borderId="5" xfId="2" applyNumberFormat="1" applyFont="1" applyBorder="1" applyAlignment="1" applyProtection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6" fillId="3" borderId="10" xfId="0" applyFont="1" applyFill="1" applyBorder="1" applyAlignment="1" applyProtection="1">
      <alignment horizontal="center" vertical="center"/>
    </xf>
    <xf numFmtId="0" fontId="16" fillId="3" borderId="15" xfId="0" applyFont="1" applyFill="1" applyBorder="1" applyAlignment="1" applyProtection="1">
      <alignment horizontal="center" vertical="center"/>
    </xf>
    <xf numFmtId="0" fontId="34" fillId="10" borderId="1" xfId="0" quotePrefix="1" applyNumberFormat="1" applyFont="1" applyFill="1" applyBorder="1" applyAlignment="1">
      <alignment horizontal="center" vertical="center"/>
    </xf>
    <xf numFmtId="0" fontId="34" fillId="10" borderId="1" xfId="0" applyNumberFormat="1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38" fillId="0" borderId="8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4" fillId="10" borderId="1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/>
    </xf>
    <xf numFmtId="0" fontId="34" fillId="10" borderId="1" xfId="0" applyNumberFormat="1" applyFont="1" applyFill="1" applyBorder="1" applyAlignment="1">
      <alignment horizontal="center" vertical="center" wrapText="1"/>
    </xf>
  </cellXfs>
  <cellStyles count="7">
    <cellStyle name="SAPDimensionCell" xfId="3"/>
    <cellStyle name="SAPMemberCell" xfId="4"/>
    <cellStyle name="百分比" xfId="2" builtinId="5"/>
    <cellStyle name="常规" xfId="0" builtinId="0"/>
    <cellStyle name="超链接" xfId="5" builtinId="8"/>
    <cellStyle name="千位分隔" xfId="1" builtinId="3"/>
    <cellStyle name="千位分隔 3" xfId="6"/>
  </cellStyles>
  <dxfs count="0"/>
  <tableStyles count="0" defaultTableStyle="TableStyleMedium2" defaultPivotStyle="PivotStyleLight16"/>
  <colors>
    <mruColors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143661</xdr:colOff>
      <xdr:row>38</xdr:row>
      <xdr:rowOff>124752</xdr:rowOff>
    </xdr:to>
    <xdr:pic>
      <xdr:nvPicPr>
        <xdr:cNvPr id="2" name="图片 1" descr="屏幕剪辑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30061" cy="66398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8</xdr:col>
      <xdr:colOff>38871</xdr:colOff>
      <xdr:row>64</xdr:row>
      <xdr:rowOff>133943</xdr:rowOff>
    </xdr:to>
    <xdr:pic>
      <xdr:nvPicPr>
        <xdr:cNvPr id="3" name="图片 2" descr="屏幕剪辑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58000"/>
          <a:ext cx="5525271" cy="42487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15</xdr:col>
      <xdr:colOff>534049</xdr:colOff>
      <xdr:row>38</xdr:row>
      <xdr:rowOff>86646</xdr:rowOff>
    </xdr:to>
    <xdr:pic>
      <xdr:nvPicPr>
        <xdr:cNvPr id="5" name="图片 4" descr="屏幕剪辑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0"/>
          <a:ext cx="4648849" cy="660174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25</xdr:col>
      <xdr:colOff>19818</xdr:colOff>
      <xdr:row>22</xdr:row>
      <xdr:rowOff>76737</xdr:rowOff>
    </xdr:to>
    <xdr:pic>
      <xdr:nvPicPr>
        <xdr:cNvPr id="6" name="图片 5" descr="屏幕剪辑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5506218" cy="384863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25</xdr:col>
      <xdr:colOff>76976</xdr:colOff>
      <xdr:row>45</xdr:row>
      <xdr:rowOff>162474</xdr:rowOff>
    </xdr:to>
    <xdr:pic>
      <xdr:nvPicPr>
        <xdr:cNvPr id="7" name="图片 6" descr="屏幕剪辑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3943350"/>
          <a:ext cx="5563376" cy="39343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893;&#29289;&#26234;&#24935;/&#26893;&#29289;&#36153;&#29992;2021.01-2021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透视表"/>
      <sheetName val="费用数据源"/>
      <sheetName val="成本中心"/>
    </sheetNames>
    <sheetDataSet>
      <sheetData sheetId="0">
        <row r="42">
          <cell r="A42" t="str">
            <v>求和项:报表货币值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胡徵昱" refreshedDate="44015.456373032408" createdVersion="5" refreshedVersion="5" minRefreshableVersion="3" recordCount="34">
  <cacheSource type="worksheet">
    <worksheetSource ref="A1:K36" sheet="渠道费用明细"/>
  </cacheSource>
  <cacheFields count="11">
    <cacheField name="二级科目" numFmtId="0">
      <sharedItems count="7">
        <s v="促销费"/>
        <s v="人资费"/>
        <s v="培训和会议"/>
        <s v="仓储物流费"/>
        <s v="长期待摊费用摊销"/>
        <s v="折旧费"/>
        <s v="日常费用"/>
      </sharedItems>
    </cacheField>
    <cacheField name="三级科目" numFmtId="0">
      <sharedItems/>
    </cacheField>
    <cacheField name="新总帐科目" numFmtId="0">
      <sharedItems containsSemiMixedTypes="0" containsString="0" containsNumber="1" containsInteger="1" minValue="8008020101" maxValue="8214060102"/>
    </cacheField>
    <cacheField name="新会计科目名称" numFmtId="0">
      <sharedItems/>
    </cacheField>
    <cacheField name="核算项目明细" numFmtId="0">
      <sharedItems containsBlank="1"/>
    </cacheField>
    <cacheField name="1月" numFmtId="181">
      <sharedItems containsSemiMixedTypes="0" containsString="0" containsNumber="1" minValue="-8.6555169999999979" maxValue="16.897099000000001"/>
    </cacheField>
    <cacheField name="2月" numFmtId="181">
      <sharedItems containsSemiMixedTypes="0" containsString="0" containsNumber="1" minValue="-2.5925100000000003" maxValue="29.180191999999998"/>
    </cacheField>
    <cacheField name="3月" numFmtId="0">
      <sharedItems containsString="0" containsBlank="1" containsNumber="1" minValue="1.3425999999999999E-2" maxValue="59.073599999999999"/>
    </cacheField>
    <cacheField name="4月" numFmtId="181">
      <sharedItems containsString="0" containsBlank="1" containsNumber="1" minValue="-1.42794" maxValue="21.226292999999998"/>
    </cacheField>
    <cacheField name="5月" numFmtId="181">
      <sharedItems containsString="0" containsBlank="1" containsNumber="1" minValue="0" maxValue="20.39"/>
    </cacheField>
    <cacheField name="6月" numFmtId="0">
      <sharedItems containsString="0" containsBlank="1" containsNumber="1" minValue="-2.7052179999999986" maxValue="46.1327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s v="物料配赠费用"/>
    <n v="8008020101"/>
    <s v="促销费-物料配赠费用-外购赠品"/>
    <s v="外购赠品（不含会员礼品）"/>
    <n v="0"/>
    <n v="0"/>
    <m/>
    <m/>
    <m/>
    <m/>
  </r>
  <r>
    <x v="0"/>
    <s v="物料配赠费用"/>
    <n v="8008020102"/>
    <s v="促销费-物料配赠费用-产成品-非商品非试用装"/>
    <s v="自产的用于赠送给消费者（含会员）的袋装、小样、中样、小包装、类产品等"/>
    <n v="0.15204000000000001"/>
    <n v="7.2620000000000004E-2"/>
    <n v="0.35"/>
    <n v="0.26"/>
    <n v="1.92"/>
    <n v="5.3809199999999997"/>
  </r>
  <r>
    <x v="0"/>
    <s v="物料配赠费用"/>
    <n v="8008020104"/>
    <s v="促销费-物料配赠费用-产成品-试用装"/>
    <s v="柜台陈列试用产品"/>
    <n v="0"/>
    <n v="0"/>
    <m/>
    <m/>
    <m/>
    <n v="0"/>
  </r>
  <r>
    <x v="0"/>
    <s v="物料配赠费用"/>
    <n v="8008020105"/>
    <s v="促销费-物料配赠费用-道具"/>
    <s v="促销道具制作费"/>
    <n v="1.44E-2"/>
    <n v="0.14399999999999999"/>
    <n v="0.43"/>
    <n v="0.48"/>
    <n v="0.26"/>
    <n v="0.34379999999999999"/>
  </r>
  <r>
    <x v="0"/>
    <s v="物料配赠费用"/>
    <n v="8008020103"/>
    <s v="促销费-物料配赠费用-销售物料"/>
    <s v="单页、海报、折页、展架、空礼盒、手提袋"/>
    <n v="0"/>
    <n v="0"/>
    <m/>
    <m/>
    <n v="0.26"/>
    <n v="0.78"/>
  </r>
  <r>
    <x v="0"/>
    <s v="物料配赠费用"/>
    <n v="8008020106"/>
    <s v="促销费-物料配赠费用-销售员工物料"/>
    <s v="销售给员工的物料费"/>
    <n v="0"/>
    <n v="0"/>
    <m/>
    <m/>
    <m/>
    <n v="0"/>
  </r>
  <r>
    <x v="0"/>
    <s v="折扣折让费用"/>
    <n v="8008020201"/>
    <s v="促销费-折扣折让费用"/>
    <s v="费用池中折扣折让费用"/>
    <n v="0"/>
    <n v="1.684388"/>
    <n v="1.01"/>
    <n v="0.02"/>
    <n v="1.1100000000000001"/>
    <n v="1.9773639999999999"/>
  </r>
  <r>
    <x v="0"/>
    <s v="折扣折让费用"/>
    <n v="8008020202"/>
    <s v="促销费-折扣折让费用-产成品-商品"/>
    <s v="费用池中折扣折让商品费用"/>
    <n v="13.233163000000001"/>
    <n v="29.180191999999998"/>
    <n v="25.41"/>
    <n v="14.65"/>
    <n v="20.39"/>
    <n v="46.132728"/>
  </r>
  <r>
    <x v="1"/>
    <s v="人员薪酬"/>
    <n v="8209020101"/>
    <s v="人资费-人员薪酬-工资"/>
    <s v="集团、上分、工厂工资（底薪）+提成"/>
    <n v="3.4686690000000016"/>
    <n v="20.480948000000001"/>
    <n v="20.240500000000001"/>
    <n v="21.226292999999998"/>
    <n v="11.22"/>
    <n v="37.701639"/>
  </r>
  <r>
    <x v="1"/>
    <s v="人员薪酬"/>
    <n v="8209020103"/>
    <s v="人资费-人员薪酬-奖金"/>
    <s v="集团、上分、工厂奖金费用"/>
    <n v="-8.6555169999999979"/>
    <n v="0"/>
    <m/>
    <n v="0.3"/>
    <n v="0"/>
    <n v="7.5826389999999995"/>
  </r>
  <r>
    <x v="1"/>
    <s v="人员薪酬"/>
    <n v="8209020104"/>
    <s v="人资费-人员薪酬-社保"/>
    <s v="集团、上分、工厂社保费用"/>
    <n v="7.8559990000000006"/>
    <n v="5.8251349999999995"/>
    <n v="3.8395440000000001"/>
    <n v="-1.42794"/>
    <n v="1.52"/>
    <n v="-2.7052179999999986"/>
  </r>
  <r>
    <x v="1"/>
    <s v="人员薪酬"/>
    <n v="8209020105"/>
    <s v="人资费-人员薪酬-公积金"/>
    <s v="集团、上分、工厂公积金费用"/>
    <n v="2.4178999999999999"/>
    <n v="2.4035000000000002"/>
    <n v="2.4106999999999998"/>
    <n v="4.7600000000000003E-2"/>
    <n v="0.68"/>
    <n v="4.4214999999999991"/>
  </r>
  <r>
    <x v="1"/>
    <s v="人员薪酬"/>
    <n v="8209020106"/>
    <s v="人资费-人员薪酬-福利费"/>
    <s v="人资部门给予员工的福利，比如：每两个月的福利、过年过节的给员工的礼物，员工婚礼、生育、生病探望费，康乐活动费。餐厅宿舍维修费用放在行政部"/>
    <n v="0"/>
    <n v="0.29110000000000003"/>
    <m/>
    <n v="0"/>
    <m/>
    <m/>
  </r>
  <r>
    <x v="1"/>
    <s v="人员薪酬"/>
    <n v="8209020108"/>
    <s v="人资费-人员薪酬-补偿金"/>
    <s v="员工补偿金"/>
    <n v="9.1874000000000002"/>
    <n v="0"/>
    <n v="59.073599999999999"/>
    <n v="20.976199999999999"/>
    <m/>
    <m/>
  </r>
  <r>
    <x v="1"/>
    <s v="人员薪酬"/>
    <n v="8209020109"/>
    <s v="人资费-人员薪酬-管理费"/>
    <s v="管理服务费"/>
    <n v="0.118376"/>
    <n v="0.133909"/>
    <n v="0.118376"/>
    <m/>
    <n v="0"/>
    <n v="0.48547100000000004"/>
  </r>
  <r>
    <x v="1"/>
    <s v="人员薪酬"/>
    <n v="8209020110"/>
    <s v="人资费-人员薪酬-福利费餐费"/>
    <s v="工厂食堂餐费"/>
    <n v="0"/>
    <n v="0"/>
    <m/>
    <m/>
    <m/>
    <m/>
  </r>
  <r>
    <x v="1"/>
    <s v="招聘费"/>
    <n v="8209030101"/>
    <s v="人资费-招聘费"/>
    <s v="人资招聘时发生的所有费用（车费、餐费、招聘用广告等）"/>
    <n v="0"/>
    <n v="0"/>
    <m/>
    <m/>
    <m/>
    <m/>
  </r>
  <r>
    <x v="2"/>
    <s v="会议费"/>
    <n v="8212010101"/>
    <s v="培训和会议-会议费"/>
    <s v="各项会议费用（差旅费、场地费、餐费、会议筹备费等）"/>
    <n v="-9.9999999947613104E-7"/>
    <n v="0"/>
    <m/>
    <m/>
    <n v="0"/>
    <n v="0.38461999999999996"/>
  </r>
  <r>
    <x v="2"/>
    <s v="培训费"/>
    <n v="8212020101"/>
    <s v="培训和会议-培训费"/>
    <s v="各项培训费用（差旅费、场地费、餐费、培训筹备费用）"/>
    <n v="0"/>
    <n v="2.0513E-2"/>
    <m/>
    <m/>
    <n v="0"/>
    <n v="0.17111999999999999"/>
  </r>
  <r>
    <x v="3"/>
    <s v="仓储费"/>
    <n v="8213010101"/>
    <s v="仓储物流费 -仓储费"/>
    <s v="仓库租赁费，各类存货存放地。"/>
    <n v="2.2444500000000001"/>
    <n v="3.7645619999999997"/>
    <m/>
    <m/>
    <m/>
    <n v="9.0563450000000003"/>
  </r>
  <r>
    <x v="3"/>
    <s v="物流费"/>
    <n v="8213010102"/>
    <s v="仓储物流费-物流费"/>
    <s v="物流运输费用，包含运输货物及柜台费用。运输货物应以系统内每年核定的运费单价*计费重量+保险费+送货费计算，柜台含运输费+当地城市配送+其他物流费用（包装箱来回运输、押车费、当地存储费、多地点提货）"/>
    <n v="4.8301780000000001"/>
    <n v="-2.5925100000000003"/>
    <m/>
    <m/>
    <n v="0"/>
    <n v="11.131807"/>
  </r>
  <r>
    <x v="4"/>
    <s v="长期待摊费用摊销"/>
    <n v="8015010101"/>
    <s v="柜台摊销"/>
    <s v="柜台摊销"/>
    <n v="2.0220999999999999E-2"/>
    <n v="2.0222E-2"/>
    <n v="2.0220999999999999E-2"/>
    <n v="2.0220999999999999E-2"/>
    <n v="0.02"/>
    <n v="2.0442999999999989E-2"/>
  </r>
  <r>
    <x v="5"/>
    <s v="电子设备"/>
    <n v="8015020104"/>
    <s v="折旧费-电子设备"/>
    <s v="电子设备折旧费"/>
    <n v="3.1695000000000001E-2"/>
    <n v="3.1694E-2"/>
    <n v="1.3425999999999999E-2"/>
    <n v="1.3424999999999999E-2"/>
    <n v="0"/>
    <n v="8.1659000000000009E-2"/>
  </r>
  <r>
    <x v="5"/>
    <s v="办公设备"/>
    <n v="8015020105"/>
    <s v="折旧费-办公设备"/>
    <s v="办公设备折旧费"/>
    <n v="0"/>
    <n v="0"/>
    <m/>
    <m/>
    <m/>
    <m/>
  </r>
  <r>
    <x v="6"/>
    <s v="房屋租赁费"/>
    <n v="8214010101"/>
    <s v="办公费-办公室使用费-房屋租赁费"/>
    <s v="集团及分公司房租，上海商城及思南公馆房租"/>
    <n v="0"/>
    <n v="0"/>
    <m/>
    <m/>
    <m/>
    <m/>
  </r>
  <r>
    <x v="6"/>
    <s v="办公类"/>
    <n v="8214020101"/>
    <s v="办公费-杂费-办公费"/>
    <s v="一般的办公用品采购，报刊，低值易耗品的采购（电风扇、钟等）、窗帘安装、扫把、洗衣液、洁厕液、卫生纸、物业工具等。（质量管理用材料费、试剂费用、实验器材费、设为质检耗材）办公用品费。"/>
    <n v="0"/>
    <n v="4.9799999999999997E-2"/>
    <n v="5.3464999999999999E-2"/>
    <n v="0"/>
    <m/>
    <m/>
  </r>
  <r>
    <x v="6"/>
    <s v="办公类"/>
    <n v="8214020102"/>
    <s v="办公费-办公室使用费-手机话费"/>
    <s v="根据集团政策实行报销员工的手机话费"/>
    <n v="0.50007699999999999"/>
    <n v="0.20457400000000001"/>
    <n v="0.53166900000000017"/>
    <n v="0.38382299999999991"/>
    <n v="0.06"/>
    <n v="1.2457949999999958"/>
  </r>
  <r>
    <x v="6"/>
    <s v="办公类"/>
    <n v="8214020103"/>
    <s v="办公费-办公室使用费-办公话费（网络费）"/>
    <s v="集团及分公司固定电话及网络费用"/>
    <n v="6.2318000000000005E-2"/>
    <n v="5.6514999999999996E-2"/>
    <n v="5.5995000000000003E-2"/>
    <n v="5.1052E-2"/>
    <n v="0"/>
    <n v="5.7300000000000073E-2"/>
  </r>
  <r>
    <x v="6"/>
    <s v="办公类"/>
    <n v="8214020104"/>
    <s v="办公费-杂费-快递费"/>
    <s v="因办公需要用快递形式发出货物货文件产生的运费，前台应登记发货明晰表，各部门签领费用。"/>
    <n v="0"/>
    <n v="0.23669999999999999"/>
    <n v="0.39832499999999998"/>
    <n v="2.325E-2"/>
    <n v="0"/>
    <n v="0.14625500000000002"/>
  </r>
  <r>
    <x v="6"/>
    <s v="办公类"/>
    <n v="8214020106"/>
    <s v="办公费-杂费-杂费"/>
    <s v="保洁费、垃圾清理处置费、虫害防治服务费、下水道清洗费、（环境测评，配电房电试费用放在---安全检测费）。"/>
    <n v="0"/>
    <n v="0"/>
    <n v="2.64E-2"/>
    <m/>
    <m/>
    <m/>
  </r>
  <r>
    <x v="6"/>
    <s v="办公类"/>
    <n v="8214060101"/>
    <s v="办公费-办公室使用费-电费"/>
    <m/>
    <n v="0"/>
    <n v="0"/>
    <m/>
    <m/>
    <m/>
    <n v="8.8617999999999988E-2"/>
  </r>
  <r>
    <x v="6"/>
    <s v="办公类"/>
    <n v="8214060102"/>
    <s v="办公费-办公室使用费-水费"/>
    <m/>
    <n v="0"/>
    <n v="0"/>
    <m/>
    <m/>
    <m/>
    <m/>
  </r>
  <r>
    <x v="6"/>
    <s v="差旅费"/>
    <n v="8214030101"/>
    <s v="办公费-差旅费"/>
    <s v="本公司职工出差期间发生的费用（本市或外省市出差车费、住宿费等）。"/>
    <n v="16.897099000000001"/>
    <n v="4.0432109999999994"/>
    <n v="3.4307349999999999"/>
    <n v="4.9131029999999996"/>
    <n v="0.43"/>
    <n v="29.81322699999993"/>
  </r>
  <r>
    <x v="6"/>
    <s v="业务招待费"/>
    <n v="8214040101"/>
    <s v="办公费-业务招待费"/>
    <s v="招待外部人员的费用"/>
    <n v="2.1995"/>
    <n v="0"/>
    <n v="0.2"/>
    <m/>
    <n v="0"/>
    <n v="1.23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U2:V10" firstHeaderRow="1" firstDataRow="1" firstDataCol="1"/>
  <pivotFields count="11">
    <pivotField axis="axisRow" showAll="0">
      <items count="8">
        <item x="3"/>
        <item x="0"/>
        <item x="2"/>
        <item x="1"/>
        <item x="6"/>
        <item x="4"/>
        <item x="5"/>
        <item t="default"/>
      </items>
    </pivotField>
    <pivotField showAll="0"/>
    <pivotField showAll="0"/>
    <pivotField showAll="0"/>
    <pivotField showAll="0"/>
    <pivotField numFmtId="181" showAll="0"/>
    <pivotField numFmtId="181"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求和项:6月" fld="10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pane xSplit="4" ySplit="1" topLeftCell="E2" activePane="bottomRight" state="frozen"/>
      <selection activeCell="K13" sqref="K13"/>
      <selection pane="topRight" activeCell="K13" sqref="K13"/>
      <selection pane="bottomLeft" activeCell="K13" sqref="K13"/>
      <selection pane="bottomRight" activeCell="K13" sqref="K13"/>
    </sheetView>
  </sheetViews>
  <sheetFormatPr defaultRowHeight="13.5"/>
  <cols>
    <col min="1" max="1" width="16.625" customWidth="1"/>
    <col min="2" max="2" width="11.625" customWidth="1"/>
    <col min="3" max="3" width="12.75" style="153" customWidth="1"/>
    <col min="4" max="4" width="25.875" customWidth="1"/>
    <col min="5" max="5" width="20.125" customWidth="1"/>
    <col min="8" max="8" width="10.25" bestFit="1" customWidth="1"/>
    <col min="9" max="17" width="9" customWidth="1"/>
    <col min="18" max="18" width="10.25" bestFit="1" customWidth="1"/>
    <col min="21" max="21" width="17.25" bestFit="1" customWidth="1"/>
    <col min="22" max="22" width="13.25" bestFit="1" customWidth="1"/>
    <col min="23" max="23" width="9" style="164"/>
  </cols>
  <sheetData>
    <row r="1" spans="1:23" s="22" customFormat="1" ht="15" thickBot="1">
      <c r="A1" s="21" t="s">
        <v>480</v>
      </c>
      <c r="B1" s="21" t="s">
        <v>481</v>
      </c>
      <c r="C1" s="152" t="s">
        <v>482</v>
      </c>
      <c r="D1" s="20" t="s">
        <v>483</v>
      </c>
      <c r="E1" s="20" t="s">
        <v>484</v>
      </c>
      <c r="F1" s="15" t="s">
        <v>68</v>
      </c>
      <c r="G1" s="15" t="s">
        <v>69</v>
      </c>
      <c r="H1" s="15" t="s">
        <v>70</v>
      </c>
      <c r="I1" s="15" t="s">
        <v>71</v>
      </c>
      <c r="J1" s="15" t="s">
        <v>72</v>
      </c>
      <c r="K1" s="15" t="s">
        <v>73</v>
      </c>
      <c r="L1" s="15" t="s">
        <v>74</v>
      </c>
      <c r="M1" s="15" t="s">
        <v>75</v>
      </c>
      <c r="N1" s="15" t="s">
        <v>76</v>
      </c>
      <c r="O1" s="15" t="s">
        <v>77</v>
      </c>
      <c r="P1" s="15" t="s">
        <v>78</v>
      </c>
      <c r="Q1" s="15" t="s">
        <v>79</v>
      </c>
      <c r="R1" s="15" t="s">
        <v>479</v>
      </c>
      <c r="W1" s="160"/>
    </row>
    <row r="2" spans="1:23" s="22" customFormat="1" ht="18" customHeight="1">
      <c r="A2" s="16" t="s">
        <v>13</v>
      </c>
      <c r="B2" s="16" t="s">
        <v>18</v>
      </c>
      <c r="C2" s="149">
        <v>8008020101</v>
      </c>
      <c r="D2" s="23" t="s">
        <v>177</v>
      </c>
      <c r="E2" s="16" t="s">
        <v>178</v>
      </c>
      <c r="F2" s="17">
        <v>0</v>
      </c>
      <c r="G2" s="17">
        <v>0</v>
      </c>
      <c r="H2" s="17"/>
      <c r="I2" s="17"/>
      <c r="J2" s="17"/>
      <c r="K2" s="17"/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8">
        <f>SUM(F2:Q2)</f>
        <v>0</v>
      </c>
      <c r="S2" s="160"/>
      <c r="U2" t="s">
        <v>516</v>
      </c>
      <c r="V2" t="s">
        <v>518</v>
      </c>
      <c r="W2" s="164"/>
    </row>
    <row r="3" spans="1:23" s="22" customFormat="1" ht="18" customHeight="1">
      <c r="A3" s="16" t="s">
        <v>13</v>
      </c>
      <c r="B3" s="16" t="s">
        <v>18</v>
      </c>
      <c r="C3" s="149">
        <v>8008020102</v>
      </c>
      <c r="D3" s="23" t="s">
        <v>179</v>
      </c>
      <c r="E3" s="16" t="s">
        <v>180</v>
      </c>
      <c r="F3" s="17">
        <v>0.15204000000000001</v>
      </c>
      <c r="G3" s="17">
        <v>7.2620000000000004E-2</v>
      </c>
      <c r="H3" s="17">
        <v>0.35</v>
      </c>
      <c r="I3" s="17">
        <v>0.26</v>
      </c>
      <c r="J3" s="17">
        <v>1.92</v>
      </c>
      <c r="K3" s="17"/>
      <c r="L3" s="19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8">
        <f t="shared" ref="R3:R35" si="0">SUM(F3:Q3)</f>
        <v>2.7546599999999999</v>
      </c>
      <c r="S3" s="160"/>
      <c r="U3" s="153" t="s">
        <v>12</v>
      </c>
      <c r="V3" s="163">
        <v>20.188152000000002</v>
      </c>
      <c r="W3" s="164">
        <f>GETPIVOTDATA("6月",$U$2,"二级科目","仓储物流费")-'植物智慧21年利润表（实际）'!G23</f>
        <v>20.188152000000002</v>
      </c>
    </row>
    <row r="4" spans="1:23" s="22" customFormat="1" ht="18" customHeight="1">
      <c r="A4" s="16" t="s">
        <v>13</v>
      </c>
      <c r="B4" s="16" t="s">
        <v>18</v>
      </c>
      <c r="C4" s="149">
        <v>8008020104</v>
      </c>
      <c r="D4" s="23" t="s">
        <v>183</v>
      </c>
      <c r="E4" s="16" t="s">
        <v>184</v>
      </c>
      <c r="F4" s="17">
        <v>0</v>
      </c>
      <c r="G4" s="17">
        <v>0</v>
      </c>
      <c r="H4" s="17"/>
      <c r="I4" s="17"/>
      <c r="J4" s="17"/>
      <c r="K4" s="17"/>
      <c r="L4" s="19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8">
        <f t="shared" si="0"/>
        <v>0</v>
      </c>
      <c r="S4" s="160"/>
      <c r="U4" s="153" t="s">
        <v>13</v>
      </c>
      <c r="V4" s="163">
        <v>54.614812000000001</v>
      </c>
      <c r="W4" s="164">
        <f>GETPIVOTDATA("6月",$U$2,"二级科目","促销费")-'植物智慧21年利润表（实际）'!G11-'植物智慧21年利润表（实际）'!G12</f>
        <v>54.614812000000001</v>
      </c>
    </row>
    <row r="5" spans="1:23" s="22" customFormat="1" ht="18" customHeight="1">
      <c r="A5" s="16" t="s">
        <v>13</v>
      </c>
      <c r="B5" s="16" t="s">
        <v>18</v>
      </c>
      <c r="C5" s="149">
        <v>8008020105</v>
      </c>
      <c r="D5" s="23" t="s">
        <v>185</v>
      </c>
      <c r="E5" s="16" t="s">
        <v>485</v>
      </c>
      <c r="F5" s="17">
        <v>1.44E-2</v>
      </c>
      <c r="G5" s="17">
        <v>0.14399999999999999</v>
      </c>
      <c r="H5" s="17">
        <v>0.43</v>
      </c>
      <c r="I5" s="17">
        <v>0.48</v>
      </c>
      <c r="J5" s="17">
        <v>0.26</v>
      </c>
      <c r="K5" s="17"/>
      <c r="L5" s="19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8">
        <f t="shared" si="0"/>
        <v>1.3284</v>
      </c>
      <c r="S5" s="160"/>
      <c r="U5" s="153" t="s">
        <v>15</v>
      </c>
      <c r="V5" s="163">
        <v>0.5557399999999999</v>
      </c>
      <c r="W5" s="164">
        <f>GETPIVOTDATA("6月",$U$2,"二级科目","培训和会议")-'植物智慧21年利润表（实际）'!G22</f>
        <v>0.5557399999999999</v>
      </c>
    </row>
    <row r="6" spans="1:23" s="22" customFormat="1" ht="18" customHeight="1">
      <c r="A6" s="16" t="s">
        <v>13</v>
      </c>
      <c r="B6" s="16" t="s">
        <v>18</v>
      </c>
      <c r="C6" s="149">
        <v>8008020103</v>
      </c>
      <c r="D6" s="23" t="s">
        <v>181</v>
      </c>
      <c r="E6" s="16" t="s">
        <v>182</v>
      </c>
      <c r="F6" s="17">
        <v>0</v>
      </c>
      <c r="G6" s="17">
        <v>0</v>
      </c>
      <c r="H6" s="17"/>
      <c r="I6" s="17"/>
      <c r="J6" s="17">
        <v>0.26</v>
      </c>
      <c r="K6" s="17"/>
      <c r="L6" s="19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8">
        <f t="shared" si="0"/>
        <v>0.26</v>
      </c>
      <c r="S6" s="160"/>
      <c r="U6" s="153" t="s">
        <v>30</v>
      </c>
      <c r="V6" s="163">
        <v>47.486030999999997</v>
      </c>
      <c r="W6" s="164">
        <f>GETPIVOTDATA("6月",$U$2,"二级科目","人资费")-'植物智慧21年利润表（实际）'!G21</f>
        <v>47.486030999999997</v>
      </c>
    </row>
    <row r="7" spans="1:23" s="22" customFormat="1" ht="18" customHeight="1">
      <c r="A7" s="16" t="s">
        <v>13</v>
      </c>
      <c r="B7" s="16" t="s">
        <v>18</v>
      </c>
      <c r="C7" s="149">
        <v>8008020106</v>
      </c>
      <c r="D7" s="23" t="s">
        <v>186</v>
      </c>
      <c r="E7" s="16" t="s">
        <v>471</v>
      </c>
      <c r="F7" s="17">
        <v>0</v>
      </c>
      <c r="G7" s="17">
        <v>0</v>
      </c>
      <c r="H7" s="17"/>
      <c r="I7" s="17"/>
      <c r="J7" s="17"/>
      <c r="K7" s="17"/>
      <c r="L7" s="19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8">
        <f t="shared" si="0"/>
        <v>0</v>
      </c>
      <c r="S7" s="160"/>
      <c r="U7" s="153" t="s">
        <v>333</v>
      </c>
      <c r="V7" s="163">
        <v>32.584994999999928</v>
      </c>
      <c r="W7" s="164">
        <f>GETPIVOTDATA("6月",$U$2,"二级科目","日常费用")-'植物智慧21年利润表（实际）'!G27</f>
        <v>32.584994999999928</v>
      </c>
    </row>
    <row r="8" spans="1:23" s="22" customFormat="1" ht="18" customHeight="1">
      <c r="A8" s="16" t="s">
        <v>13</v>
      </c>
      <c r="B8" s="16" t="s">
        <v>187</v>
      </c>
      <c r="C8" s="149">
        <v>8008020201</v>
      </c>
      <c r="D8" s="23" t="s">
        <v>188</v>
      </c>
      <c r="E8" s="16" t="s">
        <v>486</v>
      </c>
      <c r="F8" s="17">
        <v>0</v>
      </c>
      <c r="G8" s="17">
        <v>1.684388</v>
      </c>
      <c r="H8" s="17">
        <v>1.01</v>
      </c>
      <c r="I8" s="17">
        <v>0.02</v>
      </c>
      <c r="J8" s="17">
        <v>1.1100000000000001</v>
      </c>
      <c r="K8" s="17"/>
      <c r="L8" s="19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8">
        <f t="shared" si="0"/>
        <v>3.8243879999999999</v>
      </c>
      <c r="S8" s="160"/>
      <c r="U8" s="153" t="s">
        <v>293</v>
      </c>
      <c r="V8" s="163">
        <v>2.0442999999999989E-2</v>
      </c>
      <c r="W8" s="164"/>
    </row>
    <row r="9" spans="1:23" s="22" customFormat="1" ht="18" customHeight="1">
      <c r="A9" s="16" t="s">
        <v>13</v>
      </c>
      <c r="B9" s="16" t="s">
        <v>187</v>
      </c>
      <c r="C9" s="149">
        <v>8008020202</v>
      </c>
      <c r="D9" s="23" t="s">
        <v>189</v>
      </c>
      <c r="E9" s="16" t="s">
        <v>487</v>
      </c>
      <c r="F9" s="17">
        <v>13.233163000000001</v>
      </c>
      <c r="G9" s="17">
        <v>29.180191999999998</v>
      </c>
      <c r="H9" s="17">
        <v>25.41</v>
      </c>
      <c r="I9" s="17">
        <v>14.65</v>
      </c>
      <c r="J9" s="17">
        <v>20.39</v>
      </c>
      <c r="K9" s="17"/>
      <c r="L9" s="19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8">
        <f t="shared" si="0"/>
        <v>102.863355</v>
      </c>
      <c r="S9" s="160"/>
      <c r="U9" s="153" t="s">
        <v>295</v>
      </c>
      <c r="V9" s="163">
        <v>8.1659000000000009E-2</v>
      </c>
      <c r="W9" s="164">
        <f>GETPIVOTDATA("6月",$U$2,"二级科目","长期待摊费用摊销")+GETPIVOTDATA("6月",$U$2,"二级科目","折旧费")-'植物智慧21年利润表（实际）'!G24</f>
        <v>0.102102</v>
      </c>
    </row>
    <row r="10" spans="1:23" s="22" customFormat="1" ht="18" customHeight="1">
      <c r="A10" s="16" t="s">
        <v>30</v>
      </c>
      <c r="B10" s="16" t="s">
        <v>197</v>
      </c>
      <c r="C10" s="149">
        <v>8209020101</v>
      </c>
      <c r="D10" s="23" t="s">
        <v>198</v>
      </c>
      <c r="E10" s="16" t="s">
        <v>199</v>
      </c>
      <c r="F10" s="17">
        <v>3.4686690000000016</v>
      </c>
      <c r="G10" s="17">
        <v>20.480948000000001</v>
      </c>
      <c r="H10" s="17">
        <v>20.240500000000001</v>
      </c>
      <c r="I10" s="17">
        <v>21.226292999999998</v>
      </c>
      <c r="J10" s="17">
        <v>11.22</v>
      </c>
      <c r="K10" s="161"/>
      <c r="L10" s="19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8">
        <f t="shared" si="0"/>
        <v>76.636409999999998</v>
      </c>
      <c r="S10" s="160"/>
      <c r="U10" s="153" t="s">
        <v>517</v>
      </c>
      <c r="V10" s="163">
        <v>155.53183199999992</v>
      </c>
      <c r="W10" s="164"/>
    </row>
    <row r="11" spans="1:23" s="22" customFormat="1" ht="18" customHeight="1">
      <c r="A11" s="16" t="s">
        <v>30</v>
      </c>
      <c r="B11" s="16" t="s">
        <v>197</v>
      </c>
      <c r="C11" s="149">
        <v>8209020103</v>
      </c>
      <c r="D11" s="23" t="s">
        <v>488</v>
      </c>
      <c r="E11" s="16" t="s">
        <v>203</v>
      </c>
      <c r="F11" s="17">
        <v>-8.6555169999999979</v>
      </c>
      <c r="G11" s="17">
        <v>0</v>
      </c>
      <c r="H11" s="17"/>
      <c r="I11" s="17">
        <v>0.3</v>
      </c>
      <c r="J11" s="17">
        <v>0</v>
      </c>
      <c r="K11" s="161"/>
      <c r="L11" s="19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8">
        <f t="shared" si="0"/>
        <v>-8.3555169999999972</v>
      </c>
      <c r="S11" s="160"/>
      <c r="U11"/>
      <c r="V11"/>
      <c r="W11" s="164"/>
    </row>
    <row r="12" spans="1:23" s="22" customFormat="1" ht="18" customHeight="1">
      <c r="A12" s="16" t="s">
        <v>30</v>
      </c>
      <c r="B12" s="16" t="s">
        <v>197</v>
      </c>
      <c r="C12" s="149">
        <v>8209020104</v>
      </c>
      <c r="D12" s="23" t="s">
        <v>204</v>
      </c>
      <c r="E12" s="16" t="s">
        <v>205</v>
      </c>
      <c r="F12" s="17">
        <v>7.8559990000000006</v>
      </c>
      <c r="G12" s="17">
        <v>5.8251349999999995</v>
      </c>
      <c r="H12" s="161">
        <v>3.8395440000000001</v>
      </c>
      <c r="I12" s="17">
        <v>-1.42794</v>
      </c>
      <c r="J12" s="17">
        <v>1.52</v>
      </c>
      <c r="K12" s="161"/>
      <c r="L12" s="19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8">
        <f t="shared" si="0"/>
        <v>17.612738</v>
      </c>
      <c r="S12" s="160"/>
      <c r="U12"/>
      <c r="V12"/>
      <c r="W12" s="164"/>
    </row>
    <row r="13" spans="1:23" s="22" customFormat="1" ht="18" customHeight="1">
      <c r="A13" s="16" t="s">
        <v>30</v>
      </c>
      <c r="B13" s="16" t="s">
        <v>197</v>
      </c>
      <c r="C13" s="149">
        <v>8209020105</v>
      </c>
      <c r="D13" s="23" t="s">
        <v>206</v>
      </c>
      <c r="E13" s="16" t="s">
        <v>207</v>
      </c>
      <c r="F13" s="17">
        <v>2.4178999999999999</v>
      </c>
      <c r="G13" s="17">
        <v>2.4035000000000002</v>
      </c>
      <c r="H13" s="17">
        <v>2.4106999999999998</v>
      </c>
      <c r="I13" s="17">
        <v>4.7600000000000003E-2</v>
      </c>
      <c r="J13" s="17">
        <v>0.68</v>
      </c>
      <c r="K13" s="161"/>
      <c r="L13" s="19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8">
        <f t="shared" si="0"/>
        <v>7.9597000000000007</v>
      </c>
      <c r="S13" s="160"/>
      <c r="U13"/>
      <c r="V13"/>
      <c r="W13" s="164"/>
    </row>
    <row r="14" spans="1:23" s="22" customFormat="1" ht="18" customHeight="1">
      <c r="A14" s="16" t="s">
        <v>30</v>
      </c>
      <c r="B14" s="16" t="s">
        <v>197</v>
      </c>
      <c r="C14" s="149">
        <v>8209020106</v>
      </c>
      <c r="D14" s="23" t="s">
        <v>208</v>
      </c>
      <c r="E14" s="16" t="s">
        <v>209</v>
      </c>
      <c r="F14" s="17">
        <v>0</v>
      </c>
      <c r="G14" s="17">
        <v>0.29110000000000003</v>
      </c>
      <c r="H14" s="17"/>
      <c r="I14" s="17">
        <v>0</v>
      </c>
      <c r="J14" s="17"/>
      <c r="K14" s="161"/>
      <c r="L14" s="19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8">
        <f t="shared" si="0"/>
        <v>0.29110000000000003</v>
      </c>
      <c r="S14" s="160"/>
      <c r="U14"/>
      <c r="V14"/>
      <c r="W14" s="164"/>
    </row>
    <row r="15" spans="1:23" s="22" customFormat="1" ht="18" customHeight="1">
      <c r="A15" s="16" t="s">
        <v>30</v>
      </c>
      <c r="B15" s="16" t="s">
        <v>197</v>
      </c>
      <c r="C15" s="149">
        <v>8209020108</v>
      </c>
      <c r="D15" s="23" t="s">
        <v>212</v>
      </c>
      <c r="E15" s="16" t="s">
        <v>213</v>
      </c>
      <c r="F15" s="17">
        <v>9.1874000000000002</v>
      </c>
      <c r="G15" s="17">
        <v>0</v>
      </c>
      <c r="H15" s="17">
        <v>59.073599999999999</v>
      </c>
      <c r="I15" s="17">
        <v>20.976199999999999</v>
      </c>
      <c r="J15" s="17"/>
      <c r="K15" s="161"/>
      <c r="L15" s="19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8">
        <f t="shared" si="0"/>
        <v>89.237200000000001</v>
      </c>
      <c r="S15" s="160"/>
      <c r="U15"/>
      <c r="V15"/>
      <c r="W15" s="164"/>
    </row>
    <row r="16" spans="1:23" s="22" customFormat="1" ht="18" customHeight="1">
      <c r="A16" s="16" t="s">
        <v>30</v>
      </c>
      <c r="B16" s="16" t="s">
        <v>197</v>
      </c>
      <c r="C16" s="149">
        <v>8209020109</v>
      </c>
      <c r="D16" s="23" t="s">
        <v>214</v>
      </c>
      <c r="E16" s="16" t="s">
        <v>215</v>
      </c>
      <c r="F16" s="17">
        <v>0.118376</v>
      </c>
      <c r="G16" s="17">
        <v>0.133909</v>
      </c>
      <c r="H16" s="17">
        <v>0.118376</v>
      </c>
      <c r="I16" s="17"/>
      <c r="J16" s="17">
        <v>0</v>
      </c>
      <c r="K16" s="161"/>
      <c r="L16" s="19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8">
        <f t="shared" si="0"/>
        <v>0.37066099999999996</v>
      </c>
      <c r="S16" s="160"/>
      <c r="U16"/>
      <c r="V16"/>
      <c r="W16" s="164"/>
    </row>
    <row r="17" spans="1:23" s="22" customFormat="1" ht="18" customHeight="1">
      <c r="A17" s="16" t="s">
        <v>30</v>
      </c>
      <c r="B17" s="16" t="s">
        <v>197</v>
      </c>
      <c r="C17" s="149">
        <v>8209020110</v>
      </c>
      <c r="D17" s="23" t="s">
        <v>216</v>
      </c>
      <c r="E17" s="16" t="s">
        <v>489</v>
      </c>
      <c r="F17" s="17">
        <v>0</v>
      </c>
      <c r="G17" s="17">
        <v>0</v>
      </c>
      <c r="H17" s="17"/>
      <c r="I17" s="17"/>
      <c r="J17" s="17"/>
      <c r="K17" s="161"/>
      <c r="L17" s="19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8">
        <f t="shared" si="0"/>
        <v>0</v>
      </c>
      <c r="S17" s="160"/>
      <c r="U17"/>
      <c r="V17"/>
      <c r="W17" s="164"/>
    </row>
    <row r="18" spans="1:23" s="22" customFormat="1" ht="18" customHeight="1">
      <c r="A18" s="16" t="s">
        <v>30</v>
      </c>
      <c r="B18" s="16" t="s">
        <v>217</v>
      </c>
      <c r="C18" s="149">
        <v>8209030101</v>
      </c>
      <c r="D18" s="23" t="s">
        <v>218</v>
      </c>
      <c r="E18" s="16" t="s">
        <v>219</v>
      </c>
      <c r="F18" s="17">
        <v>0</v>
      </c>
      <c r="G18" s="17">
        <v>0</v>
      </c>
      <c r="H18" s="17"/>
      <c r="I18" s="17"/>
      <c r="J18" s="17"/>
      <c r="K18" s="161"/>
      <c r="L18" s="19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8">
        <f t="shared" si="0"/>
        <v>0</v>
      </c>
      <c r="S18" s="160"/>
      <c r="U18"/>
      <c r="V18"/>
      <c r="W18" s="164"/>
    </row>
    <row r="19" spans="1:23" s="22" customFormat="1" ht="18" customHeight="1">
      <c r="A19" s="16" t="s">
        <v>15</v>
      </c>
      <c r="B19" s="16" t="s">
        <v>275</v>
      </c>
      <c r="C19" s="149">
        <v>8212010101</v>
      </c>
      <c r="D19" s="23" t="s">
        <v>276</v>
      </c>
      <c r="E19" s="16" t="s">
        <v>277</v>
      </c>
      <c r="F19" s="17">
        <v>-9.9999999947613104E-7</v>
      </c>
      <c r="G19" s="17">
        <v>0</v>
      </c>
      <c r="H19" s="17"/>
      <c r="I19" s="17"/>
      <c r="J19" s="17">
        <v>0</v>
      </c>
      <c r="K19" s="161"/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8">
        <f t="shared" si="0"/>
        <v>-9.9999999947613104E-7</v>
      </c>
      <c r="S19" s="160"/>
      <c r="U19"/>
      <c r="V19"/>
      <c r="W19" s="164"/>
    </row>
    <row r="20" spans="1:23" s="22" customFormat="1" ht="18" customHeight="1">
      <c r="A20" s="16" t="s">
        <v>15</v>
      </c>
      <c r="B20" s="16" t="s">
        <v>278</v>
      </c>
      <c r="C20" s="149">
        <v>8212020101</v>
      </c>
      <c r="D20" s="23" t="s">
        <v>279</v>
      </c>
      <c r="E20" s="16" t="s">
        <v>280</v>
      </c>
      <c r="F20" s="17">
        <v>0</v>
      </c>
      <c r="G20" s="17">
        <v>2.0513E-2</v>
      </c>
      <c r="H20" s="17"/>
      <c r="I20" s="17"/>
      <c r="J20" s="17">
        <v>0</v>
      </c>
      <c r="K20" s="161"/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8">
        <f t="shared" si="0"/>
        <v>2.0513E-2</v>
      </c>
      <c r="S20" s="160"/>
      <c r="W20" s="160"/>
    </row>
    <row r="21" spans="1:23" s="22" customFormat="1" ht="18" customHeight="1">
      <c r="A21" s="16" t="s">
        <v>12</v>
      </c>
      <c r="B21" s="16" t="s">
        <v>281</v>
      </c>
      <c r="C21" s="149">
        <v>8213010101</v>
      </c>
      <c r="D21" s="23" t="s">
        <v>282</v>
      </c>
      <c r="E21" s="16" t="s">
        <v>283</v>
      </c>
      <c r="F21" s="28">
        <v>2.2444500000000001</v>
      </c>
      <c r="G21" s="17">
        <v>3.7645619999999997</v>
      </c>
      <c r="H21" s="17"/>
      <c r="I21" s="17"/>
      <c r="J21" s="17"/>
      <c r="K21" s="161"/>
      <c r="L21" s="19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8">
        <f t="shared" si="0"/>
        <v>6.0090120000000002</v>
      </c>
      <c r="S21" s="160"/>
      <c r="W21" s="160"/>
    </row>
    <row r="22" spans="1:23" s="22" customFormat="1" ht="18" customHeight="1">
      <c r="A22" s="16" t="s">
        <v>12</v>
      </c>
      <c r="B22" s="16" t="s">
        <v>284</v>
      </c>
      <c r="C22" s="149">
        <v>8213010102</v>
      </c>
      <c r="D22" s="23" t="s">
        <v>285</v>
      </c>
      <c r="E22" s="16" t="s">
        <v>286</v>
      </c>
      <c r="F22" s="28">
        <v>4.8301780000000001</v>
      </c>
      <c r="G22" s="17">
        <v>-2.5925100000000003</v>
      </c>
      <c r="H22" s="17"/>
      <c r="I22" s="17"/>
      <c r="J22" s="17">
        <v>0</v>
      </c>
      <c r="K22" s="161"/>
      <c r="L22" s="19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8">
        <f t="shared" si="0"/>
        <v>2.2376679999999998</v>
      </c>
      <c r="S22" s="160"/>
      <c r="W22" s="160"/>
    </row>
    <row r="23" spans="1:23" s="22" customFormat="1" ht="18" customHeight="1">
      <c r="A23" s="16" t="s">
        <v>293</v>
      </c>
      <c r="B23" s="23" t="s">
        <v>293</v>
      </c>
      <c r="C23" s="149">
        <v>8015010101</v>
      </c>
      <c r="D23" s="25" t="s">
        <v>492</v>
      </c>
      <c r="E23" s="16" t="s">
        <v>294</v>
      </c>
      <c r="F23" s="17">
        <v>2.0220999999999999E-2</v>
      </c>
      <c r="G23" s="17">
        <v>2.0222E-2</v>
      </c>
      <c r="H23" s="17">
        <v>2.0220999999999999E-2</v>
      </c>
      <c r="I23" s="17">
        <v>2.0220999999999999E-2</v>
      </c>
      <c r="J23" s="17">
        <v>0.02</v>
      </c>
      <c r="K23" s="161"/>
      <c r="L23" s="19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8">
        <f t="shared" si="0"/>
        <v>0.100885</v>
      </c>
      <c r="S23" s="160"/>
      <c r="W23" s="160"/>
    </row>
    <row r="24" spans="1:23" s="22" customFormat="1" ht="18" customHeight="1">
      <c r="A24" s="16" t="s">
        <v>295</v>
      </c>
      <c r="B24" s="16" t="s">
        <v>305</v>
      </c>
      <c r="C24" s="149">
        <v>8015020104</v>
      </c>
      <c r="D24" s="23" t="s">
        <v>306</v>
      </c>
      <c r="E24" s="16" t="s">
        <v>307</v>
      </c>
      <c r="F24" s="17">
        <v>3.1695000000000001E-2</v>
      </c>
      <c r="G24" s="17">
        <v>3.1694E-2</v>
      </c>
      <c r="H24" s="17">
        <v>1.3425999999999999E-2</v>
      </c>
      <c r="I24" s="17">
        <v>1.3424999999999999E-2</v>
      </c>
      <c r="J24" s="17">
        <v>0</v>
      </c>
      <c r="K24" s="161"/>
      <c r="L24" s="19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8">
        <f t="shared" si="0"/>
        <v>9.0239999999999987E-2</v>
      </c>
      <c r="S24" s="160"/>
      <c r="W24" s="160"/>
    </row>
    <row r="25" spans="1:23" s="22" customFormat="1" ht="18" customHeight="1">
      <c r="A25" s="16" t="s">
        <v>295</v>
      </c>
      <c r="B25" s="16" t="s">
        <v>308</v>
      </c>
      <c r="C25" s="149">
        <v>8015020105</v>
      </c>
      <c r="D25" s="23" t="s">
        <v>491</v>
      </c>
      <c r="E25" s="16" t="s">
        <v>310</v>
      </c>
      <c r="F25" s="17">
        <v>0</v>
      </c>
      <c r="G25" s="17">
        <v>0</v>
      </c>
      <c r="H25" s="17"/>
      <c r="I25" s="17"/>
      <c r="J25" s="17"/>
      <c r="K25" s="161"/>
      <c r="L25" s="19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8">
        <f t="shared" si="0"/>
        <v>0</v>
      </c>
      <c r="S25" s="160"/>
      <c r="W25" s="160"/>
    </row>
    <row r="26" spans="1:23" s="22" customFormat="1" ht="18" customHeight="1">
      <c r="A26" s="16" t="s">
        <v>333</v>
      </c>
      <c r="B26" s="16" t="s">
        <v>363</v>
      </c>
      <c r="C26" s="149">
        <v>8214010101</v>
      </c>
      <c r="D26" s="23" t="s">
        <v>364</v>
      </c>
      <c r="E26" s="16" t="s">
        <v>365</v>
      </c>
      <c r="F26" s="17">
        <v>0</v>
      </c>
      <c r="G26" s="17">
        <v>0</v>
      </c>
      <c r="H26" s="17"/>
      <c r="I26" s="17"/>
      <c r="J26" s="17"/>
      <c r="K26" s="161"/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8">
        <f t="shared" si="0"/>
        <v>0</v>
      </c>
      <c r="S26" s="160"/>
      <c r="W26" s="160"/>
    </row>
    <row r="27" spans="1:23" s="22" customFormat="1" ht="18" customHeight="1">
      <c r="A27" s="16" t="s">
        <v>333</v>
      </c>
      <c r="B27" s="16" t="s">
        <v>366</v>
      </c>
      <c r="C27" s="149">
        <v>8214020101</v>
      </c>
      <c r="D27" s="23" t="s">
        <v>367</v>
      </c>
      <c r="E27" s="16" t="s">
        <v>368</v>
      </c>
      <c r="F27" s="17">
        <v>0</v>
      </c>
      <c r="G27" s="17">
        <v>4.9799999999999997E-2</v>
      </c>
      <c r="H27" s="17">
        <v>5.3464999999999999E-2</v>
      </c>
      <c r="I27" s="17">
        <v>0</v>
      </c>
      <c r="J27" s="17"/>
      <c r="K27" s="161"/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8">
        <f t="shared" si="0"/>
        <v>0.103265</v>
      </c>
      <c r="S27" s="160"/>
      <c r="W27" s="160"/>
    </row>
    <row r="28" spans="1:23" s="22" customFormat="1" ht="18" customHeight="1">
      <c r="A28" s="16" t="s">
        <v>333</v>
      </c>
      <c r="B28" s="16" t="s">
        <v>366</v>
      </c>
      <c r="C28" s="149">
        <v>8214020102</v>
      </c>
      <c r="D28" s="23" t="s">
        <v>369</v>
      </c>
      <c r="E28" s="16" t="s">
        <v>370</v>
      </c>
      <c r="F28" s="17">
        <v>0.50007699999999999</v>
      </c>
      <c r="G28" s="17">
        <v>0.20457400000000001</v>
      </c>
      <c r="H28" s="17">
        <v>0.53166900000000017</v>
      </c>
      <c r="I28" s="17">
        <v>0.38382299999999991</v>
      </c>
      <c r="J28" s="17">
        <v>0.06</v>
      </c>
      <c r="K28" s="161"/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8">
        <f t="shared" si="0"/>
        <v>1.6801430000000002</v>
      </c>
      <c r="S28" s="160"/>
      <c r="W28" s="160"/>
    </row>
    <row r="29" spans="1:23" s="22" customFormat="1" ht="18" customHeight="1">
      <c r="A29" s="16" t="s">
        <v>333</v>
      </c>
      <c r="B29" s="16" t="s">
        <v>366</v>
      </c>
      <c r="C29" s="149">
        <v>8214020103</v>
      </c>
      <c r="D29" s="23" t="s">
        <v>371</v>
      </c>
      <c r="E29" s="16" t="s">
        <v>372</v>
      </c>
      <c r="F29" s="17">
        <v>6.2318000000000005E-2</v>
      </c>
      <c r="G29" s="17">
        <v>5.6514999999999996E-2</v>
      </c>
      <c r="H29" s="17">
        <v>5.5995000000000003E-2</v>
      </c>
      <c r="I29" s="17">
        <v>5.1052E-2</v>
      </c>
      <c r="J29" s="17">
        <v>0</v>
      </c>
      <c r="K29" s="161"/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8">
        <f t="shared" si="0"/>
        <v>0.22587999999999997</v>
      </c>
      <c r="S29" s="160"/>
      <c r="W29" s="160"/>
    </row>
    <row r="30" spans="1:23" s="22" customFormat="1" ht="18" customHeight="1">
      <c r="A30" s="16" t="s">
        <v>333</v>
      </c>
      <c r="B30" s="16" t="s">
        <v>366</v>
      </c>
      <c r="C30" s="149">
        <v>8214020104</v>
      </c>
      <c r="D30" s="23" t="s">
        <v>373</v>
      </c>
      <c r="E30" s="16" t="s">
        <v>374</v>
      </c>
      <c r="F30" s="17">
        <v>0</v>
      </c>
      <c r="G30" s="17">
        <v>0.23669999999999999</v>
      </c>
      <c r="H30" s="17">
        <v>0.39832499999999998</v>
      </c>
      <c r="I30" s="17">
        <v>2.325E-2</v>
      </c>
      <c r="J30" s="17">
        <v>0</v>
      </c>
      <c r="K30" s="161"/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8">
        <f t="shared" si="0"/>
        <v>0.65827499999999994</v>
      </c>
      <c r="S30" s="160"/>
      <c r="W30" s="160"/>
    </row>
    <row r="31" spans="1:23" s="22" customFormat="1" ht="18" customHeight="1">
      <c r="A31" s="16" t="s">
        <v>333</v>
      </c>
      <c r="B31" s="16" t="s">
        <v>366</v>
      </c>
      <c r="C31" s="149">
        <v>8214020106</v>
      </c>
      <c r="D31" s="23" t="s">
        <v>377</v>
      </c>
      <c r="E31" s="16" t="s">
        <v>378</v>
      </c>
      <c r="F31" s="17">
        <v>0</v>
      </c>
      <c r="G31" s="17">
        <v>0</v>
      </c>
      <c r="H31" s="17">
        <v>2.64E-2</v>
      </c>
      <c r="I31" s="17"/>
      <c r="J31" s="17"/>
      <c r="K31" s="161"/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8">
        <f t="shared" si="0"/>
        <v>2.64E-2</v>
      </c>
      <c r="S31" s="160"/>
      <c r="W31" s="160"/>
    </row>
    <row r="32" spans="1:23" s="22" customFormat="1" ht="18" customHeight="1">
      <c r="A32" s="16" t="s">
        <v>333</v>
      </c>
      <c r="B32" s="16" t="s">
        <v>366</v>
      </c>
      <c r="C32" s="149">
        <v>8214060101</v>
      </c>
      <c r="D32" s="23" t="s">
        <v>410</v>
      </c>
      <c r="E32" s="16"/>
      <c r="F32" s="17">
        <v>0</v>
      </c>
      <c r="G32" s="17">
        <v>0</v>
      </c>
      <c r="H32" s="17"/>
      <c r="I32" s="17"/>
      <c r="J32" s="17"/>
      <c r="K32" s="161"/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8">
        <f t="shared" si="0"/>
        <v>0</v>
      </c>
      <c r="S32" s="160"/>
      <c r="W32" s="160"/>
    </row>
    <row r="33" spans="1:23" s="22" customFormat="1" ht="18" customHeight="1">
      <c r="A33" s="16" t="s">
        <v>333</v>
      </c>
      <c r="B33" s="16" t="s">
        <v>366</v>
      </c>
      <c r="C33" s="149">
        <v>8214060102</v>
      </c>
      <c r="D33" s="23" t="s">
        <v>412</v>
      </c>
      <c r="E33" s="16"/>
      <c r="F33" s="17">
        <v>0</v>
      </c>
      <c r="G33" s="17">
        <v>0</v>
      </c>
      <c r="H33" s="17"/>
      <c r="I33" s="17"/>
      <c r="J33" s="17"/>
      <c r="K33" s="161"/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8">
        <f t="shared" si="0"/>
        <v>0</v>
      </c>
      <c r="S33" s="160"/>
      <c r="W33" s="160"/>
    </row>
    <row r="34" spans="1:23" s="22" customFormat="1" ht="18" customHeight="1">
      <c r="A34" s="16" t="s">
        <v>333</v>
      </c>
      <c r="B34" s="16" t="s">
        <v>391</v>
      </c>
      <c r="C34" s="149">
        <v>8214030101</v>
      </c>
      <c r="D34" s="23" t="s">
        <v>392</v>
      </c>
      <c r="E34" s="16" t="s">
        <v>393</v>
      </c>
      <c r="F34" s="17">
        <v>16.897099000000001</v>
      </c>
      <c r="G34" s="17">
        <v>4.0432109999999994</v>
      </c>
      <c r="H34" s="17">
        <v>3.4307349999999999</v>
      </c>
      <c r="I34" s="17">
        <v>4.9131029999999996</v>
      </c>
      <c r="J34" s="17">
        <v>0.43</v>
      </c>
      <c r="K34" s="161"/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8">
        <f t="shared" si="0"/>
        <v>29.714147999999998</v>
      </c>
      <c r="S34" s="160"/>
      <c r="W34" s="160"/>
    </row>
    <row r="35" spans="1:23" s="22" customFormat="1" ht="18" customHeight="1">
      <c r="A35" s="16" t="s">
        <v>333</v>
      </c>
      <c r="B35" s="16" t="s">
        <v>397</v>
      </c>
      <c r="C35" s="149">
        <v>8214040101</v>
      </c>
      <c r="D35" s="23" t="s">
        <v>398</v>
      </c>
      <c r="E35" s="16" t="s">
        <v>490</v>
      </c>
      <c r="F35" s="17">
        <v>2.1995</v>
      </c>
      <c r="G35" s="17">
        <v>0</v>
      </c>
      <c r="H35" s="17">
        <v>0.2</v>
      </c>
      <c r="I35" s="17"/>
      <c r="J35" s="17">
        <v>0</v>
      </c>
      <c r="K35" s="161"/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8">
        <f t="shared" si="0"/>
        <v>2.3995000000000002</v>
      </c>
      <c r="S35" s="160"/>
      <c r="W35" s="160"/>
    </row>
    <row r="36" spans="1:23" s="27" customFormat="1" ht="18" customHeight="1">
      <c r="A36" s="26"/>
      <c r="B36" s="26"/>
      <c r="C36" s="204" t="s">
        <v>479</v>
      </c>
      <c r="D36" s="205"/>
      <c r="E36" s="24"/>
      <c r="F36" s="11">
        <f>SUM(F2:F35)</f>
        <v>54.577967000000001</v>
      </c>
      <c r="G36" s="11">
        <f t="shared" ref="G36:R36" si="1">SUM(G2:G35)</f>
        <v>66.051073000000002</v>
      </c>
      <c r="H36" s="11">
        <f t="shared" si="1"/>
        <v>117.61295599999998</v>
      </c>
      <c r="I36" s="11">
        <f t="shared" si="1"/>
        <v>61.937026999999986</v>
      </c>
      <c r="J36" s="11">
        <f t="shared" si="1"/>
        <v>37.870000000000012</v>
      </c>
      <c r="K36" s="11">
        <f t="shared" si="1"/>
        <v>0</v>
      </c>
      <c r="L36" s="11">
        <f t="shared" si="1"/>
        <v>0</v>
      </c>
      <c r="M36" s="11">
        <f t="shared" si="1"/>
        <v>0</v>
      </c>
      <c r="N36" s="11">
        <f t="shared" si="1"/>
        <v>0</v>
      </c>
      <c r="O36" s="11">
        <f t="shared" si="1"/>
        <v>0</v>
      </c>
      <c r="P36" s="11">
        <f t="shared" si="1"/>
        <v>0</v>
      </c>
      <c r="Q36" s="11">
        <f t="shared" si="1"/>
        <v>0</v>
      </c>
      <c r="R36" s="11">
        <f t="shared" si="1"/>
        <v>338.04902300000003</v>
      </c>
      <c r="W36" s="165"/>
    </row>
    <row r="40" spans="1:23">
      <c r="K40" s="162">
        <f>K36-'植物智慧21年利润表（实际）'!G10</f>
        <v>0</v>
      </c>
    </row>
  </sheetData>
  <autoFilter ref="A1:R36"/>
  <mergeCells count="1">
    <mergeCell ref="C36:D36"/>
  </mergeCells>
  <phoneticPr fontId="2" type="noConversion"/>
  <pageMargins left="0.7" right="0.7" top="0.75" bottom="0.75" header="0.3" footer="0.3"/>
  <pageSetup paperSize="9" orientation="portrait" r:id="rId2"/>
  <customProperties>
    <customPr name="_pios_id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S53"/>
  <sheetViews>
    <sheetView showGridLines="0" workbookViewId="0">
      <pane xSplit="1" ySplit="4" topLeftCell="I32" activePane="bottomRight" state="frozen"/>
      <selection activeCell="A49" sqref="A49"/>
      <selection pane="topRight" activeCell="A49" sqref="A49"/>
      <selection pane="bottomLeft" activeCell="A49" sqref="A49"/>
      <selection pane="bottomRight" activeCell="K31" sqref="K31"/>
    </sheetView>
  </sheetViews>
  <sheetFormatPr defaultColWidth="8.625" defaultRowHeight="13.5" outlineLevelRow="1"/>
  <cols>
    <col min="1" max="1" width="31.875" style="1" customWidth="1"/>
    <col min="2" max="2" width="16.875" style="6" customWidth="1"/>
    <col min="3" max="3" width="9.625" style="2" bestFit="1" customWidth="1"/>
    <col min="4" max="4" width="7.875" style="60" customWidth="1"/>
    <col min="5" max="5" width="8" style="2" bestFit="1" customWidth="1"/>
    <col min="6" max="6" width="13" style="60" customWidth="1"/>
    <col min="7" max="7" width="9.25" style="2" bestFit="1" customWidth="1"/>
    <col min="8" max="8" width="10.375" style="63" customWidth="1"/>
    <col min="9" max="9" width="9.625" style="3" bestFit="1" customWidth="1"/>
    <col min="10" max="10" width="7.875" style="144" customWidth="1"/>
    <col min="11" max="11" width="8" style="3" bestFit="1" customWidth="1"/>
    <col min="12" max="12" width="10.875" style="59" customWidth="1"/>
    <col min="13" max="13" width="9.25" style="3" bestFit="1" customWidth="1"/>
    <col min="14" max="14" width="10.375" style="59" customWidth="1"/>
    <col min="15" max="16384" width="8.625" style="3"/>
  </cols>
  <sheetData>
    <row r="1" spans="1:19" ht="24.75" customHeight="1">
      <c r="A1" s="148" t="s">
        <v>558</v>
      </c>
      <c r="B1" s="56"/>
      <c r="C1" s="57"/>
      <c r="D1" s="132"/>
      <c r="E1" s="58"/>
      <c r="F1" s="29"/>
      <c r="G1" s="30"/>
      <c r="H1" s="61"/>
      <c r="I1" s="31"/>
      <c r="J1" s="136"/>
      <c r="K1" s="31"/>
      <c r="L1" s="55"/>
      <c r="N1" s="55"/>
    </row>
    <row r="2" spans="1:19" ht="24.75" customHeight="1" thickBot="1">
      <c r="A2" s="3"/>
      <c r="B2" s="56"/>
      <c r="C2" s="3"/>
      <c r="D2" s="132"/>
      <c r="E2" s="173" t="s">
        <v>538</v>
      </c>
      <c r="F2" s="174" t="s">
        <v>69</v>
      </c>
      <c r="G2" s="30"/>
      <c r="H2" s="61"/>
      <c r="I2" s="31"/>
      <c r="J2" s="136"/>
      <c r="K2" s="31"/>
      <c r="L2" s="55"/>
      <c r="M2" s="31"/>
      <c r="N2" s="31" t="s">
        <v>496</v>
      </c>
    </row>
    <row r="3" spans="1:19" s="4" customFormat="1" ht="15">
      <c r="A3" s="32" t="s">
        <v>10</v>
      </c>
      <c r="B3" s="33"/>
      <c r="C3" s="206" t="s">
        <v>493</v>
      </c>
      <c r="D3" s="206"/>
      <c r="E3" s="206"/>
      <c r="F3" s="206"/>
      <c r="G3" s="206"/>
      <c r="H3" s="206"/>
      <c r="I3" s="206" t="s">
        <v>556</v>
      </c>
      <c r="J3" s="206"/>
      <c r="K3" s="206"/>
      <c r="L3" s="206"/>
      <c r="M3" s="206"/>
      <c r="N3" s="207"/>
    </row>
    <row r="4" spans="1:19" s="4" customFormat="1" ht="26.25" customHeight="1">
      <c r="A4" s="34" t="s">
        <v>11</v>
      </c>
      <c r="B4" s="35"/>
      <c r="C4" s="36" t="s">
        <v>2</v>
      </c>
      <c r="D4" s="133" t="s">
        <v>512</v>
      </c>
      <c r="E4" s="36" t="s">
        <v>3</v>
      </c>
      <c r="F4" s="37" t="s">
        <v>4</v>
      </c>
      <c r="G4" s="36" t="s">
        <v>494</v>
      </c>
      <c r="H4" s="98" t="s">
        <v>495</v>
      </c>
      <c r="I4" s="97" t="s">
        <v>67</v>
      </c>
      <c r="J4" s="137" t="s">
        <v>512</v>
      </c>
      <c r="K4" s="36" t="s">
        <v>3</v>
      </c>
      <c r="L4" s="37" t="s">
        <v>4</v>
      </c>
      <c r="M4" s="36" t="s">
        <v>494</v>
      </c>
      <c r="N4" s="38" t="s">
        <v>495</v>
      </c>
    </row>
    <row r="5" spans="1:19" ht="16.5">
      <c r="A5" s="39" t="s">
        <v>35</v>
      </c>
      <c r="B5" s="40"/>
      <c r="C5" s="41">
        <f ca="1">OFFSET('植物智慧21年利润表（实际）'!$A3,0,VLOOKUP($F$2,月度,2,0),1,1)</f>
        <v>646.43899999999996</v>
      </c>
      <c r="D5" s="134"/>
      <c r="E5" s="41">
        <f ca="1">OFFSET('植物智慧20年利润表（实际）'!$A3,0,VLOOKUP($F$2,月度,2,0),1,1)</f>
        <v>894.53309999999999</v>
      </c>
      <c r="F5" s="195">
        <f ca="1">IFERROR((C5-E5)/ABS(E5),"-")</f>
        <v>-0.27734479584936544</v>
      </c>
      <c r="G5" s="41">
        <f ca="1">OFFSET(植物智慧21年最新签批全年预算!$A3,0,VLOOKUP($F$2,月度,2,0),1,1)</f>
        <v>145.71428571428572</v>
      </c>
      <c r="H5" s="195">
        <f ca="1">IF(G5&gt;0,C5/G5,IF(G5&lt;0,(G5+G5-C5)/G5,"-"))</f>
        <v>4.436346078431372</v>
      </c>
      <c r="I5" s="41">
        <f ca="1">SUM(OFFSET('植物智慧21年利润表（实际）'!$A3,0,1,1,VLOOKUP($F$2,月度,2,0)))</f>
        <v>2350.7518999999998</v>
      </c>
      <c r="J5" s="138"/>
      <c r="K5" s="41">
        <f ca="1">SUM(OFFSET('植物智慧20年利润表（实际）'!$A3,0,1,1,VLOOKUP($F$2,月度,2,0)))</f>
        <v>1293.6199999999999</v>
      </c>
      <c r="L5" s="195">
        <f ca="1">IFERROR((I5-K5)/ABS(K5),"-")</f>
        <v>0.81718889627556779</v>
      </c>
      <c r="M5" s="41">
        <f ca="1">SUM(OFFSET(植物智慧21年最新签批全年预算!$A3,0,1,1,VLOOKUP($F$2,月度,2,0)))</f>
        <v>495.97830671320128</v>
      </c>
      <c r="N5" s="75">
        <f ca="1">IF(M5&gt;0,I5/M5,IF(M5&lt;0,(M5+M5-I5)/M5,"-"))</f>
        <v>4.739626447733567</v>
      </c>
      <c r="P5" s="175"/>
      <c r="Q5" s="175"/>
      <c r="R5" s="175"/>
      <c r="S5" s="175"/>
    </row>
    <row r="6" spans="1:19" ht="16.5">
      <c r="A6" s="39" t="s">
        <v>0</v>
      </c>
      <c r="B6" s="40"/>
      <c r="C6" s="41">
        <f ca="1">OFFSET('植物智慧21年利润表（实际）'!$A4,0,VLOOKUP($F$2,月度,2,0),1,1)</f>
        <v>270.6812073142857</v>
      </c>
      <c r="D6" s="134"/>
      <c r="E6" s="41">
        <f ca="1">OFFSET('植物智慧20年利润表（实际）'!$A4,0,VLOOKUP($F$2,月度,2,0),1,1)</f>
        <v>547.40230337142862</v>
      </c>
      <c r="F6" s="195">
        <f t="shared" ref="F6:F48" ca="1" si="0">IFERROR((C6-E6)/ABS(E6),"-")</f>
        <v>-0.50551686456711797</v>
      </c>
      <c r="G6" s="41">
        <f ca="1">OFFSET(植物智慧21年最新签批全年预算!$A4,0,VLOOKUP($F$2,月度,2,0),1,1)</f>
        <v>85.714285714285722</v>
      </c>
      <c r="H6" s="195">
        <f t="shared" ref="H6:H48" ca="1" si="1">IF(G6&gt;0,C6/G6,IF(G6&lt;0,(G6+G6-C6)/G6,"-"))</f>
        <v>3.1579474186666663</v>
      </c>
      <c r="I6" s="41">
        <f ca="1">SUM(OFFSET('植物智慧21年利润表（实际）'!$A4,0,1,1,VLOOKUP($F$2,月度,2,0)))</f>
        <v>1065.7822581999999</v>
      </c>
      <c r="J6" s="138"/>
      <c r="K6" s="41">
        <f ca="1">SUM(OFFSET('植物智慧20年利润表（实际）'!$A4,0,1,1,VLOOKUP($F$2,月度,2,0)))</f>
        <v>755.15621194285723</v>
      </c>
      <c r="L6" s="195">
        <f t="shared" ref="L6:L10" ca="1" si="2">IFERROR((I6-K6)/ABS(K6),"-")</f>
        <v>0.41134011922906327</v>
      </c>
      <c r="M6" s="41">
        <f ca="1">SUM(OFFSET(植物智慧21年最新签批全年预算!$A4,0,1,1,VLOOKUP($F$2,月度,2,0)))</f>
        <v>268.0523163398704</v>
      </c>
      <c r="N6" s="75">
        <f t="shared" ref="N6:N10" ca="1" si="3">IF(M6&gt;0,I6/M6,IF(M6&lt;0,(M6+M6-I6)/M6,"-"))</f>
        <v>3.9760233104968483</v>
      </c>
      <c r="P6" s="175"/>
      <c r="Q6" s="175"/>
      <c r="R6" s="175"/>
      <c r="S6" s="175"/>
    </row>
    <row r="7" spans="1:19" ht="16.5">
      <c r="A7" s="39" t="s">
        <v>5</v>
      </c>
      <c r="B7" s="40"/>
      <c r="C7" s="41">
        <f ca="1">OFFSET('植物智慧21年利润表（实际）'!$A5,0,VLOOKUP($F$2,月度,2,0),1,1)</f>
        <v>94.738422559999989</v>
      </c>
      <c r="D7" s="134"/>
      <c r="E7" s="41">
        <f ca="1">OFFSET('植物智慧20年利润表（实际）'!$A5,0,VLOOKUP($F$2,月度,2,0),1,1)</f>
        <v>191.59080617999999</v>
      </c>
      <c r="F7" s="195">
        <f t="shared" ca="1" si="0"/>
        <v>-0.50551686456711797</v>
      </c>
      <c r="G7" s="41">
        <f ca="1">OFFSET(植物智慧21年最新签批全年预算!$A5,0,VLOOKUP($F$2,月度,2,0),1,1)</f>
        <v>30</v>
      </c>
      <c r="H7" s="195">
        <f t="shared" ca="1" si="1"/>
        <v>3.1579474186666663</v>
      </c>
      <c r="I7" s="41">
        <f ca="1">SUM(OFFSET('植物智慧21年利润表（实际）'!$A5,0,1,1,VLOOKUP($F$2,月度,2,0)))</f>
        <v>373.02379036999997</v>
      </c>
      <c r="J7" s="138"/>
      <c r="K7" s="41">
        <f ca="1">SUM(OFFSET('植物智慧20年利润表（实际）'!$A5,0,1,1,VLOOKUP($F$2,月度,2,0)))</f>
        <v>264.30467418000001</v>
      </c>
      <c r="L7" s="195">
        <f t="shared" ca="1" si="2"/>
        <v>0.41134011922906344</v>
      </c>
      <c r="M7" s="41">
        <f ca="1">SUM(OFFSET(植物智慧21年最新签批全年预算!$A5,0,1,1,VLOOKUP($F$2,月度,2,0)))</f>
        <v>93.818310718954635</v>
      </c>
      <c r="N7" s="75">
        <f t="shared" ca="1" si="3"/>
        <v>3.9760233104968483</v>
      </c>
      <c r="P7" s="193"/>
      <c r="Q7" s="193"/>
      <c r="R7" s="175"/>
      <c r="S7" s="175"/>
    </row>
    <row r="8" spans="1:19" ht="16.5">
      <c r="A8" s="39" t="s">
        <v>33</v>
      </c>
      <c r="B8" s="40"/>
      <c r="C8" s="41">
        <f ca="1">OFFSET('植物智慧21年利润表（实际）'!$A6,0,VLOOKUP($F$2,月度,2,0),1,1)</f>
        <v>83.839311999999993</v>
      </c>
      <c r="D8" s="135">
        <f ca="1">C8/$C$8</f>
        <v>1</v>
      </c>
      <c r="E8" s="41">
        <f ca="1">OFFSET('植物智慧20年利润表（实际）'!$A6,0,VLOOKUP($F$2,月度,2,0),1,1)</f>
        <v>169.549386</v>
      </c>
      <c r="F8" s="195">
        <f t="shared" ca="1" si="0"/>
        <v>-0.50551686456711797</v>
      </c>
      <c r="G8" s="41">
        <f ca="1">OFFSET(植物智慧21年最新签批全年预算!$A6,0,VLOOKUP($F$2,月度,2,0),1,1)</f>
        <v>26.548672566371685</v>
      </c>
      <c r="H8" s="195">
        <f t="shared" ca="1" si="1"/>
        <v>3.1579474186666658</v>
      </c>
      <c r="I8" s="41">
        <f ca="1">SUM(OFFSET('植物智慧21年利润表（实际）'!$A6,0,1,1,VLOOKUP($F$2,月度,2,0)))</f>
        <v>330.10954900000002</v>
      </c>
      <c r="J8" s="135">
        <f ca="1">I8/$I$8</f>
        <v>1</v>
      </c>
      <c r="K8" s="41">
        <f ca="1">SUM(OFFSET('植物智慧20年利润表（实际）'!$A6,0,1,1,VLOOKUP($F$2,月度,2,0)))</f>
        <v>233.897944</v>
      </c>
      <c r="L8" s="195">
        <f t="shared" ca="1" si="2"/>
        <v>0.41134010566591395</v>
      </c>
      <c r="M8" s="41">
        <f ca="1">SUM(OFFSET(植物智慧21年最新签批全年预算!$A6,0,1,1,VLOOKUP($F$2,月度,2,0)))</f>
        <v>226.54867256637169</v>
      </c>
      <c r="N8" s="75">
        <f t="shared" ca="1" si="3"/>
        <v>1.4571241811328124</v>
      </c>
      <c r="P8" s="175"/>
      <c r="Q8" s="175"/>
      <c r="R8" s="175"/>
      <c r="S8" s="175"/>
    </row>
    <row r="9" spans="1:19" ht="16.5">
      <c r="A9" s="39" t="s">
        <v>34</v>
      </c>
      <c r="B9" s="40"/>
      <c r="C9" s="41">
        <f ca="1">OFFSET('植物智慧21年利润表（实际）'!$A7,0,VLOOKUP($F$2,月度,2,0),1,1)</f>
        <v>29.671806</v>
      </c>
      <c r="D9" s="135">
        <f t="shared" ref="D9:D47" ca="1" si="4">C9/$C$8</f>
        <v>0.35391280405545317</v>
      </c>
      <c r="E9" s="41">
        <f ca="1">OFFSET('植物智慧20年利润表（实际）'!$A7,0,VLOOKUP($F$2,月度,2,0),1,1)</f>
        <v>50.643021999999995</v>
      </c>
      <c r="F9" s="195">
        <f t="shared" ca="1" si="0"/>
        <v>-0.41409882688280325</v>
      </c>
      <c r="G9" s="41">
        <f ca="1">OFFSET(植物智慧21年最新签批全年预算!$A7,0,VLOOKUP($F$2,月度,2,0),1,1)</f>
        <v>7.6991150442477885</v>
      </c>
      <c r="H9" s="195">
        <f t="shared" ca="1" si="1"/>
        <v>3.8539242275862065</v>
      </c>
      <c r="I9" s="41">
        <f ca="1">SUM(OFFSET('植物智慧21年利润表（实际）'!$A7,0,1,1,VLOOKUP($F$2,月度,2,0)))</f>
        <v>94.018800999999996</v>
      </c>
      <c r="J9" s="135">
        <f t="shared" ref="J9:J48" ca="1" si="5">I9/$I$8</f>
        <v>0.28481090984738522</v>
      </c>
      <c r="K9" s="41">
        <f ca="1">SUM(OFFSET('植物智慧20年利润表（实际）'!$A7,0,1,1,VLOOKUP($F$2,月度,2,0)))</f>
        <v>65.232749999999996</v>
      </c>
      <c r="L9" s="195">
        <f t="shared" ca="1" si="2"/>
        <v>0.44128219337679314</v>
      </c>
      <c r="M9" s="41">
        <f ca="1">SUM(OFFSET(植物智慧21年最新签批全年预算!$A7,0,1,1,VLOOKUP($F$2,月度,2,0)))</f>
        <v>65.699115044247776</v>
      </c>
      <c r="N9" s="75">
        <f t="shared" ca="1" si="3"/>
        <v>1.4310512544450433</v>
      </c>
      <c r="P9" s="175"/>
      <c r="Q9" s="175"/>
      <c r="R9" s="175"/>
      <c r="S9" s="175"/>
    </row>
    <row r="10" spans="1:19" ht="16.5">
      <c r="A10" s="39" t="s">
        <v>6</v>
      </c>
      <c r="B10" s="40"/>
      <c r="C10" s="41">
        <f ca="1">C8-C9</f>
        <v>54.167505999999989</v>
      </c>
      <c r="D10" s="135">
        <f t="shared" ca="1" si="4"/>
        <v>0.64608719594454678</v>
      </c>
      <c r="E10" s="41">
        <f ca="1">E8-E9</f>
        <v>118.906364</v>
      </c>
      <c r="F10" s="195">
        <f t="shared" ca="1" si="0"/>
        <v>-0.54445242308477293</v>
      </c>
      <c r="G10" s="41">
        <f ca="1">G8-G9</f>
        <v>18.849557522123895</v>
      </c>
      <c r="H10" s="195">
        <f t="shared" ca="1" si="1"/>
        <v>2.8736752009389663</v>
      </c>
      <c r="I10" s="41">
        <f ca="1">I8-I9</f>
        <v>236.09074800000002</v>
      </c>
      <c r="J10" s="135">
        <f t="shared" ca="1" si="5"/>
        <v>0.71518909015261478</v>
      </c>
      <c r="K10" s="41">
        <f ca="1">K8-K9</f>
        <v>168.66519399999999</v>
      </c>
      <c r="L10" s="195">
        <f t="shared" ca="1" si="2"/>
        <v>0.39975973940420712</v>
      </c>
      <c r="M10" s="41">
        <f ca="1">M8-M9</f>
        <v>160.84955752212392</v>
      </c>
      <c r="N10" s="75">
        <f t="shared" ca="1" si="3"/>
        <v>1.4677736863996478</v>
      </c>
      <c r="P10" s="175"/>
      <c r="Q10" s="175"/>
      <c r="R10" s="175"/>
      <c r="S10" s="175"/>
    </row>
    <row r="11" spans="1:19" s="5" customFormat="1" ht="17.25" thickBot="1">
      <c r="A11" s="108" t="s">
        <v>7</v>
      </c>
      <c r="B11" s="100"/>
      <c r="C11" s="99">
        <f ca="1">IFERROR(C10/C8,0)</f>
        <v>0.64608719594454678</v>
      </c>
      <c r="D11" s="139"/>
      <c r="E11" s="99">
        <f ca="1">IFERROR(E10/E8,0)</f>
        <v>0.70130813685164273</v>
      </c>
      <c r="F11" s="196"/>
      <c r="G11" s="99">
        <f ca="1">IFERROR(G10/G8,0)</f>
        <v>0.71</v>
      </c>
      <c r="H11" s="196"/>
      <c r="I11" s="101">
        <f ca="1">IFERROR(I10/I8,0)</f>
        <v>0.71518909015261478</v>
      </c>
      <c r="J11" s="139"/>
      <c r="K11" s="101">
        <f ca="1">IFERROR(K10/K8,0)</f>
        <v>0.72110592814787633</v>
      </c>
      <c r="L11" s="196"/>
      <c r="M11" s="99">
        <f ca="1">IFERROR(M10/M8,0)</f>
        <v>0.71000000000000008</v>
      </c>
      <c r="N11" s="77"/>
      <c r="P11" s="175"/>
      <c r="Q11" s="175"/>
      <c r="R11" s="175"/>
      <c r="S11" s="175"/>
    </row>
    <row r="12" spans="1:19" ht="17.25" thickTop="1">
      <c r="A12" s="102" t="s">
        <v>8</v>
      </c>
      <c r="B12" s="103"/>
      <c r="C12" s="104">
        <f ca="1">SUM(C13:C29)</f>
        <v>80.684702000000001</v>
      </c>
      <c r="D12" s="140">
        <f t="shared" ca="1" si="4"/>
        <v>0.96237314065745205</v>
      </c>
      <c r="E12" s="104">
        <f ca="1">SUM(E13:E29)</f>
        <v>66.051073000000002</v>
      </c>
      <c r="F12" s="197">
        <f t="shared" ca="1" si="0"/>
        <v>0.2215502085787463</v>
      </c>
      <c r="G12" s="104">
        <f ca="1">SUM(G13:G29)</f>
        <v>53.256418139380528</v>
      </c>
      <c r="H12" s="197">
        <f t="shared" ca="1" si="1"/>
        <v>1.5150230679959604</v>
      </c>
      <c r="I12" s="106">
        <f ca="1">SUM(I13:I29)</f>
        <v>197.50727899999998</v>
      </c>
      <c r="J12" s="140">
        <f t="shared" ca="1" si="5"/>
        <v>0.59830828765271482</v>
      </c>
      <c r="K12" s="106">
        <f ca="1">SUM(K13:K29)</f>
        <v>120.62904</v>
      </c>
      <c r="L12" s="197">
        <f t="shared" ref="L12" ca="1" si="6">IFERROR((I12-K12)/ABS(K12),"-")</f>
        <v>0.63731120632312066</v>
      </c>
      <c r="M12" s="104">
        <f ca="1">SUM(M13:M29)</f>
        <v>159.30999465622648</v>
      </c>
      <c r="N12" s="107">
        <f t="shared" ref="N12" ca="1" si="7">IF(M12&gt;0,I12/M12,IF(M12&lt;0,(M12+M12-I12)/M12,"-"))</f>
        <v>1.2397670304753889</v>
      </c>
      <c r="P12" s="175"/>
      <c r="Q12" s="175"/>
      <c r="R12" s="175"/>
      <c r="S12" s="175"/>
    </row>
    <row r="13" spans="1:19" ht="16.5" outlineLevel="1">
      <c r="A13" s="43" t="s">
        <v>39</v>
      </c>
      <c r="B13" s="44" t="s">
        <v>26</v>
      </c>
      <c r="C13" s="41">
        <f ca="1">OFFSET('植物智慧21年利润表（实际）'!$A11,0,VLOOKUP($F$2,月度,2,0),1,1)</f>
        <v>29.692996999999998</v>
      </c>
      <c r="D13" s="135">
        <f t="shared" ca="1" si="4"/>
        <v>0.35416556137769833</v>
      </c>
      <c r="E13" s="45">
        <f ca="1">OFFSET('植物智慧20年利润表（实际）'!$A11,0,VLOOKUP($F$2,月度,2,0),1,1)</f>
        <v>30.86458</v>
      </c>
      <c r="F13" s="195">
        <f ca="1">IFERROR((C13-E13)/ABS(E13),"-")</f>
        <v>-3.7958818814317313E-2</v>
      </c>
      <c r="G13" s="41">
        <f ca="1">OFFSET(植物智慧21年最新签批全年预算!$A11,0,VLOOKUP($F$2,月度,2,0),1,1)</f>
        <v>4.1415929203539825</v>
      </c>
      <c r="H13" s="195">
        <f t="shared" ca="1" si="1"/>
        <v>7.1694629508547001</v>
      </c>
      <c r="I13" s="66">
        <f ca="1">SUM(OFFSET('植物智慧21年利润表（实际）'!$A11,0,1,1,VLOOKUP($F$2,月度,2,0)))</f>
        <v>87.698159000000004</v>
      </c>
      <c r="J13" s="135">
        <f t="shared" ca="1" si="5"/>
        <v>0.2656638054417505</v>
      </c>
      <c r="K13" s="66">
        <f ca="1">SUM(OFFSET('植物智慧20年利润表（实际）'!$A11,0,1,1,VLOOKUP($F$2,月度,2,0)))</f>
        <v>44.097743000000001</v>
      </c>
      <c r="L13" s="195">
        <f ca="1">IFERROR((I13-K13)/ABS(K13),"-")</f>
        <v>0.98872216657437551</v>
      </c>
      <c r="M13" s="41">
        <f ca="1">SUM(OFFSET(植物智慧21年最新签批全年预算!$A11,0,1,1,VLOOKUP($F$2,月度,2,0)))</f>
        <v>50.341592920353989</v>
      </c>
      <c r="N13" s="75">
        <f ca="1">IF(M13&gt;0,I13/M13,IF(M13&lt;0,(M13+M13-I13)/M13,"-"))</f>
        <v>1.7420616613929611</v>
      </c>
      <c r="P13" s="175"/>
      <c r="Q13" s="175"/>
      <c r="R13" s="175"/>
      <c r="S13" s="175"/>
    </row>
    <row r="14" spans="1:19" ht="16.5" outlineLevel="1">
      <c r="A14" s="43" t="s">
        <v>40</v>
      </c>
      <c r="B14" s="44" t="s">
        <v>18</v>
      </c>
      <c r="C14" s="66">
        <f ca="1">OFFSET('植物智慧21年利润表（实际）'!$A12,0,VLOOKUP($F$2,月度,2,0),1,1)</f>
        <v>0.80235500000000004</v>
      </c>
      <c r="D14" s="135">
        <f t="shared" ca="1" si="4"/>
        <v>9.5701524840757293E-3</v>
      </c>
      <c r="E14" s="45">
        <f ca="1">OFFSET('植物智慧20年利润表（实际）'!$A12,0,VLOOKUP($F$2,月度,2,0),1,1)</f>
        <v>0.21661999999999998</v>
      </c>
      <c r="F14" s="195">
        <f t="shared" ref="F14:F29" ca="1" si="8">IFERROR((C14-E14)/ABS(E14),"-")</f>
        <v>2.7039747022435607</v>
      </c>
      <c r="G14" s="41">
        <f ca="1">OFFSET(植物智慧21年最新签批全年预算!$A12,0,VLOOKUP($F$2,月度,2,0),1,1)</f>
        <v>0.56661946902654869</v>
      </c>
      <c r="H14" s="195">
        <f t="shared" ca="1" si="1"/>
        <v>1.4160385300181171</v>
      </c>
      <c r="I14" s="66">
        <f ca="1">SUM(OFFSET('植物智慧21年利润表（实际）'!$A12,0,1,1,VLOOKUP($F$2,月度,2,0)))</f>
        <v>7.6863920000000006</v>
      </c>
      <c r="J14" s="135">
        <f t="shared" ca="1" si="5"/>
        <v>2.3284367335887034E-2</v>
      </c>
      <c r="K14" s="66">
        <f ca="1">SUM(OFFSET('植物智慧20年利润表（实际）'!$A12,0,1,1,VLOOKUP($F$2,月度,2,0)))</f>
        <v>0.38305999999999996</v>
      </c>
      <c r="L14" s="195">
        <f t="shared" ref="L14:L29" ca="1" si="9">IFERROR((I14-K14)/ABS(K14),"-")</f>
        <v>19.06576515428393</v>
      </c>
      <c r="M14" s="41">
        <f ca="1">SUM(OFFSET(植物智慧21年最新签批全年预算!$A12,0,1,1,VLOOKUP($F$2,月度,2,0)))</f>
        <v>3.7991362358725285</v>
      </c>
      <c r="N14" s="75">
        <f ca="1">IF(M14&gt;0,I14/M14,IF(M14&lt;0,(M14+M14-I14)/M14,"-"))</f>
        <v>2.0231946218255858</v>
      </c>
      <c r="P14" s="175"/>
      <c r="Q14" s="175"/>
      <c r="R14" s="175"/>
      <c r="S14" s="175"/>
    </row>
    <row r="15" spans="1:19" ht="16.5" outlineLevel="1">
      <c r="A15" s="46" t="s">
        <v>41</v>
      </c>
      <c r="B15" s="47" t="s">
        <v>14</v>
      </c>
      <c r="C15" s="66">
        <f ca="1">OFFSET('植物智慧21年利润表（实际）'!$A13,0,VLOOKUP($F$2,月度,2,0),1,1)</f>
        <v>0</v>
      </c>
      <c r="D15" s="135">
        <f t="shared" ca="1" si="4"/>
        <v>0</v>
      </c>
      <c r="E15" s="45">
        <f ca="1">OFFSET('植物智慧20年利润表（实际）'!$A13,0,VLOOKUP($F$2,月度,2,0),1,1)</f>
        <v>0</v>
      </c>
      <c r="F15" s="195" t="str">
        <f t="shared" ca="1" si="8"/>
        <v>-</v>
      </c>
      <c r="G15" s="41">
        <f ca="1">OFFSET(植物智慧21年最新签批全年预算!$A13,0,VLOOKUP($F$2,月度,2,0),1,1)</f>
        <v>0</v>
      </c>
      <c r="H15" s="195" t="str">
        <f t="shared" ca="1" si="1"/>
        <v>-</v>
      </c>
      <c r="I15" s="66">
        <f ca="1">SUM(OFFSET('植物智慧21年利润表（实际）'!$A13,0,1,1,VLOOKUP($F$2,月度,2,0)))</f>
        <v>0</v>
      </c>
      <c r="J15" s="135">
        <f t="shared" ca="1" si="5"/>
        <v>0</v>
      </c>
      <c r="K15" s="66">
        <f ca="1">SUM(OFFSET('植物智慧20年利润表（实际）'!$A13,0,1,1,VLOOKUP($F$2,月度,2,0)))</f>
        <v>0</v>
      </c>
      <c r="L15" s="195" t="str">
        <f t="shared" ca="1" si="9"/>
        <v>-</v>
      </c>
      <c r="M15" s="41">
        <f ca="1">SUM(OFFSET(植物智慧21年最新签批全年预算!$A13,0,1,1,VLOOKUP($F$2,月度,2,0)))</f>
        <v>0</v>
      </c>
      <c r="N15" s="75" t="str">
        <f t="shared" ref="N15:N48" ca="1" si="10">IF(M15&gt;0,I15/M15,IF(M15&lt;0,(M15+M15-I15)/M15,"-"))</f>
        <v>-</v>
      </c>
      <c r="P15" s="175"/>
      <c r="Q15" s="175"/>
      <c r="R15" s="175"/>
      <c r="S15" s="175"/>
    </row>
    <row r="16" spans="1:19" ht="16.5" outlineLevel="1">
      <c r="A16" s="46" t="s">
        <v>42</v>
      </c>
      <c r="B16" s="47" t="s">
        <v>19</v>
      </c>
      <c r="C16" s="66">
        <f ca="1">OFFSET('植物智慧21年利润表（实际）'!$A14,0,VLOOKUP($F$2,月度,2,0),1,1)</f>
        <v>0</v>
      </c>
      <c r="D16" s="135">
        <f t="shared" ca="1" si="4"/>
        <v>0</v>
      </c>
      <c r="E16" s="45">
        <f ca="1">OFFSET('植物智慧20年利润表（实际）'!$A14,0,VLOOKUP($F$2,月度,2,0),1,1)</f>
        <v>0</v>
      </c>
      <c r="F16" s="195" t="str">
        <f t="shared" ca="1" si="8"/>
        <v>-</v>
      </c>
      <c r="G16" s="41">
        <f ca="1">OFFSET(植物智慧21年最新签批全年预算!$A14,0,VLOOKUP($F$2,月度,2,0),1,1)</f>
        <v>0</v>
      </c>
      <c r="H16" s="195" t="str">
        <f t="shared" ca="1" si="1"/>
        <v>-</v>
      </c>
      <c r="I16" s="66">
        <f ca="1">SUM(OFFSET('植物智慧21年利润表（实际）'!$A14,0,1,1,VLOOKUP($F$2,月度,2,0)))</f>
        <v>0</v>
      </c>
      <c r="J16" s="135">
        <f t="shared" ca="1" si="5"/>
        <v>0</v>
      </c>
      <c r="K16" s="66">
        <f ca="1">SUM(OFFSET('植物智慧20年利润表（实际）'!$A14,0,1,1,VLOOKUP($F$2,月度,2,0)))</f>
        <v>0</v>
      </c>
      <c r="L16" s="195" t="str">
        <f t="shared" ca="1" si="9"/>
        <v>-</v>
      </c>
      <c r="M16" s="41">
        <f ca="1">SUM(OFFSET(植物智慧21年最新签批全年预算!$A14,0,1,1,VLOOKUP($F$2,月度,2,0)))</f>
        <v>0</v>
      </c>
      <c r="N16" s="75" t="str">
        <f t="shared" ca="1" si="10"/>
        <v>-</v>
      </c>
      <c r="P16" s="175"/>
      <c r="Q16" s="175"/>
      <c r="R16" s="175"/>
      <c r="S16" s="175"/>
    </row>
    <row r="17" spans="1:19" ht="16.5" outlineLevel="1">
      <c r="A17" s="46" t="s">
        <v>43</v>
      </c>
      <c r="B17" s="47" t="s">
        <v>28</v>
      </c>
      <c r="C17" s="66">
        <f ca="1">OFFSET('植物智慧21年利润表（实际）'!$A15,0,VLOOKUP($F$2,月度,2,0),1,1)</f>
        <v>0</v>
      </c>
      <c r="D17" s="135">
        <f t="shared" ca="1" si="4"/>
        <v>0</v>
      </c>
      <c r="E17" s="45">
        <f ca="1">OFFSET('植物智慧20年利润表（实际）'!$A15,0,VLOOKUP($F$2,月度,2,0),1,1)</f>
        <v>0</v>
      </c>
      <c r="F17" s="195" t="str">
        <f t="shared" ca="1" si="8"/>
        <v>-</v>
      </c>
      <c r="G17" s="41">
        <f ca="1">OFFSET(植物智慧21年最新签批全年预算!$A15,0,VLOOKUP($F$2,月度,2,0),1,1)</f>
        <v>0</v>
      </c>
      <c r="H17" s="195" t="str">
        <f t="shared" ca="1" si="1"/>
        <v>-</v>
      </c>
      <c r="I17" s="66">
        <f ca="1">SUM(OFFSET('植物智慧21年利润表（实际）'!$A15,0,1,1,VLOOKUP($F$2,月度,2,0)))</f>
        <v>0</v>
      </c>
      <c r="J17" s="135">
        <f t="shared" ca="1" si="5"/>
        <v>0</v>
      </c>
      <c r="K17" s="66">
        <f ca="1">SUM(OFFSET('植物智慧20年利润表（实际）'!$A15,0,1,1,VLOOKUP($F$2,月度,2,0)))</f>
        <v>0</v>
      </c>
      <c r="L17" s="195" t="str">
        <f t="shared" ca="1" si="9"/>
        <v>-</v>
      </c>
      <c r="M17" s="41">
        <f ca="1">SUM(OFFSET(植物智慧21年最新签批全年预算!$A15,0,1,1,VLOOKUP($F$2,月度,2,0)))</f>
        <v>0</v>
      </c>
      <c r="N17" s="75" t="str">
        <f t="shared" ca="1" si="10"/>
        <v>-</v>
      </c>
      <c r="P17" s="175"/>
      <c r="Q17" s="175"/>
      <c r="R17" s="175"/>
      <c r="S17" s="175"/>
    </row>
    <row r="18" spans="1:19" ht="16.5" outlineLevel="1">
      <c r="A18" s="46" t="s">
        <v>44</v>
      </c>
      <c r="B18" s="47" t="s">
        <v>29</v>
      </c>
      <c r="C18" s="66">
        <f ca="1">OFFSET('植物智慧21年利润表（实际）'!$A16,0,VLOOKUP($F$2,月度,2,0),1,1)</f>
        <v>0</v>
      </c>
      <c r="D18" s="135">
        <f t="shared" ca="1" si="4"/>
        <v>0</v>
      </c>
      <c r="E18" s="45">
        <f ca="1">OFFSET('植物智慧20年利润表（实际）'!$A16,0,VLOOKUP($F$2,月度,2,0),1,1)</f>
        <v>0</v>
      </c>
      <c r="F18" s="195" t="str">
        <f t="shared" ca="1" si="8"/>
        <v>-</v>
      </c>
      <c r="G18" s="41">
        <f ca="1">OFFSET(植物智慧21年最新签批全年预算!$A16,0,VLOOKUP($F$2,月度,2,0),1,1)</f>
        <v>0</v>
      </c>
      <c r="H18" s="195" t="str">
        <f t="shared" ca="1" si="1"/>
        <v>-</v>
      </c>
      <c r="I18" s="66">
        <f ca="1">SUM(OFFSET('植物智慧21年利润表（实际）'!$A16,0,1,1,VLOOKUP($F$2,月度,2,0)))</f>
        <v>0</v>
      </c>
      <c r="J18" s="135">
        <f t="shared" ca="1" si="5"/>
        <v>0</v>
      </c>
      <c r="K18" s="66">
        <f ca="1">SUM(OFFSET('植物智慧20年利润表（实际）'!$A16,0,1,1,VLOOKUP($F$2,月度,2,0)))</f>
        <v>0</v>
      </c>
      <c r="L18" s="195" t="str">
        <f t="shared" ca="1" si="9"/>
        <v>-</v>
      </c>
      <c r="M18" s="41">
        <f ca="1">SUM(OFFSET(植物智慧21年最新签批全年预算!$A16,0,1,1,VLOOKUP($F$2,月度,2,0)))</f>
        <v>0</v>
      </c>
      <c r="N18" s="75" t="str">
        <f t="shared" ca="1" si="10"/>
        <v>-</v>
      </c>
      <c r="P18" s="175"/>
      <c r="Q18" s="175"/>
      <c r="R18" s="175"/>
      <c r="S18" s="175"/>
    </row>
    <row r="19" spans="1:19" ht="16.5" outlineLevel="1">
      <c r="A19" s="46" t="s">
        <v>45</v>
      </c>
      <c r="B19" s="47" t="s">
        <v>32</v>
      </c>
      <c r="C19" s="66">
        <f ca="1">OFFSET('植物智慧21年利润表（实际）'!$A17,0,VLOOKUP($F$2,月度,2,0),1,1)</f>
        <v>0.99009899999999995</v>
      </c>
      <c r="D19" s="135">
        <f t="shared" ca="1" si="4"/>
        <v>1.1809483837367369E-2</v>
      </c>
      <c r="E19" s="45">
        <f ca="1">OFFSET('植物智慧20年利润表（实际）'!$A17,0,VLOOKUP($F$2,月度,2,0),1,1)</f>
        <v>0</v>
      </c>
      <c r="F19" s="195" t="str">
        <f t="shared" ca="1" si="8"/>
        <v>-</v>
      </c>
      <c r="G19" s="41">
        <f ca="1">OFFSET(植物智慧21年最新签批全年预算!$A17,0,VLOOKUP($F$2,月度,2,0),1,1)</f>
        <v>0</v>
      </c>
      <c r="H19" s="195" t="str">
        <f t="shared" ca="1" si="1"/>
        <v>-</v>
      </c>
      <c r="I19" s="66">
        <f ca="1">SUM(OFFSET('植物智慧21年利润表（实际）'!$A17,0,1,1,VLOOKUP($F$2,月度,2,0)))</f>
        <v>0.99009899999999995</v>
      </c>
      <c r="J19" s="135">
        <f t="shared" ca="1" si="5"/>
        <v>2.999304330938939E-3</v>
      </c>
      <c r="K19" s="66">
        <f ca="1">SUM(OFFSET('植物智慧20年利润表（实际）'!$A17,0,1,1,VLOOKUP($F$2,月度,2,0)))</f>
        <v>0</v>
      </c>
      <c r="L19" s="195" t="str">
        <f t="shared" ca="1" si="9"/>
        <v>-</v>
      </c>
      <c r="M19" s="41">
        <f ca="1">SUM(OFFSET(植物智慧21年最新签批全年预算!$A17,0,1,1,VLOOKUP($F$2,月度,2,0)))</f>
        <v>2</v>
      </c>
      <c r="N19" s="75">
        <f t="shared" ca="1" si="10"/>
        <v>0.49504949999999998</v>
      </c>
      <c r="P19" s="175"/>
      <c r="Q19" s="175"/>
      <c r="R19" s="175"/>
      <c r="S19" s="175"/>
    </row>
    <row r="20" spans="1:19" ht="16.5" outlineLevel="1">
      <c r="A20" s="46" t="s">
        <v>46</v>
      </c>
      <c r="B20" s="47" t="s">
        <v>17</v>
      </c>
      <c r="C20" s="66">
        <f ca="1">OFFSET('植物智慧21年利润表（实际）'!$A18,0,VLOOKUP($F$2,月度,2,0),1,1)</f>
        <v>0</v>
      </c>
      <c r="D20" s="135">
        <f t="shared" ca="1" si="4"/>
        <v>0</v>
      </c>
      <c r="E20" s="45">
        <f ca="1">OFFSET('植物智慧20年利润表（实际）'!$A18,0,VLOOKUP($F$2,月度,2,0),1,1)</f>
        <v>0</v>
      </c>
      <c r="F20" s="195" t="str">
        <f t="shared" ca="1" si="8"/>
        <v>-</v>
      </c>
      <c r="G20" s="41">
        <f ca="1">OFFSET(植物智慧21年最新签批全年预算!$A18,0,VLOOKUP($F$2,月度,2,0),1,1)</f>
        <v>0</v>
      </c>
      <c r="H20" s="195" t="str">
        <f t="shared" ca="1" si="1"/>
        <v>-</v>
      </c>
      <c r="I20" s="66">
        <f ca="1">SUM(OFFSET('植物智慧21年利润表（实际）'!$A18,0,1,1,VLOOKUP($F$2,月度,2,0)))</f>
        <v>0</v>
      </c>
      <c r="J20" s="135">
        <f t="shared" ca="1" si="5"/>
        <v>0</v>
      </c>
      <c r="K20" s="66">
        <f ca="1">SUM(OFFSET('植物智慧20年利润表（实际）'!$A18,0,1,1,VLOOKUP($F$2,月度,2,0)))</f>
        <v>0</v>
      </c>
      <c r="L20" s="195" t="str">
        <f t="shared" ca="1" si="9"/>
        <v>-</v>
      </c>
      <c r="M20" s="41">
        <f ca="1">SUM(OFFSET(植物智慧21年最新签批全年预算!$A18,0,1,1,VLOOKUP($F$2,月度,2,0)))</f>
        <v>0</v>
      </c>
      <c r="N20" s="75" t="str">
        <f t="shared" ca="1" si="10"/>
        <v>-</v>
      </c>
      <c r="P20" s="175"/>
      <c r="Q20" s="175"/>
      <c r="R20" s="175"/>
      <c r="S20" s="175"/>
    </row>
    <row r="21" spans="1:19" ht="16.5" outlineLevel="1">
      <c r="A21" s="46" t="s">
        <v>47</v>
      </c>
      <c r="B21" s="47" t="s">
        <v>16</v>
      </c>
      <c r="C21" s="66">
        <f ca="1">OFFSET('植物智慧21年利润表（实际）'!$A19,0,VLOOKUP($F$2,月度,2,0),1,1)</f>
        <v>0</v>
      </c>
      <c r="D21" s="135">
        <f t="shared" ca="1" si="4"/>
        <v>0</v>
      </c>
      <c r="E21" s="45">
        <f ca="1">OFFSET('植物智慧20年利润表（实际）'!$A19,0,VLOOKUP($F$2,月度,2,0),1,1)</f>
        <v>0</v>
      </c>
      <c r="F21" s="195" t="str">
        <f t="shared" ca="1" si="8"/>
        <v>-</v>
      </c>
      <c r="G21" s="41">
        <f ca="1">OFFSET(植物智慧21年最新签批全年预算!$A19,0,VLOOKUP($F$2,月度,2,0),1,1)</f>
        <v>0</v>
      </c>
      <c r="H21" s="195" t="str">
        <f t="shared" ca="1" si="1"/>
        <v>-</v>
      </c>
      <c r="I21" s="66">
        <f ca="1">SUM(OFFSET('植物智慧21年利润表（实际）'!$A19,0,1,1,VLOOKUP($F$2,月度,2,0)))</f>
        <v>0</v>
      </c>
      <c r="J21" s="135">
        <f t="shared" ca="1" si="5"/>
        <v>0</v>
      </c>
      <c r="K21" s="66">
        <f ca="1">SUM(OFFSET('植物智慧20年利润表（实际）'!$A19,0,1,1,VLOOKUP($F$2,月度,2,0)))</f>
        <v>0</v>
      </c>
      <c r="L21" s="195" t="str">
        <f t="shared" ca="1" si="9"/>
        <v>-</v>
      </c>
      <c r="M21" s="41">
        <f ca="1">SUM(OFFSET(植物智慧21年最新签批全年预算!$A19,0,1,1,VLOOKUP($F$2,月度,2,0)))</f>
        <v>0</v>
      </c>
      <c r="N21" s="75" t="str">
        <f t="shared" ca="1" si="10"/>
        <v>-</v>
      </c>
      <c r="P21" s="175"/>
      <c r="Q21" s="175"/>
      <c r="R21" s="175"/>
      <c r="S21" s="175"/>
    </row>
    <row r="22" spans="1:19" ht="16.5" outlineLevel="1">
      <c r="A22" s="46" t="s">
        <v>48</v>
      </c>
      <c r="B22" s="47" t="s">
        <v>36</v>
      </c>
      <c r="C22" s="66">
        <f ca="1">OFFSET('植物智慧21年利润表（实际）'!$A20,0,VLOOKUP($F$2,月度,2,0),1,1)</f>
        <v>0</v>
      </c>
      <c r="D22" s="135">
        <f t="shared" ca="1" si="4"/>
        <v>0</v>
      </c>
      <c r="E22" s="45">
        <f ca="1">OFFSET('植物智慧20年利润表（实际）'!$A20,0,VLOOKUP($F$2,月度,2,0),1,1)</f>
        <v>0</v>
      </c>
      <c r="F22" s="195" t="str">
        <f t="shared" ca="1" si="8"/>
        <v>-</v>
      </c>
      <c r="G22" s="41">
        <f ca="1">OFFSET(植物智慧21年最新签批全年预算!$A20,0,VLOOKUP($F$2,月度,2,0),1,1)</f>
        <v>0</v>
      </c>
      <c r="H22" s="195" t="str">
        <f t="shared" ca="1" si="1"/>
        <v>-</v>
      </c>
      <c r="I22" s="66">
        <f ca="1">SUM(OFFSET('植物智慧21年利润表（实际）'!$A20,0,1,1,VLOOKUP($F$2,月度,2,0)))</f>
        <v>0</v>
      </c>
      <c r="J22" s="135">
        <f t="shared" ca="1" si="5"/>
        <v>0</v>
      </c>
      <c r="K22" s="66">
        <f ca="1">SUM(OFFSET('植物智慧20年利润表（实际）'!$A20,0,1,1,VLOOKUP($F$2,月度,2,0)))</f>
        <v>0</v>
      </c>
      <c r="L22" s="195" t="str">
        <f t="shared" ca="1" si="9"/>
        <v>-</v>
      </c>
      <c r="M22" s="41">
        <f ca="1">SUM(OFFSET(植物智慧21年最新签批全年预算!$A20,0,1,1,VLOOKUP($F$2,月度,2,0)))</f>
        <v>0</v>
      </c>
      <c r="N22" s="75" t="str">
        <f t="shared" ca="1" si="10"/>
        <v>-</v>
      </c>
      <c r="P22" s="175"/>
      <c r="Q22" s="175"/>
      <c r="R22" s="175"/>
      <c r="S22" s="175"/>
    </row>
    <row r="23" spans="1:19" ht="16.5" outlineLevel="1">
      <c r="A23" s="46" t="s">
        <v>49</v>
      </c>
      <c r="B23" s="47" t="s">
        <v>37</v>
      </c>
      <c r="C23" s="66">
        <f ca="1">OFFSET('植物智慧21年利润表（实际）'!$A21,0,VLOOKUP($F$2,月度,2,0),1,1)</f>
        <v>31.522772999999997</v>
      </c>
      <c r="D23" s="135">
        <f t="shared" ca="1" si="4"/>
        <v>0.37599035879492904</v>
      </c>
      <c r="E23" s="45">
        <f ca="1">OFFSET('植物智慧20年利润表（实际）'!$A21,0,VLOOKUP($F$2,月度,2,0),1,1)</f>
        <v>29.134592000000005</v>
      </c>
      <c r="F23" s="195">
        <f t="shared" ca="1" si="8"/>
        <v>8.1970634769829354E-2</v>
      </c>
      <c r="G23" s="41">
        <f ca="1">OFFSET(植物智慧21年最新签批全年预算!$A21,0,VLOOKUP($F$2,月度,2,0),1,1)</f>
        <v>32.369152749999998</v>
      </c>
      <c r="H23" s="195">
        <f t="shared" ca="1" si="1"/>
        <v>0.9738522735971209</v>
      </c>
      <c r="I23" s="66">
        <f ca="1">SUM(OFFSET('植物智慧21年利润表（实际）'!$A21,0,1,1,VLOOKUP($F$2,月度,2,0)))</f>
        <v>60.873977999999994</v>
      </c>
      <c r="J23" s="135">
        <f t="shared" ca="1" si="5"/>
        <v>0.18440538355950434</v>
      </c>
      <c r="K23" s="66">
        <f ca="1">SUM(OFFSET('植物智慧20年利润表（实际）'!$A21,0,1,1,VLOOKUP($F$2,月度,2,0)))</f>
        <v>43.527419000000009</v>
      </c>
      <c r="L23" s="195">
        <f t="shared" ca="1" si="9"/>
        <v>0.39852027523157257</v>
      </c>
      <c r="M23" s="41">
        <f ca="1">SUM(OFFSET(植物智慧21年最新签批全年预算!$A21,0,1,1,VLOOKUP($F$2,月度,2,0)))</f>
        <v>64.431672499999991</v>
      </c>
      <c r="N23" s="75">
        <f t="shared" ca="1" si="10"/>
        <v>0.94478345257916441</v>
      </c>
      <c r="P23" s="175"/>
      <c r="Q23" s="175"/>
      <c r="R23" s="175"/>
      <c r="S23" s="175"/>
    </row>
    <row r="24" spans="1:19" ht="16.5" outlineLevel="1">
      <c r="A24" s="46" t="s">
        <v>50</v>
      </c>
      <c r="B24" s="47" t="s">
        <v>15</v>
      </c>
      <c r="C24" s="66">
        <f ca="1">OFFSET('植物智慧21年利润表（实际）'!$A22,0,VLOOKUP($F$2,月度,2,0),1,1)</f>
        <v>0.94422600000000001</v>
      </c>
      <c r="D24" s="135">
        <f t="shared" ca="1" si="4"/>
        <v>1.1262330015303561E-2</v>
      </c>
      <c r="E24" s="45">
        <f ca="1">OFFSET('植物智慧20年利润表（实际）'!$A22,0,VLOOKUP($F$2,月度,2,0),1,1)</f>
        <v>2.0513E-2</v>
      </c>
      <c r="F24" s="195">
        <f t="shared" ca="1" si="8"/>
        <v>45.030614732121094</v>
      </c>
      <c r="G24" s="109">
        <f ca="1">OFFSET(植物智慧21年最新签批全年预算!$A22,0,VLOOKUP($F$2,月度,2,0),1,1)</f>
        <v>2.0513E-2</v>
      </c>
      <c r="H24" s="195">
        <f t="shared" ca="1" si="1"/>
        <v>46.030614732121094</v>
      </c>
      <c r="I24" s="66">
        <f ca="1">SUM(OFFSET('植物智慧21年利润表（实际）'!$A22,0,1,1,VLOOKUP($F$2,月度,2,0)))</f>
        <v>1.069226</v>
      </c>
      <c r="J24" s="135">
        <f t="shared" ca="1" si="5"/>
        <v>3.2390035466680787E-3</v>
      </c>
      <c r="K24" s="66">
        <f ca="1">SUM(OFFSET('植物智慧20年利润表（实际）'!$A22,0,1,1,VLOOKUP($F$2,月度,2,0)))</f>
        <v>2.0512000000000523E-2</v>
      </c>
      <c r="L24" s="195">
        <f ca="1">IFERROR((I24-K24)/ABS(K24),"-")</f>
        <v>51.126852574101633</v>
      </c>
      <c r="M24" s="41">
        <f ca="1">SUM(OFFSET(植物智慧21年最新签批全年预算!$A22,0,1,1,VLOOKUP($F$2,月度,2,0)))</f>
        <v>2.0513E-2</v>
      </c>
      <c r="N24" s="75">
        <f t="shared" ca="1" si="10"/>
        <v>52.124311412275141</v>
      </c>
      <c r="P24" s="175"/>
      <c r="Q24" s="175"/>
      <c r="R24" s="175"/>
      <c r="S24" s="175"/>
    </row>
    <row r="25" spans="1:19" ht="16.5" outlineLevel="1">
      <c r="A25" s="48" t="s">
        <v>51</v>
      </c>
      <c r="B25" s="40" t="s">
        <v>12</v>
      </c>
      <c r="C25" s="66">
        <f ca="1">OFFSET('植物智慧21年利润表（实际）'!$A23,0,VLOOKUP($F$2,月度,2,0),1,1)</f>
        <v>5.3101999999999996E-2</v>
      </c>
      <c r="D25" s="135">
        <f t="shared" ca="1" si="4"/>
        <v>6.3337828917298371E-4</v>
      </c>
      <c r="E25" s="45">
        <f ca="1">OFFSET('植物智慧20年利润表（实际）'!$A23,0,VLOOKUP($F$2,月度,2,0),1,1)</f>
        <v>1.1720520000000003</v>
      </c>
      <c r="F25" s="195">
        <f t="shared" ca="1" si="8"/>
        <v>-0.95469313648199916</v>
      </c>
      <c r="G25" s="41">
        <f ca="1">OFFSET(植物智慧21年最新签批全年预算!$A23,0,VLOOKUP($F$2,月度,2,0),1,1)</f>
        <v>5.3</v>
      </c>
      <c r="H25" s="195">
        <f t="shared" ca="1" si="1"/>
        <v>1.0019245283018868E-2</v>
      </c>
      <c r="I25" s="66">
        <f ca="1">SUM(OFFSET('植物智慧21年利润表（实际）'!$A23,0,1,1,VLOOKUP($F$2,月度,2,0)))</f>
        <v>5.5707370000000003</v>
      </c>
      <c r="J25" s="135">
        <f t="shared" ca="1" si="5"/>
        <v>1.6875419135482204E-2</v>
      </c>
      <c r="K25" s="66">
        <f ca="1">SUM(OFFSET('植物智慧20年利润表（实际）'!$A23,0,1,1,VLOOKUP($F$2,月度,2,0)))</f>
        <v>8.2466799999999996</v>
      </c>
      <c r="L25" s="195">
        <f t="shared" ca="1" si="9"/>
        <v>-0.32448730883216026</v>
      </c>
      <c r="M25" s="41">
        <f ca="1">SUM(OFFSET(植物智慧21年最新签批全年预算!$A23,0,1,1,VLOOKUP($F$2,月度,2,0)))</f>
        <v>10.6</v>
      </c>
      <c r="N25" s="75">
        <f t="shared" ca="1" si="10"/>
        <v>0.52554122641509438</v>
      </c>
      <c r="P25" s="175"/>
      <c r="Q25" s="175"/>
      <c r="R25" s="175"/>
      <c r="S25" s="175"/>
    </row>
    <row r="26" spans="1:19" ht="16.5" outlineLevel="1">
      <c r="A26" s="48" t="s">
        <v>52</v>
      </c>
      <c r="B26" s="40" t="s">
        <v>25</v>
      </c>
      <c r="C26" s="66">
        <f ca="1">OFFSET('植物智慧21年利润表（实际）'!$A24,0,VLOOKUP($F$2,月度,2,0),1,1)</f>
        <v>2.0222E-2</v>
      </c>
      <c r="D26" s="135">
        <f t="shared" ca="1" si="4"/>
        <v>2.4119949839283036E-4</v>
      </c>
      <c r="E26" s="45">
        <f ca="1">OFFSET('植物智慧20年利润表（实际）'!$A24,0,VLOOKUP($F$2,月度,2,0),1,1)</f>
        <v>5.1915999999999997E-2</v>
      </c>
      <c r="F26" s="195">
        <f t="shared" ca="1" si="8"/>
        <v>-0.61048616996686955</v>
      </c>
      <c r="G26" s="41">
        <f ca="1">OFFSET(植物智慧21年最新签批全年预算!$A24,0,VLOOKUP($F$2,月度,2,0),1,1)</f>
        <v>0.1</v>
      </c>
      <c r="H26" s="195">
        <f t="shared" ca="1" si="1"/>
        <v>0.20221999999999998</v>
      </c>
      <c r="I26" s="66">
        <f ca="1">SUM(OFFSET('植物智慧21年利润表（实际）'!$A24,0,1,1,VLOOKUP($F$2,月度,2,0)))</f>
        <v>4.0443E-2</v>
      </c>
      <c r="J26" s="135">
        <f t="shared" ca="1" si="5"/>
        <v>1.2251387493186389E-4</v>
      </c>
      <c r="K26" s="66">
        <f ca="1">SUM(OFFSET('植物智慧20年利润表（实际）'!$A24,0,1,1,VLOOKUP($F$2,月度,2,0)))</f>
        <v>0.10383199999999999</v>
      </c>
      <c r="L26" s="195">
        <f t="shared" ca="1" si="9"/>
        <v>-0.610495800909161</v>
      </c>
      <c r="M26" s="41">
        <f ca="1">SUM(OFFSET(植物智慧21年最新签批全年预算!$A24,0,1,1,VLOOKUP($F$2,月度,2,0)))</f>
        <v>0.2</v>
      </c>
      <c r="N26" s="75">
        <f t="shared" ca="1" si="10"/>
        <v>0.20221499999999998</v>
      </c>
      <c r="P26" s="175"/>
      <c r="Q26" s="175"/>
      <c r="R26" s="175"/>
      <c r="S26" s="175"/>
    </row>
    <row r="27" spans="1:19" ht="16.5" outlineLevel="1">
      <c r="A27" s="48" t="s">
        <v>53</v>
      </c>
      <c r="B27" s="40" t="s">
        <v>20</v>
      </c>
      <c r="C27" s="66">
        <f ca="1">OFFSET('植物智慧21年利润表（实际）'!$A25,0,VLOOKUP($F$2,月度,2,0),1,1)</f>
        <v>0</v>
      </c>
      <c r="D27" s="135">
        <f t="shared" ca="1" si="4"/>
        <v>0</v>
      </c>
      <c r="E27" s="45">
        <f ca="1">OFFSET('植物智慧20年利润表（实际）'!$A25,0,VLOOKUP($F$2,月度,2,0),1,1)</f>
        <v>0</v>
      </c>
      <c r="F27" s="195" t="str">
        <f t="shared" ca="1" si="8"/>
        <v>-</v>
      </c>
      <c r="G27" s="41">
        <f ca="1">OFFSET(植物智慧21年最新签批全年预算!$A25,0,VLOOKUP($F$2,月度,2,0),1,1)</f>
        <v>0</v>
      </c>
      <c r="H27" s="195" t="str">
        <f t="shared" ca="1" si="1"/>
        <v>-</v>
      </c>
      <c r="I27" s="66">
        <f ca="1">SUM(OFFSET('植物智慧21年利润表（实际）'!$A25,0,1,1,VLOOKUP($F$2,月度,2,0)))</f>
        <v>0</v>
      </c>
      <c r="J27" s="135">
        <f t="shared" ca="1" si="5"/>
        <v>0</v>
      </c>
      <c r="K27" s="66">
        <f ca="1">SUM(OFFSET('植物智慧20年利润表（实际）'!$A25,0,1,1,VLOOKUP($F$2,月度,2,0)))</f>
        <v>0</v>
      </c>
      <c r="L27" s="195" t="str">
        <f t="shared" ca="1" si="9"/>
        <v>-</v>
      </c>
      <c r="M27" s="41">
        <f ca="1">SUM(OFFSET(植物智慧21年最新签批全年预算!$A25,0,1,1,VLOOKUP($F$2,月度,2,0)))</f>
        <v>0</v>
      </c>
      <c r="N27" s="75" t="str">
        <f t="shared" ca="1" si="10"/>
        <v>-</v>
      </c>
      <c r="P27" s="175"/>
      <c r="Q27" s="175"/>
      <c r="R27" s="175"/>
      <c r="S27" s="175"/>
    </row>
    <row r="28" spans="1:19" ht="16.5" outlineLevel="1">
      <c r="A28" s="48" t="s">
        <v>54</v>
      </c>
      <c r="B28" s="40" t="s">
        <v>38</v>
      </c>
      <c r="C28" s="66">
        <f ca="1">OFFSET('植物智慧21年利润表（实际）'!$A26,0,VLOOKUP($F$2,月度,2,0),1,1)</f>
        <v>0</v>
      </c>
      <c r="D28" s="135">
        <f t="shared" ca="1" si="4"/>
        <v>0</v>
      </c>
      <c r="E28" s="45">
        <f ca="1">OFFSET('植物智慧20年利润表（实际）'!$A26,0,VLOOKUP($F$2,月度,2,0),1,1)</f>
        <v>0</v>
      </c>
      <c r="F28" s="195"/>
      <c r="G28" s="41">
        <f ca="1">OFFSET(植物智慧21年最新签批全年预算!$A26,0,VLOOKUP($F$2,月度,2,0),1,1)</f>
        <v>0</v>
      </c>
      <c r="H28" s="195" t="str">
        <f t="shared" ca="1" si="1"/>
        <v>-</v>
      </c>
      <c r="I28" s="66">
        <f ca="1">SUM(OFFSET('植物智慧21年利润表（实际）'!$A26,0,1,1,VLOOKUP($F$2,月度,2,0)))</f>
        <v>0</v>
      </c>
      <c r="J28" s="135">
        <f t="shared" ca="1" si="5"/>
        <v>0</v>
      </c>
      <c r="K28" s="66">
        <f ca="1">SUM(OFFSET('植物智慧20年利润表（实际）'!$A26,0,1,1,VLOOKUP($F$2,月度,2,0)))</f>
        <v>0</v>
      </c>
      <c r="L28" s="195"/>
      <c r="M28" s="41">
        <f ca="1">SUM(OFFSET(植物智慧21年最新签批全年预算!$A26,0,1,1,VLOOKUP($F$2,月度,2,0)))</f>
        <v>0</v>
      </c>
      <c r="N28" s="75" t="str">
        <f t="shared" ca="1" si="10"/>
        <v>-</v>
      </c>
      <c r="P28" s="175"/>
      <c r="Q28" s="175"/>
      <c r="R28" s="175"/>
      <c r="S28" s="175"/>
    </row>
    <row r="29" spans="1:19" ht="17.25" outlineLevel="1" thickBot="1">
      <c r="A29" s="78" t="s">
        <v>55</v>
      </c>
      <c r="B29" s="79" t="s">
        <v>31</v>
      </c>
      <c r="C29" s="84">
        <f ca="1">OFFSET('植物智慧21年利润表（实际）'!$A27,0,VLOOKUP($F$2,月度,2,0),1,1)</f>
        <v>16.658928</v>
      </c>
      <c r="D29" s="141">
        <f t="shared" ca="1" si="4"/>
        <v>0.19870067636051214</v>
      </c>
      <c r="E29" s="81">
        <f ca="1">OFFSET('植物智慧20年利润表（实际）'!$A27,0,VLOOKUP($F$2,月度,2,0),1,1)</f>
        <v>4.5907999999999989</v>
      </c>
      <c r="F29" s="198">
        <f t="shared" ca="1" si="8"/>
        <v>2.6287636141848925</v>
      </c>
      <c r="G29" s="83">
        <f ca="1">OFFSET(植物智慧21年最新签批全年预算!$A27,0,VLOOKUP($F$2,月度,2,0),1,1)</f>
        <v>10.758539999999998</v>
      </c>
      <c r="H29" s="198">
        <f t="shared" ca="1" si="1"/>
        <v>1.5484376132820998</v>
      </c>
      <c r="I29" s="84">
        <f ca="1">SUM(OFFSET('植物智慧21年利润表（实际）'!$A27,0,1,1,VLOOKUP($F$2,月度,2,0)))</f>
        <v>33.578244999999995</v>
      </c>
      <c r="J29" s="141">
        <f t="shared" ca="1" si="5"/>
        <v>0.10171849042755196</v>
      </c>
      <c r="K29" s="84">
        <f ca="1">SUM(OFFSET('植物智慧20年利润表（实际）'!$A27,0,1,1,VLOOKUP($F$2,月度,2,0)))</f>
        <v>24.249794000000001</v>
      </c>
      <c r="L29" s="198">
        <f t="shared" ca="1" si="9"/>
        <v>0.38468165956378819</v>
      </c>
      <c r="M29" s="83">
        <f ca="1">SUM(OFFSET(植物智慧21年最新签批全年预算!$A27,0,1,1,VLOOKUP($F$2,月度,2,0)))</f>
        <v>27.917079999999999</v>
      </c>
      <c r="N29" s="85">
        <f t="shared" ca="1" si="10"/>
        <v>1.2027849975713791</v>
      </c>
      <c r="P29" s="175"/>
      <c r="Q29" s="175"/>
      <c r="R29" s="175"/>
      <c r="S29" s="175"/>
    </row>
    <row r="30" spans="1:19" s="4" customFormat="1" ht="17.25" thickTop="1">
      <c r="A30" s="86" t="s">
        <v>9</v>
      </c>
      <c r="B30" s="87"/>
      <c r="C30" s="88">
        <f ca="1">C10-C12</f>
        <v>-26.517196000000013</v>
      </c>
      <c r="D30" s="145">
        <f t="shared" ca="1" si="4"/>
        <v>-0.31628594471290528</v>
      </c>
      <c r="E30" s="89">
        <f ca="1">E10-E12</f>
        <v>52.855290999999994</v>
      </c>
      <c r="F30" s="202">
        <f t="shared" ca="1" si="0"/>
        <v>-1.5016942580072072</v>
      </c>
      <c r="G30" s="89">
        <f ca="1">G10-G12</f>
        <v>-34.406860617256633</v>
      </c>
      <c r="H30" s="199">
        <f t="shared" ca="1" si="1"/>
        <v>1.2293049838234757</v>
      </c>
      <c r="I30" s="88">
        <f ca="1">I10-I12</f>
        <v>38.583469000000036</v>
      </c>
      <c r="J30" s="142">
        <f t="shared" ca="1" si="5"/>
        <v>0.11688080249989992</v>
      </c>
      <c r="K30" s="88">
        <f ca="1">K10-K12</f>
        <v>48.036153999999982</v>
      </c>
      <c r="L30" s="202">
        <f ca="1">IFERROR((I30-K30)/ABS(K30),"-")</f>
        <v>-0.1967827191161047</v>
      </c>
      <c r="M30" s="89">
        <f ca="1">M10-M12</f>
        <v>1.5395628658974374</v>
      </c>
      <c r="N30" s="91">
        <f t="shared" ca="1" si="10"/>
        <v>25.061314386476237</v>
      </c>
      <c r="P30" s="175"/>
      <c r="Q30" s="175"/>
      <c r="R30" s="175"/>
      <c r="S30" s="175"/>
    </row>
    <row r="31" spans="1:19" ht="16.5">
      <c r="A31" s="96" t="s">
        <v>21</v>
      </c>
      <c r="B31" s="92"/>
      <c r="C31" s="93">
        <f ca="1">SUM(C32:C47)</f>
        <v>12.748996</v>
      </c>
      <c r="D31" s="151">
        <f t="shared" ca="1" si="4"/>
        <v>0.15206465434735439</v>
      </c>
      <c r="E31" s="94">
        <f ca="1">SUM(E32:E47)</f>
        <v>13.475380000000001</v>
      </c>
      <c r="F31" s="200">
        <f ca="1">IFERROR((C31-E31)/ABS(E31),"-")</f>
        <v>-5.3904528109782524E-2</v>
      </c>
      <c r="G31" s="94">
        <f ca="1">SUM(G32:G47)</f>
        <v>14.940632000000001</v>
      </c>
      <c r="H31" s="200">
        <f t="shared" ca="1" si="1"/>
        <v>0.85331035527814347</v>
      </c>
      <c r="I31" s="93">
        <f ca="1">SUM(I32:I47)</f>
        <v>26.231913999999996</v>
      </c>
      <c r="J31" s="151">
        <f t="shared" ca="1" si="5"/>
        <v>7.9464268996350645E-2</v>
      </c>
      <c r="K31" s="93">
        <f ca="1">SUM(K32:K47)</f>
        <v>32.478150999999997</v>
      </c>
      <c r="L31" s="200">
        <f ca="1">IFERROR((I31-K31)/ABS(K31),"-")</f>
        <v>-0.19232120079742229</v>
      </c>
      <c r="M31" s="94">
        <f ca="1">SUM(M32:M47)</f>
        <v>30.188501999999996</v>
      </c>
      <c r="N31" s="192">
        <f t="shared" ca="1" si="10"/>
        <v>0.86893725299784663</v>
      </c>
      <c r="P31" s="175"/>
      <c r="Q31" s="175"/>
      <c r="R31" s="175"/>
      <c r="S31" s="175"/>
    </row>
    <row r="32" spans="1:19" ht="16.5" outlineLevel="1">
      <c r="A32" s="48" t="s">
        <v>56</v>
      </c>
      <c r="B32" s="40" t="s">
        <v>14</v>
      </c>
      <c r="C32" s="66">
        <f ca="1">OFFSET('植物智慧21年利润表（实际）'!$A30,0,VLOOKUP($F$2,月度,2,0),1,1)</f>
        <v>0.61881200000000003</v>
      </c>
      <c r="D32" s="135">
        <f t="shared" ca="1" si="4"/>
        <v>7.3809288893019551E-3</v>
      </c>
      <c r="E32" s="41">
        <f ca="1">OFFSET('植物智慧20年利润表（实际）'!$A30,0,VLOOKUP($F$2,月度,2,0),1,1)</f>
        <v>0</v>
      </c>
      <c r="F32" s="195" t="str">
        <f t="shared" ca="1" si="0"/>
        <v>-</v>
      </c>
      <c r="G32" s="41">
        <f ca="1">OFFSET(植物智慧21年最新签批全年预算!$A30,0,VLOOKUP($F$2,月度,2,0),1,1)</f>
        <v>0</v>
      </c>
      <c r="H32" s="195" t="str">
        <f ca="1">IF(G32&gt;0,C32/G32,IF(G32&lt;0,(G32+G32-C32)/G32,"-"))</f>
        <v>-</v>
      </c>
      <c r="I32" s="66">
        <f ca="1">SUM(OFFSET('植物智慧21年利润表（实际）'!$A30,0,1,1,VLOOKUP($F$2,月度,2,0)))</f>
        <v>0.62373100000000004</v>
      </c>
      <c r="J32" s="135">
        <f t="shared" ca="1" si="5"/>
        <v>1.8894666994319514E-3</v>
      </c>
      <c r="K32" s="66">
        <f ca="1">SUM(OFFSET('植物智慧20年利润表（实际）'!$A30,0,1,1,VLOOKUP($F$2,月度,2,0)))</f>
        <v>4.559717</v>
      </c>
      <c r="L32" s="195">
        <f t="shared" ref="L32:L48" ca="1" si="11">IFERROR((I32-K32)/ABS(K32),"-")</f>
        <v>-0.86320839648600989</v>
      </c>
      <c r="M32" s="41">
        <f ca="1">SUM(OFFSET(植物智慧21年最新签批全年预算!$A30,0,1,1,VLOOKUP($F$2,月度,2,0)))</f>
        <v>0</v>
      </c>
      <c r="N32" s="75" t="str">
        <f t="shared" ca="1" si="10"/>
        <v>-</v>
      </c>
      <c r="P32" s="175"/>
      <c r="Q32" s="175"/>
      <c r="R32" s="175"/>
      <c r="S32" s="175"/>
    </row>
    <row r="33" spans="1:19" ht="16.5" outlineLevel="1">
      <c r="A33" s="48" t="s">
        <v>57</v>
      </c>
      <c r="B33" s="40" t="s">
        <v>23</v>
      </c>
      <c r="C33" s="66">
        <f ca="1">OFFSET('植物智慧21年利润表（实际）'!$A31,0,VLOOKUP($F$2,月度,2,0),1,1)</f>
        <v>0</v>
      </c>
      <c r="D33" s="135">
        <f t="shared" ca="1" si="4"/>
        <v>0</v>
      </c>
      <c r="E33" s="41">
        <f ca="1">OFFSET('植物智慧20年利润表（实际）'!$A31,0,VLOOKUP($F$2,月度,2,0),1,1)</f>
        <v>0</v>
      </c>
      <c r="F33" s="195" t="str">
        <f t="shared" ca="1" si="0"/>
        <v>-</v>
      </c>
      <c r="G33" s="41">
        <f ca="1">OFFSET(植物智慧21年最新签批全年预算!$A31,0,VLOOKUP($F$2,月度,2,0),1,1)</f>
        <v>0</v>
      </c>
      <c r="H33" s="195" t="str">
        <f t="shared" ca="1" si="1"/>
        <v>-</v>
      </c>
      <c r="I33" s="66">
        <f ca="1">SUM(OFFSET('植物智慧21年利润表（实际）'!$A31,0,1,1,VLOOKUP($F$2,月度,2,0)))</f>
        <v>0</v>
      </c>
      <c r="J33" s="135">
        <f t="shared" ca="1" si="5"/>
        <v>0</v>
      </c>
      <c r="K33" s="66">
        <f ca="1">SUM(OFFSET('植物智慧20年利润表（实际）'!$A31,0,1,1,VLOOKUP($F$2,月度,2,0)))</f>
        <v>0</v>
      </c>
      <c r="L33" s="195" t="str">
        <f t="shared" ca="1" si="11"/>
        <v>-</v>
      </c>
      <c r="M33" s="41">
        <f ca="1">SUM(OFFSET(植物智慧21年最新签批全年预算!$A31,0,1,1,VLOOKUP($F$2,月度,2,0)))</f>
        <v>0</v>
      </c>
      <c r="N33" s="75" t="str">
        <f t="shared" ca="1" si="10"/>
        <v>-</v>
      </c>
      <c r="P33" s="175"/>
      <c r="Q33" s="175"/>
      <c r="R33" s="175"/>
      <c r="S33" s="175"/>
    </row>
    <row r="34" spans="1:19" ht="16.5" outlineLevel="1">
      <c r="A34" s="48" t="s">
        <v>58</v>
      </c>
      <c r="B34" s="40" t="s">
        <v>24</v>
      </c>
      <c r="C34" s="66">
        <f ca="1">OFFSET('植物智慧21年利润表（实际）'!$A32,0,VLOOKUP($F$2,月度,2,0),1,1)</f>
        <v>0</v>
      </c>
      <c r="D34" s="135">
        <f ca="1">C34/$C$8</f>
        <v>0</v>
      </c>
      <c r="E34" s="41">
        <f ca="1">OFFSET('植物智慧20年利润表（实际）'!$A32,0,VLOOKUP($F$2,月度,2,0),1,1)</f>
        <v>0</v>
      </c>
      <c r="F34" s="195" t="str">
        <f t="shared" ca="1" si="0"/>
        <v>-</v>
      </c>
      <c r="G34" s="41">
        <f ca="1">OFFSET(植物智慧21年最新签批全年预算!$A32,0,VLOOKUP($F$2,月度,2,0),1,1)</f>
        <v>1</v>
      </c>
      <c r="H34" s="195">
        <f t="shared" ca="1" si="1"/>
        <v>0</v>
      </c>
      <c r="I34" s="66">
        <f ca="1">SUM(OFFSET('植物智慧21年利润表（实际）'!$A32,0,1,1,VLOOKUP($F$2,月度,2,0)))</f>
        <v>0</v>
      </c>
      <c r="J34" s="135">
        <f t="shared" ca="1" si="5"/>
        <v>0</v>
      </c>
      <c r="K34" s="66">
        <f ca="1">SUM(OFFSET('植物智慧20年利润表（实际）'!$A32,0,1,1,VLOOKUP($F$2,月度,2,0)))</f>
        <v>0</v>
      </c>
      <c r="L34" s="195" t="str">
        <f t="shared" ca="1" si="11"/>
        <v>-</v>
      </c>
      <c r="M34" s="41">
        <f ca="1">SUM(OFFSET(植物智慧21年最新签批全年预算!$A32,0,1,1,VLOOKUP($F$2,月度,2,0)))</f>
        <v>1</v>
      </c>
      <c r="N34" s="75">
        <f t="shared" ca="1" si="10"/>
        <v>0</v>
      </c>
      <c r="P34" s="175"/>
      <c r="Q34" s="175"/>
      <c r="R34" s="175"/>
      <c r="S34" s="175"/>
    </row>
    <row r="35" spans="1:19" ht="16.5" outlineLevel="1">
      <c r="A35" s="48" t="s">
        <v>42</v>
      </c>
      <c r="B35" s="40" t="s">
        <v>19</v>
      </c>
      <c r="C35" s="66">
        <f ca="1">OFFSET('植物智慧21年利润表（实际）'!$A33,0,VLOOKUP($F$2,月度,2,0),1,1)</f>
        <v>0</v>
      </c>
      <c r="D35" s="135">
        <f t="shared" ca="1" si="4"/>
        <v>0</v>
      </c>
      <c r="E35" s="41">
        <f ca="1">OFFSET('植物智慧20年利润表（实际）'!$A33,0,VLOOKUP($F$2,月度,2,0),1,1)</f>
        <v>0</v>
      </c>
      <c r="F35" s="195" t="str">
        <f t="shared" ca="1" si="0"/>
        <v>-</v>
      </c>
      <c r="G35" s="41">
        <f ca="1">OFFSET(植物智慧21年最新签批全年预算!$A33,0,VLOOKUP($F$2,月度,2,0),1,1)</f>
        <v>0</v>
      </c>
      <c r="H35" s="195" t="str">
        <f t="shared" ca="1" si="1"/>
        <v>-</v>
      </c>
      <c r="I35" s="66">
        <f ca="1">SUM(OFFSET('植物智慧21年利润表（实际）'!$A33,0,1,1,VLOOKUP($F$2,月度,2,0)))</f>
        <v>0</v>
      </c>
      <c r="J35" s="135">
        <f t="shared" ca="1" si="5"/>
        <v>0</v>
      </c>
      <c r="K35" s="66">
        <f ca="1">SUM(OFFSET('植物智慧20年利润表（实际）'!$A33,0,1,1,VLOOKUP($F$2,月度,2,0)))</f>
        <v>0</v>
      </c>
      <c r="L35" s="195" t="str">
        <f t="shared" ca="1" si="11"/>
        <v>-</v>
      </c>
      <c r="M35" s="41">
        <f ca="1">SUM(OFFSET(植物智慧21年最新签批全年预算!$A33,0,1,1,VLOOKUP($F$2,月度,2,0)))</f>
        <v>0</v>
      </c>
      <c r="N35" s="75" t="str">
        <f t="shared" ca="1" si="10"/>
        <v>-</v>
      </c>
      <c r="P35" s="175"/>
      <c r="Q35" s="175"/>
      <c r="R35" s="175"/>
      <c r="S35" s="175"/>
    </row>
    <row r="36" spans="1:19" ht="16.5" outlineLevel="1">
      <c r="A36" s="48" t="s">
        <v>59</v>
      </c>
      <c r="B36" s="40" t="s">
        <v>27</v>
      </c>
      <c r="C36" s="66">
        <f ca="1">OFFSET('植物智慧21年利润表（实际）'!$A34,0,VLOOKUP($F$2,月度,2,0),1,1)</f>
        <v>0</v>
      </c>
      <c r="D36" s="135">
        <f t="shared" ca="1" si="4"/>
        <v>0</v>
      </c>
      <c r="E36" s="41">
        <f ca="1">OFFSET('植物智慧20年利润表（实际）'!$A34,0,VLOOKUP($F$2,月度,2,0),1,1)</f>
        <v>0</v>
      </c>
      <c r="F36" s="195" t="str">
        <f t="shared" ca="1" si="0"/>
        <v>-</v>
      </c>
      <c r="G36" s="41">
        <f ca="1">OFFSET(植物智慧21年最新签批全年预算!$A34,0,VLOOKUP($F$2,月度,2,0),1,1)</f>
        <v>0</v>
      </c>
      <c r="H36" s="195" t="str">
        <f t="shared" ca="1" si="1"/>
        <v>-</v>
      </c>
      <c r="I36" s="66">
        <f ca="1">SUM(OFFSET('植物智慧21年利润表（实际）'!$A34,0,1,1,VLOOKUP($F$2,月度,2,0)))</f>
        <v>0</v>
      </c>
      <c r="J36" s="135">
        <f t="shared" ca="1" si="5"/>
        <v>0</v>
      </c>
      <c r="K36" s="69">
        <f ca="1">SUM(OFFSET('植物智慧20年利润表（实际）'!$A34,0,1,1,VLOOKUP($F$2,月度,2,0)))</f>
        <v>0</v>
      </c>
      <c r="L36" s="195" t="str">
        <f t="shared" ca="1" si="11"/>
        <v>-</v>
      </c>
      <c r="M36" s="41">
        <f ca="1">SUM(OFFSET(植物智慧21年最新签批全年预算!$A34,0,1,1,VLOOKUP($F$2,月度,2,0)))</f>
        <v>0</v>
      </c>
      <c r="N36" s="75" t="str">
        <f t="shared" ca="1" si="10"/>
        <v>-</v>
      </c>
      <c r="P36" s="175"/>
      <c r="Q36" s="175"/>
      <c r="R36" s="175"/>
      <c r="S36" s="175"/>
    </row>
    <row r="37" spans="1:19" ht="16.5" outlineLevel="1">
      <c r="A37" s="48" t="s">
        <v>60</v>
      </c>
      <c r="B37" s="40" t="s">
        <v>28</v>
      </c>
      <c r="C37" s="66">
        <f ca="1">OFFSET('植物智慧21年利润表（实际）'!$A35,0,VLOOKUP($F$2,月度,2,0),1,1)</f>
        <v>0</v>
      </c>
      <c r="D37" s="135">
        <f t="shared" ca="1" si="4"/>
        <v>0</v>
      </c>
      <c r="E37" s="41">
        <f ca="1">OFFSET('植物智慧20年利润表（实际）'!$A35,0,VLOOKUP($F$2,月度,2,0),1,1)</f>
        <v>0</v>
      </c>
      <c r="F37" s="195" t="str">
        <f t="shared" ca="1" si="0"/>
        <v>-</v>
      </c>
      <c r="G37" s="41">
        <f ca="1">OFFSET(植物智慧21年最新签批全年预算!$A35,0,VLOOKUP($F$2,月度,2,0),1,1)</f>
        <v>0</v>
      </c>
      <c r="H37" s="195" t="str">
        <f t="shared" ca="1" si="1"/>
        <v>-</v>
      </c>
      <c r="I37" s="66">
        <f ca="1">SUM(OFFSET('植物智慧21年利润表（实际）'!$A35,0,1,1,VLOOKUP($F$2,月度,2,0)))</f>
        <v>0</v>
      </c>
      <c r="J37" s="135">
        <f t="shared" ca="1" si="5"/>
        <v>0</v>
      </c>
      <c r="K37" s="69">
        <f ca="1">SUM(OFFSET('植物智慧20年利润表（实际）'!$A35,0,1,1,VLOOKUP($F$2,月度,2,0)))</f>
        <v>0</v>
      </c>
      <c r="L37" s="195" t="str">
        <f t="shared" ca="1" si="11"/>
        <v>-</v>
      </c>
      <c r="M37" s="41">
        <f ca="1">SUM(OFFSET(植物智慧21年最新签批全年预算!$A35,0,1,1,VLOOKUP($F$2,月度,2,0)))</f>
        <v>0</v>
      </c>
      <c r="N37" s="75" t="str">
        <f t="shared" ca="1" si="10"/>
        <v>-</v>
      </c>
      <c r="P37" s="175"/>
      <c r="Q37" s="175"/>
      <c r="R37" s="175"/>
      <c r="S37" s="175"/>
    </row>
    <row r="38" spans="1:19" ht="16.5" outlineLevel="1">
      <c r="A38" s="48" t="s">
        <v>61</v>
      </c>
      <c r="B38" s="40" t="s">
        <v>22</v>
      </c>
      <c r="C38" s="66">
        <f ca="1">OFFSET('植物智慧21年利润表（实际）'!$A36,0,VLOOKUP($F$2,月度,2,0),1,1)</f>
        <v>0</v>
      </c>
      <c r="D38" s="135">
        <f t="shared" ca="1" si="4"/>
        <v>0</v>
      </c>
      <c r="E38" s="41">
        <f ca="1">OFFSET('植物智慧20年利润表（实际）'!$A36,0,VLOOKUP($F$2,月度,2,0),1,1)</f>
        <v>0</v>
      </c>
      <c r="F38" s="195" t="str">
        <f t="shared" ca="1" si="0"/>
        <v>-</v>
      </c>
      <c r="G38" s="41">
        <f ca="1">OFFSET(植物智慧21年最新签批全年预算!$A36,0,VLOOKUP($F$2,月度,2,0),1,1)</f>
        <v>0</v>
      </c>
      <c r="H38" s="195" t="str">
        <f t="shared" ca="1" si="1"/>
        <v>-</v>
      </c>
      <c r="I38" s="66">
        <f ca="1">SUM(OFFSET('植物智慧21年利润表（实际）'!$A36,0,1,1,VLOOKUP($F$2,月度,2,0)))</f>
        <v>0</v>
      </c>
      <c r="J38" s="135">
        <f t="shared" ca="1" si="5"/>
        <v>0</v>
      </c>
      <c r="K38" s="69">
        <f ca="1">SUM(OFFSET('植物智慧20年利润表（实际）'!$A36,0,1,1,VLOOKUP($F$2,月度,2,0)))</f>
        <v>0</v>
      </c>
      <c r="L38" s="195" t="str">
        <f t="shared" ca="1" si="11"/>
        <v>-</v>
      </c>
      <c r="M38" s="41">
        <f ca="1">SUM(OFFSET(植物智慧21年最新签批全年预算!$A36,0,1,1,VLOOKUP($F$2,月度,2,0)))</f>
        <v>0</v>
      </c>
      <c r="N38" s="75" t="str">
        <f t="shared" ca="1" si="10"/>
        <v>-</v>
      </c>
      <c r="P38" s="175"/>
      <c r="Q38" s="175"/>
      <c r="R38" s="175"/>
      <c r="S38" s="175"/>
    </row>
    <row r="39" spans="1:19" ht="16.5" outlineLevel="1">
      <c r="A39" s="48" t="s">
        <v>62</v>
      </c>
      <c r="B39" s="40" t="s">
        <v>29</v>
      </c>
      <c r="C39" s="66">
        <f ca="1">OFFSET('植物智慧21年利润表（实际）'!$A37,0,VLOOKUP($F$2,月度,2,0),1,1)</f>
        <v>0</v>
      </c>
      <c r="D39" s="135">
        <f t="shared" ca="1" si="4"/>
        <v>0</v>
      </c>
      <c r="E39" s="41">
        <f ca="1">OFFSET('植物智慧20年利润表（实际）'!$A37,0,VLOOKUP($F$2,月度,2,0),1,1)</f>
        <v>0</v>
      </c>
      <c r="F39" s="195" t="str">
        <f t="shared" ca="1" si="0"/>
        <v>-</v>
      </c>
      <c r="G39" s="41">
        <f ca="1">OFFSET(植物智慧21年最新签批全年预算!$A37,0,VLOOKUP($F$2,月度,2,0),1,1)</f>
        <v>0</v>
      </c>
      <c r="H39" s="195" t="str">
        <f t="shared" ca="1" si="1"/>
        <v>-</v>
      </c>
      <c r="I39" s="66">
        <f ca="1">SUM(OFFSET('植物智慧21年利润表（实际）'!$A37,0,1,1,VLOOKUP($F$2,月度,2,0)))</f>
        <v>0</v>
      </c>
      <c r="J39" s="135">
        <f t="shared" ca="1" si="5"/>
        <v>0</v>
      </c>
      <c r="K39" s="69">
        <f ca="1">SUM(OFFSET('植物智慧20年利润表（实际）'!$A37,0,1,1,VLOOKUP($F$2,月度,2,0)))</f>
        <v>0</v>
      </c>
      <c r="L39" s="195" t="str">
        <f t="shared" ca="1" si="11"/>
        <v>-</v>
      </c>
      <c r="M39" s="41">
        <f ca="1">SUM(OFFSET(植物智慧21年最新签批全年预算!$A37,0,1,1,VLOOKUP($F$2,月度,2,0)))</f>
        <v>0</v>
      </c>
      <c r="N39" s="75" t="str">
        <f t="shared" ca="1" si="10"/>
        <v>-</v>
      </c>
      <c r="P39" s="175"/>
      <c r="Q39" s="175"/>
      <c r="R39" s="175"/>
      <c r="S39" s="175"/>
    </row>
    <row r="40" spans="1:19" ht="16.5" outlineLevel="1">
      <c r="A40" s="48" t="s">
        <v>63</v>
      </c>
      <c r="B40" s="40" t="s">
        <v>13</v>
      </c>
      <c r="C40" s="66">
        <f ca="1">OFFSET('植物智慧21年利润表（实际）'!$A38,0,VLOOKUP($F$2,月度,2,0),1,1)</f>
        <v>8.495599999999999E-2</v>
      </c>
      <c r="D40" s="135">
        <f t="shared" ca="1" si="4"/>
        <v>1.0133193841094497E-3</v>
      </c>
      <c r="E40" s="41">
        <f ca="1">OFFSET('植物智慧20年利润表（实际）'!$A38,0,VLOOKUP($F$2,月度,2,0),1,1)</f>
        <v>0</v>
      </c>
      <c r="F40" s="195" t="str">
        <f t="shared" ca="1" si="0"/>
        <v>-</v>
      </c>
      <c r="G40" s="41">
        <f ca="1">OFFSET(植物智慧21年最新签批全年预算!$A38,0,VLOOKUP($F$2,月度,2,0),1,1)</f>
        <v>0</v>
      </c>
      <c r="H40" s="195" t="str">
        <f t="shared" ca="1" si="1"/>
        <v>-</v>
      </c>
      <c r="I40" s="66">
        <f ca="1">SUM(OFFSET('植物智慧21年利润表（实际）'!$A38,0,1,1,VLOOKUP($F$2,月度,2,0)))</f>
        <v>8.495599999999999E-2</v>
      </c>
      <c r="J40" s="135">
        <f t="shared" ca="1" si="5"/>
        <v>2.5735699030021085E-4</v>
      </c>
      <c r="K40" s="69">
        <f ca="1">SUM(OFFSET('植物智慧20年利润表（实际）'!$A38,0,1,1,VLOOKUP($F$2,月度,2,0)))</f>
        <v>0</v>
      </c>
      <c r="L40" s="195" t="str">
        <f t="shared" ca="1" si="11"/>
        <v>-</v>
      </c>
      <c r="M40" s="41">
        <f ca="1">SUM(OFFSET(植物智慧21年最新签批全年预算!$A38,0,1,1,VLOOKUP($F$2,月度,2,0)))</f>
        <v>0</v>
      </c>
      <c r="N40" s="75" t="str">
        <f t="shared" ca="1" si="10"/>
        <v>-</v>
      </c>
      <c r="P40" s="175"/>
      <c r="Q40" s="175"/>
      <c r="R40" s="175"/>
      <c r="S40" s="175"/>
    </row>
    <row r="41" spans="1:19" ht="16.5" outlineLevel="1">
      <c r="A41" s="48" t="s">
        <v>64</v>
      </c>
      <c r="B41" s="40" t="s">
        <v>17</v>
      </c>
      <c r="C41" s="66">
        <f ca="1">OFFSET('植物智慧21年利润表（实际）'!$A39,0,VLOOKUP($F$2,月度,2,0),1,1)</f>
        <v>0</v>
      </c>
      <c r="D41" s="135">
        <f t="shared" ca="1" si="4"/>
        <v>0</v>
      </c>
      <c r="E41" s="41">
        <f ca="1">OFFSET('植物智慧20年利润表（实际）'!$A39,0,VLOOKUP($F$2,月度,2,0),1,1)</f>
        <v>0</v>
      </c>
      <c r="F41" s="195" t="str">
        <f t="shared" ca="1" si="0"/>
        <v>-</v>
      </c>
      <c r="G41" s="41">
        <f ca="1">OFFSET(植物智慧21年最新签批全年预算!$A39,0,VLOOKUP($F$2,月度,2,0),1,1)</f>
        <v>0</v>
      </c>
      <c r="H41" s="195" t="str">
        <f t="shared" ca="1" si="1"/>
        <v>-</v>
      </c>
      <c r="I41" s="66">
        <f ca="1">SUM(OFFSET('植物智慧21年利润表（实际）'!$A39,0,1,1,VLOOKUP($F$2,月度,2,0)))</f>
        <v>0</v>
      </c>
      <c r="J41" s="135">
        <f t="shared" ca="1" si="5"/>
        <v>0</v>
      </c>
      <c r="K41" s="69">
        <f ca="1">SUM(OFFSET('植物智慧20年利润表（实际）'!$A39,0,1,1,VLOOKUP($F$2,月度,2,0)))</f>
        <v>0</v>
      </c>
      <c r="L41" s="195" t="str">
        <f t="shared" ca="1" si="11"/>
        <v>-</v>
      </c>
      <c r="M41" s="41">
        <f ca="1">SUM(OFFSET(植物智慧21年最新签批全年预算!$A39,0,1,1,VLOOKUP($F$2,月度,2,0)))</f>
        <v>0</v>
      </c>
      <c r="N41" s="75" t="str">
        <f t="shared" ca="1" si="10"/>
        <v>-</v>
      </c>
      <c r="P41" s="175"/>
      <c r="Q41" s="175"/>
      <c r="R41" s="175"/>
      <c r="S41" s="175"/>
    </row>
    <row r="42" spans="1:19" ht="16.5" outlineLevel="1">
      <c r="A42" s="48" t="s">
        <v>65</v>
      </c>
      <c r="B42" s="40" t="s">
        <v>30</v>
      </c>
      <c r="C42" s="66">
        <f ca="1">OFFSET('植物智慧21年利润表（实际）'!$A40,0,VLOOKUP($F$2,月度,2,0),1,1)</f>
        <v>11.76568</v>
      </c>
      <c r="D42" s="135">
        <f t="shared" ca="1" si="4"/>
        <v>0.14033607527695363</v>
      </c>
      <c r="E42" s="41">
        <f ca="1">OFFSET('植物智慧20年利润表（实际）'!$A40,0,VLOOKUP($F$2,月度,2,0),1,1)</f>
        <v>13.380632</v>
      </c>
      <c r="F42" s="195">
        <f t="shared" ca="1" si="0"/>
        <v>-0.12069325275517633</v>
      </c>
      <c r="G42" s="41">
        <f ca="1">OFFSET(植物智慧21年最新签批全年预算!$A40,0,VLOOKUP($F$2,月度,2,0),1,1)</f>
        <v>13.380632</v>
      </c>
      <c r="H42" s="195">
        <f t="shared" ca="1" si="1"/>
        <v>0.87930674724482372</v>
      </c>
      <c r="I42" s="66">
        <f ca="1">SUM(OFFSET('植物智慧21年利润表（实际）'!$A40,0,1,1,VLOOKUP($F$2,月度,2,0)))</f>
        <v>24.764069999999997</v>
      </c>
      <c r="J42" s="135">
        <f t="shared" ca="1" si="5"/>
        <v>7.5017732976879123E-2</v>
      </c>
      <c r="K42" s="69">
        <f ca="1">SUM(OFFSET('植物智慧20年利润表（实际）'!$A40,0,1,1,VLOOKUP($F$2,月度,2,0)))</f>
        <v>26.957732</v>
      </c>
      <c r="L42" s="195">
        <f t="shared" ca="1" si="11"/>
        <v>-8.1374130435008532E-2</v>
      </c>
      <c r="M42" s="41">
        <f ca="1">SUM(OFFSET(植物智慧21年最新签批全年预算!$A40,0,1,1,VLOOKUP($F$2,月度,2,0)))</f>
        <v>27.628501999999997</v>
      </c>
      <c r="N42" s="75">
        <f t="shared" ca="1" si="10"/>
        <v>0.89632329686205925</v>
      </c>
      <c r="P42" s="175"/>
      <c r="Q42" s="175"/>
      <c r="R42" s="175"/>
      <c r="S42" s="175"/>
    </row>
    <row r="43" spans="1:19" ht="16.5" outlineLevel="1">
      <c r="A43" s="48" t="s">
        <v>50</v>
      </c>
      <c r="B43" s="40" t="s">
        <v>15</v>
      </c>
      <c r="C43" s="66">
        <f ca="1">OFFSET('植物智慧21年利润表（实际）'!$A41,0,VLOOKUP($F$2,月度,2,0),1,1)</f>
        <v>0</v>
      </c>
      <c r="D43" s="135">
        <f t="shared" ca="1" si="4"/>
        <v>0</v>
      </c>
      <c r="E43" s="41">
        <f ca="1">OFFSET('植物智慧20年利润表（实际）'!$A41,0,VLOOKUP($F$2,月度,2,0),1,1)</f>
        <v>0</v>
      </c>
      <c r="F43" s="195" t="str">
        <f t="shared" ca="1" si="0"/>
        <v>-</v>
      </c>
      <c r="G43" s="41">
        <f ca="1">OFFSET(植物智慧21年最新签批全年预算!$A41,0,VLOOKUP($F$2,月度,2,0),1,1)</f>
        <v>0</v>
      </c>
      <c r="H43" s="195" t="str">
        <f t="shared" ca="1" si="1"/>
        <v>-</v>
      </c>
      <c r="I43" s="66">
        <f ca="1">SUM(OFFSET('植物智慧21年利润表（实际）'!$A41,0,1,1,VLOOKUP($F$2,月度,2,0)))</f>
        <v>0</v>
      </c>
      <c r="J43" s="135">
        <f t="shared" ca="1" si="5"/>
        <v>0</v>
      </c>
      <c r="K43" s="69">
        <f ca="1">SUM(OFFSET('植物智慧20年利润表（实际）'!$A41,0,1,1,VLOOKUP($F$2,月度,2,0)))</f>
        <v>0.40754699999999999</v>
      </c>
      <c r="L43" s="195">
        <f t="shared" ca="1" si="11"/>
        <v>-1</v>
      </c>
      <c r="M43" s="41">
        <f ca="1">SUM(OFFSET(植物智慧21年最新签批全年预算!$A41,0,1,1,VLOOKUP($F$2,月度,2,0)))</f>
        <v>0</v>
      </c>
      <c r="N43" s="75" t="str">
        <f t="shared" ca="1" si="10"/>
        <v>-</v>
      </c>
      <c r="P43" s="175"/>
      <c r="Q43" s="175"/>
      <c r="R43" s="175"/>
      <c r="S43" s="175"/>
    </row>
    <row r="44" spans="1:19" ht="16.5" outlineLevel="1">
      <c r="A44" s="48" t="s">
        <v>51</v>
      </c>
      <c r="B44" s="40" t="s">
        <v>12</v>
      </c>
      <c r="C44" s="66">
        <f ca="1">OFFSET('植物智慧21年利润表（实际）'!$A42,0,VLOOKUP($F$2,月度,2,0),1,1)</f>
        <v>0</v>
      </c>
      <c r="D44" s="135">
        <f t="shared" ca="1" si="4"/>
        <v>0</v>
      </c>
      <c r="E44" s="41">
        <f ca="1">OFFSET('植物智慧20年利润表（实际）'!$A42,0,VLOOKUP($F$2,月度,2,0),1,1)</f>
        <v>0</v>
      </c>
      <c r="F44" s="195" t="str">
        <f t="shared" ca="1" si="0"/>
        <v>-</v>
      </c>
      <c r="G44" s="41">
        <f ca="1">OFFSET(植物智慧21年最新签批全年预算!$A42,0,VLOOKUP($F$2,月度,2,0),1,1)</f>
        <v>0</v>
      </c>
      <c r="H44" s="195" t="str">
        <f t="shared" ca="1" si="1"/>
        <v>-</v>
      </c>
      <c r="I44" s="66">
        <f ca="1">SUM(OFFSET('植物智慧21年利润表（实际）'!$A42,0,1,1,VLOOKUP($F$2,月度,2,0)))</f>
        <v>0</v>
      </c>
      <c r="J44" s="135">
        <f t="shared" ca="1" si="5"/>
        <v>0</v>
      </c>
      <c r="K44" s="69">
        <f ca="1">SUM(OFFSET('植物智慧20年利润表（实际）'!$A42,0,1,1,VLOOKUP($F$2,月度,2,0)))</f>
        <v>0</v>
      </c>
      <c r="L44" s="195" t="str">
        <f t="shared" ca="1" si="11"/>
        <v>-</v>
      </c>
      <c r="M44" s="41">
        <f ca="1">SUM(OFFSET(植物智慧21年最新签批全年预算!$A42,0,1,1,VLOOKUP($F$2,月度,2,0)))</f>
        <v>0</v>
      </c>
      <c r="N44" s="75" t="str">
        <f t="shared" ca="1" si="10"/>
        <v>-</v>
      </c>
      <c r="P44" s="175"/>
      <c r="Q44" s="175"/>
      <c r="R44" s="175"/>
      <c r="S44" s="175"/>
    </row>
    <row r="45" spans="1:19" ht="16.5" outlineLevel="1">
      <c r="A45" s="48" t="s">
        <v>52</v>
      </c>
      <c r="B45" s="40" t="s">
        <v>25</v>
      </c>
      <c r="C45" s="66">
        <f ca="1">OFFSET('植物智慧21年利润表（实际）'!$A43,0,VLOOKUP($F$2,月度,2,0),1,1)</f>
        <v>1.9396E-2</v>
      </c>
      <c r="D45" s="135">
        <f t="shared" ca="1" si="4"/>
        <v>2.3134731830814643E-4</v>
      </c>
      <c r="E45" s="41">
        <f ca="1">OFFSET('植物智慧20年利润表（实际）'!$A43,0,VLOOKUP($F$2,月度,2,0),1,1)</f>
        <v>1.9396E-2</v>
      </c>
      <c r="F45" s="195">
        <f t="shared" ca="1" si="0"/>
        <v>0</v>
      </c>
      <c r="G45" s="41">
        <f ca="1">OFFSET(植物智慧21年最新签批全年预算!$A43,0,VLOOKUP($F$2,月度,2,0),1,1)</f>
        <v>0</v>
      </c>
      <c r="H45" s="195" t="str">
        <f t="shared" ca="1" si="1"/>
        <v>-</v>
      </c>
      <c r="I45" s="66">
        <f ca="1">SUM(OFFSET('植物智慧21年利润表（实际）'!$A43,0,1,1,VLOOKUP($F$2,月度,2,0)))</f>
        <v>3.8793000000000001E-2</v>
      </c>
      <c r="J45" s="135">
        <f t="shared" ca="1" si="5"/>
        <v>1.1751553421437075E-4</v>
      </c>
      <c r="K45" s="69">
        <f ca="1">SUM(OFFSET('植物智慧20年利润表（实际）'!$A43,0,1,1,VLOOKUP($F$2,月度,2,0)))</f>
        <v>3.8793000000000001E-2</v>
      </c>
      <c r="L45" s="195">
        <f t="shared" ca="1" si="11"/>
        <v>0</v>
      </c>
      <c r="M45" s="41">
        <f ca="1">SUM(OFFSET(植物智慧21年最新签批全年预算!$A43,0,1,1,VLOOKUP($F$2,月度,2,0)))</f>
        <v>0</v>
      </c>
      <c r="N45" s="75" t="str">
        <f t="shared" ca="1" si="10"/>
        <v>-</v>
      </c>
      <c r="P45" s="175"/>
      <c r="Q45" s="175"/>
      <c r="R45" s="175"/>
      <c r="S45" s="175"/>
    </row>
    <row r="46" spans="1:19" ht="16.5" outlineLevel="1">
      <c r="A46" s="48" t="s">
        <v>53</v>
      </c>
      <c r="B46" s="40" t="s">
        <v>20</v>
      </c>
      <c r="C46" s="66">
        <f ca="1">OFFSET('植物智慧21年利润表（实际）'!$A44,0,VLOOKUP($F$2,月度,2,0),1,1)</f>
        <v>0</v>
      </c>
      <c r="D46" s="135">
        <f t="shared" ca="1" si="4"/>
        <v>0</v>
      </c>
      <c r="E46" s="41">
        <f ca="1">OFFSET('植物智慧20年利润表（实际）'!$A44,0,VLOOKUP($F$2,月度,2,0),1,1)</f>
        <v>0</v>
      </c>
      <c r="F46" s="195" t="str">
        <f t="shared" ca="1" si="0"/>
        <v>-</v>
      </c>
      <c r="G46" s="41">
        <f ca="1">OFFSET(植物智慧21年最新签批全年预算!$A44,0,VLOOKUP($F$2,月度,2,0),1,1)</f>
        <v>0</v>
      </c>
      <c r="H46" s="195" t="str">
        <f t="shared" ca="1" si="1"/>
        <v>-</v>
      </c>
      <c r="I46" s="66">
        <f ca="1">SUM(OFFSET('植物智慧21年利润表（实际）'!$A44,0,1,1,VLOOKUP($F$2,月度,2,0)))</f>
        <v>6.7159999999999997E-2</v>
      </c>
      <c r="J46" s="135">
        <f t="shared" ca="1" si="5"/>
        <v>2.0344761368899387E-4</v>
      </c>
      <c r="K46" s="69">
        <f ca="1">SUM(OFFSET('植物智慧20年利润表（实际）'!$A44,0,1,1,VLOOKUP($F$2,月度,2,0)))</f>
        <v>0</v>
      </c>
      <c r="L46" s="195" t="str">
        <f t="shared" ca="1" si="11"/>
        <v>-</v>
      </c>
      <c r="M46" s="41">
        <f ca="1">SUM(OFFSET(植物智慧21年最新签批全年预算!$A44,0,1,1,VLOOKUP($F$2,月度,2,0)))</f>
        <v>0</v>
      </c>
      <c r="N46" s="75" t="str">
        <f t="shared" ca="1" si="10"/>
        <v>-</v>
      </c>
      <c r="P46" s="175"/>
      <c r="Q46" s="175"/>
      <c r="R46" s="175"/>
      <c r="S46" s="175"/>
    </row>
    <row r="47" spans="1:19" ht="16.5" outlineLevel="1">
      <c r="A47" s="48" t="s">
        <v>66</v>
      </c>
      <c r="B47" s="40" t="s">
        <v>31</v>
      </c>
      <c r="C47" s="66">
        <f ca="1">OFFSET('植物智慧21年利润表（实际）'!$A45,0,VLOOKUP($F$2,月度,2,0),1,1)</f>
        <v>0.26015199999999999</v>
      </c>
      <c r="D47" s="135">
        <f t="shared" ca="1" si="4"/>
        <v>3.1029834786812185E-3</v>
      </c>
      <c r="E47" s="41">
        <f ca="1">OFFSET('植物智慧20年利润表（实际）'!$A45,0,VLOOKUP($F$2,月度,2,0),1,1)</f>
        <v>7.5352000000000002E-2</v>
      </c>
      <c r="F47" s="195">
        <f t="shared" ca="1" si="0"/>
        <v>2.4524896485826519</v>
      </c>
      <c r="G47" s="41">
        <f ca="1">OFFSET(植物智慧21年最新签批全年预算!$A45,0,VLOOKUP($F$2,月度,2,0),1,1)</f>
        <v>0.56000000000000005</v>
      </c>
      <c r="H47" s="195">
        <f t="shared" ca="1" si="1"/>
        <v>0.46455714285714278</v>
      </c>
      <c r="I47" s="66">
        <f ca="1">SUM(OFFSET('植物智慧21年利润表（实际）'!$A45,0,1,1,VLOOKUP($F$2,月度,2,0)))</f>
        <v>0.65320400000000012</v>
      </c>
      <c r="J47" s="135">
        <f t="shared" ca="1" si="5"/>
        <v>1.9787491818359973E-3</v>
      </c>
      <c r="K47" s="66">
        <f ca="1">SUM(OFFSET('植物智慧20年利润表（实际）'!$A45,0,1,1,VLOOKUP($F$2,月度,2,0)))</f>
        <v>0.51436199999999999</v>
      </c>
      <c r="L47" s="195">
        <f t="shared" ca="1" si="11"/>
        <v>0.26993051586236955</v>
      </c>
      <c r="M47" s="41">
        <f ca="1">SUM(OFFSET(植物智慧21年最新签批全年预算!$A45,0,1,1,VLOOKUP($F$2,月度,2,0)))</f>
        <v>1.56</v>
      </c>
      <c r="N47" s="75">
        <f t="shared" ca="1" si="10"/>
        <v>0.41872051282051287</v>
      </c>
      <c r="P47" s="175"/>
      <c r="Q47" s="175"/>
      <c r="R47" s="175"/>
      <c r="S47" s="175"/>
    </row>
    <row r="48" spans="1:19" s="4" customFormat="1" ht="17.25" thickBot="1">
      <c r="A48" s="51" t="s">
        <v>1</v>
      </c>
      <c r="B48" s="52"/>
      <c r="C48" s="53">
        <f ca="1">C30-C31</f>
        <v>-39.266192000000011</v>
      </c>
      <c r="D48" s="143">
        <f ca="1">C48/$C$8</f>
        <v>-0.46835059906025961</v>
      </c>
      <c r="E48" s="53">
        <f ca="1">E30-E31</f>
        <v>39.379910999999993</v>
      </c>
      <c r="F48" s="203">
        <f t="shared" ca="1" si="0"/>
        <v>-1.9971122585828096</v>
      </c>
      <c r="G48" s="53">
        <f ca="1">G30-G31</f>
        <v>-49.347492617256634</v>
      </c>
      <c r="H48" s="201">
        <f t="shared" ca="1" si="1"/>
        <v>1.2042920538120965</v>
      </c>
      <c r="I48" s="68">
        <f ca="1">I30-I31</f>
        <v>12.35155500000004</v>
      </c>
      <c r="J48" s="143">
        <f t="shared" ca="1" si="5"/>
        <v>3.7416533503549274E-2</v>
      </c>
      <c r="K48" s="68">
        <f ca="1">K30-K31</f>
        <v>15.558002999999985</v>
      </c>
      <c r="L48" s="203">
        <f t="shared" ca="1" si="11"/>
        <v>-0.20609637367983205</v>
      </c>
      <c r="M48" s="53">
        <f ca="1">M30-M31</f>
        <v>-28.648939134102559</v>
      </c>
      <c r="N48" s="76">
        <f t="shared" ca="1" si="10"/>
        <v>2.4311348124334993</v>
      </c>
      <c r="P48" s="175"/>
      <c r="Q48" s="175"/>
      <c r="R48" s="175"/>
      <c r="S48" s="175"/>
    </row>
    <row r="49" spans="1:8" ht="20.25" customHeight="1">
      <c r="A49" s="147" t="s">
        <v>519</v>
      </c>
      <c r="F49" s="72"/>
      <c r="G49" s="71"/>
      <c r="H49" s="73"/>
    </row>
    <row r="50" spans="1:8" ht="18.75" customHeight="1">
      <c r="A50" s="147" t="s">
        <v>560</v>
      </c>
      <c r="B50" s="3"/>
      <c r="C50" s="3"/>
      <c r="D50" s="59"/>
      <c r="E50" s="7"/>
      <c r="F50" s="59"/>
      <c r="G50" s="3"/>
      <c r="H50" s="62"/>
    </row>
    <row r="52" spans="1:8" ht="15">
      <c r="A52" s="177"/>
    </row>
    <row r="53" spans="1:8" ht="15.75">
      <c r="A53" s="176"/>
    </row>
  </sheetData>
  <sheetProtection autoFilter="0"/>
  <mergeCells count="2">
    <mergeCell ref="C3:H3"/>
    <mergeCell ref="I3:N3"/>
  </mergeCells>
  <phoneticPr fontId="2" type="noConversion"/>
  <dataValidations count="1">
    <dataValidation type="list" allowBlank="1" showInputMessage="1" showErrorMessage="1" sqref="F2">
      <formula1>"1月,2月,3月,4月,5月,6月,7月,8月,9月,10月,11月,12月"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N50"/>
  <sheetViews>
    <sheetView showGridLines="0" workbookViewId="0">
      <pane xSplit="1" ySplit="3" topLeftCell="B4" activePane="bottomRight" state="frozen"/>
      <selection activeCell="A49" sqref="A49"/>
      <selection pane="topRight" activeCell="A49" sqref="A49"/>
      <selection pane="bottomLeft" activeCell="A49" sqref="A49"/>
      <selection pane="bottomRight" activeCell="C4" sqref="C4"/>
    </sheetView>
  </sheetViews>
  <sheetFormatPr defaultColWidth="8.625" defaultRowHeight="13.5" outlineLevelRow="1"/>
  <cols>
    <col min="1" max="1" width="28.375" style="1" customWidth="1"/>
    <col min="2" max="2" width="16.875" style="6" customWidth="1"/>
    <col min="3" max="3" width="10.75" style="2" customWidth="1"/>
    <col min="4" max="4" width="7.5" style="60" customWidth="1"/>
    <col min="5" max="5" width="8.625" style="2" customWidth="1"/>
    <col min="6" max="6" width="9.875" style="60" bestFit="1" customWidth="1"/>
    <col min="7" max="7" width="8.875" style="2" customWidth="1"/>
    <col min="8" max="8" width="9.75" style="63" customWidth="1"/>
    <col min="9" max="9" width="10.25" style="3" customWidth="1"/>
    <col min="10" max="10" width="7.125" style="144" customWidth="1"/>
    <col min="11" max="11" width="10" style="3" customWidth="1"/>
    <col min="12" max="12" width="8.125" style="59" customWidth="1"/>
    <col min="13" max="13" width="9.75" style="3" customWidth="1"/>
    <col min="14" max="14" width="10.375" style="59" customWidth="1"/>
    <col min="15" max="16384" width="8.625" style="3"/>
  </cols>
  <sheetData>
    <row r="1" spans="1:14" ht="24.75" customHeight="1" thickBot="1">
      <c r="A1" s="148" t="s">
        <v>534</v>
      </c>
      <c r="B1" s="56"/>
      <c r="C1" s="57"/>
      <c r="D1" s="132"/>
      <c r="E1" s="58"/>
      <c r="F1" s="29"/>
      <c r="G1" s="30"/>
      <c r="H1" s="61"/>
      <c r="I1" s="31"/>
      <c r="J1" s="136"/>
      <c r="K1" s="31"/>
      <c r="L1" s="55"/>
      <c r="M1" s="31" t="s">
        <v>496</v>
      </c>
      <c r="N1" s="55"/>
    </row>
    <row r="2" spans="1:14" s="4" customFormat="1" ht="15">
      <c r="A2" s="32" t="s">
        <v>10</v>
      </c>
      <c r="B2" s="33"/>
      <c r="C2" s="206" t="s">
        <v>493</v>
      </c>
      <c r="D2" s="206"/>
      <c r="E2" s="206"/>
      <c r="F2" s="206"/>
      <c r="G2" s="206"/>
      <c r="H2" s="206"/>
      <c r="I2" s="206" t="s">
        <v>521</v>
      </c>
      <c r="J2" s="206"/>
      <c r="K2" s="206"/>
      <c r="L2" s="206"/>
      <c r="M2" s="206"/>
      <c r="N2" s="207"/>
    </row>
    <row r="3" spans="1:14" s="4" customFormat="1" ht="26.25" customHeight="1">
      <c r="A3" s="34" t="s">
        <v>11</v>
      </c>
      <c r="B3" s="35"/>
      <c r="C3" s="36" t="s">
        <v>2</v>
      </c>
      <c r="D3" s="133" t="s">
        <v>512</v>
      </c>
      <c r="E3" s="36" t="s">
        <v>3</v>
      </c>
      <c r="F3" s="37" t="s">
        <v>4</v>
      </c>
      <c r="G3" s="36" t="s">
        <v>494</v>
      </c>
      <c r="H3" s="98" t="s">
        <v>495</v>
      </c>
      <c r="I3" s="97" t="s">
        <v>67</v>
      </c>
      <c r="J3" s="137" t="s">
        <v>512</v>
      </c>
      <c r="K3" s="36" t="s">
        <v>3</v>
      </c>
      <c r="L3" s="37" t="s">
        <v>4</v>
      </c>
      <c r="M3" s="36" t="s">
        <v>494</v>
      </c>
      <c r="N3" s="38" t="s">
        <v>495</v>
      </c>
    </row>
    <row r="4" spans="1:14" ht="16.5">
      <c r="A4" s="39" t="s">
        <v>35</v>
      </c>
      <c r="B4" s="40"/>
      <c r="C4" s="41">
        <f>'植物智慧21年利润表（实际）'!H3</f>
        <v>0</v>
      </c>
      <c r="D4" s="134"/>
      <c r="E4" s="41">
        <f>'植物智慧19年利润表（实际）'!H3</f>
        <v>816.26419999999996</v>
      </c>
      <c r="F4" s="42">
        <f>IFERROR((C4-E4)/ABS(E4),"-")</f>
        <v>-1</v>
      </c>
      <c r="G4" s="41">
        <v>925.71428571428578</v>
      </c>
      <c r="H4" s="42">
        <f>IF(G4&gt;0,C4/G4,IF(G4&lt;0,(G4+G4-C4)/G4,"-"))</f>
        <v>0</v>
      </c>
      <c r="I4" s="66">
        <f>'植物智慧21年利润表（实际）'!N3</f>
        <v>2350.7518999999998</v>
      </c>
      <c r="J4" s="138"/>
      <c r="K4" s="66">
        <f>'植物智慧19年利润表（实际）'!B3+'植物智慧19年利润表（实际）'!C3+'植物智慧19年利润表（实际）'!D3+'植物智慧19年利润表（实际）'!E3+'植物智慧19年利润表（实际）'!F3+'植物智慧19年利润表（实际）'!G3+'植物智慧19年利润表（实际）'!H3</f>
        <v>9472.3086999999996</v>
      </c>
      <c r="L4" s="42">
        <f>IFERROR((I4-K4)/ABS(K4),"-")</f>
        <v>-0.75182904459184285</v>
      </c>
      <c r="M4" s="41">
        <v>8158.2342857142867</v>
      </c>
      <c r="N4" s="75">
        <f>IF(M4&gt;0,I4/M4,IF(M4&lt;0,(M4+M4-I4)/M4,"-"))</f>
        <v>0.28814469132326248</v>
      </c>
    </row>
    <row r="5" spans="1:14" ht="16.5">
      <c r="A5" s="39" t="s">
        <v>0</v>
      </c>
      <c r="B5" s="40"/>
      <c r="C5" s="41">
        <f>'植物智慧21年利润表（实际）'!H4</f>
        <v>0</v>
      </c>
      <c r="D5" s="134"/>
      <c r="E5" s="41">
        <f>'植物智慧19年利润表（实际）'!H4</f>
        <v>451.19065714285716</v>
      </c>
      <c r="F5" s="42">
        <f t="shared" ref="F5:F47" si="0">IFERROR((C5-E5)/ABS(E5),"-")</f>
        <v>-1</v>
      </c>
      <c r="G5" s="41">
        <v>571.42857142857144</v>
      </c>
      <c r="H5" s="42">
        <f t="shared" ref="H5:H47" si="1">IF(G5&gt;0,C5/G5,IF(G5&lt;0,(G5+G5-C5)/G5,"-"))</f>
        <v>0</v>
      </c>
      <c r="I5" s="66">
        <f>'植物智慧21年利润表（实际）'!N4</f>
        <v>1065.7822581999999</v>
      </c>
      <c r="J5" s="138"/>
      <c r="K5" s="66">
        <f>'植物智慧19年利润表（实际）'!B4+'植物智慧19年利润表（实际）'!C4+'植物智慧19年利润表（实际）'!D4+'植物智慧19年利润表（实际）'!E4+'植物智慧19年利润表（实际）'!F4+'植物智慧19年利润表（实际）'!G4+'植物智慧19年利润表（实际）'!H4</f>
        <v>5846.5218885714294</v>
      </c>
      <c r="L5" s="42">
        <f t="shared" ref="L5:L9" si="2">IFERROR((I5-K5)/ABS(K5),"-")</f>
        <v>-0.81770661625617913</v>
      </c>
      <c r="M5" s="41">
        <v>4991.6704976571427</v>
      </c>
      <c r="N5" s="75">
        <f t="shared" ref="N5:N9" si="3">IF(M5&gt;0,I5/M5,IF(M5&lt;0,(M5+M5-I5)/M5,"-"))</f>
        <v>0.21351214161676504</v>
      </c>
    </row>
    <row r="6" spans="1:14" ht="16.5">
      <c r="A6" s="39" t="s">
        <v>5</v>
      </c>
      <c r="B6" s="40"/>
      <c r="C6" s="41">
        <f>'植物智慧21年利润表（实际）'!H5</f>
        <v>0</v>
      </c>
      <c r="D6" s="134"/>
      <c r="E6" s="41">
        <f>'植物智慧19年利润表（实际）'!H5</f>
        <v>157.91673</v>
      </c>
      <c r="F6" s="42">
        <f t="shared" si="0"/>
        <v>-1</v>
      </c>
      <c r="G6" s="41">
        <v>200</v>
      </c>
      <c r="H6" s="42">
        <f t="shared" si="1"/>
        <v>0</v>
      </c>
      <c r="I6" s="66">
        <f>'植物智慧21年利润表（实际）'!N5</f>
        <v>373.02379036999997</v>
      </c>
      <c r="J6" s="138"/>
      <c r="K6" s="66">
        <f>'植物智慧19年利润表（实际）'!B5+'植物智慧19年利润表（实际）'!C5+'植物智慧19年利润表（实际）'!D5+'植物智慧19年利润表（实际）'!E5+'植物智慧19年利润表（实际）'!F5+'植物智慧19年利润表（实际）'!G5+'植物智慧19年利润表（实际）'!H5</f>
        <v>2046.282661</v>
      </c>
      <c r="L6" s="42">
        <f t="shared" si="2"/>
        <v>-0.81770661625617913</v>
      </c>
      <c r="M6" s="41">
        <v>1747.084668</v>
      </c>
      <c r="N6" s="75">
        <f t="shared" si="3"/>
        <v>0.21351214237202612</v>
      </c>
    </row>
    <row r="7" spans="1:14" ht="16.5">
      <c r="A7" s="39" t="s">
        <v>33</v>
      </c>
      <c r="B7" s="40"/>
      <c r="C7" s="41">
        <f>'植物智慧21年利润表（实际）'!H6</f>
        <v>0</v>
      </c>
      <c r="D7" s="135" t="e">
        <f>C7/$C$7</f>
        <v>#DIV/0!</v>
      </c>
      <c r="E7" s="41">
        <f>'植物智慧19年利润表（实际）'!H6</f>
        <v>139.74931999999998</v>
      </c>
      <c r="F7" s="42">
        <f t="shared" si="0"/>
        <v>-1</v>
      </c>
      <c r="G7" s="41">
        <v>175.13274336283189</v>
      </c>
      <c r="H7" s="42">
        <f t="shared" si="1"/>
        <v>0</v>
      </c>
      <c r="I7" s="66">
        <f>'植物智慧21年利润表（实际）'!N6</f>
        <v>330.10954900000002</v>
      </c>
      <c r="J7" s="135">
        <f>I7/$I$7</f>
        <v>1</v>
      </c>
      <c r="K7" s="66">
        <f>'植物智慧19年利润表（实际）'!B6+'植物智慧19年利润表（实际）'!C6+'植物智慧19年利润表（实际）'!D6+'植物智慧19年利润表（实际）'!E6+'植物智慧19年利润表（实际）'!F6+'植物智慧19年利润表（实际）'!G6+'植物智慧19年利润表（实际）'!H6</f>
        <v>1787.4447289999998</v>
      </c>
      <c r="L7" s="42">
        <f t="shared" si="2"/>
        <v>-0.81531761869656105</v>
      </c>
      <c r="M7" s="41">
        <v>1538.6590059469029</v>
      </c>
      <c r="N7" s="75">
        <f t="shared" si="3"/>
        <v>0.21454366934072439</v>
      </c>
    </row>
    <row r="8" spans="1:14" ht="16.5">
      <c r="A8" s="39" t="s">
        <v>34</v>
      </c>
      <c r="B8" s="40"/>
      <c r="C8" s="41">
        <f>'植物智慧21年利润表（实际）'!H7</f>
        <v>0</v>
      </c>
      <c r="D8" s="135" t="e">
        <f t="shared" ref="D8:D46" si="4">C8/$C$7</f>
        <v>#DIV/0!</v>
      </c>
      <c r="E8" s="41">
        <f>'植物智慧19年利润表（实际）'!H7</f>
        <v>53.063468000000007</v>
      </c>
      <c r="F8" s="42">
        <f t="shared" si="0"/>
        <v>-1</v>
      </c>
      <c r="G8" s="41">
        <v>47.28584070796461</v>
      </c>
      <c r="H8" s="42">
        <f t="shared" si="1"/>
        <v>0</v>
      </c>
      <c r="I8" s="66">
        <f>'植物智慧21年利润表（实际）'!N7</f>
        <v>94.018800999999996</v>
      </c>
      <c r="J8" s="135">
        <f t="shared" ref="J8:J47" si="5">I8/$I$7</f>
        <v>0.28481090984738522</v>
      </c>
      <c r="K8" s="66">
        <f>'植物智慧19年利润表（实际）'!B7+'植物智慧19年利润表（实际）'!C7+'植物智慧19年利润表（实际）'!D7+'植物智慧19年利润表（实际）'!E7+'植物智慧19年利润表（实际）'!F7+'植物智慧19年利润表（实际）'!G7+'植物智慧19年利润表（实际）'!H7</f>
        <v>578.74440200000004</v>
      </c>
      <c r="L8" s="42">
        <f t="shared" si="2"/>
        <v>-0.83754693665270219</v>
      </c>
      <c r="M8" s="41">
        <v>425.46823672566376</v>
      </c>
      <c r="N8" s="75">
        <f t="shared" si="3"/>
        <v>0.22097725020216272</v>
      </c>
    </row>
    <row r="9" spans="1:14" ht="16.5">
      <c r="A9" s="39" t="s">
        <v>6</v>
      </c>
      <c r="B9" s="40"/>
      <c r="C9" s="41">
        <f>'植物智慧21年利润表（实际）'!H8</f>
        <v>0</v>
      </c>
      <c r="D9" s="135" t="e">
        <f t="shared" si="4"/>
        <v>#DIV/0!</v>
      </c>
      <c r="E9" s="41">
        <f>'植物智慧19年利润表（实际）'!H8</f>
        <v>86.685851999999983</v>
      </c>
      <c r="F9" s="42">
        <f t="shared" si="0"/>
        <v>-1</v>
      </c>
      <c r="G9" s="41">
        <v>127.84690265486728</v>
      </c>
      <c r="H9" s="42">
        <f t="shared" si="1"/>
        <v>0</v>
      </c>
      <c r="I9" s="66">
        <f>'植物智慧21年利润表（实际）'!N8</f>
        <v>236.09074800000002</v>
      </c>
      <c r="J9" s="135">
        <f t="shared" si="5"/>
        <v>0.71518909015261478</v>
      </c>
      <c r="K9" s="66">
        <f>'植物智慧19年利润表（实际）'!B8+'植物智慧19年利润表（实际）'!C8+'植物智慧19年利润表（实际）'!D8+'植物智慧19年利润表（实际）'!E8+'植物智慧19年利润表（实际）'!F8+'植物智慧19年利润表（实际）'!G8+'植物智慧19年利润表（实际）'!H8</f>
        <v>1208.700327</v>
      </c>
      <c r="L9" s="42">
        <f t="shared" si="2"/>
        <v>-0.80467387761366915</v>
      </c>
      <c r="M9" s="41">
        <v>1113.190769221239</v>
      </c>
      <c r="N9" s="75">
        <f t="shared" si="3"/>
        <v>0.21208471587054512</v>
      </c>
    </row>
    <row r="10" spans="1:14" s="5" customFormat="1" ht="17.25" thickBot="1">
      <c r="A10" s="108" t="s">
        <v>7</v>
      </c>
      <c r="B10" s="100"/>
      <c r="C10" s="99">
        <f>IFERROR(C9/C7,0)</f>
        <v>0</v>
      </c>
      <c r="D10" s="139" t="e">
        <f t="shared" si="4"/>
        <v>#DIV/0!</v>
      </c>
      <c r="E10" s="99">
        <f>IFERROR(E9/E7,0)</f>
        <v>0.62029534025639621</v>
      </c>
      <c r="F10" s="49"/>
      <c r="G10" s="99">
        <f>IFERROR(G9/G7,0)</f>
        <v>0.73</v>
      </c>
      <c r="H10" s="49"/>
      <c r="I10" s="101">
        <f>IFERROR(I9/I7,0)</f>
        <v>0.71518909015261478</v>
      </c>
      <c r="J10" s="139"/>
      <c r="K10" s="101">
        <f>IFERROR(K9/K7,0)</f>
        <v>0.67621689632675641</v>
      </c>
      <c r="L10" s="49"/>
      <c r="M10" s="99">
        <f>IFERROR(M9/M7,0)</f>
        <v>0.7234811383930857</v>
      </c>
      <c r="N10" s="77"/>
    </row>
    <row r="11" spans="1:14" ht="17.25" thickTop="1">
      <c r="A11" s="102" t="s">
        <v>8</v>
      </c>
      <c r="B11" s="103"/>
      <c r="C11" s="104">
        <f>SUM(C12:C28)</f>
        <v>0</v>
      </c>
      <c r="D11" s="140" t="e">
        <f t="shared" si="4"/>
        <v>#DIV/0!</v>
      </c>
      <c r="E11" s="104">
        <f>SUM(E12:E28)</f>
        <v>80.707677000000018</v>
      </c>
      <c r="F11" s="105">
        <f t="shared" si="0"/>
        <v>-1</v>
      </c>
      <c r="G11" s="104">
        <f>SUM(G12:G28)</f>
        <v>93.328845875097386</v>
      </c>
      <c r="H11" s="105">
        <f t="shared" si="1"/>
        <v>0</v>
      </c>
      <c r="I11" s="106">
        <f>SUM(I12:I28)</f>
        <v>197.50727899999998</v>
      </c>
      <c r="J11" s="140">
        <f t="shared" si="5"/>
        <v>0.59830828765271482</v>
      </c>
      <c r="K11" s="106">
        <f>SUM(K12:K28)</f>
        <v>687.45097299999998</v>
      </c>
      <c r="L11" s="105">
        <f t="shared" ref="L11" si="6">IFERROR((I11-K11)/ABS(K11),"-")</f>
        <v>-0.71269619688210117</v>
      </c>
      <c r="M11" s="104">
        <f>SUM(M12:M28)</f>
        <v>866.43788587509744</v>
      </c>
      <c r="N11" s="107">
        <f t="shared" ref="N11" si="7">IF(M11&gt;0,I11/M11,IF(M11&lt;0,(M11+M11-I11)/M11,"-"))</f>
        <v>0.22795318882036042</v>
      </c>
    </row>
    <row r="12" spans="1:14" ht="16.5" outlineLevel="1">
      <c r="A12" s="43" t="s">
        <v>39</v>
      </c>
      <c r="B12" s="44" t="s">
        <v>26</v>
      </c>
      <c r="C12" s="64">
        <f>'植物智慧21年利润表（实际）'!H11</f>
        <v>0</v>
      </c>
      <c r="D12" s="135" t="e">
        <f t="shared" si="4"/>
        <v>#DIV/0!</v>
      </c>
      <c r="E12" s="45">
        <f>'植物智慧19年利润表（实际）'!H11</f>
        <v>13.552662999999999</v>
      </c>
      <c r="F12" s="42">
        <f>IFERROR((C12-E12)/ABS(E12),"-")</f>
        <v>-1</v>
      </c>
      <c r="G12" s="41">
        <v>35</v>
      </c>
      <c r="H12" s="42">
        <f t="shared" si="1"/>
        <v>0</v>
      </c>
      <c r="I12" s="65">
        <f>'植物智慧21年利润表（实际）'!N11</f>
        <v>87.698159000000004</v>
      </c>
      <c r="J12" s="135">
        <f t="shared" si="5"/>
        <v>0.2656638054417505</v>
      </c>
      <c r="K12" s="66">
        <f>'植物智慧19年利润表（实际）'!B11+'植物智慧19年利润表（实际）'!C11+'植物智慧19年利润表（实际）'!D11+'植物智慧19年利润表（实际）'!E11+'植物智慧19年利润表（实际）'!F11+'植物智慧19年利润表（实际）'!G11+'植物智慧19年利润表（实际）'!H11</f>
        <v>207.41939099999996</v>
      </c>
      <c r="L12" s="42">
        <f>IFERROR((I12-K12)/ABS(K12),"-")</f>
        <v>-0.57719401943475945</v>
      </c>
      <c r="M12" s="41">
        <v>369.07774299999994</v>
      </c>
      <c r="N12" s="75">
        <f>IF(M12&gt;0,I12/M12,IF(M12&lt;0,(M12+M12-I12)/M12,"-"))</f>
        <v>0.23761432560835841</v>
      </c>
    </row>
    <row r="13" spans="1:14" ht="16.5" outlineLevel="1">
      <c r="A13" s="43" t="s">
        <v>40</v>
      </c>
      <c r="B13" s="44" t="s">
        <v>18</v>
      </c>
      <c r="C13" s="64">
        <f>'植物智慧21年利润表（实际）'!H12</f>
        <v>0</v>
      </c>
      <c r="D13" s="135" t="e">
        <f t="shared" si="4"/>
        <v>#DIV/0!</v>
      </c>
      <c r="E13" s="45">
        <f>'植物智慧19年利润表（实际）'!H12</f>
        <v>2.8211079999999997</v>
      </c>
      <c r="F13" s="42">
        <f t="shared" ref="F13:F28" si="8">IFERROR((C13-E13)/ABS(E13),"-")</f>
        <v>-1</v>
      </c>
      <c r="G13" s="41">
        <v>12.087899338769059</v>
      </c>
      <c r="H13" s="42">
        <f t="shared" si="1"/>
        <v>0</v>
      </c>
      <c r="I13" s="65">
        <f>'植物智慧21年利润表（实际）'!N12</f>
        <v>7.6863920000000006</v>
      </c>
      <c r="J13" s="135">
        <f t="shared" si="5"/>
        <v>2.3284367335887034E-2</v>
      </c>
      <c r="K13" s="66">
        <f>'植物智慧19年利润表（实际）'!B12+'植物智慧19年利润表（实际）'!C12+'植物智慧19年利润表（实际）'!D12+'植物智慧19年利润表（实际）'!E12+'植物智慧19年利润表（实际）'!F12+'植物智慧19年利润表（实际）'!G12+'植物智慧19年利润表（实际）'!H12</f>
        <v>50.830854000000002</v>
      </c>
      <c r="L13" s="42">
        <f t="shared" ref="L13:L28" si="9">IFERROR((I13-K13)/ABS(K13),"-")</f>
        <v>-0.84878491319465144</v>
      </c>
      <c r="M13" s="41">
        <v>50.070959338769057</v>
      </c>
      <c r="N13" s="75">
        <f>IF(M13&gt;0,I13/M13,IF(M13&lt;0,(M13+M13-I13)/M13,"-"))</f>
        <v>0.15350998066555044</v>
      </c>
    </row>
    <row r="14" spans="1:14" ht="16.5" outlineLevel="1">
      <c r="A14" s="46" t="s">
        <v>41</v>
      </c>
      <c r="B14" s="47" t="s">
        <v>14</v>
      </c>
      <c r="C14" s="64">
        <f>'植物智慧21年利润表（实际）'!H13</f>
        <v>0</v>
      </c>
      <c r="D14" s="135" t="e">
        <f t="shared" si="4"/>
        <v>#DIV/0!</v>
      </c>
      <c r="E14" s="45">
        <f>'植物智慧19年利润表（实际）'!H13</f>
        <v>0</v>
      </c>
      <c r="F14" s="42" t="str">
        <f t="shared" si="8"/>
        <v>-</v>
      </c>
      <c r="G14" s="41"/>
      <c r="H14" s="42" t="str">
        <f t="shared" si="1"/>
        <v>-</v>
      </c>
      <c r="I14" s="65">
        <f>'植物智慧21年利润表（实际）'!N13</f>
        <v>0</v>
      </c>
      <c r="J14" s="135">
        <f t="shared" si="5"/>
        <v>0</v>
      </c>
      <c r="K14" s="66">
        <f>'植物智慧19年利润表（实际）'!B13+'植物智慧19年利润表（实际）'!C13+'植物智慧19年利润表（实际）'!D13+'植物智慧19年利润表（实际）'!E13+'植物智慧19年利润表（实际）'!F13+'植物智慧19年利润表（实际）'!G13+'植物智慧19年利润表（实际）'!H13</f>
        <v>0</v>
      </c>
      <c r="L14" s="42" t="str">
        <f t="shared" si="9"/>
        <v>-</v>
      </c>
      <c r="M14" s="41">
        <v>0</v>
      </c>
      <c r="N14" s="75" t="str">
        <f t="shared" ref="N14:N47" si="10">IF(M14&gt;0,I14/M14,IF(M14&lt;0,(M14+M14-I14)/M14,"-"))</f>
        <v>-</v>
      </c>
    </row>
    <row r="15" spans="1:14" ht="16.5" outlineLevel="1">
      <c r="A15" s="46" t="s">
        <v>42</v>
      </c>
      <c r="B15" s="47" t="s">
        <v>19</v>
      </c>
      <c r="C15" s="64">
        <f>'植物智慧21年利润表（实际）'!H14</f>
        <v>0</v>
      </c>
      <c r="D15" s="135" t="e">
        <f t="shared" si="4"/>
        <v>#DIV/0!</v>
      </c>
      <c r="E15" s="45">
        <f>'植物智慧19年利润表（实际）'!H14</f>
        <v>0</v>
      </c>
      <c r="F15" s="42" t="str">
        <f t="shared" si="8"/>
        <v>-</v>
      </c>
      <c r="G15" s="41"/>
      <c r="H15" s="42" t="str">
        <f t="shared" si="1"/>
        <v>-</v>
      </c>
      <c r="I15" s="65">
        <f>'植物智慧21年利润表（实际）'!N14</f>
        <v>0</v>
      </c>
      <c r="J15" s="135">
        <f t="shared" si="5"/>
        <v>0</v>
      </c>
      <c r="K15" s="66">
        <f>'植物智慧19年利润表（实际）'!B14+'植物智慧19年利润表（实际）'!C14+'植物智慧19年利润表（实际）'!D14+'植物智慧19年利润表（实际）'!E14+'植物智慧19年利润表（实际）'!F14+'植物智慧19年利润表（实际）'!G14+'植物智慧19年利润表（实际）'!H14</f>
        <v>0</v>
      </c>
      <c r="L15" s="42" t="str">
        <f t="shared" si="9"/>
        <v>-</v>
      </c>
      <c r="M15" s="41">
        <v>0</v>
      </c>
      <c r="N15" s="75" t="str">
        <f t="shared" si="10"/>
        <v>-</v>
      </c>
    </row>
    <row r="16" spans="1:14" ht="16.5" outlineLevel="1">
      <c r="A16" s="46" t="s">
        <v>43</v>
      </c>
      <c r="B16" s="47" t="s">
        <v>28</v>
      </c>
      <c r="C16" s="64">
        <f>'植物智慧21年利润表（实际）'!H15</f>
        <v>0</v>
      </c>
      <c r="D16" s="135" t="e">
        <f t="shared" si="4"/>
        <v>#DIV/0!</v>
      </c>
      <c r="E16" s="45">
        <f>'植物智慧19年利润表（实际）'!H15</f>
        <v>0</v>
      </c>
      <c r="F16" s="42" t="str">
        <f t="shared" si="8"/>
        <v>-</v>
      </c>
      <c r="G16" s="41"/>
      <c r="H16" s="42" t="str">
        <f t="shared" si="1"/>
        <v>-</v>
      </c>
      <c r="I16" s="65">
        <f>'植物智慧21年利润表（实际）'!N15</f>
        <v>0</v>
      </c>
      <c r="J16" s="135">
        <f t="shared" si="5"/>
        <v>0</v>
      </c>
      <c r="K16" s="66">
        <f>'植物智慧19年利润表（实际）'!B15+'植物智慧19年利润表（实际）'!C15+'植物智慧19年利润表（实际）'!D15+'植物智慧19年利润表（实际）'!E15+'植物智慧19年利润表（实际）'!F15+'植物智慧19年利润表（实际）'!G15+'植物智慧19年利润表（实际）'!H15</f>
        <v>0</v>
      </c>
      <c r="L16" s="42" t="str">
        <f t="shared" si="9"/>
        <v>-</v>
      </c>
      <c r="M16" s="41">
        <v>0</v>
      </c>
      <c r="N16" s="75" t="str">
        <f t="shared" si="10"/>
        <v>-</v>
      </c>
    </row>
    <row r="17" spans="1:14" ht="16.5" outlineLevel="1">
      <c r="A17" s="46" t="s">
        <v>44</v>
      </c>
      <c r="B17" s="47" t="s">
        <v>29</v>
      </c>
      <c r="C17" s="64">
        <f>'植物智慧21年利润表（实际）'!H16</f>
        <v>0</v>
      </c>
      <c r="D17" s="135" t="e">
        <f t="shared" si="4"/>
        <v>#DIV/0!</v>
      </c>
      <c r="E17" s="45">
        <f>'植物智慧19年利润表（实际）'!H16</f>
        <v>0</v>
      </c>
      <c r="F17" s="42" t="str">
        <f t="shared" si="8"/>
        <v>-</v>
      </c>
      <c r="G17" s="41"/>
      <c r="H17" s="42" t="str">
        <f t="shared" si="1"/>
        <v>-</v>
      </c>
      <c r="I17" s="65">
        <f>'植物智慧21年利润表（实际）'!N16</f>
        <v>0</v>
      </c>
      <c r="J17" s="135">
        <f t="shared" si="5"/>
        <v>0</v>
      </c>
      <c r="K17" s="66">
        <f>'植物智慧19年利润表（实际）'!B16+'植物智慧19年利润表（实际）'!C16+'植物智慧19年利润表（实际）'!D16+'植物智慧19年利润表（实际）'!E16+'植物智慧19年利润表（实际）'!F16+'植物智慧19年利润表（实际）'!G16+'植物智慧19年利润表（实际）'!H16</f>
        <v>0</v>
      </c>
      <c r="L17" s="42" t="str">
        <f t="shared" si="9"/>
        <v>-</v>
      </c>
      <c r="M17" s="41">
        <v>0</v>
      </c>
      <c r="N17" s="75" t="str">
        <f t="shared" si="10"/>
        <v>-</v>
      </c>
    </row>
    <row r="18" spans="1:14" ht="16.5" outlineLevel="1">
      <c r="A18" s="46" t="s">
        <v>45</v>
      </c>
      <c r="B18" s="47" t="s">
        <v>32</v>
      </c>
      <c r="C18" s="64">
        <f>'植物智慧21年利润表（实际）'!H17</f>
        <v>0</v>
      </c>
      <c r="D18" s="135" t="e">
        <f t="shared" si="4"/>
        <v>#DIV/0!</v>
      </c>
      <c r="E18" s="45">
        <f>'植物智慧19年利润表（实际）'!H17</f>
        <v>0</v>
      </c>
      <c r="F18" s="42" t="str">
        <f t="shared" si="8"/>
        <v>-</v>
      </c>
      <c r="G18" s="41"/>
      <c r="H18" s="42" t="str">
        <f t="shared" si="1"/>
        <v>-</v>
      </c>
      <c r="I18" s="65">
        <f>'植物智慧21年利润表（实际）'!N17</f>
        <v>0.99009899999999995</v>
      </c>
      <c r="J18" s="135">
        <f t="shared" si="5"/>
        <v>2.999304330938939E-3</v>
      </c>
      <c r="K18" s="66">
        <f>'植物智慧19年利润表（实际）'!B17+'植物智慧19年利润表（实际）'!C17+'植物智慧19年利润表（实际）'!D17+'植物智慧19年利润表（实际）'!E17+'植物智慧19年利润表（实际）'!F17+'植物智慧19年利润表（实际）'!G17+'植物智慧19年利润表（实际）'!H17</f>
        <v>0</v>
      </c>
      <c r="L18" s="42" t="str">
        <f t="shared" si="9"/>
        <v>-</v>
      </c>
      <c r="M18" s="41">
        <v>0</v>
      </c>
      <c r="N18" s="75" t="str">
        <f t="shared" si="10"/>
        <v>-</v>
      </c>
    </row>
    <row r="19" spans="1:14" ht="16.5" outlineLevel="1">
      <c r="A19" s="46" t="s">
        <v>46</v>
      </c>
      <c r="B19" s="47" t="s">
        <v>17</v>
      </c>
      <c r="C19" s="64">
        <f>'植物智慧21年利润表（实际）'!H18</f>
        <v>0</v>
      </c>
      <c r="D19" s="135" t="e">
        <f t="shared" si="4"/>
        <v>#DIV/0!</v>
      </c>
      <c r="E19" s="45">
        <f>'植物智慧19年利润表（实际）'!H18</f>
        <v>0</v>
      </c>
      <c r="F19" s="42" t="str">
        <f t="shared" si="8"/>
        <v>-</v>
      </c>
      <c r="G19" s="41"/>
      <c r="H19" s="42" t="str">
        <f t="shared" si="1"/>
        <v>-</v>
      </c>
      <c r="I19" s="65">
        <f>'植物智慧21年利润表（实际）'!N18</f>
        <v>0</v>
      </c>
      <c r="J19" s="135">
        <f t="shared" si="5"/>
        <v>0</v>
      </c>
      <c r="K19" s="66">
        <f>'植物智慧19年利润表（实际）'!B18+'植物智慧19年利润表（实际）'!C18+'植物智慧19年利润表（实际）'!D18+'植物智慧19年利润表（实际）'!E18+'植物智慧19年利润表（实际）'!F18+'植物智慧19年利润表（实际）'!G18+'植物智慧19年利润表（实际）'!H18</f>
        <v>0</v>
      </c>
      <c r="L19" s="42" t="str">
        <f t="shared" si="9"/>
        <v>-</v>
      </c>
      <c r="M19" s="41">
        <v>1.1399999999999999</v>
      </c>
      <c r="N19" s="75">
        <f t="shared" si="10"/>
        <v>0</v>
      </c>
    </row>
    <row r="20" spans="1:14" ht="16.5" outlineLevel="1">
      <c r="A20" s="46" t="s">
        <v>47</v>
      </c>
      <c r="B20" s="47" t="s">
        <v>16</v>
      </c>
      <c r="C20" s="64">
        <f>'植物智慧21年利润表（实际）'!H19</f>
        <v>0</v>
      </c>
      <c r="D20" s="135" t="e">
        <f t="shared" si="4"/>
        <v>#DIV/0!</v>
      </c>
      <c r="E20" s="45">
        <f>'植物智慧19年利润表（实际）'!H19</f>
        <v>0</v>
      </c>
      <c r="F20" s="42" t="str">
        <f t="shared" si="8"/>
        <v>-</v>
      </c>
      <c r="G20" s="41"/>
      <c r="H20" s="42" t="str">
        <f t="shared" si="1"/>
        <v>-</v>
      </c>
      <c r="I20" s="65">
        <f>'植物智慧21年利润表（实际）'!N19</f>
        <v>0</v>
      </c>
      <c r="J20" s="135">
        <f t="shared" si="5"/>
        <v>0</v>
      </c>
      <c r="K20" s="66">
        <f>'植物智慧19年利润表（实际）'!B19+'植物智慧19年利润表（实际）'!C19+'植物智慧19年利润表（实际）'!D19+'植物智慧19年利润表（实际）'!E19+'植物智慧19年利润表（实际）'!F19+'植物智慧19年利润表（实际）'!G19+'植物智慧19年利润表（实际）'!H19</f>
        <v>0</v>
      </c>
      <c r="L20" s="42" t="str">
        <f t="shared" si="9"/>
        <v>-</v>
      </c>
      <c r="M20" s="41">
        <v>0</v>
      </c>
      <c r="N20" s="75" t="str">
        <f t="shared" si="10"/>
        <v>-</v>
      </c>
    </row>
    <row r="21" spans="1:14" ht="16.5" outlineLevel="1">
      <c r="A21" s="46" t="s">
        <v>48</v>
      </c>
      <c r="B21" s="47" t="s">
        <v>36</v>
      </c>
      <c r="C21" s="64">
        <f>'植物智慧21年利润表（实际）'!H20</f>
        <v>0</v>
      </c>
      <c r="D21" s="135" t="e">
        <f t="shared" si="4"/>
        <v>#DIV/0!</v>
      </c>
      <c r="E21" s="45">
        <f>'植物智慧19年利润表（实际）'!H20</f>
        <v>0</v>
      </c>
      <c r="F21" s="42" t="str">
        <f t="shared" si="8"/>
        <v>-</v>
      </c>
      <c r="G21" s="41"/>
      <c r="H21" s="42" t="str">
        <f t="shared" si="1"/>
        <v>-</v>
      </c>
      <c r="I21" s="65">
        <f>'植物智慧21年利润表（实际）'!N20</f>
        <v>0</v>
      </c>
      <c r="J21" s="135">
        <f t="shared" si="5"/>
        <v>0</v>
      </c>
      <c r="K21" s="66">
        <f>'植物智慧19年利润表（实际）'!B20+'植物智慧19年利润表（实际）'!C20+'植物智慧19年利润表（实际）'!D20+'植物智慧19年利润表（实际）'!E20+'植物智慧19年利润表（实际）'!F20+'植物智慧19年利润表（实际）'!G20+'植物智慧19年利润表（实际）'!H20</f>
        <v>0</v>
      </c>
      <c r="L21" s="42" t="str">
        <f t="shared" si="9"/>
        <v>-</v>
      </c>
      <c r="M21" s="41">
        <v>0</v>
      </c>
      <c r="N21" s="75" t="str">
        <f t="shared" si="10"/>
        <v>-</v>
      </c>
    </row>
    <row r="22" spans="1:14" ht="16.5" outlineLevel="1">
      <c r="A22" s="46" t="s">
        <v>49</v>
      </c>
      <c r="B22" s="47" t="s">
        <v>37</v>
      </c>
      <c r="C22" s="64">
        <f>'植物智慧21年利润表（实际）'!H21</f>
        <v>0</v>
      </c>
      <c r="D22" s="135" t="e">
        <f t="shared" si="4"/>
        <v>#DIV/0!</v>
      </c>
      <c r="E22" s="45">
        <f>'植物智慧19年利润表（实际）'!H21</f>
        <v>40.233830000000005</v>
      </c>
      <c r="F22" s="42">
        <f t="shared" si="8"/>
        <v>-1</v>
      </c>
      <c r="G22" s="41">
        <v>22</v>
      </c>
      <c r="H22" s="42">
        <f t="shared" si="1"/>
        <v>0</v>
      </c>
      <c r="I22" s="65">
        <f>'植物智慧21年利润表（实际）'!N21</f>
        <v>60.873977999999994</v>
      </c>
      <c r="J22" s="135">
        <f t="shared" si="5"/>
        <v>0.18440538355950434</v>
      </c>
      <c r="K22" s="66">
        <f>'植物智慧19年利润表（实际）'!B21+'植物智慧19年利润表（实际）'!C21+'植物智慧19年利润表（实际）'!D21+'植物智慧19年利润表（实际）'!E21+'植物智慧19年利润表（实际）'!F21+'植物智慧19年利润表（实际）'!G21+'植物智慧19年利润表（实际）'!H21</f>
        <v>246.60962599999999</v>
      </c>
      <c r="L22" s="42">
        <f t="shared" si="9"/>
        <v>-0.75315652114893517</v>
      </c>
      <c r="M22" s="41">
        <v>323.63741900000002</v>
      </c>
      <c r="N22" s="75">
        <f t="shared" si="10"/>
        <v>0.18809313888391871</v>
      </c>
    </row>
    <row r="23" spans="1:14" ht="16.5" outlineLevel="1">
      <c r="A23" s="46" t="s">
        <v>50</v>
      </c>
      <c r="B23" s="47" t="s">
        <v>15</v>
      </c>
      <c r="C23" s="64">
        <f>'植物智慧21年利润表（实际）'!H22</f>
        <v>0</v>
      </c>
      <c r="D23" s="135" t="e">
        <f t="shared" si="4"/>
        <v>#DIV/0!</v>
      </c>
      <c r="E23" s="45">
        <f>'植物智慧19年利润表（实际）'!H22</f>
        <v>0</v>
      </c>
      <c r="F23" s="42" t="str">
        <f t="shared" si="8"/>
        <v>-</v>
      </c>
      <c r="G23" s="109"/>
      <c r="H23" s="42" t="str">
        <f t="shared" si="1"/>
        <v>-</v>
      </c>
      <c r="I23" s="65">
        <f>'植物智慧21年利润表（实际）'!N22</f>
        <v>1.069226</v>
      </c>
      <c r="J23" s="135">
        <f t="shared" si="5"/>
        <v>3.2390035466680787E-3</v>
      </c>
      <c r="K23" s="66">
        <f>'植物智慧19年利润表（实际）'!B22+'植物智慧19年利润表（实际）'!C22+'植物智慧19年利润表（实际）'!D22+'植物智慧19年利润表（实际）'!E22+'植物智慧19年利润表（实际）'!F22+'植物智慧19年利润表（实际）'!G22+'植物智慧19年利润表（实际）'!H22</f>
        <v>0.33338899999999999</v>
      </c>
      <c r="L23" s="42">
        <f t="shared" si="9"/>
        <v>2.207142407217995</v>
      </c>
      <c r="M23" s="41">
        <v>1.4305120000000004</v>
      </c>
      <c r="N23" s="75">
        <f t="shared" si="10"/>
        <v>0.74744287360050088</v>
      </c>
    </row>
    <row r="24" spans="1:14" ht="16.5" outlineLevel="1">
      <c r="A24" s="48" t="s">
        <v>51</v>
      </c>
      <c r="B24" s="40" t="s">
        <v>12</v>
      </c>
      <c r="C24" s="64">
        <f>'植物智慧21年利润表（实际）'!H23</f>
        <v>0</v>
      </c>
      <c r="D24" s="135" t="e">
        <f t="shared" si="4"/>
        <v>#DIV/0!</v>
      </c>
      <c r="E24" s="45">
        <f>'植物智慧19年利润表（实际）'!H23</f>
        <v>4.3510359999999997</v>
      </c>
      <c r="F24" s="42">
        <f t="shared" si="8"/>
        <v>-1</v>
      </c>
      <c r="G24" s="41">
        <v>6.3540971753585831</v>
      </c>
      <c r="H24" s="42">
        <f t="shared" si="1"/>
        <v>0</v>
      </c>
      <c r="I24" s="65">
        <f>'植物智慧21年利润表（实际）'!N23</f>
        <v>5.5707370000000003</v>
      </c>
      <c r="J24" s="135">
        <f t="shared" si="5"/>
        <v>1.6875419135482204E-2</v>
      </c>
      <c r="K24" s="66">
        <f>'植物智慧19年利润表（实际）'!B23+'植物智慧19年利润表（实际）'!C23+'植物智慧19年利润表（实际）'!D23+'植物智慧19年利润表（实际）'!E23+'植物智慧19年利润表（实际）'!F23+'植物智慧19年利润表（实际）'!G23+'植物智慧19年利润表（实际）'!H23</f>
        <v>41.948824999999999</v>
      </c>
      <c r="L24" s="42">
        <f t="shared" si="9"/>
        <v>-0.8672015962306453</v>
      </c>
      <c r="M24" s="41">
        <v>37.740777175358581</v>
      </c>
      <c r="N24" s="75">
        <f t="shared" si="10"/>
        <v>0.14760525397015944</v>
      </c>
    </row>
    <row r="25" spans="1:14" ht="16.5" outlineLevel="1">
      <c r="A25" s="48" t="s">
        <v>52</v>
      </c>
      <c r="B25" s="40" t="s">
        <v>25</v>
      </c>
      <c r="C25" s="64">
        <f>'植物智慧21年利润表（实际）'!H24</f>
        <v>0</v>
      </c>
      <c r="D25" s="135" t="e">
        <f t="shared" si="4"/>
        <v>#DIV/0!</v>
      </c>
      <c r="E25" s="45">
        <f>'植物智慧19年利润表（实际）'!H24</f>
        <v>5.5406999999999998E-2</v>
      </c>
      <c r="F25" s="42">
        <f t="shared" si="8"/>
        <v>-1</v>
      </c>
      <c r="G25" s="41">
        <v>1.4869192651104462E-2</v>
      </c>
      <c r="H25" s="42">
        <f t="shared" si="1"/>
        <v>0</v>
      </c>
      <c r="I25" s="65">
        <f>'植物智慧21年利润表（实际）'!N24</f>
        <v>4.0443E-2</v>
      </c>
      <c r="J25" s="135">
        <f t="shared" si="5"/>
        <v>1.2251387493186389E-4</v>
      </c>
      <c r="K25" s="66">
        <f>'植物智慧19年利润表（实际）'!B24+'植物智慧19年利润表（实际）'!C24+'植物智慧19年利润表（实际）'!D24+'植物智慧19年利润表（实际）'!E24+'植物智慧19年利润表（实际）'!F24+'植物智慧19年利润表（实际）'!G24+'植物智慧19年利润表（实际）'!H24</f>
        <v>0.37419999999999998</v>
      </c>
      <c r="L25" s="42">
        <f t="shared" si="9"/>
        <v>-0.89192143238909671</v>
      </c>
      <c r="M25" s="41">
        <v>0.14870119265110446</v>
      </c>
      <c r="N25" s="75">
        <f t="shared" si="10"/>
        <v>0.27197495379133135</v>
      </c>
    </row>
    <row r="26" spans="1:14" ht="16.5" outlineLevel="1">
      <c r="A26" s="48" t="s">
        <v>53</v>
      </c>
      <c r="B26" s="40" t="s">
        <v>20</v>
      </c>
      <c r="C26" s="64">
        <f>'植物智慧21年利润表（实际）'!H25</f>
        <v>0</v>
      </c>
      <c r="D26" s="135" t="e">
        <f t="shared" si="4"/>
        <v>#DIV/0!</v>
      </c>
      <c r="E26" s="45">
        <f>'植物智慧19年利润表（实际）'!H25</f>
        <v>0</v>
      </c>
      <c r="F26" s="42" t="str">
        <f t="shared" si="8"/>
        <v>-</v>
      </c>
      <c r="G26" s="41">
        <v>0.48027624134817382</v>
      </c>
      <c r="H26" s="42">
        <f t="shared" si="1"/>
        <v>0</v>
      </c>
      <c r="I26" s="65">
        <f>'植物智慧21年利润表（实际）'!N25</f>
        <v>0</v>
      </c>
      <c r="J26" s="135">
        <f t="shared" si="5"/>
        <v>0</v>
      </c>
      <c r="K26" s="66">
        <f>'植物智慧19年利润表（实际）'!B25+'植物智慧19年利润表（实际）'!C25+'植物智慧19年利润表（实际）'!D25+'植物智慧19年利润表（实际）'!E25+'植物智慧19年利润表（实际）'!F25+'植物智慧19年利润表（实际）'!G25+'植物智慧19年利润表（实际）'!H25</f>
        <v>0</v>
      </c>
      <c r="L26" s="42" t="str">
        <f t="shared" si="9"/>
        <v>-</v>
      </c>
      <c r="M26" s="41">
        <v>1.1902762413481738</v>
      </c>
      <c r="N26" s="75">
        <f t="shared" si="10"/>
        <v>0</v>
      </c>
    </row>
    <row r="27" spans="1:14" ht="16.5" outlineLevel="1">
      <c r="A27" s="48" t="s">
        <v>54</v>
      </c>
      <c r="B27" s="40" t="s">
        <v>38</v>
      </c>
      <c r="C27" s="64">
        <f>'植物智慧21年利润表（实际）'!H26</f>
        <v>0</v>
      </c>
      <c r="D27" s="135" t="e">
        <f t="shared" si="4"/>
        <v>#DIV/0!</v>
      </c>
      <c r="E27" s="45">
        <f>'植物智慧19年利润表（实际）'!H26</f>
        <v>0</v>
      </c>
      <c r="F27" s="42"/>
      <c r="G27" s="41"/>
      <c r="H27" s="42" t="str">
        <f t="shared" si="1"/>
        <v>-</v>
      </c>
      <c r="I27" s="65">
        <f>'植物智慧21年利润表（实际）'!N26</f>
        <v>0</v>
      </c>
      <c r="J27" s="135">
        <f t="shared" si="5"/>
        <v>0</v>
      </c>
      <c r="K27" s="66">
        <f>'植物智慧19年利润表（实际）'!B26+'植物智慧19年利润表（实际）'!C26+'植物智慧19年利润表（实际）'!D26+'植物智慧19年利润表（实际）'!E26+'植物智慧19年利润表（实际）'!F26+'植物智慧19年利润表（实际）'!G26+'植物智慧19年利润表（实际）'!H26</f>
        <v>0</v>
      </c>
      <c r="L27" s="42"/>
      <c r="M27" s="41">
        <v>0</v>
      </c>
      <c r="N27" s="75" t="str">
        <f t="shared" si="10"/>
        <v>-</v>
      </c>
    </row>
    <row r="28" spans="1:14" ht="17.25" outlineLevel="1" thickBot="1">
      <c r="A28" s="78" t="s">
        <v>55</v>
      </c>
      <c r="B28" s="79" t="s">
        <v>31</v>
      </c>
      <c r="C28" s="80">
        <f>'植物智慧21年利润表（实际）'!H27</f>
        <v>0</v>
      </c>
      <c r="D28" s="141" t="e">
        <f t="shared" si="4"/>
        <v>#DIV/0!</v>
      </c>
      <c r="E28" s="81">
        <f>'植物智慧19年利润表（实际）'!H27</f>
        <v>19.693633000000005</v>
      </c>
      <c r="F28" s="82">
        <f t="shared" si="8"/>
        <v>-1</v>
      </c>
      <c r="G28" s="83">
        <v>17.391703926970454</v>
      </c>
      <c r="H28" s="82">
        <f t="shared" si="1"/>
        <v>0</v>
      </c>
      <c r="I28" s="80">
        <f>'植物智慧21年利润表（实际）'!N27</f>
        <v>33.578244999999995</v>
      </c>
      <c r="J28" s="141">
        <f t="shared" si="5"/>
        <v>0.10171849042755196</v>
      </c>
      <c r="K28" s="84">
        <f>'植物智慧19年利润表（实际）'!B27+'植物智慧19年利润表（实际）'!C27+'植物智慧19年利润表（实际）'!D27+'植物智慧19年利润表（实际）'!E27+'植物智慧19年利润表（实际）'!F27+'植物智慧19年利润表（实际）'!G27+'植物智慧19年利润表（实际）'!H27</f>
        <v>139.93468800000002</v>
      </c>
      <c r="L28" s="82">
        <f t="shared" si="9"/>
        <v>-0.76004344969847659</v>
      </c>
      <c r="M28" s="83">
        <v>82.001497926970444</v>
      </c>
      <c r="N28" s="85">
        <f t="shared" si="10"/>
        <v>0.40948331248661313</v>
      </c>
    </row>
    <row r="29" spans="1:14" s="4" customFormat="1" ht="17.25" thickTop="1">
      <c r="A29" s="86" t="s">
        <v>9</v>
      </c>
      <c r="B29" s="87"/>
      <c r="C29" s="88">
        <f>C9-C11</f>
        <v>0</v>
      </c>
      <c r="D29" s="145" t="e">
        <f t="shared" si="4"/>
        <v>#DIV/0!</v>
      </c>
      <c r="E29" s="89">
        <f>E9-E11</f>
        <v>5.9781749999999647</v>
      </c>
      <c r="F29" s="90">
        <f t="shared" si="0"/>
        <v>-1</v>
      </c>
      <c r="G29" s="89">
        <f>G9-G11</f>
        <v>34.518056779769893</v>
      </c>
      <c r="H29" s="70">
        <f t="shared" si="1"/>
        <v>0</v>
      </c>
      <c r="I29" s="88">
        <f>I9-I11</f>
        <v>38.583469000000036</v>
      </c>
      <c r="J29" s="142">
        <f t="shared" si="5"/>
        <v>0.11688080249989992</v>
      </c>
      <c r="K29" s="88">
        <f>K9-K11</f>
        <v>521.24935400000004</v>
      </c>
      <c r="L29" s="90">
        <f>IFERROR((I29-K29)/ABS(K29),"-")</f>
        <v>-0.92597886461841061</v>
      </c>
      <c r="M29" s="89">
        <f>M9-M11</f>
        <v>246.75288334614152</v>
      </c>
      <c r="N29" s="91">
        <f t="shared" si="10"/>
        <v>0.15636481518181769</v>
      </c>
    </row>
    <row r="30" spans="1:14" ht="16.5">
      <c r="A30" s="96" t="s">
        <v>21</v>
      </c>
      <c r="B30" s="92"/>
      <c r="C30" s="93">
        <f>SUM(C31:C46)</f>
        <v>0</v>
      </c>
      <c r="D30" s="151" t="e">
        <f t="shared" si="4"/>
        <v>#DIV/0!</v>
      </c>
      <c r="E30" s="94">
        <f>SUM(E31:E46)</f>
        <v>36.911979000000002</v>
      </c>
      <c r="F30" s="95">
        <f>IFERROR((C30-E30)/ABS(E30),"-")</f>
        <v>-1</v>
      </c>
      <c r="G30" s="94">
        <f>SUM(G31:G46)</f>
        <v>25.17841426946088</v>
      </c>
      <c r="H30" s="95">
        <f t="shared" si="1"/>
        <v>0</v>
      </c>
      <c r="I30" s="93">
        <f>SUM(I31:I46)</f>
        <v>26.231913999999996</v>
      </c>
      <c r="J30" s="151">
        <f t="shared" si="5"/>
        <v>7.9464268996350645E-2</v>
      </c>
      <c r="K30" s="93">
        <f>SUM(K31:K46)</f>
        <v>404.12125400000002</v>
      </c>
      <c r="L30" s="95">
        <f>IFERROR((I30-K30)/ABS(K30),"-")</f>
        <v>-0.9350890017776694</v>
      </c>
      <c r="M30" s="94">
        <f>SUM(M31:M46)</f>
        <v>184.93596226946087</v>
      </c>
      <c r="N30" s="75">
        <f t="shared" si="10"/>
        <v>0.14184322874843994</v>
      </c>
    </row>
    <row r="31" spans="1:14" ht="16.5" outlineLevel="1">
      <c r="A31" s="48" t="s">
        <v>56</v>
      </c>
      <c r="B31" s="40" t="s">
        <v>14</v>
      </c>
      <c r="C31" s="66">
        <f>'植物智慧21年利润表（实际）'!H30</f>
        <v>0</v>
      </c>
      <c r="D31" s="135" t="e">
        <f t="shared" si="4"/>
        <v>#DIV/0!</v>
      </c>
      <c r="E31" s="41">
        <f>'植物智慧19年利润表（实际）'!H30</f>
        <v>15.098830999999999</v>
      </c>
      <c r="F31" s="42">
        <f t="shared" si="0"/>
        <v>-1</v>
      </c>
      <c r="G31" s="41">
        <v>6.74</v>
      </c>
      <c r="H31" s="42">
        <f t="shared" si="1"/>
        <v>0</v>
      </c>
      <c r="I31" s="67">
        <f>'植物智慧21年利润表（实际）'!N30</f>
        <v>0.62373100000000004</v>
      </c>
      <c r="J31" s="135">
        <f t="shared" si="5"/>
        <v>1.8894666994319514E-3</v>
      </c>
      <c r="K31" s="66">
        <f>'植物智慧19年利润表（实际）'!B30+'植物智慧19年利润表（实际）'!C30+'植物智慧19年利润表（实际）'!D30+'植物智慧19年利润表（实际）'!E30+'植物智慧19年利润表（实际）'!F30+'植物智慧19年利润表（实际）'!G30+'植物智慧19年利润表（实际）'!H30</f>
        <v>134.59928299999999</v>
      </c>
      <c r="L31" s="42">
        <f t="shared" ref="L31:L47" si="11">IFERROR((I31-K31)/ABS(K31),"-")</f>
        <v>-0.99536601543412384</v>
      </c>
      <c r="M31" s="41">
        <v>44.659717000000008</v>
      </c>
      <c r="N31" s="75">
        <f t="shared" si="10"/>
        <v>1.3966299876015782E-2</v>
      </c>
    </row>
    <row r="32" spans="1:14" ht="16.5" outlineLevel="1">
      <c r="A32" s="48" t="s">
        <v>57</v>
      </c>
      <c r="B32" s="40" t="s">
        <v>23</v>
      </c>
      <c r="C32" s="66">
        <f>'植物智慧21年利润表（实际）'!H31</f>
        <v>0</v>
      </c>
      <c r="D32" s="135" t="e">
        <f t="shared" si="4"/>
        <v>#DIV/0!</v>
      </c>
      <c r="E32" s="41">
        <f>'植物智慧19年利润表（实际）'!H31</f>
        <v>0.4</v>
      </c>
      <c r="F32" s="42">
        <f t="shared" si="0"/>
        <v>-1</v>
      </c>
      <c r="G32" s="41"/>
      <c r="H32" s="42" t="str">
        <f t="shared" si="1"/>
        <v>-</v>
      </c>
      <c r="I32" s="67">
        <f>'植物智慧21年利润表（实际）'!N31</f>
        <v>0</v>
      </c>
      <c r="J32" s="135">
        <f t="shared" si="5"/>
        <v>0</v>
      </c>
      <c r="K32" s="66">
        <f>'植物智慧19年利润表（实际）'!B31+'植物智慧19年利润表（实际）'!C31+'植物智慧19年利润表（实际）'!D31+'植物智慧19年利润表（实际）'!E31+'植物智慧19年利润表（实际）'!F31+'植物智慧19年利润表（实际）'!G31+'植物智慧19年利润表（实际）'!H31</f>
        <v>119.45446300000003</v>
      </c>
      <c r="L32" s="42">
        <f t="shared" si="11"/>
        <v>-1</v>
      </c>
      <c r="M32" s="41">
        <v>0</v>
      </c>
      <c r="N32" s="75" t="str">
        <f t="shared" si="10"/>
        <v>-</v>
      </c>
    </row>
    <row r="33" spans="1:14" ht="16.5" outlineLevel="1">
      <c r="A33" s="48" t="s">
        <v>58</v>
      </c>
      <c r="B33" s="40" t="s">
        <v>24</v>
      </c>
      <c r="C33" s="66">
        <f>'植物智慧21年利润表（实际）'!H32</f>
        <v>0</v>
      </c>
      <c r="D33" s="135" t="e">
        <f t="shared" si="4"/>
        <v>#DIV/0!</v>
      </c>
      <c r="E33" s="41">
        <f>'植物智慧19年利润表（实际）'!H32</f>
        <v>0</v>
      </c>
      <c r="F33" s="42" t="str">
        <f t="shared" si="0"/>
        <v>-</v>
      </c>
      <c r="G33" s="41">
        <v>1</v>
      </c>
      <c r="H33" s="42">
        <f t="shared" si="1"/>
        <v>0</v>
      </c>
      <c r="I33" s="67">
        <f>'植物智慧21年利润表（实际）'!N32</f>
        <v>0</v>
      </c>
      <c r="J33" s="135">
        <f t="shared" si="5"/>
        <v>0</v>
      </c>
      <c r="K33" s="66">
        <f>'植物智慧19年利润表（实际）'!B32+'植物智慧19年利润表（实际）'!C32+'植物智慧19年利润表（实际）'!D32+'植物智慧19年利润表（实际）'!E32+'植物智慧19年利润表（实际）'!F32+'植物智慧19年利润表（实际）'!G32+'植物智慧19年利润表（实际）'!H32</f>
        <v>10.428155</v>
      </c>
      <c r="L33" s="42">
        <f t="shared" si="11"/>
        <v>-1</v>
      </c>
      <c r="M33" s="41">
        <v>3.9699999999999998</v>
      </c>
      <c r="N33" s="75">
        <f t="shared" si="10"/>
        <v>0</v>
      </c>
    </row>
    <row r="34" spans="1:14" ht="16.5" outlineLevel="1">
      <c r="A34" s="48" t="s">
        <v>42</v>
      </c>
      <c r="B34" s="40" t="s">
        <v>19</v>
      </c>
      <c r="C34" s="66">
        <f>'植物智慧21年利润表（实际）'!H33</f>
        <v>0</v>
      </c>
      <c r="D34" s="135" t="e">
        <f t="shared" si="4"/>
        <v>#DIV/0!</v>
      </c>
      <c r="E34" s="41">
        <f>'植物智慧19年利润表（实际）'!H33</f>
        <v>0</v>
      </c>
      <c r="F34" s="42" t="str">
        <f t="shared" si="0"/>
        <v>-</v>
      </c>
      <c r="G34" s="41"/>
      <c r="H34" s="42" t="str">
        <f t="shared" si="1"/>
        <v>-</v>
      </c>
      <c r="I34" s="67">
        <f>'植物智慧21年利润表（实际）'!N33</f>
        <v>0</v>
      </c>
      <c r="J34" s="135">
        <f t="shared" si="5"/>
        <v>0</v>
      </c>
      <c r="K34" s="66">
        <f>'植物智慧19年利润表（实际）'!B33+'植物智慧19年利润表（实际）'!C33+'植物智慧19年利润表（实际）'!D33+'植物智慧19年利润表（实际）'!E33+'植物智慧19年利润表（实际）'!F33+'植物智慧19年利润表（实际）'!G33+'植物智慧19年利润表（实际）'!H33</f>
        <v>0</v>
      </c>
      <c r="L34" s="42" t="str">
        <f t="shared" si="11"/>
        <v>-</v>
      </c>
      <c r="M34" s="41">
        <v>0</v>
      </c>
      <c r="N34" s="75" t="str">
        <f t="shared" si="10"/>
        <v>-</v>
      </c>
    </row>
    <row r="35" spans="1:14" ht="16.5" outlineLevel="1">
      <c r="A35" s="48" t="s">
        <v>59</v>
      </c>
      <c r="B35" s="40" t="s">
        <v>27</v>
      </c>
      <c r="C35" s="66">
        <f>'植物智慧21年利润表（实际）'!H34</f>
        <v>0</v>
      </c>
      <c r="D35" s="135" t="e">
        <f t="shared" si="4"/>
        <v>#DIV/0!</v>
      </c>
      <c r="E35" s="41">
        <f>'植物智慧19年利润表（实际）'!H34</f>
        <v>0</v>
      </c>
      <c r="F35" s="42" t="str">
        <f t="shared" si="0"/>
        <v>-</v>
      </c>
      <c r="G35" s="41"/>
      <c r="H35" s="42" t="str">
        <f t="shared" si="1"/>
        <v>-</v>
      </c>
      <c r="I35" s="67">
        <f>'植物智慧21年利润表（实际）'!N34</f>
        <v>0</v>
      </c>
      <c r="J35" s="135">
        <f t="shared" si="5"/>
        <v>0</v>
      </c>
      <c r="K35" s="69">
        <f>'植物智慧19年利润表（实际）'!B34+'植物智慧19年利润表（实际）'!C34+'植物智慧19年利润表（实际）'!D34+'植物智慧19年利润表（实际）'!E34+'植物智慧19年利润表（实际）'!F34+'植物智慧19年利润表（实际）'!G34+'植物智慧19年利润表（实际）'!H34</f>
        <v>0</v>
      </c>
      <c r="L35" s="42" t="str">
        <f t="shared" si="11"/>
        <v>-</v>
      </c>
      <c r="M35" s="41">
        <v>0</v>
      </c>
      <c r="N35" s="75" t="str">
        <f t="shared" si="10"/>
        <v>-</v>
      </c>
    </row>
    <row r="36" spans="1:14" ht="16.5" outlineLevel="1">
      <c r="A36" s="48" t="s">
        <v>60</v>
      </c>
      <c r="B36" s="40" t="s">
        <v>28</v>
      </c>
      <c r="C36" s="66">
        <f>'植物智慧21年利润表（实际）'!H35</f>
        <v>0</v>
      </c>
      <c r="D36" s="135" t="e">
        <f t="shared" si="4"/>
        <v>#DIV/0!</v>
      </c>
      <c r="E36" s="41">
        <f>'植物智慧19年利润表（实际）'!H35</f>
        <v>0</v>
      </c>
      <c r="F36" s="42" t="str">
        <f t="shared" si="0"/>
        <v>-</v>
      </c>
      <c r="G36" s="41"/>
      <c r="H36" s="42" t="str">
        <f t="shared" si="1"/>
        <v>-</v>
      </c>
      <c r="I36" s="67">
        <f>'植物智慧21年利润表（实际）'!N35</f>
        <v>0</v>
      </c>
      <c r="J36" s="135">
        <f t="shared" si="5"/>
        <v>0</v>
      </c>
      <c r="K36" s="69">
        <f>'植物智慧19年利润表（实际）'!B35+'植物智慧19年利润表（实际）'!C35+'植物智慧19年利润表（实际）'!D35+'植物智慧19年利润表（实际）'!E35+'植物智慧19年利润表（实际）'!F35+'植物智慧19年利润表（实际）'!G35+'植物智慧19年利润表（实际）'!H35</f>
        <v>0</v>
      </c>
      <c r="L36" s="42" t="str">
        <f t="shared" si="11"/>
        <v>-</v>
      </c>
      <c r="M36" s="41">
        <v>0</v>
      </c>
      <c r="N36" s="75" t="str">
        <f t="shared" si="10"/>
        <v>-</v>
      </c>
    </row>
    <row r="37" spans="1:14" ht="16.5" outlineLevel="1">
      <c r="A37" s="48" t="s">
        <v>61</v>
      </c>
      <c r="B37" s="40" t="s">
        <v>22</v>
      </c>
      <c r="C37" s="66">
        <f>'植物智慧21年利润表（实际）'!H36</f>
        <v>0</v>
      </c>
      <c r="D37" s="135" t="e">
        <f t="shared" si="4"/>
        <v>#DIV/0!</v>
      </c>
      <c r="E37" s="41">
        <f>'植物智慧19年利润表（实际）'!H36</f>
        <v>0</v>
      </c>
      <c r="F37" s="42" t="str">
        <f t="shared" si="0"/>
        <v>-</v>
      </c>
      <c r="G37" s="41">
        <v>2</v>
      </c>
      <c r="H37" s="42">
        <f t="shared" si="1"/>
        <v>0</v>
      </c>
      <c r="I37" s="67">
        <f>'植物智慧21年利润表（实际）'!N36</f>
        <v>0</v>
      </c>
      <c r="J37" s="135">
        <f t="shared" si="5"/>
        <v>0</v>
      </c>
      <c r="K37" s="69">
        <f>'植物智慧19年利润表（实际）'!B36+'植物智慧19年利润表（实际）'!C36+'植物智慧19年利润表（实际）'!D36+'植物智慧19年利润表（实际）'!E36+'植物智慧19年利润表（实际）'!F36+'植物智慧19年利润表（实际）'!G36+'植物智慧19年利润表（实际）'!H36</f>
        <v>0</v>
      </c>
      <c r="L37" s="42" t="str">
        <f t="shared" si="11"/>
        <v>-</v>
      </c>
      <c r="M37" s="41">
        <v>20.399999999999999</v>
      </c>
      <c r="N37" s="75">
        <f t="shared" si="10"/>
        <v>0</v>
      </c>
    </row>
    <row r="38" spans="1:14" ht="16.5" outlineLevel="1">
      <c r="A38" s="48" t="s">
        <v>62</v>
      </c>
      <c r="B38" s="40" t="s">
        <v>29</v>
      </c>
      <c r="C38" s="66">
        <f>'植物智慧21年利润表（实际）'!H37</f>
        <v>0</v>
      </c>
      <c r="D38" s="135" t="e">
        <f t="shared" si="4"/>
        <v>#DIV/0!</v>
      </c>
      <c r="E38" s="41">
        <f>'植物智慧19年利润表（实际）'!H37</f>
        <v>0</v>
      </c>
      <c r="F38" s="42" t="str">
        <f t="shared" si="0"/>
        <v>-</v>
      </c>
      <c r="G38" s="41"/>
      <c r="H38" s="42" t="str">
        <f t="shared" si="1"/>
        <v>-</v>
      </c>
      <c r="I38" s="67">
        <f>'植物智慧21年利润表（实际）'!N37</f>
        <v>0</v>
      </c>
      <c r="J38" s="135">
        <f t="shared" si="5"/>
        <v>0</v>
      </c>
      <c r="K38" s="69">
        <f>'植物智慧19年利润表（实际）'!B37+'植物智慧19年利润表（实际）'!C37+'植物智慧19年利润表（实际）'!D37+'植物智慧19年利润表（实际）'!E37+'植物智慧19年利润表（实际）'!F37+'植物智慧19年利润表（实际）'!G37+'植物智慧19年利润表（实际）'!H37</f>
        <v>0</v>
      </c>
      <c r="L38" s="42" t="str">
        <f t="shared" si="11"/>
        <v>-</v>
      </c>
      <c r="M38" s="41">
        <v>1.2</v>
      </c>
      <c r="N38" s="75">
        <f t="shared" si="10"/>
        <v>0</v>
      </c>
    </row>
    <row r="39" spans="1:14" ht="16.5" outlineLevel="1">
      <c r="A39" s="48" t="s">
        <v>63</v>
      </c>
      <c r="B39" s="40" t="s">
        <v>13</v>
      </c>
      <c r="C39" s="66">
        <f>'植物智慧21年利润表（实际）'!H38</f>
        <v>0</v>
      </c>
      <c r="D39" s="135" t="e">
        <f t="shared" si="4"/>
        <v>#DIV/0!</v>
      </c>
      <c r="E39" s="41">
        <f>'植物智慧19年利润表（实际）'!H38</f>
        <v>0</v>
      </c>
      <c r="F39" s="42" t="str">
        <f t="shared" si="0"/>
        <v>-</v>
      </c>
      <c r="G39" s="41"/>
      <c r="H39" s="42" t="str">
        <f t="shared" si="1"/>
        <v>-</v>
      </c>
      <c r="I39" s="67">
        <f>'植物智慧21年利润表（实际）'!N38</f>
        <v>8.495599999999999E-2</v>
      </c>
      <c r="J39" s="135">
        <f t="shared" si="5"/>
        <v>2.5735699030021085E-4</v>
      </c>
      <c r="K39" s="69">
        <f>'植物智慧19年利润表（实际）'!B38+'植物智慧19年利润表（实际）'!C38+'植物智慧19年利润表（实际）'!D38+'植物智慧19年利润表（实际）'!E38+'植物智慧19年利润表（实际）'!F38+'植物智慧19年利润表（实际）'!G38+'植物智慧19年利润表（实际）'!H38</f>
        <v>0</v>
      </c>
      <c r="L39" s="42" t="str">
        <f t="shared" si="11"/>
        <v>-</v>
      </c>
      <c r="M39" s="41">
        <v>0</v>
      </c>
      <c r="N39" s="75" t="str">
        <f t="shared" si="10"/>
        <v>-</v>
      </c>
    </row>
    <row r="40" spans="1:14" ht="16.5" outlineLevel="1">
      <c r="A40" s="48" t="s">
        <v>64</v>
      </c>
      <c r="B40" s="40" t="s">
        <v>17</v>
      </c>
      <c r="C40" s="66">
        <f>'植物智慧21年利润表（实际）'!H39</f>
        <v>0</v>
      </c>
      <c r="D40" s="135" t="e">
        <f t="shared" si="4"/>
        <v>#DIV/0!</v>
      </c>
      <c r="E40" s="41">
        <f>'植物智慧19年利润表（实际）'!H39</f>
        <v>0</v>
      </c>
      <c r="F40" s="42" t="str">
        <f t="shared" si="0"/>
        <v>-</v>
      </c>
      <c r="G40" s="41"/>
      <c r="H40" s="42" t="str">
        <f t="shared" si="1"/>
        <v>-</v>
      </c>
      <c r="I40" s="67">
        <f>'植物智慧21年利润表（实际）'!N39</f>
        <v>0</v>
      </c>
      <c r="J40" s="135">
        <f t="shared" si="5"/>
        <v>0</v>
      </c>
      <c r="K40" s="69">
        <f>'植物智慧19年利润表（实际）'!B39+'植物智慧19年利润表（实际）'!C39+'植物智慧19年利润表（实际）'!D39+'植物智慧19年利润表（实际）'!E39+'植物智慧19年利润表（实际）'!F39+'植物智慧19年利润表（实际）'!G39+'植物智慧19年利润表（实际）'!H39</f>
        <v>0.50960000000000005</v>
      </c>
      <c r="L40" s="42">
        <f t="shared" si="11"/>
        <v>-1</v>
      </c>
      <c r="M40" s="41">
        <v>0</v>
      </c>
      <c r="N40" s="75" t="str">
        <f t="shared" si="10"/>
        <v>-</v>
      </c>
    </row>
    <row r="41" spans="1:14" ht="16.5" outlineLevel="1">
      <c r="A41" s="48" t="s">
        <v>65</v>
      </c>
      <c r="B41" s="40" t="s">
        <v>30</v>
      </c>
      <c r="C41" s="66">
        <f>'植物智慧21年利润表（实际）'!H40</f>
        <v>0</v>
      </c>
      <c r="D41" s="135" t="e">
        <f t="shared" si="4"/>
        <v>#DIV/0!</v>
      </c>
      <c r="E41" s="41">
        <f>'植物智慧19年利润表（实际）'!H40</f>
        <v>19.817616000000005</v>
      </c>
      <c r="F41" s="42">
        <f t="shared" si="0"/>
        <v>-1</v>
      </c>
      <c r="G41" s="41">
        <v>12.685486345388499</v>
      </c>
      <c r="H41" s="42">
        <f t="shared" si="1"/>
        <v>0</v>
      </c>
      <c r="I41" s="67">
        <f>'植物智慧21年利润表（实际）'!N40</f>
        <v>24.764069999999997</v>
      </c>
      <c r="J41" s="135">
        <f t="shared" si="5"/>
        <v>7.5017732976879123E-2</v>
      </c>
      <c r="K41" s="69">
        <f>'植物智慧19年利润表（实际）'!B40+'植物智慧19年利润表（实际）'!C40+'植物智慧19年利润表（实际）'!D40+'植物智慧19年利润表（实际）'!E40+'植物智慧19年利润表（实际）'!F40+'植物智慧19年利润表（实际）'!G40+'植物智慧19年利润表（实际）'!H40</f>
        <v>123.67191199999999</v>
      </c>
      <c r="L41" s="42">
        <f t="shared" si="11"/>
        <v>-0.79975994872627176</v>
      </c>
      <c r="M41" s="41">
        <v>82.313218345388506</v>
      </c>
      <c r="N41" s="75">
        <f t="shared" si="10"/>
        <v>0.30085167969121662</v>
      </c>
    </row>
    <row r="42" spans="1:14" ht="16.5" outlineLevel="1">
      <c r="A42" s="48" t="s">
        <v>50</v>
      </c>
      <c r="B42" s="40" t="s">
        <v>15</v>
      </c>
      <c r="C42" s="66">
        <f>'植物智慧21年利润表（实际）'!H41</f>
        <v>0</v>
      </c>
      <c r="D42" s="135" t="e">
        <f t="shared" si="4"/>
        <v>#DIV/0!</v>
      </c>
      <c r="E42" s="41">
        <f>'植物智慧19年利润表（实际）'!H41</f>
        <v>0</v>
      </c>
      <c r="F42" s="42" t="str">
        <f t="shared" si="0"/>
        <v>-</v>
      </c>
      <c r="G42" s="41"/>
      <c r="H42" s="42" t="str">
        <f t="shared" si="1"/>
        <v>-</v>
      </c>
      <c r="I42" s="67">
        <f>'植物智慧21年利润表（实际）'!N41</f>
        <v>0</v>
      </c>
      <c r="J42" s="135">
        <f t="shared" si="5"/>
        <v>0</v>
      </c>
      <c r="K42" s="69">
        <f>'植物智慧19年利润表（实际）'!B41+'植物智慧19年利润表（实际）'!C41+'植物智慧19年利润表（实际）'!D41+'植物智慧19年利润表（实际）'!E41+'植物智慧19年利润表（实际）'!F41+'植物智慧19年利润表（实际）'!G41+'植物智慧19年利润表（实际）'!H41</f>
        <v>0</v>
      </c>
      <c r="L42" s="42" t="str">
        <f t="shared" si="11"/>
        <v>-</v>
      </c>
      <c r="M42" s="41">
        <v>0.40754699999999999</v>
      </c>
      <c r="N42" s="75">
        <f t="shared" si="10"/>
        <v>0</v>
      </c>
    </row>
    <row r="43" spans="1:14" ht="16.5" outlineLevel="1">
      <c r="A43" s="48" t="s">
        <v>51</v>
      </c>
      <c r="B43" s="40" t="s">
        <v>12</v>
      </c>
      <c r="C43" s="66">
        <f>'植物智慧21年利润表（实际）'!H42</f>
        <v>0</v>
      </c>
      <c r="D43" s="135" t="e">
        <f t="shared" si="4"/>
        <v>#DIV/0!</v>
      </c>
      <c r="E43" s="41">
        <f>'植物智慧19年利润表（实际）'!H42</f>
        <v>0</v>
      </c>
      <c r="F43" s="42" t="str">
        <f t="shared" si="0"/>
        <v>-</v>
      </c>
      <c r="G43" s="41"/>
      <c r="H43" s="42" t="str">
        <f t="shared" si="1"/>
        <v>-</v>
      </c>
      <c r="I43" s="67">
        <f>'植物智慧21年利润表（实际）'!N42</f>
        <v>0</v>
      </c>
      <c r="J43" s="135">
        <f t="shared" si="5"/>
        <v>0</v>
      </c>
      <c r="K43" s="69">
        <f>'植物智慧19年利润表（实际）'!B42+'植物智慧19年利润表（实际）'!C42+'植物智慧19年利润表（实际）'!D42+'植物智慧19年利润表（实际）'!E42+'植物智慧19年利润表（实际）'!F42+'植物智慧19年利润表（实际）'!G42+'植物智慧19年利润表（实际）'!H42</f>
        <v>0</v>
      </c>
      <c r="L43" s="42" t="str">
        <f t="shared" si="11"/>
        <v>-</v>
      </c>
      <c r="M43" s="41">
        <v>0</v>
      </c>
      <c r="N43" s="75" t="str">
        <f t="shared" si="10"/>
        <v>-</v>
      </c>
    </row>
    <row r="44" spans="1:14" ht="16.5" outlineLevel="1">
      <c r="A44" s="48" t="s">
        <v>52</v>
      </c>
      <c r="B44" s="40" t="s">
        <v>25</v>
      </c>
      <c r="C44" s="66">
        <f>'植物智慧21年利润表（实际）'!H43</f>
        <v>0</v>
      </c>
      <c r="D44" s="135" t="e">
        <f t="shared" si="4"/>
        <v>#DIV/0!</v>
      </c>
      <c r="E44" s="41">
        <f>'植物智慧19年利润表（实际）'!H43</f>
        <v>1.9397000000000001E-2</v>
      </c>
      <c r="F44" s="42">
        <f t="shared" si="0"/>
        <v>-1</v>
      </c>
      <c r="G44" s="50">
        <v>3.7626438557565901E-3</v>
      </c>
      <c r="H44" s="42">
        <f t="shared" si="1"/>
        <v>0</v>
      </c>
      <c r="I44" s="67">
        <f>'植物智慧21年利润表（实际）'!N43</f>
        <v>3.8793000000000001E-2</v>
      </c>
      <c r="J44" s="135">
        <f t="shared" si="5"/>
        <v>1.1751553421437075E-4</v>
      </c>
      <c r="K44" s="69">
        <f>'植物智慧19年利润表（实际）'!B43+'植物智慧19年利润表（实际）'!C43+'植物智慧19年利润表（实际）'!D43+'植物智慧19年利润表（实际）'!E43+'植物智慧19年利润表（实际）'!F43+'植物智慧19年利润表（实际）'!G43+'植物智慧19年利润表（实际）'!H43</f>
        <v>9.6983E-2</v>
      </c>
      <c r="L44" s="42">
        <f t="shared" si="11"/>
        <v>-0.60000206221708963</v>
      </c>
      <c r="M44" s="41">
        <v>0.10195264385575659</v>
      </c>
      <c r="N44" s="75">
        <f t="shared" si="10"/>
        <v>0.38050018648741124</v>
      </c>
    </row>
    <row r="45" spans="1:14" ht="16.5" outlineLevel="1">
      <c r="A45" s="48" t="s">
        <v>53</v>
      </c>
      <c r="B45" s="40" t="s">
        <v>20</v>
      </c>
      <c r="C45" s="66">
        <f>'植物智慧21年利润表（实际）'!H44</f>
        <v>0</v>
      </c>
      <c r="D45" s="135" t="e">
        <f t="shared" si="4"/>
        <v>#DIV/0!</v>
      </c>
      <c r="E45" s="41">
        <f>'植物智慧19年利润表（实际）'!H44</f>
        <v>0</v>
      </c>
      <c r="F45" s="42" t="str">
        <f t="shared" si="0"/>
        <v>-</v>
      </c>
      <c r="G45" s="41"/>
      <c r="H45" s="42" t="str">
        <f t="shared" si="1"/>
        <v>-</v>
      </c>
      <c r="I45" s="67">
        <f>'植物智慧21年利润表（实际）'!N44</f>
        <v>6.7159999999999997E-2</v>
      </c>
      <c r="J45" s="135">
        <f t="shared" si="5"/>
        <v>2.0344761368899387E-4</v>
      </c>
      <c r="K45" s="69">
        <f>'植物智慧19年利润表（实际）'!B44+'植物智慧19年利润表（实际）'!C44+'植物智慧19年利润表（实际）'!D44+'植物智慧19年利润表（实际）'!E44+'植物智慧19年利润表（实际）'!F44+'植物智慧19年利润表（实际）'!G44+'植物智慧19年利润表（实际）'!H44</f>
        <v>2.0249890000000001</v>
      </c>
      <c r="L45" s="42">
        <f t="shared" si="11"/>
        <v>-0.9668343877423532</v>
      </c>
      <c r="M45" s="41">
        <v>1.67</v>
      </c>
      <c r="N45" s="75">
        <f t="shared" si="10"/>
        <v>4.0215568862275453E-2</v>
      </c>
    </row>
    <row r="46" spans="1:14" ht="16.5" outlineLevel="1">
      <c r="A46" s="48" t="s">
        <v>66</v>
      </c>
      <c r="B46" s="40" t="s">
        <v>31</v>
      </c>
      <c r="C46" s="66">
        <f>'植物智慧21年利润表（实际）'!H45</f>
        <v>0</v>
      </c>
      <c r="D46" s="135" t="e">
        <f t="shared" si="4"/>
        <v>#DIV/0!</v>
      </c>
      <c r="E46" s="41">
        <f>'植物智慧19年利润表（实际）'!H45</f>
        <v>1.5761350000000001</v>
      </c>
      <c r="F46" s="42">
        <f t="shared" si="0"/>
        <v>-1</v>
      </c>
      <c r="G46" s="41">
        <v>2.7491652802166238</v>
      </c>
      <c r="H46" s="42">
        <f t="shared" si="1"/>
        <v>0</v>
      </c>
      <c r="I46" s="67">
        <f>'植物智慧21年利润表（实际）'!N45</f>
        <v>0.65320400000000012</v>
      </c>
      <c r="J46" s="135">
        <f t="shared" si="5"/>
        <v>1.9787491818359973E-3</v>
      </c>
      <c r="K46" s="66">
        <f>'植物智慧19年利润表（实际）'!B45+'植物智慧19年利润表（实际）'!C45+'植物智慧19年利润表（实际）'!D45+'植物智慧19年利润表（实际）'!E45+'植物智慧19年利润表（实际）'!F45+'植物智慧19年利润表（实际）'!G45+'植物智慧19年利润表（实际）'!H45</f>
        <v>13.335869000000002</v>
      </c>
      <c r="L46" s="42">
        <f t="shared" si="11"/>
        <v>-0.95101901495883012</v>
      </c>
      <c r="M46" s="41">
        <v>30.213527280216624</v>
      </c>
      <c r="N46" s="75">
        <f t="shared" si="10"/>
        <v>2.1619587608617565E-2</v>
      </c>
    </row>
    <row r="47" spans="1:14" s="4" customFormat="1" ht="17.25" thickBot="1">
      <c r="A47" s="51" t="s">
        <v>1</v>
      </c>
      <c r="B47" s="52"/>
      <c r="C47" s="53">
        <f>C29-C30</f>
        <v>0</v>
      </c>
      <c r="D47" s="143" t="e">
        <f>C47/$C$7</f>
        <v>#DIV/0!</v>
      </c>
      <c r="E47" s="53">
        <f>E29-E30</f>
        <v>-30.933804000000038</v>
      </c>
      <c r="F47" s="54">
        <f t="shared" si="0"/>
        <v>1</v>
      </c>
      <c r="G47" s="53">
        <f>G29-G30</f>
        <v>9.3396425103090124</v>
      </c>
      <c r="H47" s="74">
        <f t="shared" si="1"/>
        <v>0</v>
      </c>
      <c r="I47" s="68">
        <f>I29-I30</f>
        <v>12.35155500000004</v>
      </c>
      <c r="J47" s="143">
        <f t="shared" si="5"/>
        <v>3.7416533503549274E-2</v>
      </c>
      <c r="K47" s="68">
        <f>K29-K30</f>
        <v>117.12810000000002</v>
      </c>
      <c r="L47" s="54">
        <f t="shared" si="11"/>
        <v>-0.89454661178658201</v>
      </c>
      <c r="M47" s="53">
        <f>M29-M30</f>
        <v>61.816921076680643</v>
      </c>
      <c r="N47" s="76">
        <f t="shared" si="10"/>
        <v>0.19980864114339478</v>
      </c>
    </row>
    <row r="48" spans="1:14" ht="20.25" customHeight="1">
      <c r="A48" s="147" t="s">
        <v>519</v>
      </c>
      <c r="F48" s="72"/>
      <c r="G48" s="71"/>
      <c r="H48" s="73"/>
    </row>
    <row r="49" spans="1:8" ht="18.75" customHeight="1">
      <c r="A49" s="147" t="s">
        <v>520</v>
      </c>
      <c r="B49" s="3"/>
      <c r="C49" s="3"/>
      <c r="D49" s="59"/>
      <c r="E49" s="7"/>
      <c r="F49" s="59"/>
      <c r="G49" s="3"/>
      <c r="H49" s="62"/>
    </row>
    <row r="50" spans="1:8" ht="17.25">
      <c r="A50" s="146"/>
    </row>
  </sheetData>
  <sheetProtection autoFilter="0"/>
  <mergeCells count="2">
    <mergeCell ref="C2:H2"/>
    <mergeCell ref="I2:N2"/>
  </mergeCells>
  <phoneticPr fontId="2" type="noConversion"/>
  <pageMargins left="0.7" right="0.7" top="0.75" bottom="0.75" header="0.3" footer="0.3"/>
  <pageSetup paperSize="9" orientation="portrait" verticalDpi="0" r:id="rId1"/>
  <customProperties>
    <customPr name="_pios_id" r:id="rId2"/>
  </customProperties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workbookViewId="0">
      <pane xSplit="4" ySplit="1" topLeftCell="F26" activePane="bottomRight" state="frozen"/>
      <selection pane="topRight" activeCell="E1" sqref="E1"/>
      <selection pane="bottomLeft" activeCell="A2" sqref="A2"/>
      <selection pane="bottomRight" activeCell="H16" sqref="H5:H16"/>
    </sheetView>
  </sheetViews>
  <sheetFormatPr defaultRowHeight="13.5" outlineLevelCol="1"/>
  <cols>
    <col min="1" max="1" width="16.625" customWidth="1"/>
    <col min="2" max="2" width="11.625" customWidth="1"/>
    <col min="3" max="3" width="12.75" style="153" customWidth="1"/>
    <col min="4" max="4" width="33" customWidth="1"/>
    <col min="5" max="5" width="20.125" hidden="1" customWidth="1" outlineLevel="1"/>
    <col min="6" max="6" width="9" collapsed="1"/>
    <col min="8" max="8" width="10.25" bestFit="1" customWidth="1"/>
    <col min="9" max="11" width="9" customWidth="1"/>
    <col min="12" max="13" width="10.625" bestFit="1" customWidth="1"/>
    <col min="14" max="14" width="9" customWidth="1"/>
    <col min="15" max="15" width="9" style="164" customWidth="1"/>
    <col min="16" max="16" width="9" customWidth="1"/>
    <col min="17" max="17" width="11.75" bestFit="1" customWidth="1"/>
    <col min="18" max="18" width="16.125" bestFit="1" customWidth="1"/>
    <col min="21" max="21" width="17.25" bestFit="1" customWidth="1"/>
    <col min="22" max="22" width="13.125" customWidth="1"/>
    <col min="23" max="23" width="9" style="164"/>
  </cols>
  <sheetData>
    <row r="1" spans="1:23" s="22" customFormat="1" ht="15" thickBot="1">
      <c r="A1" s="21" t="s">
        <v>480</v>
      </c>
      <c r="B1" s="21" t="s">
        <v>481</v>
      </c>
      <c r="C1" s="152" t="s">
        <v>482</v>
      </c>
      <c r="D1" s="20" t="s">
        <v>483</v>
      </c>
      <c r="E1" s="20" t="s">
        <v>484</v>
      </c>
      <c r="F1" s="15" t="s">
        <v>68</v>
      </c>
      <c r="G1" s="15" t="s">
        <v>69</v>
      </c>
      <c r="H1" s="15" t="s">
        <v>70</v>
      </c>
      <c r="I1" s="15" t="s">
        <v>71</v>
      </c>
      <c r="J1" s="15" t="s">
        <v>72</v>
      </c>
      <c r="K1" s="15" t="s">
        <v>73</v>
      </c>
      <c r="L1" s="15" t="s">
        <v>74</v>
      </c>
      <c r="M1" s="15" t="s">
        <v>75</v>
      </c>
      <c r="N1" s="15" t="s">
        <v>76</v>
      </c>
      <c r="O1" s="187" t="s">
        <v>77</v>
      </c>
      <c r="P1" s="15" t="s">
        <v>78</v>
      </c>
      <c r="Q1" s="15" t="s">
        <v>79</v>
      </c>
      <c r="R1" s="15" t="s">
        <v>510</v>
      </c>
      <c r="W1" s="160"/>
    </row>
    <row r="2" spans="1:23" s="22" customFormat="1" ht="18" customHeight="1">
      <c r="A2" s="16" t="s">
        <v>13</v>
      </c>
      <c r="B2" s="16" t="s">
        <v>18</v>
      </c>
      <c r="C2" s="149">
        <v>8008020101</v>
      </c>
      <c r="D2" s="23" t="s">
        <v>177</v>
      </c>
      <c r="E2" s="16" t="s">
        <v>178</v>
      </c>
      <c r="F2" s="161"/>
      <c r="G2" s="161"/>
      <c r="H2" s="161"/>
      <c r="I2" s="161"/>
      <c r="J2" s="161"/>
      <c r="K2" s="161"/>
      <c r="L2" s="167"/>
      <c r="M2" s="161"/>
      <c r="N2" s="17"/>
      <c r="O2" s="161"/>
      <c r="P2" s="17"/>
      <c r="Q2" s="17"/>
      <c r="R2" s="18">
        <f>SUM(F2:Q2)</f>
        <v>0</v>
      </c>
      <c r="S2" s="160"/>
      <c r="U2"/>
      <c r="V2"/>
      <c r="W2" s="164"/>
    </row>
    <row r="3" spans="1:23" s="22" customFormat="1" ht="18" customHeight="1">
      <c r="A3" s="16" t="s">
        <v>13</v>
      </c>
      <c r="B3" s="16" t="s">
        <v>18</v>
      </c>
      <c r="C3" s="149">
        <v>8008020102</v>
      </c>
      <c r="D3" s="23" t="s">
        <v>179</v>
      </c>
      <c r="E3" s="16" t="s">
        <v>180</v>
      </c>
      <c r="F3" s="161">
        <v>2.51118</v>
      </c>
      <c r="G3" s="161">
        <v>0.217</v>
      </c>
      <c r="H3" s="161"/>
      <c r="I3" s="161"/>
      <c r="J3" s="161"/>
      <c r="K3" s="161"/>
      <c r="L3" s="167"/>
      <c r="M3" s="161"/>
      <c r="N3" s="17"/>
      <c r="O3" s="161"/>
      <c r="P3" s="17"/>
      <c r="Q3" s="17"/>
      <c r="R3" s="18">
        <f t="shared" ref="R3:R36" si="0">SUM(F3:Q3)</f>
        <v>2.72818</v>
      </c>
      <c r="S3" s="160"/>
      <c r="U3" s="153"/>
      <c r="V3" s="163"/>
      <c r="W3" s="164"/>
    </row>
    <row r="4" spans="1:23" s="22" customFormat="1" ht="18" customHeight="1">
      <c r="A4" s="16" t="s">
        <v>13</v>
      </c>
      <c r="B4" s="16" t="s">
        <v>18</v>
      </c>
      <c r="C4" s="149">
        <v>8008020104</v>
      </c>
      <c r="D4" s="23" t="s">
        <v>183</v>
      </c>
      <c r="E4" s="16" t="s">
        <v>184</v>
      </c>
      <c r="F4" s="161"/>
      <c r="G4" s="161"/>
      <c r="H4" s="161"/>
      <c r="I4" s="161"/>
      <c r="J4" s="161"/>
      <c r="K4" s="161"/>
      <c r="L4" s="167"/>
      <c r="M4" s="161"/>
      <c r="N4" s="17"/>
      <c r="O4" s="161"/>
      <c r="P4" s="17"/>
      <c r="Q4" s="17"/>
      <c r="R4" s="18">
        <f t="shared" si="0"/>
        <v>0</v>
      </c>
      <c r="S4" s="160"/>
      <c r="U4" s="153"/>
      <c r="V4" s="163"/>
      <c r="W4" s="164"/>
    </row>
    <row r="5" spans="1:23" s="22" customFormat="1" ht="18" customHeight="1">
      <c r="A5" s="16" t="s">
        <v>13</v>
      </c>
      <c r="B5" s="16" t="s">
        <v>18</v>
      </c>
      <c r="C5" s="149">
        <v>8008020105</v>
      </c>
      <c r="D5" s="23" t="s">
        <v>185</v>
      </c>
      <c r="E5" s="16" t="s">
        <v>485</v>
      </c>
      <c r="F5" s="161"/>
      <c r="G5" s="161"/>
      <c r="H5" s="161"/>
      <c r="I5" s="161"/>
      <c r="J5" s="161"/>
      <c r="K5" s="161"/>
      <c r="L5" s="167"/>
      <c r="M5" s="161"/>
      <c r="N5" s="17"/>
      <c r="O5" s="161"/>
      <c r="P5" s="17"/>
      <c r="Q5" s="17"/>
      <c r="R5" s="18">
        <f t="shared" si="0"/>
        <v>0</v>
      </c>
      <c r="S5" s="160"/>
      <c r="U5" s="153"/>
      <c r="V5" s="163"/>
      <c r="W5" s="164"/>
    </row>
    <row r="6" spans="1:23" s="22" customFormat="1" ht="18" customHeight="1">
      <c r="A6" s="16" t="s">
        <v>13</v>
      </c>
      <c r="B6" s="16" t="s">
        <v>18</v>
      </c>
      <c r="C6" s="149">
        <v>8008020103</v>
      </c>
      <c r="D6" s="23" t="s">
        <v>181</v>
      </c>
      <c r="E6" s="16" t="s">
        <v>182</v>
      </c>
      <c r="F6" s="161">
        <v>4.3728569999999998</v>
      </c>
      <c r="G6" s="161">
        <v>0.58535500000000007</v>
      </c>
      <c r="H6" s="161"/>
      <c r="I6" s="161"/>
      <c r="J6" s="161"/>
      <c r="K6" s="161"/>
      <c r="L6" s="167"/>
      <c r="M6" s="161"/>
      <c r="N6" s="17"/>
      <c r="O6" s="161"/>
      <c r="P6" s="17"/>
      <c r="Q6" s="17"/>
      <c r="R6" s="18">
        <f t="shared" si="0"/>
        <v>4.9582119999999996</v>
      </c>
      <c r="S6" s="160"/>
      <c r="U6" s="153"/>
      <c r="V6" s="163"/>
      <c r="W6" s="164"/>
    </row>
    <row r="7" spans="1:23" s="22" customFormat="1" ht="18" customHeight="1">
      <c r="A7" s="16" t="s">
        <v>13</v>
      </c>
      <c r="B7" s="16" t="s">
        <v>18</v>
      </c>
      <c r="C7" s="149">
        <v>8008020106</v>
      </c>
      <c r="D7" s="23" t="s">
        <v>186</v>
      </c>
      <c r="E7" s="16" t="s">
        <v>471</v>
      </c>
      <c r="F7" s="161"/>
      <c r="G7" s="161"/>
      <c r="H7" s="161"/>
      <c r="I7" s="161"/>
      <c r="J7" s="161"/>
      <c r="K7" s="161"/>
      <c r="L7" s="167"/>
      <c r="M7" s="161"/>
      <c r="N7" s="17"/>
      <c r="O7" s="161"/>
      <c r="P7" s="17"/>
      <c r="Q7" s="17"/>
      <c r="R7" s="18">
        <f t="shared" si="0"/>
        <v>0</v>
      </c>
      <c r="S7" s="160"/>
      <c r="U7" s="153"/>
      <c r="V7" s="163"/>
      <c r="W7" s="164"/>
    </row>
    <row r="8" spans="1:23" s="22" customFormat="1" ht="18" customHeight="1">
      <c r="A8" s="16" t="s">
        <v>13</v>
      </c>
      <c r="B8" s="16" t="s">
        <v>187</v>
      </c>
      <c r="C8" s="149">
        <v>8008020201</v>
      </c>
      <c r="D8" s="23" t="s">
        <v>188</v>
      </c>
      <c r="E8" s="16" t="s">
        <v>486</v>
      </c>
      <c r="F8" s="161">
        <v>0.13108900000000001</v>
      </c>
      <c r="G8" s="161">
        <v>2.5892740000000001</v>
      </c>
      <c r="H8" s="161"/>
      <c r="I8" s="161"/>
      <c r="J8" s="161"/>
      <c r="K8" s="161"/>
      <c r="L8" s="167"/>
      <c r="M8" s="161"/>
      <c r="N8" s="17"/>
      <c r="O8" s="161"/>
      <c r="P8" s="17"/>
      <c r="Q8" s="17"/>
      <c r="R8" s="18">
        <f t="shared" si="0"/>
        <v>2.7203629999999999</v>
      </c>
      <c r="S8" s="160"/>
      <c r="U8" s="153"/>
      <c r="V8" s="163"/>
      <c r="W8" s="164"/>
    </row>
    <row r="9" spans="1:23" s="22" customFormat="1" ht="18" customHeight="1">
      <c r="A9" s="16" t="s">
        <v>13</v>
      </c>
      <c r="B9" s="16" t="s">
        <v>187</v>
      </c>
      <c r="C9" s="149">
        <v>8008020202</v>
      </c>
      <c r="D9" s="23" t="s">
        <v>189</v>
      </c>
      <c r="E9" s="16" t="s">
        <v>487</v>
      </c>
      <c r="F9" s="161">
        <v>57.874072999999996</v>
      </c>
      <c r="G9" s="161">
        <v>27.103722999999999</v>
      </c>
      <c r="H9" s="161"/>
      <c r="I9" s="161"/>
      <c r="J9" s="161"/>
      <c r="K9" s="161"/>
      <c r="L9" s="167"/>
      <c r="M9" s="161"/>
      <c r="N9" s="17"/>
      <c r="O9" s="161"/>
      <c r="P9" s="17"/>
      <c r="Q9" s="17"/>
      <c r="R9" s="18">
        <f t="shared" si="0"/>
        <v>84.977795999999998</v>
      </c>
      <c r="S9" s="160"/>
      <c r="U9" s="153"/>
      <c r="V9" s="163"/>
      <c r="W9" s="164"/>
    </row>
    <row r="10" spans="1:23" s="22" customFormat="1" ht="18" customHeight="1">
      <c r="A10" s="16" t="s">
        <v>13</v>
      </c>
      <c r="B10" s="16" t="s">
        <v>158</v>
      </c>
      <c r="C10" s="149">
        <v>8008010109</v>
      </c>
      <c r="D10" s="23" t="s">
        <v>190</v>
      </c>
      <c r="E10" s="16" t="s">
        <v>191</v>
      </c>
      <c r="F10" s="161"/>
      <c r="G10" s="161">
        <v>0.99009899999999995</v>
      </c>
      <c r="H10" s="161"/>
      <c r="I10" s="161"/>
      <c r="J10" s="161"/>
      <c r="K10" s="161"/>
      <c r="L10" s="167"/>
      <c r="M10" s="161"/>
      <c r="N10" s="17"/>
      <c r="O10" s="161"/>
      <c r="P10" s="17"/>
      <c r="Q10" s="17"/>
      <c r="R10" s="18">
        <f t="shared" si="0"/>
        <v>0.99009899999999995</v>
      </c>
      <c r="S10" s="160"/>
      <c r="U10" s="153"/>
      <c r="V10" s="163"/>
      <c r="W10" s="164"/>
    </row>
    <row r="11" spans="1:23" s="22" customFormat="1" ht="18" customHeight="1">
      <c r="A11" s="16" t="s">
        <v>30</v>
      </c>
      <c r="B11" s="16" t="s">
        <v>197</v>
      </c>
      <c r="C11" s="149">
        <v>8209020101</v>
      </c>
      <c r="D11" s="23" t="s">
        <v>198</v>
      </c>
      <c r="E11" s="16" t="s">
        <v>199</v>
      </c>
      <c r="F11" s="161">
        <v>14.540232000000001</v>
      </c>
      <c r="G11" s="161">
        <v>14.512816000000001</v>
      </c>
      <c r="H11" s="161"/>
      <c r="I11" s="161"/>
      <c r="J11" s="161"/>
      <c r="K11" s="161"/>
      <c r="L11" s="167"/>
      <c r="M11" s="161"/>
      <c r="N11" s="17"/>
      <c r="O11" s="161"/>
      <c r="P11" s="17"/>
      <c r="Q11" s="17"/>
      <c r="R11" s="18">
        <f t="shared" si="0"/>
        <v>29.053048000000004</v>
      </c>
      <c r="S11" s="160"/>
      <c r="U11"/>
      <c r="V11"/>
      <c r="W11" s="164"/>
    </row>
    <row r="12" spans="1:23" s="22" customFormat="1" ht="18" customHeight="1">
      <c r="A12" s="16" t="s">
        <v>30</v>
      </c>
      <c r="B12" s="16" t="s">
        <v>197</v>
      </c>
      <c r="C12" s="149">
        <v>8209020103</v>
      </c>
      <c r="D12" s="23" t="s">
        <v>488</v>
      </c>
      <c r="E12" s="16" t="s">
        <v>203</v>
      </c>
      <c r="F12" s="161">
        <v>9.0155999999999992</v>
      </c>
      <c r="G12" s="161">
        <v>10.850188000000001</v>
      </c>
      <c r="H12" s="161"/>
      <c r="I12" s="161"/>
      <c r="J12" s="161"/>
      <c r="K12" s="161"/>
      <c r="L12" s="167"/>
      <c r="M12" s="161"/>
      <c r="N12" s="17"/>
      <c r="O12" s="161"/>
      <c r="P12" s="17"/>
      <c r="Q12" s="17"/>
      <c r="R12" s="18">
        <f t="shared" si="0"/>
        <v>19.865788000000002</v>
      </c>
      <c r="S12" s="160"/>
      <c r="U12"/>
      <c r="V12" s="164"/>
      <c r="W12" s="164"/>
    </row>
    <row r="13" spans="1:23" s="22" customFormat="1" ht="18" customHeight="1">
      <c r="A13" s="16" t="s">
        <v>30</v>
      </c>
      <c r="B13" s="16" t="s">
        <v>197</v>
      </c>
      <c r="C13" s="149">
        <v>8209020104</v>
      </c>
      <c r="D13" s="23" t="s">
        <v>204</v>
      </c>
      <c r="E13" s="16" t="s">
        <v>205</v>
      </c>
      <c r="F13" s="161">
        <v>4.1357730000000004</v>
      </c>
      <c r="G13" s="161">
        <v>4.404013</v>
      </c>
      <c r="H13" s="161"/>
      <c r="I13" s="161"/>
      <c r="J13" s="161"/>
      <c r="K13" s="161"/>
      <c r="L13" s="167"/>
      <c r="M13" s="161"/>
      <c r="N13" s="17"/>
      <c r="O13" s="161"/>
      <c r="P13" s="17"/>
      <c r="Q13" s="17"/>
      <c r="R13" s="18">
        <f t="shared" si="0"/>
        <v>8.5397859999999994</v>
      </c>
      <c r="S13" s="160"/>
      <c r="U13"/>
      <c r="V13"/>
      <c r="W13" s="164"/>
    </row>
    <row r="14" spans="1:23" s="22" customFormat="1" ht="18" customHeight="1">
      <c r="A14" s="16" t="s">
        <v>30</v>
      </c>
      <c r="B14" s="16" t="s">
        <v>197</v>
      </c>
      <c r="C14" s="149">
        <v>8209020105</v>
      </c>
      <c r="D14" s="23" t="s">
        <v>206</v>
      </c>
      <c r="E14" s="16" t="s">
        <v>207</v>
      </c>
      <c r="F14" s="161">
        <v>1.6596</v>
      </c>
      <c r="G14" s="161">
        <v>1.6596</v>
      </c>
      <c r="H14" s="161"/>
      <c r="I14" s="161"/>
      <c r="J14" s="161"/>
      <c r="K14" s="161"/>
      <c r="L14" s="167"/>
      <c r="M14" s="161"/>
      <c r="N14" s="17"/>
      <c r="O14" s="161"/>
      <c r="P14" s="17"/>
      <c r="Q14" s="17"/>
      <c r="R14" s="18">
        <f t="shared" si="0"/>
        <v>3.3191999999999999</v>
      </c>
      <c r="S14" s="160"/>
      <c r="U14"/>
      <c r="V14"/>
      <c r="W14" s="164"/>
    </row>
    <row r="15" spans="1:23" s="22" customFormat="1" ht="18" customHeight="1">
      <c r="A15" s="16" t="s">
        <v>30</v>
      </c>
      <c r="B15" s="16" t="s">
        <v>197</v>
      </c>
      <c r="C15" s="149">
        <v>8209020106</v>
      </c>
      <c r="D15" s="23" t="s">
        <v>208</v>
      </c>
      <c r="E15" s="16" t="s">
        <v>209</v>
      </c>
      <c r="F15" s="161"/>
      <c r="G15" s="161"/>
      <c r="H15" s="161"/>
      <c r="I15" s="161"/>
      <c r="J15" s="161"/>
      <c r="K15" s="161"/>
      <c r="L15" s="167"/>
      <c r="M15" s="161"/>
      <c r="N15" s="17"/>
      <c r="O15" s="161"/>
      <c r="P15" s="17"/>
      <c r="Q15" s="17"/>
      <c r="R15" s="18">
        <f t="shared" si="0"/>
        <v>0</v>
      </c>
      <c r="S15" s="160"/>
      <c r="U15"/>
      <c r="V15"/>
      <c r="W15" s="164"/>
    </row>
    <row r="16" spans="1:23" s="22" customFormat="1" ht="18" customHeight="1">
      <c r="A16" s="16" t="s">
        <v>30</v>
      </c>
      <c r="B16" s="16" t="s">
        <v>197</v>
      </c>
      <c r="C16" s="149">
        <v>8209020108</v>
      </c>
      <c r="D16" s="23" t="s">
        <v>212</v>
      </c>
      <c r="E16" s="16" t="s">
        <v>213</v>
      </c>
      <c r="F16" s="161"/>
      <c r="G16" s="161"/>
      <c r="H16" s="161"/>
      <c r="I16" s="161"/>
      <c r="J16" s="161"/>
      <c r="K16" s="161"/>
      <c r="L16" s="167"/>
      <c r="M16" s="161"/>
      <c r="N16" s="17"/>
      <c r="O16" s="161"/>
      <c r="P16" s="17"/>
      <c r="Q16" s="17"/>
      <c r="R16" s="18">
        <f t="shared" si="0"/>
        <v>0</v>
      </c>
      <c r="S16" s="160"/>
      <c r="U16"/>
      <c r="V16"/>
      <c r="W16" s="164"/>
    </row>
    <row r="17" spans="1:23" s="22" customFormat="1" ht="18" customHeight="1">
      <c r="A17" s="16" t="s">
        <v>30</v>
      </c>
      <c r="B17" s="16" t="s">
        <v>197</v>
      </c>
      <c r="C17" s="149">
        <v>8209020109</v>
      </c>
      <c r="D17" s="23" t="s">
        <v>214</v>
      </c>
      <c r="E17" s="16" t="s">
        <v>215</v>
      </c>
      <c r="F17" s="161"/>
      <c r="G17" s="161">
        <v>9.6155999999999991E-2</v>
      </c>
      <c r="H17" s="161"/>
      <c r="I17" s="161"/>
      <c r="J17" s="161"/>
      <c r="K17" s="161"/>
      <c r="L17" s="167"/>
      <c r="M17" s="161"/>
      <c r="N17" s="17"/>
      <c r="O17" s="161"/>
      <c r="P17" s="17"/>
      <c r="Q17" s="17"/>
      <c r="R17" s="18">
        <f t="shared" si="0"/>
        <v>9.6155999999999991E-2</v>
      </c>
      <c r="S17" s="160"/>
      <c r="U17"/>
      <c r="V17"/>
      <c r="W17" s="164"/>
    </row>
    <row r="18" spans="1:23" s="22" customFormat="1" ht="18" customHeight="1">
      <c r="A18" s="16" t="s">
        <v>30</v>
      </c>
      <c r="B18" s="16" t="s">
        <v>197</v>
      </c>
      <c r="C18" s="149">
        <v>8209020110</v>
      </c>
      <c r="D18" s="23" t="s">
        <v>216</v>
      </c>
      <c r="E18" s="16" t="s">
        <v>489</v>
      </c>
      <c r="F18" s="161"/>
      <c r="G18" s="161"/>
      <c r="H18" s="161"/>
      <c r="I18" s="161"/>
      <c r="J18" s="161"/>
      <c r="K18" s="161"/>
      <c r="L18" s="167"/>
      <c r="M18" s="161"/>
      <c r="N18" s="17"/>
      <c r="O18" s="161"/>
      <c r="P18" s="17"/>
      <c r="Q18" s="17"/>
      <c r="R18" s="18">
        <f t="shared" si="0"/>
        <v>0</v>
      </c>
      <c r="S18" s="160"/>
      <c r="U18"/>
      <c r="V18"/>
      <c r="W18" s="164"/>
    </row>
    <row r="19" spans="1:23" s="22" customFormat="1" ht="18" customHeight="1">
      <c r="A19" s="16" t="s">
        <v>30</v>
      </c>
      <c r="B19" s="16" t="s">
        <v>217</v>
      </c>
      <c r="C19" s="149">
        <v>8209030101</v>
      </c>
      <c r="D19" s="23" t="s">
        <v>218</v>
      </c>
      <c r="E19" s="16" t="s">
        <v>219</v>
      </c>
      <c r="F19" s="161"/>
      <c r="G19" s="161"/>
      <c r="H19" s="161"/>
      <c r="I19" s="161"/>
      <c r="J19" s="161"/>
      <c r="K19" s="161"/>
      <c r="L19" s="167"/>
      <c r="M19" s="161"/>
      <c r="N19" s="17"/>
      <c r="O19" s="161"/>
      <c r="P19" s="17"/>
      <c r="Q19" s="17"/>
      <c r="R19" s="18">
        <f t="shared" si="0"/>
        <v>0</v>
      </c>
      <c r="S19" s="160"/>
      <c r="U19"/>
      <c r="V19"/>
      <c r="W19" s="164"/>
    </row>
    <row r="20" spans="1:23" s="22" customFormat="1" ht="18" customHeight="1">
      <c r="A20" s="16" t="s">
        <v>15</v>
      </c>
      <c r="B20" s="16" t="s">
        <v>275</v>
      </c>
      <c r="C20" s="149">
        <v>8212010101</v>
      </c>
      <c r="D20" s="23" t="s">
        <v>276</v>
      </c>
      <c r="E20" s="16" t="s">
        <v>277</v>
      </c>
      <c r="F20" s="161">
        <v>5.6000000000000001E-2</v>
      </c>
      <c r="G20" s="161">
        <v>0.92022599999999999</v>
      </c>
      <c r="H20" s="161"/>
      <c r="I20" s="161"/>
      <c r="J20" s="161"/>
      <c r="K20" s="161"/>
      <c r="L20" s="167"/>
      <c r="M20" s="161"/>
      <c r="N20" s="17"/>
      <c r="O20" s="161"/>
      <c r="P20" s="17"/>
      <c r="Q20" s="17"/>
      <c r="R20" s="18">
        <f t="shared" si="0"/>
        <v>0.97622600000000004</v>
      </c>
      <c r="S20" s="160"/>
      <c r="W20" s="160"/>
    </row>
    <row r="21" spans="1:23" s="22" customFormat="1" ht="18" customHeight="1">
      <c r="A21" s="16" t="s">
        <v>15</v>
      </c>
      <c r="B21" s="16" t="s">
        <v>278</v>
      </c>
      <c r="C21" s="149">
        <v>8212020101</v>
      </c>
      <c r="D21" s="23" t="s">
        <v>279</v>
      </c>
      <c r="E21" s="16" t="s">
        <v>280</v>
      </c>
      <c r="F21" s="161">
        <v>6.9000000000000006E-2</v>
      </c>
      <c r="G21" s="161">
        <v>2.4E-2</v>
      </c>
      <c r="H21" s="161"/>
      <c r="I21" s="161"/>
      <c r="J21" s="161"/>
      <c r="K21" s="161"/>
      <c r="L21" s="167"/>
      <c r="M21" s="161"/>
      <c r="N21" s="17"/>
      <c r="O21" s="161"/>
      <c r="P21" s="17"/>
      <c r="Q21" s="17"/>
      <c r="R21" s="18">
        <f t="shared" si="0"/>
        <v>9.2999999999999999E-2</v>
      </c>
      <c r="S21" s="160"/>
      <c r="W21" s="160"/>
    </row>
    <row r="22" spans="1:23" s="22" customFormat="1" ht="18" customHeight="1">
      <c r="A22" s="16" t="s">
        <v>12</v>
      </c>
      <c r="B22" s="16" t="s">
        <v>281</v>
      </c>
      <c r="C22" s="149">
        <v>8213010101</v>
      </c>
      <c r="D22" s="23" t="s">
        <v>282</v>
      </c>
      <c r="E22" s="16" t="s">
        <v>283</v>
      </c>
      <c r="F22" s="161">
        <v>4.3607190000000005</v>
      </c>
      <c r="G22" s="161">
        <v>5.3101999999999996E-2</v>
      </c>
      <c r="H22" s="161"/>
      <c r="I22" s="161"/>
      <c r="J22" s="161"/>
      <c r="K22" s="161"/>
      <c r="L22" s="167"/>
      <c r="M22" s="161"/>
      <c r="N22" s="17"/>
      <c r="O22" s="161"/>
      <c r="P22" s="17"/>
      <c r="Q22" s="17"/>
      <c r="R22" s="18">
        <f t="shared" si="0"/>
        <v>4.4138210000000004</v>
      </c>
      <c r="S22" s="160"/>
      <c r="W22" s="160"/>
    </row>
    <row r="23" spans="1:23" s="22" customFormat="1" ht="18" customHeight="1">
      <c r="A23" s="16" t="s">
        <v>12</v>
      </c>
      <c r="B23" s="16" t="s">
        <v>284</v>
      </c>
      <c r="C23" s="149">
        <v>8213010102</v>
      </c>
      <c r="D23" s="23" t="s">
        <v>285</v>
      </c>
      <c r="E23" s="16" t="s">
        <v>286</v>
      </c>
      <c r="F23" s="161">
        <v>1.1569160000000001</v>
      </c>
      <c r="G23" s="161"/>
      <c r="H23" s="161"/>
      <c r="I23" s="161"/>
      <c r="J23" s="161"/>
      <c r="K23" s="161"/>
      <c r="L23" s="167"/>
      <c r="M23" s="161"/>
      <c r="N23" s="17"/>
      <c r="O23" s="161"/>
      <c r="P23" s="17"/>
      <c r="Q23" s="17"/>
      <c r="R23" s="18">
        <f t="shared" si="0"/>
        <v>1.1569160000000001</v>
      </c>
      <c r="S23" s="160"/>
      <c r="W23" s="160"/>
    </row>
    <row r="24" spans="1:23" s="22" customFormat="1" ht="18" customHeight="1">
      <c r="A24" s="16" t="s">
        <v>293</v>
      </c>
      <c r="B24" s="23" t="s">
        <v>293</v>
      </c>
      <c r="C24" s="149">
        <v>8015010101</v>
      </c>
      <c r="D24" s="25" t="s">
        <v>492</v>
      </c>
      <c r="E24" s="16" t="s">
        <v>294</v>
      </c>
      <c r="F24" s="161">
        <v>2.0220999999999999E-2</v>
      </c>
      <c r="G24" s="161">
        <v>2.0222E-2</v>
      </c>
      <c r="H24" s="161"/>
      <c r="I24" s="161"/>
      <c r="J24" s="161"/>
      <c r="K24" s="161"/>
      <c r="L24" s="167"/>
      <c r="M24" s="161"/>
      <c r="N24" s="17"/>
      <c r="O24" s="161"/>
      <c r="P24" s="17"/>
      <c r="Q24" s="17"/>
      <c r="R24" s="18">
        <f>SUM(F24:Q24)</f>
        <v>4.0443E-2</v>
      </c>
      <c r="S24" s="160"/>
      <c r="W24" s="160"/>
    </row>
    <row r="25" spans="1:23" s="22" customFormat="1" ht="18" customHeight="1">
      <c r="A25" s="16" t="s">
        <v>295</v>
      </c>
      <c r="B25" s="16" t="s">
        <v>305</v>
      </c>
      <c r="C25" s="149">
        <v>8015020104</v>
      </c>
      <c r="D25" s="23" t="s">
        <v>306</v>
      </c>
      <c r="E25" s="16" t="s">
        <v>307</v>
      </c>
      <c r="F25" s="161"/>
      <c r="G25" s="161"/>
      <c r="H25" s="161"/>
      <c r="I25" s="161"/>
      <c r="J25" s="161"/>
      <c r="K25" s="161"/>
      <c r="L25" s="167"/>
      <c r="M25" s="161"/>
      <c r="N25" s="17"/>
      <c r="O25" s="161"/>
      <c r="P25" s="17"/>
      <c r="Q25" s="17"/>
      <c r="R25" s="18">
        <f t="shared" si="0"/>
        <v>0</v>
      </c>
      <c r="S25" s="160"/>
      <c r="W25" s="160"/>
    </row>
    <row r="26" spans="1:23" s="22" customFormat="1" ht="18" customHeight="1">
      <c r="A26" s="16" t="s">
        <v>295</v>
      </c>
      <c r="B26" s="16" t="s">
        <v>308</v>
      </c>
      <c r="C26" s="149">
        <v>8015020105</v>
      </c>
      <c r="D26" s="23" t="s">
        <v>491</v>
      </c>
      <c r="E26" s="16" t="s">
        <v>310</v>
      </c>
      <c r="F26" s="161"/>
      <c r="G26" s="161"/>
      <c r="H26" s="161"/>
      <c r="I26" s="161"/>
      <c r="J26" s="161"/>
      <c r="K26" s="161"/>
      <c r="L26" s="167"/>
      <c r="M26" s="161"/>
      <c r="N26" s="17"/>
      <c r="O26" s="161"/>
      <c r="P26" s="17"/>
      <c r="Q26" s="17"/>
      <c r="R26" s="18">
        <f t="shared" si="0"/>
        <v>0</v>
      </c>
      <c r="S26" s="160"/>
      <c r="W26" s="160"/>
    </row>
    <row r="27" spans="1:23" s="22" customFormat="1" ht="18" customHeight="1">
      <c r="A27" s="16" t="s">
        <v>333</v>
      </c>
      <c r="B27" s="16" t="s">
        <v>363</v>
      </c>
      <c r="C27" s="149">
        <v>8214010101</v>
      </c>
      <c r="D27" s="23" t="s">
        <v>364</v>
      </c>
      <c r="E27" s="16" t="s">
        <v>365</v>
      </c>
      <c r="F27" s="161"/>
      <c r="G27" s="161"/>
      <c r="H27" s="161"/>
      <c r="I27" s="161"/>
      <c r="J27" s="161"/>
      <c r="K27" s="161"/>
      <c r="L27" s="167"/>
      <c r="M27" s="161"/>
      <c r="N27" s="17"/>
      <c r="O27" s="161"/>
      <c r="P27" s="17"/>
      <c r="Q27" s="17"/>
      <c r="R27" s="18">
        <f t="shared" si="0"/>
        <v>0</v>
      </c>
      <c r="S27" s="160"/>
      <c r="W27" s="160"/>
    </row>
    <row r="28" spans="1:23" s="22" customFormat="1" ht="18" customHeight="1">
      <c r="A28" s="16" t="s">
        <v>333</v>
      </c>
      <c r="B28" s="16" t="s">
        <v>366</v>
      </c>
      <c r="C28" s="149">
        <v>8214020101</v>
      </c>
      <c r="D28" s="23" t="s">
        <v>367</v>
      </c>
      <c r="E28" s="16" t="s">
        <v>368</v>
      </c>
      <c r="F28" s="161"/>
      <c r="G28" s="161"/>
      <c r="H28" s="161"/>
      <c r="I28" s="161"/>
      <c r="J28" s="161"/>
      <c r="K28" s="161"/>
      <c r="L28" s="167"/>
      <c r="M28" s="161"/>
      <c r="N28" s="17"/>
      <c r="O28" s="161"/>
      <c r="P28" s="17"/>
      <c r="Q28" s="17"/>
      <c r="R28" s="18">
        <f t="shared" si="0"/>
        <v>0</v>
      </c>
      <c r="S28" s="160"/>
      <c r="W28" s="160"/>
    </row>
    <row r="29" spans="1:23" s="22" customFormat="1" ht="18" customHeight="1">
      <c r="A29" s="16" t="s">
        <v>333</v>
      </c>
      <c r="B29" s="16" t="s">
        <v>366</v>
      </c>
      <c r="C29" s="149">
        <v>8214020102</v>
      </c>
      <c r="D29" s="23" t="s">
        <v>369</v>
      </c>
      <c r="E29" s="16" t="s">
        <v>370</v>
      </c>
      <c r="F29" s="161">
        <v>0.46347100000000002</v>
      </c>
      <c r="G29" s="161">
        <v>0.44332000000000005</v>
      </c>
      <c r="H29" s="161"/>
      <c r="I29" s="161"/>
      <c r="J29" s="161"/>
      <c r="K29" s="161"/>
      <c r="L29" s="167"/>
      <c r="M29" s="161"/>
      <c r="N29" s="17"/>
      <c r="O29" s="161"/>
      <c r="P29" s="17"/>
      <c r="Q29" s="17"/>
      <c r="R29" s="18">
        <f t="shared" si="0"/>
        <v>0.90679100000000012</v>
      </c>
      <c r="S29" s="160"/>
      <c r="W29" s="160"/>
    </row>
    <row r="30" spans="1:23" s="22" customFormat="1" ht="18" customHeight="1">
      <c r="A30" s="16" t="s">
        <v>333</v>
      </c>
      <c r="B30" s="16" t="s">
        <v>366</v>
      </c>
      <c r="C30" s="149">
        <v>8214020103</v>
      </c>
      <c r="D30" s="23" t="s">
        <v>371</v>
      </c>
      <c r="E30" s="16" t="s">
        <v>372</v>
      </c>
      <c r="F30" s="161">
        <v>5.0000000000000001E-3</v>
      </c>
      <c r="G30" s="161"/>
      <c r="H30" s="161"/>
      <c r="I30" s="161"/>
      <c r="J30" s="161"/>
      <c r="K30" s="161"/>
      <c r="L30" s="167"/>
      <c r="M30" s="161"/>
      <c r="N30" s="17"/>
      <c r="O30" s="161"/>
      <c r="P30" s="17"/>
      <c r="Q30" s="17"/>
      <c r="R30" s="18">
        <f t="shared" si="0"/>
        <v>5.0000000000000001E-3</v>
      </c>
      <c r="S30" s="160"/>
      <c r="W30" s="160"/>
    </row>
    <row r="31" spans="1:23" s="22" customFormat="1" ht="18" customHeight="1">
      <c r="A31" s="16" t="s">
        <v>333</v>
      </c>
      <c r="B31" s="16" t="s">
        <v>366</v>
      </c>
      <c r="C31" s="149">
        <v>8214020104</v>
      </c>
      <c r="D31" s="23" t="s">
        <v>373</v>
      </c>
      <c r="E31" s="16" t="s">
        <v>374</v>
      </c>
      <c r="F31" s="161">
        <v>2.5460000000000003E-2</v>
      </c>
      <c r="G31" s="161"/>
      <c r="H31" s="161"/>
      <c r="I31" s="161"/>
      <c r="J31" s="161"/>
      <c r="K31" s="161"/>
      <c r="L31" s="167"/>
      <c r="M31" s="161"/>
      <c r="N31" s="17"/>
      <c r="O31" s="161"/>
      <c r="P31" s="17"/>
      <c r="Q31" s="17"/>
      <c r="R31" s="18">
        <f t="shared" si="0"/>
        <v>2.5460000000000003E-2</v>
      </c>
      <c r="S31" s="160"/>
      <c r="W31" s="160"/>
    </row>
    <row r="32" spans="1:23" s="22" customFormat="1" ht="18" customHeight="1">
      <c r="A32" s="16" t="s">
        <v>333</v>
      </c>
      <c r="B32" s="16" t="s">
        <v>366</v>
      </c>
      <c r="C32" s="149">
        <v>8214020106</v>
      </c>
      <c r="D32" s="23" t="s">
        <v>377</v>
      </c>
      <c r="E32" s="16" t="s">
        <v>378</v>
      </c>
      <c r="F32" s="161"/>
      <c r="G32" s="161"/>
      <c r="H32" s="161"/>
      <c r="I32" s="161"/>
      <c r="J32" s="161"/>
      <c r="K32" s="161"/>
      <c r="L32" s="167"/>
      <c r="M32" s="161"/>
      <c r="N32" s="17"/>
      <c r="O32" s="161"/>
      <c r="P32" s="17"/>
      <c r="Q32" s="17"/>
      <c r="R32" s="18">
        <f t="shared" si="0"/>
        <v>0</v>
      </c>
      <c r="S32" s="160"/>
      <c r="W32" s="160"/>
    </row>
    <row r="33" spans="1:23" s="22" customFormat="1" ht="18" customHeight="1">
      <c r="A33" s="16" t="s">
        <v>333</v>
      </c>
      <c r="B33" s="16" t="s">
        <v>366</v>
      </c>
      <c r="C33" s="149">
        <v>8214060101</v>
      </c>
      <c r="D33" s="23" t="s">
        <v>410</v>
      </c>
      <c r="E33" s="16"/>
      <c r="F33" s="161"/>
      <c r="G33" s="161"/>
      <c r="H33" s="161"/>
      <c r="I33" s="161"/>
      <c r="J33" s="161"/>
      <c r="K33" s="161"/>
      <c r="L33" s="167"/>
      <c r="M33" s="161"/>
      <c r="N33" s="17"/>
      <c r="O33" s="161"/>
      <c r="P33" s="17"/>
      <c r="Q33" s="17"/>
      <c r="R33" s="18">
        <f t="shared" si="0"/>
        <v>0</v>
      </c>
      <c r="S33" s="160"/>
      <c r="W33" s="160"/>
    </row>
    <row r="34" spans="1:23" s="22" customFormat="1" ht="18" customHeight="1">
      <c r="A34" s="16" t="s">
        <v>333</v>
      </c>
      <c r="B34" s="16" t="s">
        <v>366</v>
      </c>
      <c r="C34" s="149">
        <v>8214060102</v>
      </c>
      <c r="D34" s="23" t="s">
        <v>412</v>
      </c>
      <c r="E34" s="16"/>
      <c r="F34" s="161"/>
      <c r="G34" s="161"/>
      <c r="H34" s="161"/>
      <c r="I34" s="161"/>
      <c r="J34" s="161"/>
      <c r="K34" s="161"/>
      <c r="L34" s="167"/>
      <c r="M34" s="161"/>
      <c r="N34" s="17"/>
      <c r="O34" s="161"/>
      <c r="P34" s="17"/>
      <c r="Q34" s="17"/>
      <c r="R34" s="18">
        <f t="shared" si="0"/>
        <v>0</v>
      </c>
      <c r="S34" s="160"/>
      <c r="W34" s="160"/>
    </row>
    <row r="35" spans="1:23" s="22" customFormat="1" ht="18" customHeight="1">
      <c r="A35" s="16" t="s">
        <v>333</v>
      </c>
      <c r="B35" s="16" t="s">
        <v>391</v>
      </c>
      <c r="C35" s="149">
        <v>8214030101</v>
      </c>
      <c r="D35" s="23" t="s">
        <v>392</v>
      </c>
      <c r="E35" s="16" t="s">
        <v>393</v>
      </c>
      <c r="F35" s="161">
        <v>16.175245999999998</v>
      </c>
      <c r="G35" s="161">
        <v>16.015608</v>
      </c>
      <c r="H35" s="161"/>
      <c r="I35" s="161"/>
      <c r="J35" s="161"/>
      <c r="K35" s="161"/>
      <c r="L35" s="167"/>
      <c r="M35" s="161"/>
      <c r="N35" s="17"/>
      <c r="O35" s="161"/>
      <c r="P35" s="17"/>
      <c r="Q35" s="17"/>
      <c r="R35" s="18">
        <f t="shared" si="0"/>
        <v>32.190854000000002</v>
      </c>
      <c r="S35" s="160"/>
      <c r="W35" s="160"/>
    </row>
    <row r="36" spans="1:23" s="27" customFormat="1" ht="18" customHeight="1">
      <c r="A36" s="16" t="s">
        <v>333</v>
      </c>
      <c r="B36" s="16" t="s">
        <v>397</v>
      </c>
      <c r="C36" s="149">
        <v>8214040101</v>
      </c>
      <c r="D36" s="23" t="s">
        <v>398</v>
      </c>
      <c r="E36" s="16" t="s">
        <v>490</v>
      </c>
      <c r="F36" s="161">
        <v>0.25014000000000003</v>
      </c>
      <c r="G36" s="161">
        <v>0.2</v>
      </c>
      <c r="H36" s="161"/>
      <c r="I36" s="161"/>
      <c r="J36" s="161"/>
      <c r="K36" s="161"/>
      <c r="L36" s="167"/>
      <c r="M36" s="161"/>
      <c r="N36" s="17"/>
      <c r="O36" s="161"/>
      <c r="P36" s="17"/>
      <c r="Q36" s="17"/>
      <c r="R36" s="18">
        <f t="shared" si="0"/>
        <v>0.45014000000000004</v>
      </c>
      <c r="W36" s="165"/>
    </row>
    <row r="37" spans="1:23" ht="15">
      <c r="A37" s="26"/>
      <c r="B37" s="26"/>
      <c r="C37" s="204" t="s">
        <v>479</v>
      </c>
      <c r="D37" s="205"/>
      <c r="E37" s="24"/>
      <c r="F37" s="11">
        <f t="shared" ref="F37:R37" si="1">SUM(F2:F36)</f>
        <v>116.822577</v>
      </c>
      <c r="G37" s="11">
        <f t="shared" si="1"/>
        <v>80.684702000000001</v>
      </c>
      <c r="H37" s="11">
        <f t="shared" si="1"/>
        <v>0</v>
      </c>
      <c r="I37" s="11">
        <f t="shared" si="1"/>
        <v>0</v>
      </c>
      <c r="J37" s="11">
        <f t="shared" si="1"/>
        <v>0</v>
      </c>
      <c r="K37" s="11">
        <f t="shared" si="1"/>
        <v>0</v>
      </c>
      <c r="L37" s="11">
        <f t="shared" si="1"/>
        <v>0</v>
      </c>
      <c r="M37" s="11">
        <f t="shared" si="1"/>
        <v>0</v>
      </c>
      <c r="N37" s="11">
        <f t="shared" si="1"/>
        <v>0</v>
      </c>
      <c r="O37" s="11">
        <f t="shared" si="1"/>
        <v>0</v>
      </c>
      <c r="P37" s="11">
        <f t="shared" si="1"/>
        <v>0</v>
      </c>
      <c r="Q37" s="11">
        <f t="shared" si="1"/>
        <v>0</v>
      </c>
      <c r="R37" s="11">
        <f t="shared" si="1"/>
        <v>197.50727900000001</v>
      </c>
    </row>
    <row r="39" spans="1:23" ht="14.25">
      <c r="A39" s="168"/>
      <c r="G39" s="164"/>
      <c r="N39" s="164"/>
      <c r="P39" s="162"/>
      <c r="Q39" s="164"/>
      <c r="R39" s="164">
        <f>R37-'植物智慧21年利润表（实际）'!N10</f>
        <v>0</v>
      </c>
    </row>
    <row r="40" spans="1:23">
      <c r="F40" s="164"/>
      <c r="G40" s="164"/>
      <c r="H40" s="164"/>
      <c r="I40" s="164"/>
      <c r="J40" s="164"/>
      <c r="K40" s="164"/>
      <c r="M40" s="164"/>
      <c r="N40" s="162"/>
      <c r="R40" s="164"/>
    </row>
    <row r="41" spans="1:23">
      <c r="K41" s="162"/>
      <c r="L41" s="162"/>
      <c r="M41" s="164"/>
    </row>
  </sheetData>
  <autoFilter ref="A1:R37"/>
  <mergeCells count="1">
    <mergeCell ref="C37:D37"/>
  </mergeCells>
  <phoneticPr fontId="2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workbookViewId="0">
      <pane ySplit="1" topLeftCell="A149" activePane="bottomLeft" state="frozen"/>
      <selection activeCell="K13" sqref="K13"/>
      <selection pane="bottomLeft" activeCell="G2" sqref="G2:G157"/>
    </sheetView>
  </sheetViews>
  <sheetFormatPr defaultColWidth="9" defaultRowHeight="14.25" outlineLevelCol="1"/>
  <cols>
    <col min="1" max="1" width="14.25" style="12" customWidth="1"/>
    <col min="2" max="2" width="12" style="12" customWidth="1"/>
    <col min="3" max="3" width="11.625" style="12" customWidth="1"/>
    <col min="4" max="4" width="35.5" style="12" customWidth="1"/>
    <col min="5" max="5" width="8.375" style="12" hidden="1" customWidth="1" outlineLevel="1"/>
    <col min="6" max="6" width="8.875" style="12" customWidth="1" collapsed="1"/>
    <col min="7" max="11" width="9" style="12" customWidth="1"/>
    <col min="12" max="12" width="10.625" style="12" bestFit="1" customWidth="1"/>
    <col min="13" max="14" width="9" style="12" customWidth="1"/>
    <col min="15" max="15" width="9" style="166" customWidth="1"/>
    <col min="16" max="16" width="9" style="12" customWidth="1"/>
    <col min="17" max="17" width="10.625" style="12" bestFit="1" customWidth="1"/>
    <col min="18" max="16384" width="9" style="12"/>
  </cols>
  <sheetData>
    <row r="1" spans="1:18" s="13" customFormat="1" ht="18" customHeight="1">
      <c r="A1" s="10" t="s">
        <v>441</v>
      </c>
      <c r="B1" s="10" t="s">
        <v>442</v>
      </c>
      <c r="C1" s="10" t="s">
        <v>443</v>
      </c>
      <c r="D1" s="10" t="s">
        <v>444</v>
      </c>
      <c r="E1" s="20" t="s">
        <v>484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73</v>
      </c>
      <c r="L1" s="10" t="s">
        <v>74</v>
      </c>
      <c r="M1" s="10" t="s">
        <v>75</v>
      </c>
      <c r="N1" s="10" t="s">
        <v>76</v>
      </c>
      <c r="O1" s="188" t="s">
        <v>77</v>
      </c>
      <c r="P1" s="10" t="s">
        <v>78</v>
      </c>
      <c r="Q1" s="10" t="s">
        <v>79</v>
      </c>
      <c r="R1" s="10" t="s">
        <v>511</v>
      </c>
    </row>
    <row r="2" spans="1:18">
      <c r="A2" s="8" t="s">
        <v>14</v>
      </c>
      <c r="B2" s="8" t="s">
        <v>80</v>
      </c>
      <c r="C2" s="8">
        <v>8001010101</v>
      </c>
      <c r="D2" s="8" t="s">
        <v>81</v>
      </c>
      <c r="E2" s="8" t="s">
        <v>82</v>
      </c>
      <c r="F2" s="9"/>
      <c r="G2" s="9"/>
      <c r="H2" s="9"/>
      <c r="I2" s="9"/>
      <c r="J2" s="9"/>
      <c r="K2" s="9"/>
      <c r="L2" s="9"/>
      <c r="M2" s="9"/>
      <c r="N2" s="9"/>
      <c r="O2" s="189"/>
      <c r="P2" s="9"/>
      <c r="Q2" s="9"/>
      <c r="R2" s="9">
        <f>SUM(F2:Q2)</f>
        <v>0</v>
      </c>
    </row>
    <row r="3" spans="1:18">
      <c r="A3" s="8" t="s">
        <v>14</v>
      </c>
      <c r="B3" s="8" t="s">
        <v>80</v>
      </c>
      <c r="C3" s="8">
        <v>8001010102</v>
      </c>
      <c r="D3" s="8" t="s">
        <v>83</v>
      </c>
      <c r="E3" s="8" t="s">
        <v>84</v>
      </c>
      <c r="F3" s="9"/>
      <c r="G3" s="9"/>
      <c r="H3" s="9"/>
      <c r="I3" s="9"/>
      <c r="J3" s="9"/>
      <c r="K3" s="9"/>
      <c r="L3" s="9"/>
      <c r="M3" s="9"/>
      <c r="N3" s="9"/>
      <c r="O3" s="189"/>
      <c r="P3" s="9"/>
      <c r="Q3" s="9"/>
      <c r="R3" s="9">
        <f t="shared" ref="R3:R66" si="0">SUM(F3:Q3)</f>
        <v>0</v>
      </c>
    </row>
    <row r="4" spans="1:18">
      <c r="A4" s="8" t="s">
        <v>14</v>
      </c>
      <c r="B4" s="8" t="s">
        <v>80</v>
      </c>
      <c r="C4" s="8">
        <v>8001010106</v>
      </c>
      <c r="D4" s="8" t="s">
        <v>85</v>
      </c>
      <c r="E4" s="8" t="s">
        <v>86</v>
      </c>
      <c r="F4" s="9"/>
      <c r="G4" s="9"/>
      <c r="H4" s="9"/>
      <c r="I4" s="9"/>
      <c r="J4" s="9"/>
      <c r="K4" s="9"/>
      <c r="L4" s="9"/>
      <c r="M4" s="9"/>
      <c r="N4" s="9"/>
      <c r="O4" s="189"/>
      <c r="P4" s="9"/>
      <c r="Q4" s="9"/>
      <c r="R4" s="9">
        <f t="shared" si="0"/>
        <v>0</v>
      </c>
    </row>
    <row r="5" spans="1:18">
      <c r="A5" s="8" t="s">
        <v>14</v>
      </c>
      <c r="B5" s="8" t="s">
        <v>80</v>
      </c>
      <c r="C5" s="8">
        <v>8001010107</v>
      </c>
      <c r="D5" s="8" t="s">
        <v>87</v>
      </c>
      <c r="E5" s="8" t="s">
        <v>445</v>
      </c>
      <c r="F5" s="9"/>
      <c r="G5" s="9"/>
      <c r="H5" s="9"/>
      <c r="I5" s="9"/>
      <c r="J5" s="9"/>
      <c r="K5" s="9"/>
      <c r="L5" s="9"/>
      <c r="M5" s="9"/>
      <c r="N5" s="9"/>
      <c r="O5" s="189"/>
      <c r="P5" s="9"/>
      <c r="Q5" s="9"/>
      <c r="R5" s="9">
        <f t="shared" si="0"/>
        <v>0</v>
      </c>
    </row>
    <row r="6" spans="1:18">
      <c r="A6" s="8" t="s">
        <v>14</v>
      </c>
      <c r="B6" s="8" t="s">
        <v>88</v>
      </c>
      <c r="C6" s="8">
        <v>8001020103</v>
      </c>
      <c r="D6" s="8" t="s">
        <v>446</v>
      </c>
      <c r="E6" s="8" t="s">
        <v>89</v>
      </c>
      <c r="F6" s="9"/>
      <c r="G6" s="9"/>
      <c r="H6" s="9"/>
      <c r="I6" s="9"/>
      <c r="J6" s="9"/>
      <c r="K6" s="9"/>
      <c r="L6" s="9"/>
      <c r="M6" s="9"/>
      <c r="N6" s="9"/>
      <c r="O6" s="189"/>
      <c r="P6" s="9"/>
      <c r="Q6" s="9"/>
      <c r="R6" s="9">
        <f t="shared" si="0"/>
        <v>0</v>
      </c>
    </row>
    <row r="7" spans="1:18">
      <c r="A7" s="8" t="s">
        <v>14</v>
      </c>
      <c r="B7" s="8" t="s">
        <v>90</v>
      </c>
      <c r="C7" s="8">
        <v>8001030101</v>
      </c>
      <c r="D7" s="8" t="s">
        <v>91</v>
      </c>
      <c r="E7" s="8" t="s">
        <v>447</v>
      </c>
      <c r="F7" s="9"/>
      <c r="G7" s="9"/>
      <c r="H7" s="9"/>
      <c r="I7" s="9"/>
      <c r="J7" s="9"/>
      <c r="K7" s="9"/>
      <c r="L7" s="9"/>
      <c r="M7" s="9"/>
      <c r="N7" s="9"/>
      <c r="O7" s="189"/>
      <c r="P7" s="9"/>
      <c r="Q7" s="9"/>
      <c r="R7" s="9">
        <f t="shared" si="0"/>
        <v>0</v>
      </c>
    </row>
    <row r="8" spans="1:18">
      <c r="A8" s="8" t="s">
        <v>14</v>
      </c>
      <c r="B8" s="8" t="s">
        <v>90</v>
      </c>
      <c r="C8" s="8">
        <v>8001030108</v>
      </c>
      <c r="D8" s="8" t="s">
        <v>92</v>
      </c>
      <c r="E8" s="8" t="s">
        <v>448</v>
      </c>
      <c r="F8" s="9"/>
      <c r="G8" s="9"/>
      <c r="H8" s="9"/>
      <c r="I8" s="9"/>
      <c r="J8" s="9"/>
      <c r="K8" s="9"/>
      <c r="L8" s="9"/>
      <c r="M8" s="9"/>
      <c r="N8" s="9"/>
      <c r="O8" s="189"/>
      <c r="P8" s="9"/>
      <c r="Q8" s="9"/>
      <c r="R8" s="9">
        <f t="shared" si="0"/>
        <v>0</v>
      </c>
    </row>
    <row r="9" spans="1:18">
      <c r="A9" s="8" t="s">
        <v>14</v>
      </c>
      <c r="B9" s="8" t="s">
        <v>93</v>
      </c>
      <c r="C9" s="8">
        <v>8001120101</v>
      </c>
      <c r="D9" s="8" t="s">
        <v>94</v>
      </c>
      <c r="E9" s="8" t="s">
        <v>449</v>
      </c>
      <c r="F9" s="9"/>
      <c r="G9" s="9">
        <v>0.61881200000000003</v>
      </c>
      <c r="H9" s="9"/>
      <c r="I9" s="9"/>
      <c r="J9" s="9"/>
      <c r="K9" s="9"/>
      <c r="L9" s="9"/>
      <c r="M9" s="9"/>
      <c r="N9" s="9"/>
      <c r="O9" s="189"/>
      <c r="P9" s="9"/>
      <c r="Q9" s="9"/>
      <c r="R9" s="9">
        <f t="shared" si="0"/>
        <v>0.61881200000000003</v>
      </c>
    </row>
    <row r="10" spans="1:18">
      <c r="A10" s="8" t="s">
        <v>14</v>
      </c>
      <c r="B10" s="8" t="s">
        <v>95</v>
      </c>
      <c r="C10" s="8">
        <v>8001040113</v>
      </c>
      <c r="D10" s="8" t="s">
        <v>96</v>
      </c>
      <c r="E10" s="8" t="s">
        <v>450</v>
      </c>
      <c r="F10" s="9"/>
      <c r="G10" s="9"/>
      <c r="H10" s="9"/>
      <c r="I10" s="9"/>
      <c r="J10" s="9"/>
      <c r="K10" s="9"/>
      <c r="L10" s="9"/>
      <c r="M10" s="9"/>
      <c r="N10" s="9"/>
      <c r="O10" s="189"/>
      <c r="P10" s="9"/>
      <c r="Q10" s="9"/>
      <c r="R10" s="9">
        <f t="shared" si="0"/>
        <v>0</v>
      </c>
    </row>
    <row r="11" spans="1:18">
      <c r="A11" s="8" t="s">
        <v>14</v>
      </c>
      <c r="B11" s="8" t="s">
        <v>95</v>
      </c>
      <c r="C11" s="8">
        <v>8001040114</v>
      </c>
      <c r="D11" s="8" t="s">
        <v>97</v>
      </c>
      <c r="E11" s="8" t="s">
        <v>451</v>
      </c>
      <c r="F11" s="9"/>
      <c r="G11" s="9"/>
      <c r="H11" s="9"/>
      <c r="I11" s="9"/>
      <c r="J11" s="9"/>
      <c r="K11" s="9"/>
      <c r="L11" s="9"/>
      <c r="M11" s="9"/>
      <c r="N11" s="9"/>
      <c r="O11" s="189"/>
      <c r="P11" s="9"/>
      <c r="Q11" s="9"/>
      <c r="R11" s="9">
        <f t="shared" si="0"/>
        <v>0</v>
      </c>
    </row>
    <row r="12" spans="1:18">
      <c r="A12" s="8" t="s">
        <v>14</v>
      </c>
      <c r="B12" s="8" t="s">
        <v>95</v>
      </c>
      <c r="C12" s="8">
        <v>8001040115</v>
      </c>
      <c r="D12" s="8" t="s">
        <v>98</v>
      </c>
      <c r="E12" s="8" t="s">
        <v>452</v>
      </c>
      <c r="F12" s="9"/>
      <c r="G12" s="9"/>
      <c r="H12" s="9"/>
      <c r="I12" s="9"/>
      <c r="J12" s="9"/>
      <c r="K12" s="9"/>
      <c r="L12" s="9"/>
      <c r="M12" s="9"/>
      <c r="N12" s="9"/>
      <c r="O12" s="189"/>
      <c r="P12" s="9"/>
      <c r="Q12" s="9"/>
      <c r="R12" s="9">
        <f t="shared" si="0"/>
        <v>0</v>
      </c>
    </row>
    <row r="13" spans="1:18">
      <c r="A13" s="8" t="s">
        <v>14</v>
      </c>
      <c r="B13" s="8" t="s">
        <v>99</v>
      </c>
      <c r="C13" s="8">
        <v>8001070104</v>
      </c>
      <c r="D13" s="8" t="s">
        <v>100</v>
      </c>
      <c r="E13" s="8" t="s">
        <v>453</v>
      </c>
      <c r="F13" s="9"/>
      <c r="G13" s="9"/>
      <c r="H13" s="9"/>
      <c r="I13" s="9"/>
      <c r="J13" s="9"/>
      <c r="K13" s="9"/>
      <c r="L13" s="9"/>
      <c r="M13" s="9"/>
      <c r="N13" s="9"/>
      <c r="O13" s="189"/>
      <c r="P13" s="9"/>
      <c r="Q13" s="9"/>
      <c r="R13" s="9">
        <f t="shared" si="0"/>
        <v>0</v>
      </c>
    </row>
    <row r="14" spans="1:18">
      <c r="A14" s="8" t="s">
        <v>14</v>
      </c>
      <c r="B14" s="8" t="s">
        <v>95</v>
      </c>
      <c r="C14" s="8">
        <v>8001040109</v>
      </c>
      <c r="D14" s="8" t="s">
        <v>101</v>
      </c>
      <c r="E14" s="8" t="s">
        <v>102</v>
      </c>
      <c r="F14" s="9"/>
      <c r="G14" s="9"/>
      <c r="H14" s="9"/>
      <c r="I14" s="9"/>
      <c r="J14" s="9"/>
      <c r="K14" s="9"/>
      <c r="L14" s="9"/>
      <c r="M14" s="9"/>
      <c r="N14" s="9"/>
      <c r="O14" s="189"/>
      <c r="P14" s="9"/>
      <c r="Q14" s="9"/>
      <c r="R14" s="9">
        <f t="shared" si="0"/>
        <v>0</v>
      </c>
    </row>
    <row r="15" spans="1:18">
      <c r="A15" s="8" t="s">
        <v>14</v>
      </c>
      <c r="B15" s="8" t="s">
        <v>99</v>
      </c>
      <c r="C15" s="8">
        <v>8001070106</v>
      </c>
      <c r="D15" s="8" t="s">
        <v>103</v>
      </c>
      <c r="E15" s="8" t="s">
        <v>454</v>
      </c>
      <c r="F15" s="9"/>
      <c r="G15" s="9"/>
      <c r="H15" s="9"/>
      <c r="I15" s="9"/>
      <c r="J15" s="9"/>
      <c r="K15" s="9"/>
      <c r="L15" s="9"/>
      <c r="M15" s="9"/>
      <c r="N15" s="9"/>
      <c r="O15" s="189"/>
      <c r="P15" s="9"/>
      <c r="Q15" s="9"/>
      <c r="R15" s="9">
        <f t="shared" si="0"/>
        <v>0</v>
      </c>
    </row>
    <row r="16" spans="1:18">
      <c r="A16" s="8" t="s">
        <v>14</v>
      </c>
      <c r="B16" s="8" t="s">
        <v>104</v>
      </c>
      <c r="C16" s="8">
        <v>8001050101</v>
      </c>
      <c r="D16" s="8" t="s">
        <v>105</v>
      </c>
      <c r="E16" s="8" t="s">
        <v>455</v>
      </c>
      <c r="F16" s="9"/>
      <c r="G16" s="9"/>
      <c r="H16" s="9"/>
      <c r="I16" s="9"/>
      <c r="J16" s="9"/>
      <c r="K16" s="9"/>
      <c r="L16" s="9"/>
      <c r="M16" s="9"/>
      <c r="N16" s="9"/>
      <c r="O16" s="189"/>
      <c r="P16" s="9"/>
      <c r="Q16" s="9"/>
      <c r="R16" s="9">
        <f t="shared" si="0"/>
        <v>0</v>
      </c>
    </row>
    <row r="17" spans="1:18">
      <c r="A17" s="8" t="s">
        <v>14</v>
      </c>
      <c r="B17" s="8" t="s">
        <v>99</v>
      </c>
      <c r="C17" s="8">
        <v>8001070101</v>
      </c>
      <c r="D17" s="8" t="s">
        <v>106</v>
      </c>
      <c r="E17" s="8" t="s">
        <v>456</v>
      </c>
      <c r="F17" s="9"/>
      <c r="G17" s="9"/>
      <c r="H17" s="9"/>
      <c r="I17" s="9"/>
      <c r="J17" s="9"/>
      <c r="K17" s="9"/>
      <c r="L17" s="9"/>
      <c r="M17" s="9"/>
      <c r="N17" s="9"/>
      <c r="O17" s="189"/>
      <c r="P17" s="9"/>
      <c r="Q17" s="9"/>
      <c r="R17" s="9">
        <f t="shared" si="0"/>
        <v>0</v>
      </c>
    </row>
    <row r="18" spans="1:18">
      <c r="A18" s="8" t="s">
        <v>14</v>
      </c>
      <c r="B18" s="8" t="s">
        <v>107</v>
      </c>
      <c r="C18" s="8">
        <v>8001080101</v>
      </c>
      <c r="D18" s="8" t="s">
        <v>108</v>
      </c>
      <c r="E18" s="8" t="s">
        <v>457</v>
      </c>
      <c r="F18" s="9"/>
      <c r="G18" s="9"/>
      <c r="H18" s="9"/>
      <c r="I18" s="9"/>
      <c r="J18" s="9"/>
      <c r="K18" s="9"/>
      <c r="L18" s="9"/>
      <c r="M18" s="9"/>
      <c r="N18" s="9"/>
      <c r="O18" s="189"/>
      <c r="P18" s="9"/>
      <c r="Q18" s="9"/>
      <c r="R18" s="9">
        <f t="shared" si="0"/>
        <v>0</v>
      </c>
    </row>
    <row r="19" spans="1:18" ht="18" customHeight="1">
      <c r="A19" s="8" t="s">
        <v>14</v>
      </c>
      <c r="B19" s="8" t="s">
        <v>109</v>
      </c>
      <c r="C19" s="150">
        <v>8001110101</v>
      </c>
      <c r="D19" s="8" t="s">
        <v>458</v>
      </c>
      <c r="E19" s="8" t="s">
        <v>459</v>
      </c>
      <c r="F19" s="9"/>
      <c r="G19" s="9"/>
      <c r="H19" s="9"/>
      <c r="I19" s="9"/>
      <c r="J19" s="9"/>
      <c r="K19" s="9"/>
      <c r="L19" s="9"/>
      <c r="M19" s="9"/>
      <c r="N19" s="9"/>
      <c r="O19" s="189"/>
      <c r="P19" s="9"/>
      <c r="Q19" s="9"/>
      <c r="R19" s="11">
        <f t="shared" si="0"/>
        <v>0</v>
      </c>
    </row>
    <row r="20" spans="1:18">
      <c r="A20" s="8" t="s">
        <v>14</v>
      </c>
      <c r="B20" s="8" t="s">
        <v>109</v>
      </c>
      <c r="C20" s="8">
        <v>8006010101</v>
      </c>
      <c r="D20" s="8" t="s">
        <v>110</v>
      </c>
      <c r="E20" s="8"/>
      <c r="F20" s="9"/>
      <c r="G20" s="9"/>
      <c r="H20" s="9"/>
      <c r="I20" s="9"/>
      <c r="J20" s="9"/>
      <c r="K20" s="9"/>
      <c r="L20" s="9"/>
      <c r="M20" s="9"/>
      <c r="N20" s="9"/>
      <c r="O20" s="189"/>
      <c r="P20" s="9"/>
      <c r="Q20" s="9"/>
      <c r="R20" s="9">
        <f t="shared" si="0"/>
        <v>0</v>
      </c>
    </row>
    <row r="21" spans="1:18">
      <c r="A21" s="8" t="s">
        <v>14</v>
      </c>
      <c r="B21" s="8" t="s">
        <v>109</v>
      </c>
      <c r="C21" s="8">
        <v>8006010102</v>
      </c>
      <c r="D21" s="8" t="s">
        <v>111</v>
      </c>
      <c r="E21" s="8" t="s">
        <v>460</v>
      </c>
      <c r="F21" s="9"/>
      <c r="G21" s="9"/>
      <c r="H21" s="9"/>
      <c r="I21" s="9"/>
      <c r="J21" s="9"/>
      <c r="K21" s="9"/>
      <c r="L21" s="9"/>
      <c r="M21" s="9"/>
      <c r="N21" s="9"/>
      <c r="O21" s="189"/>
      <c r="P21" s="9"/>
      <c r="Q21" s="9"/>
      <c r="R21" s="9">
        <f t="shared" si="0"/>
        <v>0</v>
      </c>
    </row>
    <row r="22" spans="1:18">
      <c r="A22" s="8" t="s">
        <v>14</v>
      </c>
      <c r="B22" s="8" t="s">
        <v>93</v>
      </c>
      <c r="C22" s="8">
        <v>8001120102</v>
      </c>
      <c r="D22" s="8" t="s">
        <v>112</v>
      </c>
      <c r="E22" s="8" t="s">
        <v>113</v>
      </c>
      <c r="F22" s="9">
        <v>4.9189999999999998E-3</v>
      </c>
      <c r="G22" s="9">
        <v>0</v>
      </c>
      <c r="H22" s="9"/>
      <c r="I22" s="9"/>
      <c r="J22" s="9"/>
      <c r="K22" s="9"/>
      <c r="L22" s="9"/>
      <c r="M22" s="9"/>
      <c r="N22" s="9"/>
      <c r="O22" s="189"/>
      <c r="P22" s="9"/>
      <c r="Q22" s="9"/>
      <c r="R22" s="9">
        <f t="shared" si="0"/>
        <v>4.9189999999999998E-3</v>
      </c>
    </row>
    <row r="23" spans="1:18">
      <c r="A23" s="8" t="s">
        <v>24</v>
      </c>
      <c r="B23" s="8" t="s">
        <v>114</v>
      </c>
      <c r="C23" s="8">
        <v>8002010101</v>
      </c>
      <c r="D23" s="8" t="s">
        <v>115</v>
      </c>
      <c r="E23" s="8" t="s">
        <v>461</v>
      </c>
      <c r="F23" s="9"/>
      <c r="G23" s="9"/>
      <c r="H23" s="9"/>
      <c r="I23" s="9"/>
      <c r="J23" s="9"/>
      <c r="K23" s="9"/>
      <c r="L23" s="9"/>
      <c r="M23" s="9"/>
      <c r="N23" s="9"/>
      <c r="O23" s="189"/>
      <c r="P23" s="9"/>
      <c r="Q23" s="9"/>
      <c r="R23" s="9">
        <f t="shared" si="0"/>
        <v>0</v>
      </c>
    </row>
    <row r="24" spans="1:18">
      <c r="A24" s="8" t="s">
        <v>24</v>
      </c>
      <c r="B24" s="8" t="s">
        <v>116</v>
      </c>
      <c r="C24" s="8">
        <v>8002010102</v>
      </c>
      <c r="D24" s="8" t="s">
        <v>117</v>
      </c>
      <c r="E24" s="8" t="s">
        <v>462</v>
      </c>
      <c r="F24" s="9"/>
      <c r="G24" s="9"/>
      <c r="H24" s="9"/>
      <c r="I24" s="9"/>
      <c r="J24" s="9"/>
      <c r="K24" s="9"/>
      <c r="L24" s="9"/>
      <c r="M24" s="9"/>
      <c r="N24" s="9"/>
      <c r="O24" s="189"/>
      <c r="P24" s="9"/>
      <c r="Q24" s="9"/>
      <c r="R24" s="9">
        <f t="shared" si="0"/>
        <v>0</v>
      </c>
    </row>
    <row r="25" spans="1:18">
      <c r="A25" s="8" t="s">
        <v>24</v>
      </c>
      <c r="B25" s="8" t="s">
        <v>118</v>
      </c>
      <c r="C25" s="8">
        <v>8002010103</v>
      </c>
      <c r="D25" s="8" t="s">
        <v>119</v>
      </c>
      <c r="E25" s="8" t="s">
        <v>463</v>
      </c>
      <c r="F25" s="9"/>
      <c r="G25" s="9"/>
      <c r="H25" s="9"/>
      <c r="I25" s="9"/>
      <c r="J25" s="9"/>
      <c r="K25" s="9"/>
      <c r="L25" s="9"/>
      <c r="M25" s="9"/>
      <c r="N25" s="9"/>
      <c r="O25" s="189"/>
      <c r="P25" s="9"/>
      <c r="Q25" s="9"/>
      <c r="R25" s="9">
        <f t="shared" si="0"/>
        <v>0</v>
      </c>
    </row>
    <row r="26" spans="1:18">
      <c r="A26" s="8" t="s">
        <v>23</v>
      </c>
      <c r="B26" s="8" t="s">
        <v>120</v>
      </c>
      <c r="C26" s="8">
        <v>8003010101</v>
      </c>
      <c r="D26" s="8" t="s">
        <v>121</v>
      </c>
      <c r="E26" s="8" t="s">
        <v>464</v>
      </c>
      <c r="F26" s="9"/>
      <c r="G26" s="9"/>
      <c r="H26" s="9"/>
      <c r="I26" s="9"/>
      <c r="J26" s="9"/>
      <c r="K26" s="9"/>
      <c r="L26" s="9"/>
      <c r="M26" s="9"/>
      <c r="N26" s="9"/>
      <c r="O26" s="189"/>
      <c r="P26" s="9"/>
      <c r="Q26" s="9"/>
      <c r="R26" s="9">
        <f t="shared" si="0"/>
        <v>0</v>
      </c>
    </row>
    <row r="27" spans="1:18">
      <c r="A27" s="8" t="s">
        <v>23</v>
      </c>
      <c r="B27" s="8" t="s">
        <v>122</v>
      </c>
      <c r="C27" s="8">
        <v>8003010102</v>
      </c>
      <c r="D27" s="8" t="s">
        <v>123</v>
      </c>
      <c r="E27" s="8" t="s">
        <v>465</v>
      </c>
      <c r="F27" s="9"/>
      <c r="G27" s="9"/>
      <c r="H27" s="9"/>
      <c r="I27" s="9"/>
      <c r="J27" s="9"/>
      <c r="K27" s="9"/>
      <c r="L27" s="9"/>
      <c r="M27" s="9"/>
      <c r="N27" s="9"/>
      <c r="O27" s="189"/>
      <c r="P27" s="9"/>
      <c r="Q27" s="9"/>
      <c r="R27" s="9">
        <f t="shared" si="0"/>
        <v>0</v>
      </c>
    </row>
    <row r="28" spans="1:18">
      <c r="A28" s="8" t="s">
        <v>19</v>
      </c>
      <c r="B28" s="8" t="s">
        <v>124</v>
      </c>
      <c r="C28" s="8">
        <v>8004010101</v>
      </c>
      <c r="D28" s="8" t="s">
        <v>125</v>
      </c>
      <c r="E28" s="8" t="s">
        <v>126</v>
      </c>
      <c r="F28" s="9"/>
      <c r="G28" s="9"/>
      <c r="H28" s="9"/>
      <c r="I28" s="9"/>
      <c r="J28" s="9"/>
      <c r="K28" s="9"/>
      <c r="L28" s="9"/>
      <c r="M28" s="9"/>
      <c r="N28" s="9"/>
      <c r="O28" s="189"/>
      <c r="P28" s="9"/>
      <c r="Q28" s="9"/>
      <c r="R28" s="9">
        <f t="shared" si="0"/>
        <v>0</v>
      </c>
    </row>
    <row r="29" spans="1:18">
      <c r="A29" s="8" t="s">
        <v>19</v>
      </c>
      <c r="B29" s="8" t="s">
        <v>127</v>
      </c>
      <c r="C29" s="8">
        <v>8004010102</v>
      </c>
      <c r="D29" s="8" t="s">
        <v>128</v>
      </c>
      <c r="E29" s="8" t="s">
        <v>129</v>
      </c>
      <c r="F29" s="9"/>
      <c r="G29" s="9"/>
      <c r="H29" s="9"/>
      <c r="I29" s="9"/>
      <c r="J29" s="9"/>
      <c r="K29" s="9"/>
      <c r="L29" s="9"/>
      <c r="M29" s="9"/>
      <c r="N29" s="9"/>
      <c r="O29" s="189"/>
      <c r="P29" s="9"/>
      <c r="Q29" s="9"/>
      <c r="R29" s="9">
        <f t="shared" si="0"/>
        <v>0</v>
      </c>
    </row>
    <row r="30" spans="1:18">
      <c r="A30" s="8" t="s">
        <v>19</v>
      </c>
      <c r="B30" s="8" t="s">
        <v>130</v>
      </c>
      <c r="C30" s="8">
        <v>8004010103</v>
      </c>
      <c r="D30" s="8" t="s">
        <v>131</v>
      </c>
      <c r="E30" s="8" t="s">
        <v>132</v>
      </c>
      <c r="F30" s="9"/>
      <c r="G30" s="9"/>
      <c r="H30" s="9"/>
      <c r="I30" s="9"/>
      <c r="J30" s="9"/>
      <c r="K30" s="9"/>
      <c r="L30" s="9"/>
      <c r="M30" s="9"/>
      <c r="N30" s="9"/>
      <c r="O30" s="189"/>
      <c r="P30" s="9"/>
      <c r="Q30" s="9"/>
      <c r="R30" s="9">
        <f t="shared" si="0"/>
        <v>0</v>
      </c>
    </row>
    <row r="31" spans="1:18">
      <c r="A31" s="8" t="s">
        <v>19</v>
      </c>
      <c r="B31" s="8" t="s">
        <v>133</v>
      </c>
      <c r="C31" s="8">
        <v>8004010104</v>
      </c>
      <c r="D31" s="8" t="s">
        <v>134</v>
      </c>
      <c r="E31" s="8" t="s">
        <v>466</v>
      </c>
      <c r="F31" s="9"/>
      <c r="G31" s="9"/>
      <c r="H31" s="9"/>
      <c r="I31" s="9"/>
      <c r="J31" s="9"/>
      <c r="K31" s="9"/>
      <c r="L31" s="9"/>
      <c r="M31" s="9"/>
      <c r="N31" s="9"/>
      <c r="O31" s="189"/>
      <c r="P31" s="9"/>
      <c r="Q31" s="9"/>
      <c r="R31" s="9">
        <f t="shared" si="0"/>
        <v>0</v>
      </c>
    </row>
    <row r="32" spans="1:18">
      <c r="A32" s="8" t="s">
        <v>19</v>
      </c>
      <c r="B32" s="8" t="s">
        <v>135</v>
      </c>
      <c r="C32" s="8">
        <v>8004010105</v>
      </c>
      <c r="D32" s="8" t="s">
        <v>136</v>
      </c>
      <c r="E32" s="8" t="s">
        <v>137</v>
      </c>
      <c r="F32" s="9"/>
      <c r="G32" s="9"/>
      <c r="H32" s="9"/>
      <c r="I32" s="9"/>
      <c r="J32" s="9"/>
      <c r="K32" s="9"/>
      <c r="L32" s="9"/>
      <c r="M32" s="9"/>
      <c r="N32" s="9"/>
      <c r="O32" s="189"/>
      <c r="P32" s="9"/>
      <c r="Q32" s="9"/>
      <c r="R32" s="9">
        <f t="shared" si="0"/>
        <v>0</v>
      </c>
    </row>
    <row r="33" spans="1:18">
      <c r="A33" s="8" t="s">
        <v>19</v>
      </c>
      <c r="B33" s="8" t="s">
        <v>138</v>
      </c>
      <c r="C33" s="8">
        <v>8004010106</v>
      </c>
      <c r="D33" s="8" t="s">
        <v>139</v>
      </c>
      <c r="E33" s="8" t="s">
        <v>140</v>
      </c>
      <c r="F33" s="9"/>
      <c r="G33" s="9"/>
      <c r="H33" s="9"/>
      <c r="I33" s="9"/>
      <c r="J33" s="9"/>
      <c r="K33" s="9"/>
      <c r="L33" s="9"/>
      <c r="M33" s="9"/>
      <c r="N33" s="9"/>
      <c r="O33" s="189"/>
      <c r="P33" s="9"/>
      <c r="Q33" s="9"/>
      <c r="R33" s="9">
        <f t="shared" si="0"/>
        <v>0</v>
      </c>
    </row>
    <row r="34" spans="1:18">
      <c r="A34" s="8" t="s">
        <v>19</v>
      </c>
      <c r="B34" s="8" t="s">
        <v>141</v>
      </c>
      <c r="C34" s="8">
        <v>8004010107</v>
      </c>
      <c r="D34" s="8" t="s">
        <v>142</v>
      </c>
      <c r="E34" s="8" t="s">
        <v>143</v>
      </c>
      <c r="F34" s="9"/>
      <c r="G34" s="9"/>
      <c r="H34" s="9"/>
      <c r="I34" s="9"/>
      <c r="J34" s="9"/>
      <c r="K34" s="9"/>
      <c r="L34" s="9"/>
      <c r="M34" s="9"/>
      <c r="N34" s="9"/>
      <c r="O34" s="189"/>
      <c r="P34" s="9"/>
      <c r="Q34" s="9"/>
      <c r="R34" s="9">
        <f t="shared" si="0"/>
        <v>0</v>
      </c>
    </row>
    <row r="35" spans="1:18">
      <c r="A35" s="8" t="s">
        <v>22</v>
      </c>
      <c r="B35" s="8" t="s">
        <v>144</v>
      </c>
      <c r="C35" s="8">
        <v>8005010101</v>
      </c>
      <c r="D35" s="8" t="s">
        <v>145</v>
      </c>
      <c r="E35" s="8" t="s">
        <v>467</v>
      </c>
      <c r="F35" s="9"/>
      <c r="G35" s="9"/>
      <c r="H35" s="9"/>
      <c r="I35" s="9"/>
      <c r="J35" s="9"/>
      <c r="K35" s="9"/>
      <c r="L35" s="9"/>
      <c r="M35" s="9"/>
      <c r="N35" s="9"/>
      <c r="O35" s="189"/>
      <c r="P35" s="9"/>
      <c r="Q35" s="9"/>
      <c r="R35" s="9">
        <f t="shared" si="0"/>
        <v>0</v>
      </c>
    </row>
    <row r="36" spans="1:18">
      <c r="A36" s="8" t="s">
        <v>22</v>
      </c>
      <c r="B36" s="8" t="s">
        <v>146</v>
      </c>
      <c r="C36" s="8">
        <v>8005020101</v>
      </c>
      <c r="D36" s="8" t="s">
        <v>147</v>
      </c>
      <c r="E36" s="8" t="s">
        <v>468</v>
      </c>
      <c r="F36" s="9"/>
      <c r="G36" s="9"/>
      <c r="H36" s="9"/>
      <c r="I36" s="9"/>
      <c r="J36" s="9"/>
      <c r="K36" s="9"/>
      <c r="L36" s="9"/>
      <c r="M36" s="9"/>
      <c r="N36" s="9"/>
      <c r="O36" s="189"/>
      <c r="P36" s="9"/>
      <c r="Q36" s="9"/>
      <c r="R36" s="9">
        <f t="shared" si="0"/>
        <v>0</v>
      </c>
    </row>
    <row r="37" spans="1:18">
      <c r="A37" s="8" t="s">
        <v>22</v>
      </c>
      <c r="B37" s="8" t="s">
        <v>148</v>
      </c>
      <c r="C37" s="8">
        <v>8005030101</v>
      </c>
      <c r="D37" s="8" t="s">
        <v>149</v>
      </c>
      <c r="E37" s="8" t="s">
        <v>469</v>
      </c>
      <c r="F37" s="9"/>
      <c r="G37" s="9"/>
      <c r="H37" s="9"/>
      <c r="I37" s="9"/>
      <c r="J37" s="9"/>
      <c r="K37" s="9"/>
      <c r="L37" s="9"/>
      <c r="M37" s="9"/>
      <c r="N37" s="9"/>
      <c r="O37" s="189"/>
      <c r="P37" s="9"/>
      <c r="Q37" s="9"/>
      <c r="R37" s="9">
        <f t="shared" si="0"/>
        <v>0</v>
      </c>
    </row>
    <row r="38" spans="1:18">
      <c r="A38" s="8" t="s">
        <v>27</v>
      </c>
      <c r="B38" s="8" t="s">
        <v>150</v>
      </c>
      <c r="C38" s="8">
        <v>8001100103</v>
      </c>
      <c r="D38" s="8" t="s">
        <v>151</v>
      </c>
      <c r="E38" s="8" t="s">
        <v>470</v>
      </c>
      <c r="F38" s="9"/>
      <c r="G38" s="9"/>
      <c r="H38" s="9"/>
      <c r="I38" s="9"/>
      <c r="J38" s="9"/>
      <c r="K38" s="9"/>
      <c r="L38" s="9"/>
      <c r="M38" s="9"/>
      <c r="N38" s="9"/>
      <c r="O38" s="189"/>
      <c r="P38" s="9"/>
      <c r="Q38" s="9"/>
      <c r="R38" s="9">
        <f t="shared" si="0"/>
        <v>0</v>
      </c>
    </row>
    <row r="39" spans="1:18">
      <c r="A39" s="8" t="s">
        <v>152</v>
      </c>
      <c r="B39" s="8" t="s">
        <v>29</v>
      </c>
      <c r="C39" s="8">
        <v>8007020101</v>
      </c>
      <c r="D39" s="8" t="s">
        <v>153</v>
      </c>
      <c r="E39" s="8" t="s">
        <v>154</v>
      </c>
      <c r="F39" s="9"/>
      <c r="G39" s="9"/>
      <c r="H39" s="9"/>
      <c r="I39" s="9"/>
      <c r="J39" s="9"/>
      <c r="K39" s="9"/>
      <c r="L39" s="9"/>
      <c r="M39" s="9"/>
      <c r="N39" s="9"/>
      <c r="O39" s="189"/>
      <c r="P39" s="9"/>
      <c r="Q39" s="9"/>
      <c r="R39" s="9">
        <f t="shared" si="0"/>
        <v>0</v>
      </c>
    </row>
    <row r="40" spans="1:18">
      <c r="A40" s="8" t="s">
        <v>152</v>
      </c>
      <c r="B40" s="8" t="s">
        <v>155</v>
      </c>
      <c r="C40" s="8">
        <v>8007020102</v>
      </c>
      <c r="D40" s="8" t="s">
        <v>156</v>
      </c>
      <c r="E40" s="8" t="s">
        <v>157</v>
      </c>
      <c r="F40" s="9"/>
      <c r="G40" s="9"/>
      <c r="H40" s="9"/>
      <c r="I40" s="9"/>
      <c r="J40" s="9"/>
      <c r="K40" s="9"/>
      <c r="L40" s="9"/>
      <c r="M40" s="9"/>
      <c r="N40" s="9"/>
      <c r="O40" s="189"/>
      <c r="P40" s="9"/>
      <c r="Q40" s="9"/>
      <c r="R40" s="9">
        <f t="shared" si="0"/>
        <v>0</v>
      </c>
    </row>
    <row r="41" spans="1:18">
      <c r="A41" s="8" t="s">
        <v>13</v>
      </c>
      <c r="B41" s="8" t="s">
        <v>158</v>
      </c>
      <c r="C41" s="8">
        <v>8008010101</v>
      </c>
      <c r="D41" s="8" t="s">
        <v>159</v>
      </c>
      <c r="E41" s="8" t="s">
        <v>160</v>
      </c>
      <c r="F41" s="9"/>
      <c r="G41" s="9"/>
      <c r="H41" s="9"/>
      <c r="I41" s="9"/>
      <c r="J41" s="9"/>
      <c r="K41" s="9"/>
      <c r="L41" s="9"/>
      <c r="M41" s="9"/>
      <c r="N41" s="9"/>
      <c r="O41" s="189"/>
      <c r="P41" s="9"/>
      <c r="Q41" s="9"/>
      <c r="R41" s="9">
        <f t="shared" si="0"/>
        <v>0</v>
      </c>
    </row>
    <row r="42" spans="1:18">
      <c r="A42" s="8" t="s">
        <v>13</v>
      </c>
      <c r="B42" s="8" t="s">
        <v>158</v>
      </c>
      <c r="C42" s="8">
        <v>8008010102</v>
      </c>
      <c r="D42" s="8" t="s">
        <v>161</v>
      </c>
      <c r="E42" s="8" t="s">
        <v>162</v>
      </c>
      <c r="F42" s="9"/>
      <c r="G42" s="9"/>
      <c r="H42" s="9"/>
      <c r="I42" s="9"/>
      <c r="J42" s="9"/>
      <c r="K42" s="9"/>
      <c r="L42" s="9"/>
      <c r="M42" s="9"/>
      <c r="N42" s="9"/>
      <c r="O42" s="189"/>
      <c r="P42" s="9"/>
      <c r="Q42" s="9"/>
      <c r="R42" s="9">
        <f t="shared" si="0"/>
        <v>0</v>
      </c>
    </row>
    <row r="43" spans="1:18">
      <c r="A43" s="8" t="s">
        <v>13</v>
      </c>
      <c r="B43" s="8" t="s">
        <v>158</v>
      </c>
      <c r="C43" s="8">
        <v>8008010103</v>
      </c>
      <c r="D43" s="8" t="s">
        <v>163</v>
      </c>
      <c r="E43" s="8" t="s">
        <v>164</v>
      </c>
      <c r="F43" s="9"/>
      <c r="G43" s="9"/>
      <c r="H43" s="9"/>
      <c r="I43" s="9"/>
      <c r="J43" s="9"/>
      <c r="K43" s="9"/>
      <c r="L43" s="9"/>
      <c r="M43" s="9"/>
      <c r="N43" s="9"/>
      <c r="O43" s="189"/>
      <c r="P43" s="9"/>
      <c r="Q43" s="9"/>
      <c r="R43" s="9">
        <f t="shared" si="0"/>
        <v>0</v>
      </c>
    </row>
    <row r="44" spans="1:18">
      <c r="A44" s="8" t="s">
        <v>13</v>
      </c>
      <c r="B44" s="8" t="s">
        <v>158</v>
      </c>
      <c r="C44" s="8">
        <v>8008010104</v>
      </c>
      <c r="D44" s="8" t="s">
        <v>165</v>
      </c>
      <c r="E44" s="8" t="s">
        <v>166</v>
      </c>
      <c r="F44" s="9"/>
      <c r="G44" s="9"/>
      <c r="H44" s="9"/>
      <c r="I44" s="9"/>
      <c r="J44" s="9"/>
      <c r="K44" s="9"/>
      <c r="L44" s="9"/>
      <c r="M44" s="9"/>
      <c r="N44" s="9"/>
      <c r="O44" s="189"/>
      <c r="P44" s="9"/>
      <c r="Q44" s="9"/>
      <c r="R44" s="9">
        <f t="shared" si="0"/>
        <v>0</v>
      </c>
    </row>
    <row r="45" spans="1:18">
      <c r="A45" s="8" t="s">
        <v>13</v>
      </c>
      <c r="B45" s="8" t="s">
        <v>158</v>
      </c>
      <c r="C45" s="8">
        <v>8008010105</v>
      </c>
      <c r="D45" s="8" t="s">
        <v>167</v>
      </c>
      <c r="E45" s="8" t="s">
        <v>168</v>
      </c>
      <c r="F45" s="9"/>
      <c r="G45" s="9"/>
      <c r="H45" s="9"/>
      <c r="I45" s="9"/>
      <c r="J45" s="9"/>
      <c r="K45" s="9"/>
      <c r="L45" s="9"/>
      <c r="M45" s="9"/>
      <c r="N45" s="9"/>
      <c r="O45" s="189"/>
      <c r="P45" s="9"/>
      <c r="Q45" s="9"/>
      <c r="R45" s="9">
        <f t="shared" si="0"/>
        <v>0</v>
      </c>
    </row>
    <row r="46" spans="1:18">
      <c r="A46" s="8" t="s">
        <v>13</v>
      </c>
      <c r="B46" s="8" t="s">
        <v>158</v>
      </c>
      <c r="C46" s="8">
        <v>8008010106</v>
      </c>
      <c r="D46" s="8" t="s">
        <v>169</v>
      </c>
      <c r="E46" s="8" t="s">
        <v>170</v>
      </c>
      <c r="F46" s="9"/>
      <c r="G46" s="9"/>
      <c r="H46" s="9"/>
      <c r="I46" s="9"/>
      <c r="J46" s="9"/>
      <c r="K46" s="9"/>
      <c r="L46" s="9"/>
      <c r="M46" s="9"/>
      <c r="N46" s="9"/>
      <c r="O46" s="189"/>
      <c r="P46" s="9"/>
      <c r="Q46" s="9"/>
      <c r="R46" s="9">
        <f t="shared" si="0"/>
        <v>0</v>
      </c>
    </row>
    <row r="47" spans="1:18">
      <c r="A47" s="8" t="s">
        <v>13</v>
      </c>
      <c r="B47" s="8" t="s">
        <v>158</v>
      </c>
      <c r="C47" s="8">
        <v>8008010107</v>
      </c>
      <c r="D47" s="8" t="s">
        <v>171</v>
      </c>
      <c r="E47" s="8" t="s">
        <v>172</v>
      </c>
      <c r="F47" s="9"/>
      <c r="G47" s="9"/>
      <c r="H47" s="9"/>
      <c r="I47" s="9"/>
      <c r="J47" s="9"/>
      <c r="K47" s="9"/>
      <c r="L47" s="9"/>
      <c r="M47" s="9"/>
      <c r="N47" s="9"/>
      <c r="O47" s="189"/>
      <c r="P47" s="9"/>
      <c r="Q47" s="9"/>
      <c r="R47" s="9">
        <f t="shared" si="0"/>
        <v>0</v>
      </c>
    </row>
    <row r="48" spans="1:18">
      <c r="A48" s="8" t="s">
        <v>13</v>
      </c>
      <c r="B48" s="8" t="s">
        <v>158</v>
      </c>
      <c r="C48" s="8">
        <v>8008010108</v>
      </c>
      <c r="D48" s="8" t="s">
        <v>173</v>
      </c>
      <c r="E48" s="8" t="s">
        <v>174</v>
      </c>
      <c r="F48" s="9"/>
      <c r="G48" s="9"/>
      <c r="H48" s="9"/>
      <c r="I48" s="9"/>
      <c r="J48" s="9"/>
      <c r="K48" s="9"/>
      <c r="L48" s="9"/>
      <c r="M48" s="9"/>
      <c r="N48" s="9"/>
      <c r="O48" s="189"/>
      <c r="P48" s="9"/>
      <c r="Q48" s="9"/>
      <c r="R48" s="9">
        <f t="shared" si="0"/>
        <v>0</v>
      </c>
    </row>
    <row r="49" spans="1:18">
      <c r="A49" s="8" t="s">
        <v>13</v>
      </c>
      <c r="B49" s="8" t="s">
        <v>158</v>
      </c>
      <c r="C49" s="8">
        <v>8008010110</v>
      </c>
      <c r="D49" s="8" t="s">
        <v>175</v>
      </c>
      <c r="E49" s="8" t="s">
        <v>176</v>
      </c>
      <c r="F49" s="9"/>
      <c r="G49" s="9"/>
      <c r="H49" s="9"/>
      <c r="I49" s="9"/>
      <c r="J49" s="9"/>
      <c r="K49" s="9"/>
      <c r="L49" s="9"/>
      <c r="M49" s="9"/>
      <c r="N49" s="9"/>
      <c r="O49" s="189"/>
      <c r="P49" s="9"/>
      <c r="Q49" s="9"/>
      <c r="R49" s="9">
        <f t="shared" si="0"/>
        <v>0</v>
      </c>
    </row>
    <row r="50" spans="1:18">
      <c r="A50" s="8" t="s">
        <v>13</v>
      </c>
      <c r="B50" s="8" t="s">
        <v>18</v>
      </c>
      <c r="C50" s="8">
        <v>8008020101</v>
      </c>
      <c r="D50" s="8" t="s">
        <v>177</v>
      </c>
      <c r="E50" s="8" t="s">
        <v>178</v>
      </c>
      <c r="F50" s="9"/>
      <c r="G50" s="9">
        <v>8.495599999999999E-2</v>
      </c>
      <c r="H50" s="9"/>
      <c r="I50" s="9"/>
      <c r="J50" s="9"/>
      <c r="K50" s="9"/>
      <c r="L50" s="9"/>
      <c r="M50" s="9"/>
      <c r="N50" s="9"/>
      <c r="O50" s="189"/>
      <c r="P50" s="9"/>
      <c r="Q50" s="9"/>
      <c r="R50" s="9">
        <f t="shared" si="0"/>
        <v>8.495599999999999E-2</v>
      </c>
    </row>
    <row r="51" spans="1:18">
      <c r="A51" s="8" t="s">
        <v>13</v>
      </c>
      <c r="B51" s="8" t="s">
        <v>18</v>
      </c>
      <c r="C51" s="8">
        <v>8008020102</v>
      </c>
      <c r="D51" s="8" t="s">
        <v>179</v>
      </c>
      <c r="E51" s="8" t="s">
        <v>180</v>
      </c>
      <c r="F51" s="9"/>
      <c r="G51" s="9"/>
      <c r="H51" s="9"/>
      <c r="I51" s="9"/>
      <c r="J51" s="9"/>
      <c r="K51" s="9"/>
      <c r="L51" s="9"/>
      <c r="M51" s="9"/>
      <c r="N51" s="9"/>
      <c r="O51" s="189"/>
      <c r="P51" s="9"/>
      <c r="Q51" s="9"/>
      <c r="R51" s="9">
        <f t="shared" si="0"/>
        <v>0</v>
      </c>
    </row>
    <row r="52" spans="1:18">
      <c r="A52" s="8" t="s">
        <v>13</v>
      </c>
      <c r="B52" s="8" t="s">
        <v>18</v>
      </c>
      <c r="C52" s="8">
        <v>8008020103</v>
      </c>
      <c r="D52" s="8" t="s">
        <v>181</v>
      </c>
      <c r="E52" s="8" t="s">
        <v>182</v>
      </c>
      <c r="F52" s="9"/>
      <c r="G52" s="9"/>
      <c r="H52" s="9"/>
      <c r="I52" s="9"/>
      <c r="J52" s="9"/>
      <c r="K52" s="9"/>
      <c r="L52" s="9"/>
      <c r="M52" s="9"/>
      <c r="N52" s="9"/>
      <c r="O52" s="189"/>
      <c r="P52" s="9"/>
      <c r="Q52" s="9"/>
      <c r="R52" s="9">
        <f t="shared" si="0"/>
        <v>0</v>
      </c>
    </row>
    <row r="53" spans="1:18">
      <c r="A53" s="8" t="s">
        <v>13</v>
      </c>
      <c r="B53" s="8" t="s">
        <v>18</v>
      </c>
      <c r="C53" s="8">
        <v>8008020104</v>
      </c>
      <c r="D53" s="8" t="s">
        <v>183</v>
      </c>
      <c r="E53" s="8" t="s">
        <v>184</v>
      </c>
      <c r="F53" s="9"/>
      <c r="G53" s="9"/>
      <c r="H53" s="9"/>
      <c r="I53" s="9"/>
      <c r="J53" s="9"/>
      <c r="K53" s="9"/>
      <c r="L53" s="9"/>
      <c r="M53" s="9"/>
      <c r="N53" s="9"/>
      <c r="O53" s="189"/>
      <c r="P53" s="9"/>
      <c r="Q53" s="9"/>
      <c r="R53" s="9">
        <f t="shared" si="0"/>
        <v>0</v>
      </c>
    </row>
    <row r="54" spans="1:18">
      <c r="A54" s="8" t="s">
        <v>13</v>
      </c>
      <c r="B54" s="8" t="s">
        <v>18</v>
      </c>
      <c r="C54" s="8">
        <v>8008020105</v>
      </c>
      <c r="D54" s="8" t="s">
        <v>185</v>
      </c>
      <c r="E54" s="8" t="s">
        <v>162</v>
      </c>
      <c r="F54" s="9"/>
      <c r="G54" s="9"/>
      <c r="H54" s="9"/>
      <c r="I54" s="9"/>
      <c r="J54" s="9"/>
      <c r="K54" s="9"/>
      <c r="L54" s="9"/>
      <c r="M54" s="9"/>
      <c r="N54" s="9"/>
      <c r="O54" s="189"/>
      <c r="P54" s="9"/>
      <c r="Q54" s="9"/>
      <c r="R54" s="9">
        <f t="shared" si="0"/>
        <v>0</v>
      </c>
    </row>
    <row r="55" spans="1:18">
      <c r="A55" s="8" t="s">
        <v>13</v>
      </c>
      <c r="B55" s="8" t="s">
        <v>18</v>
      </c>
      <c r="C55" s="8">
        <v>8008020106</v>
      </c>
      <c r="D55" s="8" t="s">
        <v>186</v>
      </c>
      <c r="E55" s="8" t="s">
        <v>471</v>
      </c>
      <c r="F55" s="9"/>
      <c r="G55" s="9"/>
      <c r="H55" s="9"/>
      <c r="I55" s="9"/>
      <c r="J55" s="9"/>
      <c r="K55" s="9"/>
      <c r="L55" s="9"/>
      <c r="M55" s="9"/>
      <c r="N55" s="9"/>
      <c r="O55" s="189"/>
      <c r="P55" s="9"/>
      <c r="Q55" s="9"/>
      <c r="R55" s="9">
        <f t="shared" si="0"/>
        <v>0</v>
      </c>
    </row>
    <row r="56" spans="1:18">
      <c r="A56" s="8" t="s">
        <v>13</v>
      </c>
      <c r="B56" s="8" t="s">
        <v>187</v>
      </c>
      <c r="C56" s="8">
        <v>8008020201</v>
      </c>
      <c r="D56" s="8" t="s">
        <v>188</v>
      </c>
      <c r="E56" s="8" t="s">
        <v>472</v>
      </c>
      <c r="F56" s="9"/>
      <c r="G56" s="9"/>
      <c r="H56" s="9"/>
      <c r="I56" s="9"/>
      <c r="J56" s="9"/>
      <c r="K56" s="9"/>
      <c r="L56" s="9"/>
      <c r="M56" s="9"/>
      <c r="N56" s="9"/>
      <c r="O56" s="189"/>
      <c r="P56" s="9"/>
      <c r="Q56" s="9"/>
      <c r="R56" s="9">
        <f t="shared" si="0"/>
        <v>0</v>
      </c>
    </row>
    <row r="57" spans="1:18">
      <c r="A57" s="8" t="s">
        <v>13</v>
      </c>
      <c r="B57" s="8" t="s">
        <v>187</v>
      </c>
      <c r="C57" s="8">
        <v>8008020202</v>
      </c>
      <c r="D57" s="8" t="s">
        <v>189</v>
      </c>
      <c r="E57" s="8" t="s">
        <v>473</v>
      </c>
      <c r="F57" s="9"/>
      <c r="G57" s="9"/>
      <c r="H57" s="9"/>
      <c r="I57" s="9"/>
      <c r="J57" s="9"/>
      <c r="K57" s="9"/>
      <c r="L57" s="9"/>
      <c r="M57" s="9"/>
      <c r="N57" s="9"/>
      <c r="O57" s="189"/>
      <c r="P57" s="9"/>
      <c r="Q57" s="9"/>
      <c r="R57" s="9">
        <f t="shared" si="0"/>
        <v>0</v>
      </c>
    </row>
    <row r="58" spans="1:18">
      <c r="A58" s="8" t="s">
        <v>13</v>
      </c>
      <c r="B58" s="8" t="s">
        <v>158</v>
      </c>
      <c r="C58" s="8">
        <v>8008010109</v>
      </c>
      <c r="D58" s="8" t="s">
        <v>190</v>
      </c>
      <c r="E58" s="8" t="s">
        <v>191</v>
      </c>
      <c r="F58" s="9"/>
      <c r="G58" s="9"/>
      <c r="H58" s="9"/>
      <c r="I58" s="9"/>
      <c r="J58" s="9"/>
      <c r="K58" s="9"/>
      <c r="L58" s="9"/>
      <c r="M58" s="9"/>
      <c r="N58" s="9"/>
      <c r="O58" s="189"/>
      <c r="P58" s="9"/>
      <c r="Q58" s="9"/>
      <c r="R58" s="9">
        <f t="shared" si="0"/>
        <v>0</v>
      </c>
    </row>
    <row r="59" spans="1:18">
      <c r="A59" s="8" t="s">
        <v>30</v>
      </c>
      <c r="B59" s="8" t="s">
        <v>192</v>
      </c>
      <c r="C59" s="8">
        <v>8009010101</v>
      </c>
      <c r="D59" s="8" t="s">
        <v>193</v>
      </c>
      <c r="E59" s="8" t="s">
        <v>194</v>
      </c>
      <c r="F59" s="9"/>
      <c r="G59" s="9"/>
      <c r="H59" s="9"/>
      <c r="I59" s="9"/>
      <c r="J59" s="9"/>
      <c r="K59" s="9"/>
      <c r="L59" s="9"/>
      <c r="M59" s="9"/>
      <c r="N59" s="9"/>
      <c r="O59" s="189"/>
      <c r="P59" s="9"/>
      <c r="Q59" s="9"/>
      <c r="R59" s="9">
        <f t="shared" si="0"/>
        <v>0</v>
      </c>
    </row>
    <row r="60" spans="1:18">
      <c r="A60" s="8" t="s">
        <v>30</v>
      </c>
      <c r="B60" s="8" t="s">
        <v>192</v>
      </c>
      <c r="C60" s="8">
        <v>8209010102</v>
      </c>
      <c r="D60" s="8" t="s">
        <v>195</v>
      </c>
      <c r="E60" s="8" t="s">
        <v>196</v>
      </c>
      <c r="F60" s="9"/>
      <c r="G60" s="9"/>
      <c r="H60" s="9"/>
      <c r="I60" s="9"/>
      <c r="J60" s="9"/>
      <c r="K60" s="9"/>
      <c r="L60" s="9"/>
      <c r="M60" s="9"/>
      <c r="N60" s="9"/>
      <c r="O60" s="189"/>
      <c r="P60" s="9"/>
      <c r="Q60" s="9"/>
      <c r="R60" s="9">
        <f t="shared" si="0"/>
        <v>0</v>
      </c>
    </row>
    <row r="61" spans="1:18" ht="18" customHeight="1">
      <c r="A61" s="8" t="s">
        <v>30</v>
      </c>
      <c r="B61" s="8" t="s">
        <v>197</v>
      </c>
      <c r="C61" s="159">
        <v>8209020101</v>
      </c>
      <c r="D61" s="8" t="s">
        <v>198</v>
      </c>
      <c r="E61" s="8" t="s">
        <v>199</v>
      </c>
      <c r="F61" s="9">
        <v>9.5908999999999995</v>
      </c>
      <c r="G61" s="9">
        <v>9.5784000000000002</v>
      </c>
      <c r="H61" s="9"/>
      <c r="I61" s="9"/>
      <c r="J61" s="9"/>
      <c r="K61" s="9"/>
      <c r="L61" s="9"/>
      <c r="M61" s="9"/>
      <c r="N61" s="9"/>
      <c r="O61" s="189"/>
      <c r="P61" s="9"/>
      <c r="Q61" s="9"/>
      <c r="R61" s="11">
        <f t="shared" si="0"/>
        <v>19.1693</v>
      </c>
    </row>
    <row r="62" spans="1:18">
      <c r="A62" s="8" t="s">
        <v>30</v>
      </c>
      <c r="B62" s="8" t="s">
        <v>197</v>
      </c>
      <c r="C62" s="159">
        <v>8209020102</v>
      </c>
      <c r="D62" s="8" t="s">
        <v>200</v>
      </c>
      <c r="E62" s="8" t="s">
        <v>201</v>
      </c>
      <c r="F62" s="9"/>
      <c r="G62" s="9"/>
      <c r="H62" s="9"/>
      <c r="I62" s="9"/>
      <c r="J62" s="9"/>
      <c r="K62" s="9"/>
      <c r="L62" s="9"/>
      <c r="M62" s="9"/>
      <c r="N62" s="9"/>
      <c r="O62" s="189"/>
      <c r="P62" s="9"/>
      <c r="Q62" s="9"/>
      <c r="R62" s="9">
        <f t="shared" si="0"/>
        <v>0</v>
      </c>
    </row>
    <row r="63" spans="1:18" ht="18" customHeight="1">
      <c r="A63" s="8" t="s">
        <v>30</v>
      </c>
      <c r="B63" s="8" t="s">
        <v>197</v>
      </c>
      <c r="C63" s="159">
        <v>8209020103</v>
      </c>
      <c r="D63" s="8" t="s">
        <v>202</v>
      </c>
      <c r="E63" s="8" t="s">
        <v>203</v>
      </c>
      <c r="F63" s="9"/>
      <c r="G63" s="9">
        <v>-1.3211699999999997</v>
      </c>
      <c r="H63" s="9"/>
      <c r="I63" s="9"/>
      <c r="J63" s="9"/>
      <c r="K63" s="9"/>
      <c r="L63" s="9"/>
      <c r="M63" s="9"/>
      <c r="N63" s="9"/>
      <c r="O63" s="189"/>
      <c r="P63" s="9"/>
      <c r="Q63" s="9"/>
      <c r="R63" s="11">
        <f t="shared" si="0"/>
        <v>-1.3211699999999997</v>
      </c>
    </row>
    <row r="64" spans="1:18" ht="18" customHeight="1">
      <c r="A64" s="8" t="s">
        <v>30</v>
      </c>
      <c r="B64" s="8" t="s">
        <v>197</v>
      </c>
      <c r="C64" s="159">
        <v>8209020104</v>
      </c>
      <c r="D64" s="8" t="s">
        <v>204</v>
      </c>
      <c r="E64" s="8" t="s">
        <v>205</v>
      </c>
      <c r="F64" s="9">
        <v>2.7008900000000002</v>
      </c>
      <c r="G64" s="9">
        <v>2.80185</v>
      </c>
      <c r="H64" s="9"/>
      <c r="I64" s="9"/>
      <c r="J64" s="9"/>
      <c r="K64" s="9"/>
      <c r="L64" s="9"/>
      <c r="M64" s="9"/>
      <c r="N64" s="9"/>
      <c r="O64" s="189"/>
      <c r="P64" s="9"/>
      <c r="Q64" s="9"/>
      <c r="R64" s="11">
        <f t="shared" si="0"/>
        <v>5.5027400000000002</v>
      </c>
    </row>
    <row r="65" spans="1:18" ht="18" customHeight="1">
      <c r="A65" s="8" t="s">
        <v>30</v>
      </c>
      <c r="B65" s="8" t="s">
        <v>197</v>
      </c>
      <c r="C65" s="159">
        <v>8209020105</v>
      </c>
      <c r="D65" s="8" t="s">
        <v>206</v>
      </c>
      <c r="E65" s="8" t="s">
        <v>207</v>
      </c>
      <c r="F65" s="9">
        <v>0.70660000000000001</v>
      </c>
      <c r="G65" s="9">
        <v>0.70660000000000001</v>
      </c>
      <c r="H65" s="9"/>
      <c r="I65" s="9"/>
      <c r="J65" s="9"/>
      <c r="K65" s="9"/>
      <c r="L65" s="9"/>
      <c r="M65" s="9"/>
      <c r="N65" s="9"/>
      <c r="O65" s="189"/>
      <c r="P65" s="9"/>
      <c r="Q65" s="9"/>
      <c r="R65" s="11">
        <f t="shared" si="0"/>
        <v>1.4132</v>
      </c>
    </row>
    <row r="66" spans="1:18">
      <c r="A66" s="8" t="s">
        <v>30</v>
      </c>
      <c r="B66" s="8" t="s">
        <v>197</v>
      </c>
      <c r="C66" s="159">
        <v>8209020106</v>
      </c>
      <c r="D66" s="8" t="s">
        <v>208</v>
      </c>
      <c r="E66" s="8" t="s">
        <v>209</v>
      </c>
      <c r="F66" s="9"/>
      <c r="G66" s="9"/>
      <c r="H66" s="9"/>
      <c r="I66" s="9"/>
      <c r="J66" s="9"/>
      <c r="K66" s="9"/>
      <c r="L66" s="9"/>
      <c r="M66" s="9"/>
      <c r="N66" s="9"/>
      <c r="O66" s="189"/>
      <c r="P66" s="9"/>
      <c r="Q66" s="9"/>
      <c r="R66" s="9">
        <f t="shared" si="0"/>
        <v>0</v>
      </c>
    </row>
    <row r="67" spans="1:18">
      <c r="A67" s="8" t="s">
        <v>30</v>
      </c>
      <c r="B67" s="8" t="s">
        <v>197</v>
      </c>
      <c r="C67" s="159">
        <v>8209020107</v>
      </c>
      <c r="D67" s="8" t="s">
        <v>210</v>
      </c>
      <c r="E67" s="8" t="s">
        <v>211</v>
      </c>
      <c r="F67" s="9"/>
      <c r="G67" s="9"/>
      <c r="H67" s="9"/>
      <c r="I67" s="9"/>
      <c r="J67" s="9"/>
      <c r="K67" s="9"/>
      <c r="L67" s="9"/>
      <c r="M67" s="9"/>
      <c r="N67" s="9"/>
      <c r="O67" s="189"/>
      <c r="P67" s="9"/>
      <c r="Q67" s="9"/>
      <c r="R67" s="9">
        <f t="shared" ref="R67:R130" si="1">SUM(F67:Q67)</f>
        <v>0</v>
      </c>
    </row>
    <row r="68" spans="1:18">
      <c r="A68" s="8" t="s">
        <v>30</v>
      </c>
      <c r="B68" s="8" t="s">
        <v>197</v>
      </c>
      <c r="C68" s="159">
        <v>8209020108</v>
      </c>
      <c r="D68" s="8" t="s">
        <v>212</v>
      </c>
      <c r="E68" s="8" t="s">
        <v>213</v>
      </c>
      <c r="F68" s="9"/>
      <c r="G68" s="9"/>
      <c r="H68" s="9"/>
      <c r="I68" s="9"/>
      <c r="J68" s="9"/>
      <c r="K68" s="9"/>
      <c r="L68" s="9"/>
      <c r="M68" s="9"/>
      <c r="N68" s="9"/>
      <c r="O68" s="189"/>
      <c r="P68" s="9"/>
      <c r="Q68" s="9"/>
      <c r="R68" s="9">
        <f t="shared" si="1"/>
        <v>0</v>
      </c>
    </row>
    <row r="69" spans="1:18" ht="18" customHeight="1">
      <c r="A69" s="8" t="s">
        <v>30</v>
      </c>
      <c r="B69" s="8" t="s">
        <v>197</v>
      </c>
      <c r="C69" s="159">
        <v>8209020109</v>
      </c>
      <c r="D69" s="8" t="s">
        <v>214</v>
      </c>
      <c r="E69" s="8" t="s">
        <v>215</v>
      </c>
      <c r="F69" s="9"/>
      <c r="G69" s="9"/>
      <c r="H69" s="9"/>
      <c r="I69" s="9"/>
      <c r="J69" s="9"/>
      <c r="K69" s="9"/>
      <c r="L69" s="9"/>
      <c r="M69" s="9"/>
      <c r="N69" s="9"/>
      <c r="O69" s="189"/>
      <c r="P69" s="9"/>
      <c r="Q69" s="9"/>
      <c r="R69" s="11">
        <f t="shared" si="1"/>
        <v>0</v>
      </c>
    </row>
    <row r="70" spans="1:18">
      <c r="A70" s="8" t="s">
        <v>30</v>
      </c>
      <c r="B70" s="8" t="s">
        <v>197</v>
      </c>
      <c r="C70" s="8">
        <v>8209020110</v>
      </c>
      <c r="D70" s="8" t="s">
        <v>216</v>
      </c>
      <c r="E70" s="8" t="s">
        <v>474</v>
      </c>
      <c r="F70" s="9"/>
      <c r="G70" s="9"/>
      <c r="H70" s="9"/>
      <c r="I70" s="9"/>
      <c r="J70" s="9"/>
      <c r="K70" s="9"/>
      <c r="L70" s="9"/>
      <c r="M70" s="9"/>
      <c r="N70" s="9"/>
      <c r="O70" s="189"/>
      <c r="P70" s="9"/>
      <c r="Q70" s="9"/>
      <c r="R70" s="9">
        <f t="shared" si="1"/>
        <v>0</v>
      </c>
    </row>
    <row r="71" spans="1:18">
      <c r="A71" s="8" t="s">
        <v>30</v>
      </c>
      <c r="B71" s="8" t="s">
        <v>217</v>
      </c>
      <c r="C71" s="8">
        <v>8209030101</v>
      </c>
      <c r="D71" s="8" t="s">
        <v>218</v>
      </c>
      <c r="E71" s="8" t="s">
        <v>219</v>
      </c>
      <c r="F71" s="9"/>
      <c r="G71" s="9"/>
      <c r="H71" s="9"/>
      <c r="I71" s="9"/>
      <c r="J71" s="9"/>
      <c r="K71" s="9"/>
      <c r="L71" s="9"/>
      <c r="M71" s="9"/>
      <c r="N71" s="9"/>
      <c r="O71" s="189"/>
      <c r="P71" s="9"/>
      <c r="Q71" s="9"/>
      <c r="R71" s="9">
        <f t="shared" si="1"/>
        <v>0</v>
      </c>
    </row>
    <row r="72" spans="1:18">
      <c r="A72" s="8" t="s">
        <v>17</v>
      </c>
      <c r="B72" s="8" t="s">
        <v>220</v>
      </c>
      <c r="C72" s="8">
        <v>8010010101</v>
      </c>
      <c r="D72" s="8" t="s">
        <v>221</v>
      </c>
      <c r="E72" s="8" t="s">
        <v>222</v>
      </c>
      <c r="F72" s="9"/>
      <c r="G72" s="9"/>
      <c r="H72" s="9"/>
      <c r="I72" s="9"/>
      <c r="J72" s="9"/>
      <c r="K72" s="9"/>
      <c r="L72" s="9"/>
      <c r="M72" s="9"/>
      <c r="N72" s="9"/>
      <c r="O72" s="189"/>
      <c r="P72" s="9"/>
      <c r="Q72" s="9"/>
      <c r="R72" s="9">
        <f t="shared" si="1"/>
        <v>0</v>
      </c>
    </row>
    <row r="73" spans="1:18">
      <c r="A73" s="8" t="s">
        <v>17</v>
      </c>
      <c r="B73" s="8" t="s">
        <v>223</v>
      </c>
      <c r="C73" s="8">
        <v>8010020101</v>
      </c>
      <c r="D73" s="8" t="s">
        <v>224</v>
      </c>
      <c r="E73" s="8" t="s">
        <v>225</v>
      </c>
      <c r="F73" s="9"/>
      <c r="G73" s="9"/>
      <c r="H73" s="9"/>
      <c r="I73" s="9"/>
      <c r="J73" s="9"/>
      <c r="K73" s="9"/>
      <c r="L73" s="9"/>
      <c r="M73" s="9"/>
      <c r="N73" s="9"/>
      <c r="O73" s="189"/>
      <c r="P73" s="9"/>
      <c r="Q73" s="9"/>
      <c r="R73" s="9">
        <f t="shared" si="1"/>
        <v>0</v>
      </c>
    </row>
    <row r="74" spans="1:18">
      <c r="A74" s="8" t="s">
        <v>17</v>
      </c>
      <c r="B74" s="8" t="s">
        <v>226</v>
      </c>
      <c r="C74" s="8">
        <v>8010030101</v>
      </c>
      <c r="D74" s="8" t="s">
        <v>227</v>
      </c>
      <c r="E74" s="8" t="s">
        <v>228</v>
      </c>
      <c r="F74" s="9"/>
      <c r="G74" s="9"/>
      <c r="H74" s="9"/>
      <c r="I74" s="9"/>
      <c r="J74" s="9"/>
      <c r="K74" s="9"/>
      <c r="L74" s="9"/>
      <c r="M74" s="9"/>
      <c r="N74" s="9"/>
      <c r="O74" s="189"/>
      <c r="P74" s="9"/>
      <c r="Q74" s="9"/>
      <c r="R74" s="9">
        <f t="shared" si="1"/>
        <v>0</v>
      </c>
    </row>
    <row r="75" spans="1:18">
      <c r="A75" s="8" t="s">
        <v>17</v>
      </c>
      <c r="B75" s="8" t="s">
        <v>229</v>
      </c>
      <c r="C75" s="8">
        <v>8010080101</v>
      </c>
      <c r="D75" s="8" t="s">
        <v>230</v>
      </c>
      <c r="E75" s="8" t="s">
        <v>231</v>
      </c>
      <c r="F75" s="9"/>
      <c r="G75" s="9"/>
      <c r="H75" s="9"/>
      <c r="I75" s="9"/>
      <c r="J75" s="9"/>
      <c r="K75" s="9"/>
      <c r="L75" s="9"/>
      <c r="M75" s="9"/>
      <c r="N75" s="9"/>
      <c r="O75" s="189"/>
      <c r="P75" s="9"/>
      <c r="Q75" s="9"/>
      <c r="R75" s="9">
        <f t="shared" si="1"/>
        <v>0</v>
      </c>
    </row>
    <row r="76" spans="1:18">
      <c r="A76" s="8" t="s">
        <v>17</v>
      </c>
      <c r="B76" s="8" t="s">
        <v>232</v>
      </c>
      <c r="C76" s="8">
        <v>8010040101</v>
      </c>
      <c r="D76" s="8" t="s">
        <v>233</v>
      </c>
      <c r="E76" s="8" t="s">
        <v>234</v>
      </c>
      <c r="F76" s="9"/>
      <c r="G76" s="9"/>
      <c r="H76" s="9"/>
      <c r="I76" s="9"/>
      <c r="J76" s="9"/>
      <c r="K76" s="9"/>
      <c r="L76" s="9"/>
      <c r="M76" s="9"/>
      <c r="N76" s="9"/>
      <c r="O76" s="189"/>
      <c r="P76" s="9"/>
      <c r="Q76" s="9"/>
      <c r="R76" s="9">
        <f t="shared" si="1"/>
        <v>0</v>
      </c>
    </row>
    <row r="77" spans="1:18">
      <c r="A77" s="8" t="s">
        <v>17</v>
      </c>
      <c r="B77" s="8" t="s">
        <v>232</v>
      </c>
      <c r="C77" s="8">
        <v>8010040102</v>
      </c>
      <c r="D77" s="8" t="s">
        <v>235</v>
      </c>
      <c r="E77" s="8" t="s">
        <v>236</v>
      </c>
      <c r="F77" s="9"/>
      <c r="G77" s="9"/>
      <c r="H77" s="9"/>
      <c r="I77" s="9"/>
      <c r="J77" s="9"/>
      <c r="K77" s="9"/>
      <c r="L77" s="9"/>
      <c r="M77" s="9"/>
      <c r="N77" s="9"/>
      <c r="O77" s="189"/>
      <c r="P77" s="9"/>
      <c r="Q77" s="9"/>
      <c r="R77" s="9">
        <f t="shared" si="1"/>
        <v>0</v>
      </c>
    </row>
    <row r="78" spans="1:18">
      <c r="A78" s="8" t="s">
        <v>17</v>
      </c>
      <c r="B78" s="8" t="s">
        <v>232</v>
      </c>
      <c r="C78" s="8">
        <v>8010040103</v>
      </c>
      <c r="D78" s="8" t="s">
        <v>237</v>
      </c>
      <c r="E78" s="8" t="s">
        <v>238</v>
      </c>
      <c r="F78" s="9"/>
      <c r="G78" s="9"/>
      <c r="H78" s="9"/>
      <c r="I78" s="9"/>
      <c r="J78" s="9"/>
      <c r="K78" s="9"/>
      <c r="L78" s="9"/>
      <c r="M78" s="9"/>
      <c r="N78" s="9"/>
      <c r="O78" s="189"/>
      <c r="P78" s="9"/>
      <c r="Q78" s="9"/>
      <c r="R78" s="9">
        <f t="shared" si="1"/>
        <v>0</v>
      </c>
    </row>
    <row r="79" spans="1:18">
      <c r="A79" s="8" t="s">
        <v>17</v>
      </c>
      <c r="B79" s="8" t="s">
        <v>232</v>
      </c>
      <c r="C79" s="8">
        <v>8010040104</v>
      </c>
      <c r="D79" s="8" t="s">
        <v>239</v>
      </c>
      <c r="E79" s="8" t="s">
        <v>240</v>
      </c>
      <c r="F79" s="9"/>
      <c r="G79" s="9"/>
      <c r="H79" s="9"/>
      <c r="I79" s="9"/>
      <c r="J79" s="9"/>
      <c r="K79" s="9"/>
      <c r="L79" s="9"/>
      <c r="M79" s="9"/>
      <c r="N79" s="9"/>
      <c r="O79" s="189"/>
      <c r="P79" s="9"/>
      <c r="Q79" s="9"/>
      <c r="R79" s="9">
        <f t="shared" si="1"/>
        <v>0</v>
      </c>
    </row>
    <row r="80" spans="1:18">
      <c r="A80" s="8" t="s">
        <v>17</v>
      </c>
      <c r="B80" s="8" t="s">
        <v>232</v>
      </c>
      <c r="C80" s="8">
        <v>8010040105</v>
      </c>
      <c r="D80" s="8" t="s">
        <v>241</v>
      </c>
      <c r="E80" s="8" t="s">
        <v>242</v>
      </c>
      <c r="F80" s="9"/>
      <c r="G80" s="9"/>
      <c r="H80" s="9"/>
      <c r="I80" s="9"/>
      <c r="J80" s="9"/>
      <c r="K80" s="9"/>
      <c r="L80" s="9"/>
      <c r="M80" s="9"/>
      <c r="N80" s="9"/>
      <c r="O80" s="189"/>
      <c r="P80" s="9"/>
      <c r="Q80" s="9"/>
      <c r="R80" s="9">
        <f t="shared" si="1"/>
        <v>0</v>
      </c>
    </row>
    <row r="81" spans="1:18">
      <c r="A81" s="8" t="s">
        <v>17</v>
      </c>
      <c r="B81" s="8" t="s">
        <v>243</v>
      </c>
      <c r="C81" s="8">
        <v>8010050101</v>
      </c>
      <c r="D81" s="8" t="s">
        <v>244</v>
      </c>
      <c r="E81" s="8" t="s">
        <v>245</v>
      </c>
      <c r="F81" s="9"/>
      <c r="G81" s="9"/>
      <c r="H81" s="9"/>
      <c r="I81" s="9"/>
      <c r="J81" s="9"/>
      <c r="K81" s="9"/>
      <c r="L81" s="9"/>
      <c r="M81" s="9"/>
      <c r="N81" s="9"/>
      <c r="O81" s="189"/>
      <c r="P81" s="9"/>
      <c r="Q81" s="9"/>
      <c r="R81" s="9">
        <f t="shared" si="1"/>
        <v>0</v>
      </c>
    </row>
    <row r="82" spans="1:18">
      <c r="A82" s="8" t="s">
        <v>17</v>
      </c>
      <c r="B82" s="8" t="s">
        <v>243</v>
      </c>
      <c r="C82" s="8">
        <v>8010050102</v>
      </c>
      <c r="D82" s="8" t="s">
        <v>246</v>
      </c>
      <c r="E82" s="8" t="s">
        <v>247</v>
      </c>
      <c r="F82" s="9"/>
      <c r="G82" s="9"/>
      <c r="H82" s="9"/>
      <c r="I82" s="9"/>
      <c r="J82" s="9"/>
      <c r="K82" s="9"/>
      <c r="L82" s="9"/>
      <c r="M82" s="9"/>
      <c r="N82" s="9"/>
      <c r="O82" s="189"/>
      <c r="P82" s="9"/>
      <c r="Q82" s="9"/>
      <c r="R82" s="9">
        <f t="shared" si="1"/>
        <v>0</v>
      </c>
    </row>
    <row r="83" spans="1:18">
      <c r="A83" s="8" t="s">
        <v>17</v>
      </c>
      <c r="B83" s="8" t="s">
        <v>248</v>
      </c>
      <c r="C83" s="8">
        <v>8010060101</v>
      </c>
      <c r="D83" s="8" t="s">
        <v>249</v>
      </c>
      <c r="E83" s="8" t="s">
        <v>250</v>
      </c>
      <c r="F83" s="9"/>
      <c r="G83" s="9"/>
      <c r="H83" s="9"/>
      <c r="I83" s="9"/>
      <c r="J83" s="9"/>
      <c r="K83" s="9"/>
      <c r="L83" s="9"/>
      <c r="M83" s="9"/>
      <c r="N83" s="9"/>
      <c r="O83" s="189"/>
      <c r="P83" s="9"/>
      <c r="Q83" s="9"/>
      <c r="R83" s="9">
        <f t="shared" si="1"/>
        <v>0</v>
      </c>
    </row>
    <row r="84" spans="1:18">
      <c r="A84" s="8" t="s">
        <v>17</v>
      </c>
      <c r="B84" s="8" t="s">
        <v>251</v>
      </c>
      <c r="C84" s="8">
        <v>8010070101</v>
      </c>
      <c r="D84" s="8" t="s">
        <v>252</v>
      </c>
      <c r="E84" s="8" t="s">
        <v>253</v>
      </c>
      <c r="F84" s="9"/>
      <c r="G84" s="9"/>
      <c r="H84" s="9"/>
      <c r="I84" s="9"/>
      <c r="J84" s="9"/>
      <c r="K84" s="9"/>
      <c r="L84" s="9"/>
      <c r="M84" s="9"/>
      <c r="N84" s="9"/>
      <c r="O84" s="189"/>
      <c r="P84" s="9"/>
      <c r="Q84" s="9"/>
      <c r="R84" s="9">
        <f t="shared" si="1"/>
        <v>0</v>
      </c>
    </row>
    <row r="85" spans="1:18">
      <c r="A85" s="8" t="s">
        <v>16</v>
      </c>
      <c r="B85" s="8" t="s">
        <v>254</v>
      </c>
      <c r="C85" s="8">
        <v>8011010101</v>
      </c>
      <c r="D85" s="8" t="s">
        <v>255</v>
      </c>
      <c r="E85" s="8" t="s">
        <v>256</v>
      </c>
      <c r="F85" s="9"/>
      <c r="G85" s="9"/>
      <c r="H85" s="9"/>
      <c r="I85" s="9"/>
      <c r="J85" s="9"/>
      <c r="K85" s="9"/>
      <c r="L85" s="9"/>
      <c r="M85" s="9"/>
      <c r="N85" s="9"/>
      <c r="O85" s="189"/>
      <c r="P85" s="9"/>
      <c r="Q85" s="9"/>
      <c r="R85" s="9">
        <f t="shared" si="1"/>
        <v>0</v>
      </c>
    </row>
    <row r="86" spans="1:18">
      <c r="A86" s="8" t="s">
        <v>16</v>
      </c>
      <c r="B86" s="8" t="s">
        <v>257</v>
      </c>
      <c r="C86" s="8">
        <v>8011020101</v>
      </c>
      <c r="D86" s="8" t="s">
        <v>258</v>
      </c>
      <c r="E86" s="8" t="s">
        <v>259</v>
      </c>
      <c r="F86" s="9"/>
      <c r="G86" s="9"/>
      <c r="H86" s="9"/>
      <c r="I86" s="9"/>
      <c r="J86" s="9"/>
      <c r="K86" s="9"/>
      <c r="L86" s="9"/>
      <c r="M86" s="9"/>
      <c r="N86" s="9"/>
      <c r="O86" s="189"/>
      <c r="P86" s="9"/>
      <c r="Q86" s="9"/>
      <c r="R86" s="9">
        <f t="shared" si="1"/>
        <v>0</v>
      </c>
    </row>
    <row r="87" spans="1:18">
      <c r="A87" s="8" t="s">
        <v>16</v>
      </c>
      <c r="B87" s="8" t="s">
        <v>260</v>
      </c>
      <c r="C87" s="8">
        <v>8011030101</v>
      </c>
      <c r="D87" s="8" t="s">
        <v>261</v>
      </c>
      <c r="E87" s="8" t="s">
        <v>262</v>
      </c>
      <c r="F87" s="9"/>
      <c r="G87" s="9"/>
      <c r="H87" s="9"/>
      <c r="I87" s="9"/>
      <c r="J87" s="9"/>
      <c r="K87" s="9"/>
      <c r="L87" s="9"/>
      <c r="M87" s="9"/>
      <c r="N87" s="9"/>
      <c r="O87" s="189"/>
      <c r="P87" s="9"/>
      <c r="Q87" s="9"/>
      <c r="R87" s="9">
        <f t="shared" si="1"/>
        <v>0</v>
      </c>
    </row>
    <row r="88" spans="1:18">
      <c r="A88" s="8" t="s">
        <v>16</v>
      </c>
      <c r="B88" s="8" t="s">
        <v>263</v>
      </c>
      <c r="C88" s="8">
        <v>8011040101</v>
      </c>
      <c r="D88" s="8" t="s">
        <v>264</v>
      </c>
      <c r="E88" s="8" t="s">
        <v>265</v>
      </c>
      <c r="F88" s="9"/>
      <c r="G88" s="9"/>
      <c r="H88" s="9"/>
      <c r="I88" s="9"/>
      <c r="J88" s="9"/>
      <c r="K88" s="9"/>
      <c r="L88" s="9"/>
      <c r="M88" s="9"/>
      <c r="N88" s="9"/>
      <c r="O88" s="189"/>
      <c r="P88" s="9"/>
      <c r="Q88" s="9"/>
      <c r="R88" s="9">
        <f t="shared" si="1"/>
        <v>0</v>
      </c>
    </row>
    <row r="89" spans="1:18">
      <c r="A89" s="8" t="s">
        <v>16</v>
      </c>
      <c r="B89" s="8" t="s">
        <v>266</v>
      </c>
      <c r="C89" s="8">
        <v>8011050101</v>
      </c>
      <c r="D89" s="8" t="s">
        <v>267</v>
      </c>
      <c r="E89" s="8" t="s">
        <v>268</v>
      </c>
      <c r="F89" s="9"/>
      <c r="G89" s="9"/>
      <c r="H89" s="9"/>
      <c r="I89" s="9"/>
      <c r="J89" s="9"/>
      <c r="K89" s="9"/>
      <c r="L89" s="9"/>
      <c r="M89" s="9"/>
      <c r="N89" s="9"/>
      <c r="O89" s="189"/>
      <c r="P89" s="9"/>
      <c r="Q89" s="9"/>
      <c r="R89" s="9">
        <f t="shared" si="1"/>
        <v>0</v>
      </c>
    </row>
    <row r="90" spans="1:18">
      <c r="A90" s="8" t="s">
        <v>16</v>
      </c>
      <c r="B90" s="8" t="s">
        <v>269</v>
      </c>
      <c r="C90" s="8">
        <v>8011060101</v>
      </c>
      <c r="D90" s="8" t="s">
        <v>270</v>
      </c>
      <c r="E90" s="8" t="s">
        <v>271</v>
      </c>
      <c r="F90" s="9"/>
      <c r="G90" s="9"/>
      <c r="H90" s="9"/>
      <c r="I90" s="9"/>
      <c r="J90" s="9"/>
      <c r="K90" s="9"/>
      <c r="L90" s="9"/>
      <c r="M90" s="9"/>
      <c r="N90" s="9"/>
      <c r="O90" s="189"/>
      <c r="P90" s="9"/>
      <c r="Q90" s="9"/>
      <c r="R90" s="9">
        <f t="shared" si="1"/>
        <v>0</v>
      </c>
    </row>
    <row r="91" spans="1:18">
      <c r="A91" s="8" t="s">
        <v>16</v>
      </c>
      <c r="B91" s="8" t="s">
        <v>272</v>
      </c>
      <c r="C91" s="8">
        <v>8011070101</v>
      </c>
      <c r="D91" s="8" t="s">
        <v>273</v>
      </c>
      <c r="E91" s="8" t="s">
        <v>274</v>
      </c>
      <c r="F91" s="9"/>
      <c r="G91" s="9"/>
      <c r="H91" s="9"/>
      <c r="I91" s="9"/>
      <c r="J91" s="9"/>
      <c r="K91" s="9"/>
      <c r="L91" s="9"/>
      <c r="M91" s="9"/>
      <c r="N91" s="9"/>
      <c r="O91" s="189"/>
      <c r="P91" s="9"/>
      <c r="Q91" s="9"/>
      <c r="R91" s="9">
        <f t="shared" si="1"/>
        <v>0</v>
      </c>
    </row>
    <row r="92" spans="1:18" ht="18" customHeight="1">
      <c r="A92" s="8" t="s">
        <v>15</v>
      </c>
      <c r="B92" s="8" t="s">
        <v>275</v>
      </c>
      <c r="C92" s="159">
        <v>8212010101</v>
      </c>
      <c r="D92" s="8" t="s">
        <v>276</v>
      </c>
      <c r="E92" s="8" t="s">
        <v>277</v>
      </c>
      <c r="F92" s="9"/>
      <c r="G92" s="9"/>
      <c r="H92" s="9"/>
      <c r="I92" s="9"/>
      <c r="J92" s="9"/>
      <c r="K92" s="9"/>
      <c r="L92" s="9"/>
      <c r="M92" s="9"/>
      <c r="N92" s="9"/>
      <c r="O92" s="189"/>
      <c r="P92" s="9"/>
      <c r="Q92" s="9"/>
      <c r="R92" s="11">
        <f t="shared" si="1"/>
        <v>0</v>
      </c>
    </row>
    <row r="93" spans="1:18">
      <c r="A93" s="8" t="s">
        <v>15</v>
      </c>
      <c r="B93" s="8" t="s">
        <v>278</v>
      </c>
      <c r="C93" s="159">
        <v>8212020101</v>
      </c>
      <c r="D93" s="8" t="s">
        <v>279</v>
      </c>
      <c r="E93" s="8" t="s">
        <v>280</v>
      </c>
      <c r="F93" s="9"/>
      <c r="G93" s="9"/>
      <c r="H93" s="9"/>
      <c r="I93" s="9"/>
      <c r="J93" s="9"/>
      <c r="K93" s="9"/>
      <c r="L93" s="9"/>
      <c r="M93" s="9"/>
      <c r="N93" s="9"/>
      <c r="O93" s="189"/>
      <c r="P93" s="9"/>
      <c r="Q93" s="9"/>
      <c r="R93" s="9">
        <f t="shared" si="1"/>
        <v>0</v>
      </c>
    </row>
    <row r="94" spans="1:18">
      <c r="A94" s="8" t="s">
        <v>12</v>
      </c>
      <c r="B94" s="8" t="s">
        <v>281</v>
      </c>
      <c r="C94" s="159">
        <v>8213010101</v>
      </c>
      <c r="D94" s="8" t="s">
        <v>282</v>
      </c>
      <c r="E94" s="8" t="s">
        <v>283</v>
      </c>
      <c r="F94" s="9"/>
      <c r="G94" s="9"/>
      <c r="H94" s="9"/>
      <c r="I94" s="9"/>
      <c r="J94" s="9"/>
      <c r="K94" s="9"/>
      <c r="L94" s="9"/>
      <c r="M94" s="9"/>
      <c r="N94" s="9"/>
      <c r="O94" s="189"/>
      <c r="P94" s="9"/>
      <c r="Q94" s="9"/>
      <c r="R94" s="9">
        <f t="shared" si="1"/>
        <v>0</v>
      </c>
    </row>
    <row r="95" spans="1:18">
      <c r="A95" s="8" t="s">
        <v>12</v>
      </c>
      <c r="B95" s="8" t="s">
        <v>284</v>
      </c>
      <c r="C95" s="159">
        <v>8213010102</v>
      </c>
      <c r="D95" s="8" t="s">
        <v>285</v>
      </c>
      <c r="E95" s="8" t="s">
        <v>286</v>
      </c>
      <c r="F95" s="9"/>
      <c r="G95" s="9"/>
      <c r="H95" s="9"/>
      <c r="I95" s="9"/>
      <c r="J95" s="9"/>
      <c r="K95" s="9"/>
      <c r="L95" s="9"/>
      <c r="M95" s="9"/>
      <c r="N95" s="9"/>
      <c r="O95" s="189"/>
      <c r="P95" s="9"/>
      <c r="Q95" s="9"/>
      <c r="R95" s="9">
        <f t="shared" si="1"/>
        <v>0</v>
      </c>
    </row>
    <row r="96" spans="1:18">
      <c r="A96" s="8" t="s">
        <v>12</v>
      </c>
      <c r="B96" s="8" t="s">
        <v>287</v>
      </c>
      <c r="C96" s="159">
        <v>8213010103</v>
      </c>
      <c r="D96" s="8" t="s">
        <v>288</v>
      </c>
      <c r="E96" s="8" t="s">
        <v>289</v>
      </c>
      <c r="F96" s="9"/>
      <c r="G96" s="9"/>
      <c r="H96" s="9"/>
      <c r="I96" s="9"/>
      <c r="J96" s="9"/>
      <c r="K96" s="9"/>
      <c r="L96" s="9"/>
      <c r="M96" s="9"/>
      <c r="N96" s="9"/>
      <c r="O96" s="189"/>
      <c r="P96" s="9"/>
      <c r="Q96" s="9"/>
      <c r="R96" s="9">
        <f t="shared" si="1"/>
        <v>0</v>
      </c>
    </row>
    <row r="97" spans="1:18">
      <c r="A97" s="8" t="s">
        <v>12</v>
      </c>
      <c r="B97" s="8" t="s">
        <v>290</v>
      </c>
      <c r="C97" s="159">
        <v>8213010104</v>
      </c>
      <c r="D97" s="8" t="s">
        <v>291</v>
      </c>
      <c r="E97" s="8" t="s">
        <v>292</v>
      </c>
      <c r="F97" s="9"/>
      <c r="G97" s="9"/>
      <c r="H97" s="9"/>
      <c r="I97" s="9"/>
      <c r="J97" s="9"/>
      <c r="K97" s="9"/>
      <c r="L97" s="9"/>
      <c r="M97" s="9"/>
      <c r="N97" s="9"/>
      <c r="O97" s="189"/>
      <c r="P97" s="9"/>
      <c r="Q97" s="9"/>
      <c r="R97" s="9">
        <f t="shared" si="1"/>
        <v>0</v>
      </c>
    </row>
    <row r="98" spans="1:18" ht="18" customHeight="1">
      <c r="A98" s="8" t="s">
        <v>293</v>
      </c>
      <c r="B98" s="8"/>
      <c r="C98" s="159">
        <v>8015010101</v>
      </c>
      <c r="D98" s="8" t="s">
        <v>293</v>
      </c>
      <c r="E98" s="8" t="s">
        <v>294</v>
      </c>
      <c r="F98" s="9">
        <v>1.9397000000000001E-2</v>
      </c>
      <c r="G98" s="9">
        <v>1.9396E-2</v>
      </c>
      <c r="H98" s="9"/>
      <c r="I98" s="9"/>
      <c r="J98" s="9"/>
      <c r="K98" s="9"/>
      <c r="L98" s="9"/>
      <c r="M98" s="9"/>
      <c r="N98" s="9"/>
      <c r="O98" s="189"/>
      <c r="P98" s="9"/>
      <c r="Q98" s="9"/>
      <c r="R98" s="11">
        <f t="shared" si="1"/>
        <v>3.8793000000000001E-2</v>
      </c>
    </row>
    <row r="99" spans="1:18">
      <c r="A99" s="8" t="s">
        <v>295</v>
      </c>
      <c r="B99" s="8" t="s">
        <v>296</v>
      </c>
      <c r="C99" s="159">
        <v>8015020101</v>
      </c>
      <c r="D99" s="8" t="s">
        <v>297</v>
      </c>
      <c r="E99" s="8" t="s">
        <v>298</v>
      </c>
      <c r="F99" s="9"/>
      <c r="G99" s="9"/>
      <c r="H99" s="9"/>
      <c r="I99" s="9"/>
      <c r="J99" s="9"/>
      <c r="K99" s="9"/>
      <c r="L99" s="9"/>
      <c r="M99" s="9"/>
      <c r="N99" s="9"/>
      <c r="O99" s="189"/>
      <c r="P99" s="9"/>
      <c r="Q99" s="9"/>
      <c r="R99" s="9">
        <f t="shared" si="1"/>
        <v>0</v>
      </c>
    </row>
    <row r="100" spans="1:18">
      <c r="A100" s="8" t="s">
        <v>295</v>
      </c>
      <c r="B100" s="8" t="s">
        <v>299</v>
      </c>
      <c r="C100" s="8">
        <v>8015020102</v>
      </c>
      <c r="D100" s="8" t="s">
        <v>300</v>
      </c>
      <c r="E100" s="8" t="s">
        <v>301</v>
      </c>
      <c r="F100" s="9"/>
      <c r="G100" s="9"/>
      <c r="H100" s="9"/>
      <c r="I100" s="9"/>
      <c r="J100" s="9"/>
      <c r="K100" s="9"/>
      <c r="L100" s="9"/>
      <c r="M100" s="9"/>
      <c r="N100" s="9"/>
      <c r="O100" s="189"/>
      <c r="P100" s="9"/>
      <c r="Q100" s="9"/>
      <c r="R100" s="9">
        <f t="shared" si="1"/>
        <v>0</v>
      </c>
    </row>
    <row r="101" spans="1:18">
      <c r="A101" s="8" t="s">
        <v>295</v>
      </c>
      <c r="B101" s="8" t="s">
        <v>302</v>
      </c>
      <c r="C101" s="8">
        <v>8015020103</v>
      </c>
      <c r="D101" s="8" t="s">
        <v>303</v>
      </c>
      <c r="E101" s="8" t="s">
        <v>304</v>
      </c>
      <c r="F101" s="9"/>
      <c r="G101" s="9"/>
      <c r="H101" s="9"/>
      <c r="I101" s="9"/>
      <c r="J101" s="9"/>
      <c r="K101" s="9"/>
      <c r="L101" s="9"/>
      <c r="M101" s="9"/>
      <c r="N101" s="9"/>
      <c r="O101" s="189"/>
      <c r="P101" s="9"/>
      <c r="Q101" s="9"/>
      <c r="R101" s="9">
        <f t="shared" si="1"/>
        <v>0</v>
      </c>
    </row>
    <row r="102" spans="1:18">
      <c r="A102" s="8" t="s">
        <v>295</v>
      </c>
      <c r="B102" s="8" t="s">
        <v>305</v>
      </c>
      <c r="C102" s="8">
        <v>8015020104</v>
      </c>
      <c r="D102" s="8" t="s">
        <v>306</v>
      </c>
      <c r="E102" s="8" t="s">
        <v>307</v>
      </c>
      <c r="F102" s="9"/>
      <c r="G102" s="9"/>
      <c r="H102" s="9"/>
      <c r="I102" s="9"/>
      <c r="J102" s="9"/>
      <c r="K102" s="9"/>
      <c r="L102" s="9"/>
      <c r="M102" s="9"/>
      <c r="N102" s="9"/>
      <c r="O102" s="189"/>
      <c r="P102" s="9"/>
      <c r="Q102" s="9"/>
      <c r="R102" s="9">
        <f t="shared" si="1"/>
        <v>0</v>
      </c>
    </row>
    <row r="103" spans="1:18">
      <c r="A103" s="8" t="s">
        <v>295</v>
      </c>
      <c r="B103" s="8" t="s">
        <v>308</v>
      </c>
      <c r="C103" s="8">
        <v>8015020105</v>
      </c>
      <c r="D103" s="8" t="s">
        <v>309</v>
      </c>
      <c r="E103" s="8" t="s">
        <v>310</v>
      </c>
      <c r="F103" s="9"/>
      <c r="G103" s="9"/>
      <c r="H103" s="9"/>
      <c r="I103" s="9"/>
      <c r="J103" s="9"/>
      <c r="K103" s="9"/>
      <c r="L103" s="9"/>
      <c r="M103" s="9"/>
      <c r="N103" s="9"/>
      <c r="O103" s="189"/>
      <c r="P103" s="9"/>
      <c r="Q103" s="9"/>
      <c r="R103" s="9">
        <f t="shared" si="1"/>
        <v>0</v>
      </c>
    </row>
    <row r="104" spans="1:18">
      <c r="A104" s="8" t="s">
        <v>295</v>
      </c>
      <c r="B104" s="8" t="s">
        <v>311</v>
      </c>
      <c r="C104" s="8">
        <v>8015020107</v>
      </c>
      <c r="D104" s="8" t="s">
        <v>312</v>
      </c>
      <c r="E104" s="8" t="s">
        <v>313</v>
      </c>
      <c r="F104" s="9"/>
      <c r="G104" s="9"/>
      <c r="H104" s="9"/>
      <c r="I104" s="9"/>
      <c r="J104" s="9"/>
      <c r="K104" s="9"/>
      <c r="L104" s="9"/>
      <c r="M104" s="9"/>
      <c r="N104" s="9"/>
      <c r="O104" s="189"/>
      <c r="P104" s="9"/>
      <c r="Q104" s="9"/>
      <c r="R104" s="9">
        <f t="shared" si="1"/>
        <v>0</v>
      </c>
    </row>
    <row r="105" spans="1:18">
      <c r="A105" s="8" t="s">
        <v>314</v>
      </c>
      <c r="B105" s="8" t="s">
        <v>315</v>
      </c>
      <c r="C105" s="8">
        <v>8015030101</v>
      </c>
      <c r="D105" s="8" t="s">
        <v>316</v>
      </c>
      <c r="E105" s="8" t="s">
        <v>317</v>
      </c>
      <c r="F105" s="9"/>
      <c r="G105" s="9"/>
      <c r="H105" s="9"/>
      <c r="I105" s="9"/>
      <c r="J105" s="9"/>
      <c r="K105" s="9"/>
      <c r="L105" s="9"/>
      <c r="M105" s="9"/>
      <c r="N105" s="9"/>
      <c r="O105" s="189"/>
      <c r="P105" s="9"/>
      <c r="Q105" s="9"/>
      <c r="R105" s="9">
        <f t="shared" si="1"/>
        <v>0</v>
      </c>
    </row>
    <row r="106" spans="1:18">
      <c r="A106" s="8" t="s">
        <v>314</v>
      </c>
      <c r="B106" s="8" t="s">
        <v>318</v>
      </c>
      <c r="C106" s="8">
        <v>8015030102</v>
      </c>
      <c r="D106" s="8" t="s">
        <v>319</v>
      </c>
      <c r="E106" s="8" t="s">
        <v>320</v>
      </c>
      <c r="F106" s="9"/>
      <c r="G106" s="9"/>
      <c r="H106" s="9"/>
      <c r="I106" s="9"/>
      <c r="J106" s="9"/>
      <c r="K106" s="9"/>
      <c r="L106" s="9"/>
      <c r="M106" s="9"/>
      <c r="N106" s="9"/>
      <c r="O106" s="189"/>
      <c r="P106" s="9"/>
      <c r="Q106" s="9"/>
      <c r="R106" s="9">
        <f t="shared" si="1"/>
        <v>0</v>
      </c>
    </row>
    <row r="107" spans="1:18">
      <c r="A107" s="8" t="s">
        <v>314</v>
      </c>
      <c r="B107" s="8" t="s">
        <v>321</v>
      </c>
      <c r="C107" s="8">
        <v>8015030103</v>
      </c>
      <c r="D107" s="8" t="s">
        <v>322</v>
      </c>
      <c r="E107" s="8" t="s">
        <v>323</v>
      </c>
      <c r="F107" s="9"/>
      <c r="G107" s="9"/>
      <c r="H107" s="9"/>
      <c r="I107" s="9"/>
      <c r="J107" s="9"/>
      <c r="K107" s="9"/>
      <c r="L107" s="9"/>
      <c r="M107" s="9"/>
      <c r="N107" s="9"/>
      <c r="O107" s="189"/>
      <c r="P107" s="9"/>
      <c r="Q107" s="9"/>
      <c r="R107" s="9">
        <f t="shared" si="1"/>
        <v>0</v>
      </c>
    </row>
    <row r="108" spans="1:18">
      <c r="A108" s="8" t="s">
        <v>314</v>
      </c>
      <c r="B108" s="8" t="s">
        <v>324</v>
      </c>
      <c r="C108" s="8">
        <v>8015030104</v>
      </c>
      <c r="D108" s="8" t="s">
        <v>325</v>
      </c>
      <c r="E108" s="8" t="s">
        <v>326</v>
      </c>
      <c r="F108" s="9"/>
      <c r="G108" s="9"/>
      <c r="H108" s="9"/>
      <c r="I108" s="9"/>
      <c r="J108" s="9"/>
      <c r="K108" s="9"/>
      <c r="L108" s="9"/>
      <c r="M108" s="9"/>
      <c r="N108" s="9"/>
      <c r="O108" s="189"/>
      <c r="P108" s="9"/>
      <c r="Q108" s="9"/>
      <c r="R108" s="9">
        <f t="shared" si="1"/>
        <v>0</v>
      </c>
    </row>
    <row r="109" spans="1:18">
      <c r="A109" s="8" t="s">
        <v>314</v>
      </c>
      <c r="B109" s="8" t="s">
        <v>327</v>
      </c>
      <c r="C109" s="8">
        <v>8015030105</v>
      </c>
      <c r="D109" s="8" t="s">
        <v>328</v>
      </c>
      <c r="E109" s="8" t="s">
        <v>329</v>
      </c>
      <c r="F109" s="9"/>
      <c r="G109" s="9"/>
      <c r="H109" s="9"/>
      <c r="I109" s="9"/>
      <c r="J109" s="9"/>
      <c r="K109" s="9"/>
      <c r="L109" s="9"/>
      <c r="M109" s="9"/>
      <c r="N109" s="9"/>
      <c r="O109" s="189"/>
      <c r="P109" s="9"/>
      <c r="Q109" s="9"/>
      <c r="R109" s="9">
        <f t="shared" si="1"/>
        <v>0</v>
      </c>
    </row>
    <row r="110" spans="1:18">
      <c r="A110" s="8" t="s">
        <v>314</v>
      </c>
      <c r="B110" s="8" t="s">
        <v>330</v>
      </c>
      <c r="C110" s="8">
        <v>8015030106</v>
      </c>
      <c r="D110" s="8" t="s">
        <v>331</v>
      </c>
      <c r="E110" s="8" t="s">
        <v>332</v>
      </c>
      <c r="F110" s="9"/>
      <c r="G110" s="9"/>
      <c r="H110" s="9"/>
      <c r="I110" s="9"/>
      <c r="J110" s="9"/>
      <c r="K110" s="9"/>
      <c r="L110" s="9"/>
      <c r="M110" s="9"/>
      <c r="N110" s="9"/>
      <c r="O110" s="189"/>
      <c r="P110" s="9"/>
      <c r="Q110" s="9"/>
      <c r="R110" s="9">
        <f t="shared" si="1"/>
        <v>0</v>
      </c>
    </row>
    <row r="111" spans="1:18">
      <c r="A111" s="8" t="s">
        <v>20</v>
      </c>
      <c r="B111" s="8" t="s">
        <v>333</v>
      </c>
      <c r="C111" s="8">
        <v>8016010001</v>
      </c>
      <c r="D111" s="8" t="s">
        <v>334</v>
      </c>
      <c r="E111" s="8" t="s">
        <v>335</v>
      </c>
      <c r="F111" s="9"/>
      <c r="G111" s="9"/>
      <c r="H111" s="9"/>
      <c r="I111" s="9"/>
      <c r="J111" s="9"/>
      <c r="K111" s="9"/>
      <c r="L111" s="9"/>
      <c r="M111" s="9"/>
      <c r="N111" s="9"/>
      <c r="O111" s="189"/>
      <c r="P111" s="9"/>
      <c r="Q111" s="9"/>
      <c r="R111" s="9">
        <f t="shared" si="1"/>
        <v>0</v>
      </c>
    </row>
    <row r="112" spans="1:18">
      <c r="A112" s="8" t="s">
        <v>20</v>
      </c>
      <c r="B112" s="8" t="s">
        <v>333</v>
      </c>
      <c r="C112" s="8">
        <v>8016010102</v>
      </c>
      <c r="D112" s="8" t="s">
        <v>336</v>
      </c>
      <c r="E112" s="8" t="s">
        <v>337</v>
      </c>
      <c r="F112" s="9"/>
      <c r="G112" s="9"/>
      <c r="H112" s="9"/>
      <c r="I112" s="9"/>
      <c r="J112" s="9"/>
      <c r="K112" s="9"/>
      <c r="L112" s="9"/>
      <c r="M112" s="9"/>
      <c r="N112" s="9"/>
      <c r="O112" s="189"/>
      <c r="P112" s="9"/>
      <c r="Q112" s="9"/>
      <c r="R112" s="9">
        <f t="shared" si="1"/>
        <v>0</v>
      </c>
    </row>
    <row r="113" spans="1:18">
      <c r="A113" s="8" t="s">
        <v>20</v>
      </c>
      <c r="B113" s="8" t="s">
        <v>338</v>
      </c>
      <c r="C113" s="8">
        <v>8016020101</v>
      </c>
      <c r="D113" s="8" t="s">
        <v>339</v>
      </c>
      <c r="E113" s="8" t="s">
        <v>338</v>
      </c>
      <c r="F113" s="9"/>
      <c r="G113" s="9"/>
      <c r="H113" s="9"/>
      <c r="I113" s="9"/>
      <c r="J113" s="9"/>
      <c r="K113" s="9"/>
      <c r="L113" s="9"/>
      <c r="M113" s="9"/>
      <c r="N113" s="9"/>
      <c r="O113" s="189"/>
      <c r="P113" s="9"/>
      <c r="Q113" s="9"/>
      <c r="R113" s="9">
        <f t="shared" si="1"/>
        <v>0</v>
      </c>
    </row>
    <row r="114" spans="1:18">
      <c r="A114" s="8" t="s">
        <v>20</v>
      </c>
      <c r="B114" s="8" t="s">
        <v>340</v>
      </c>
      <c r="C114" s="8">
        <v>8016030101</v>
      </c>
      <c r="D114" s="8" t="s">
        <v>341</v>
      </c>
      <c r="E114" s="8" t="s">
        <v>342</v>
      </c>
      <c r="F114" s="9">
        <v>6.7159999999999997E-2</v>
      </c>
      <c r="G114" s="9">
        <v>0</v>
      </c>
      <c r="H114" s="9"/>
      <c r="I114" s="9"/>
      <c r="J114" s="9"/>
      <c r="K114" s="9"/>
      <c r="L114" s="9"/>
      <c r="M114" s="9"/>
      <c r="N114" s="9"/>
      <c r="O114" s="189"/>
      <c r="P114" s="9"/>
      <c r="Q114" s="9"/>
      <c r="R114" s="9">
        <f t="shared" si="1"/>
        <v>6.7159999999999997E-2</v>
      </c>
    </row>
    <row r="115" spans="1:18">
      <c r="A115" s="8" t="s">
        <v>343</v>
      </c>
      <c r="B115" s="8" t="s">
        <v>344</v>
      </c>
      <c r="C115" s="8">
        <v>8017010101</v>
      </c>
      <c r="D115" s="8" t="s">
        <v>345</v>
      </c>
      <c r="E115" s="8" t="s">
        <v>346</v>
      </c>
      <c r="F115" s="9"/>
      <c r="G115" s="9"/>
      <c r="H115" s="9"/>
      <c r="I115" s="9"/>
      <c r="J115" s="9"/>
      <c r="K115" s="9"/>
      <c r="L115" s="9"/>
      <c r="M115" s="9"/>
      <c r="N115" s="9"/>
      <c r="O115" s="189"/>
      <c r="P115" s="9"/>
      <c r="Q115" s="9"/>
      <c r="R115" s="9">
        <f t="shared" si="1"/>
        <v>0</v>
      </c>
    </row>
    <row r="116" spans="1:18">
      <c r="A116" s="8" t="s">
        <v>343</v>
      </c>
      <c r="B116" s="8" t="s">
        <v>347</v>
      </c>
      <c r="C116" s="8">
        <v>8017010102</v>
      </c>
      <c r="D116" s="8" t="s">
        <v>348</v>
      </c>
      <c r="E116" s="8" t="s">
        <v>349</v>
      </c>
      <c r="F116" s="9"/>
      <c r="G116" s="9"/>
      <c r="H116" s="9"/>
      <c r="I116" s="9"/>
      <c r="J116" s="9"/>
      <c r="K116" s="9"/>
      <c r="L116" s="9"/>
      <c r="M116" s="9"/>
      <c r="N116" s="9"/>
      <c r="O116" s="189"/>
      <c r="P116" s="9"/>
      <c r="Q116" s="9"/>
      <c r="R116" s="9">
        <f t="shared" si="1"/>
        <v>0</v>
      </c>
    </row>
    <row r="117" spans="1:18">
      <c r="A117" s="8" t="s">
        <v>343</v>
      </c>
      <c r="B117" s="8" t="s">
        <v>350</v>
      </c>
      <c r="C117" s="8">
        <v>8017010103</v>
      </c>
      <c r="D117" s="8" t="s">
        <v>351</v>
      </c>
      <c r="E117" s="8" t="s">
        <v>350</v>
      </c>
      <c r="F117" s="9"/>
      <c r="G117" s="9"/>
      <c r="H117" s="9"/>
      <c r="I117" s="9"/>
      <c r="J117" s="9"/>
      <c r="K117" s="9"/>
      <c r="L117" s="9"/>
      <c r="M117" s="9"/>
      <c r="N117" s="9"/>
      <c r="O117" s="189"/>
      <c r="P117" s="9"/>
      <c r="Q117" s="9"/>
      <c r="R117" s="9">
        <f t="shared" si="1"/>
        <v>0</v>
      </c>
    </row>
    <row r="118" spans="1:18">
      <c r="A118" s="8" t="s">
        <v>343</v>
      </c>
      <c r="B118" s="8" t="s">
        <v>352</v>
      </c>
      <c r="C118" s="8">
        <v>8017010104</v>
      </c>
      <c r="D118" s="8" t="s">
        <v>353</v>
      </c>
      <c r="E118" s="8" t="s">
        <v>352</v>
      </c>
      <c r="F118" s="9"/>
      <c r="G118" s="9"/>
      <c r="H118" s="9"/>
      <c r="I118" s="9"/>
      <c r="J118" s="9"/>
      <c r="K118" s="9"/>
      <c r="L118" s="9"/>
      <c r="M118" s="9"/>
      <c r="N118" s="9"/>
      <c r="O118" s="189"/>
      <c r="P118" s="9"/>
      <c r="Q118" s="9"/>
      <c r="R118" s="9">
        <f t="shared" si="1"/>
        <v>0</v>
      </c>
    </row>
    <row r="119" spans="1:18">
      <c r="A119" s="8" t="s">
        <v>343</v>
      </c>
      <c r="B119" s="8" t="s">
        <v>354</v>
      </c>
      <c r="C119" s="8">
        <v>8017010105</v>
      </c>
      <c r="D119" s="8" t="s">
        <v>355</v>
      </c>
      <c r="E119" s="8" t="s">
        <v>354</v>
      </c>
      <c r="F119" s="9"/>
      <c r="G119" s="9"/>
      <c r="H119" s="9"/>
      <c r="I119" s="9"/>
      <c r="J119" s="9"/>
      <c r="K119" s="9"/>
      <c r="L119" s="9"/>
      <c r="M119" s="9"/>
      <c r="N119" s="9"/>
      <c r="O119" s="189"/>
      <c r="P119" s="9"/>
      <c r="Q119" s="9"/>
      <c r="R119" s="9">
        <f t="shared" si="1"/>
        <v>0</v>
      </c>
    </row>
    <row r="120" spans="1:18">
      <c r="A120" s="8" t="s">
        <v>356</v>
      </c>
      <c r="B120" s="8" t="s">
        <v>357</v>
      </c>
      <c r="C120" s="8">
        <v>8018010101</v>
      </c>
      <c r="D120" s="8" t="s">
        <v>358</v>
      </c>
      <c r="E120" s="8" t="s">
        <v>357</v>
      </c>
      <c r="F120" s="9"/>
      <c r="G120" s="9"/>
      <c r="H120" s="9"/>
      <c r="I120" s="9"/>
      <c r="J120" s="9"/>
      <c r="K120" s="9"/>
      <c r="L120" s="9"/>
      <c r="M120" s="9"/>
      <c r="N120" s="9"/>
      <c r="O120" s="189"/>
      <c r="P120" s="9"/>
      <c r="Q120" s="9"/>
      <c r="R120" s="9">
        <f t="shared" si="1"/>
        <v>0</v>
      </c>
    </row>
    <row r="121" spans="1:18">
      <c r="A121" s="8" t="s">
        <v>356</v>
      </c>
      <c r="B121" s="8" t="s">
        <v>359</v>
      </c>
      <c r="C121" s="8">
        <v>8018010102</v>
      </c>
      <c r="D121" s="8" t="s">
        <v>360</v>
      </c>
      <c r="E121" s="8" t="s">
        <v>359</v>
      </c>
      <c r="F121" s="9"/>
      <c r="G121" s="9"/>
      <c r="H121" s="9"/>
      <c r="I121" s="9"/>
      <c r="J121" s="9"/>
      <c r="K121" s="9"/>
      <c r="L121" s="9"/>
      <c r="M121" s="9"/>
      <c r="N121" s="9"/>
      <c r="O121" s="189"/>
      <c r="P121" s="9"/>
      <c r="Q121" s="9"/>
      <c r="R121" s="9">
        <f t="shared" si="1"/>
        <v>0</v>
      </c>
    </row>
    <row r="122" spans="1:18">
      <c r="A122" s="8" t="s">
        <v>356</v>
      </c>
      <c r="B122" s="8" t="s">
        <v>361</v>
      </c>
      <c r="C122" s="8">
        <v>8018010103</v>
      </c>
      <c r="D122" s="8" t="s">
        <v>362</v>
      </c>
      <c r="E122" s="8" t="s">
        <v>361</v>
      </c>
      <c r="F122" s="9"/>
      <c r="G122" s="9"/>
      <c r="H122" s="9"/>
      <c r="I122" s="9"/>
      <c r="J122" s="9"/>
      <c r="K122" s="9"/>
      <c r="L122" s="9"/>
      <c r="M122" s="9"/>
      <c r="N122" s="9"/>
      <c r="O122" s="189"/>
      <c r="P122" s="9"/>
      <c r="Q122" s="9"/>
      <c r="R122" s="9">
        <f t="shared" si="1"/>
        <v>0</v>
      </c>
    </row>
    <row r="123" spans="1:18">
      <c r="A123" s="8" t="s">
        <v>333</v>
      </c>
      <c r="B123" s="8" t="s">
        <v>363</v>
      </c>
      <c r="C123" s="8">
        <v>8214010101</v>
      </c>
      <c r="D123" s="8" t="s">
        <v>364</v>
      </c>
      <c r="E123" s="8" t="s">
        <v>365</v>
      </c>
      <c r="F123" s="9"/>
      <c r="G123" s="9"/>
      <c r="H123" s="9"/>
      <c r="I123" s="9"/>
      <c r="J123" s="9"/>
      <c r="K123" s="9"/>
      <c r="L123" s="9"/>
      <c r="M123" s="9"/>
      <c r="N123" s="9"/>
      <c r="O123" s="189"/>
      <c r="P123" s="9"/>
      <c r="Q123" s="9"/>
      <c r="R123" s="9">
        <f t="shared" si="1"/>
        <v>0</v>
      </c>
    </row>
    <row r="124" spans="1:18" ht="18" customHeight="1">
      <c r="A124" s="8" t="s">
        <v>333</v>
      </c>
      <c r="B124" s="8" t="s">
        <v>366</v>
      </c>
      <c r="C124" s="159">
        <v>8214020101</v>
      </c>
      <c r="D124" s="8" t="s">
        <v>367</v>
      </c>
      <c r="E124" s="8" t="s">
        <v>368</v>
      </c>
      <c r="F124" s="9"/>
      <c r="G124" s="9">
        <v>1.4999999999999999E-2</v>
      </c>
      <c r="H124" s="9"/>
      <c r="I124" s="9"/>
      <c r="J124" s="9"/>
      <c r="K124" s="9"/>
      <c r="L124" s="9"/>
      <c r="M124" s="9"/>
      <c r="N124" s="9"/>
      <c r="O124" s="189"/>
      <c r="P124" s="9"/>
      <c r="Q124" s="9"/>
      <c r="R124" s="11">
        <f t="shared" si="1"/>
        <v>1.4999999999999999E-2</v>
      </c>
    </row>
    <row r="125" spans="1:18" ht="18" customHeight="1">
      <c r="A125" s="8" t="s">
        <v>333</v>
      </c>
      <c r="B125" s="8" t="s">
        <v>366</v>
      </c>
      <c r="C125" s="159">
        <v>8214020102</v>
      </c>
      <c r="D125" s="8" t="s">
        <v>369</v>
      </c>
      <c r="E125" s="8" t="s">
        <v>370</v>
      </c>
      <c r="F125" s="9">
        <v>6.0451999999999999E-2</v>
      </c>
      <c r="G125" s="9">
        <v>6.0451999999999999E-2</v>
      </c>
      <c r="H125" s="9"/>
      <c r="I125" s="9"/>
      <c r="J125" s="9"/>
      <c r="K125" s="9"/>
      <c r="L125" s="9"/>
      <c r="M125" s="9"/>
      <c r="N125" s="9"/>
      <c r="O125" s="189"/>
      <c r="P125" s="9"/>
      <c r="Q125" s="9"/>
      <c r="R125" s="11">
        <f t="shared" si="1"/>
        <v>0.120904</v>
      </c>
    </row>
    <row r="126" spans="1:18">
      <c r="A126" s="8" t="s">
        <v>333</v>
      </c>
      <c r="B126" s="8" t="s">
        <v>366</v>
      </c>
      <c r="C126" s="159">
        <v>8214020103</v>
      </c>
      <c r="D126" s="8" t="s">
        <v>371</v>
      </c>
      <c r="E126" s="8" t="s">
        <v>372</v>
      </c>
      <c r="F126" s="9"/>
      <c r="G126" s="9"/>
      <c r="H126" s="9"/>
      <c r="I126" s="9"/>
      <c r="J126" s="9"/>
      <c r="K126" s="9"/>
      <c r="L126" s="9"/>
      <c r="M126" s="9"/>
      <c r="N126" s="9"/>
      <c r="O126" s="189"/>
      <c r="P126" s="9"/>
      <c r="Q126" s="9"/>
      <c r="R126" s="9">
        <f t="shared" si="1"/>
        <v>0</v>
      </c>
    </row>
    <row r="127" spans="1:18">
      <c r="A127" s="8" t="s">
        <v>333</v>
      </c>
      <c r="B127" s="8" t="s">
        <v>366</v>
      </c>
      <c r="C127" s="159">
        <v>8214020104</v>
      </c>
      <c r="D127" s="8" t="s">
        <v>373</v>
      </c>
      <c r="E127" s="8" t="s">
        <v>374</v>
      </c>
      <c r="F127" s="9"/>
      <c r="G127" s="9"/>
      <c r="H127" s="9"/>
      <c r="I127" s="9"/>
      <c r="J127" s="9"/>
      <c r="K127" s="9"/>
      <c r="L127" s="9"/>
      <c r="M127" s="9"/>
      <c r="N127" s="9"/>
      <c r="O127" s="189"/>
      <c r="P127" s="9"/>
      <c r="Q127" s="9"/>
      <c r="R127" s="9">
        <f t="shared" si="1"/>
        <v>0</v>
      </c>
    </row>
    <row r="128" spans="1:18">
      <c r="A128" s="8" t="s">
        <v>333</v>
      </c>
      <c r="B128" s="8" t="s">
        <v>366</v>
      </c>
      <c r="C128" s="159">
        <v>8214020105</v>
      </c>
      <c r="D128" s="8" t="s">
        <v>375</v>
      </c>
      <c r="E128" s="8" t="s">
        <v>376</v>
      </c>
      <c r="F128" s="9"/>
      <c r="G128" s="9"/>
      <c r="H128" s="9"/>
      <c r="I128" s="9"/>
      <c r="J128" s="9"/>
      <c r="K128" s="9"/>
      <c r="L128" s="9"/>
      <c r="M128" s="9"/>
      <c r="N128" s="9"/>
      <c r="O128" s="189"/>
      <c r="P128" s="9"/>
      <c r="Q128" s="9"/>
      <c r="R128" s="9">
        <f t="shared" si="1"/>
        <v>0</v>
      </c>
    </row>
    <row r="129" spans="1:18">
      <c r="A129" s="8" t="s">
        <v>333</v>
      </c>
      <c r="B129" s="8" t="s">
        <v>366</v>
      </c>
      <c r="C129" s="159">
        <v>8214020106</v>
      </c>
      <c r="D129" s="8" t="s">
        <v>377</v>
      </c>
      <c r="E129" s="8" t="s">
        <v>378</v>
      </c>
      <c r="F129" s="9"/>
      <c r="G129" s="9"/>
      <c r="H129" s="9"/>
      <c r="I129" s="9"/>
      <c r="J129" s="9"/>
      <c r="K129" s="9"/>
      <c r="L129" s="9"/>
      <c r="M129" s="9"/>
      <c r="N129" s="9"/>
      <c r="O129" s="189"/>
      <c r="P129" s="9"/>
      <c r="Q129" s="9"/>
      <c r="R129" s="9">
        <f t="shared" si="1"/>
        <v>0</v>
      </c>
    </row>
    <row r="130" spans="1:18">
      <c r="A130" s="8" t="s">
        <v>333</v>
      </c>
      <c r="B130" s="8" t="s">
        <v>366</v>
      </c>
      <c r="C130" s="159">
        <v>8214020107</v>
      </c>
      <c r="D130" s="8" t="s">
        <v>379</v>
      </c>
      <c r="E130" s="8" t="s">
        <v>380</v>
      </c>
      <c r="F130" s="9"/>
      <c r="G130" s="9"/>
      <c r="H130" s="9"/>
      <c r="I130" s="9"/>
      <c r="J130" s="9"/>
      <c r="K130" s="9"/>
      <c r="L130" s="9"/>
      <c r="M130" s="9"/>
      <c r="N130" s="9"/>
      <c r="O130" s="189"/>
      <c r="P130" s="9"/>
      <c r="Q130" s="9"/>
      <c r="R130" s="9">
        <f t="shared" si="1"/>
        <v>0</v>
      </c>
    </row>
    <row r="131" spans="1:18">
      <c r="A131" s="8" t="s">
        <v>333</v>
      </c>
      <c r="B131" s="8" t="s">
        <v>366</v>
      </c>
      <c r="C131" s="159">
        <v>8214020108</v>
      </c>
      <c r="D131" s="8" t="s">
        <v>381</v>
      </c>
      <c r="E131" s="8" t="s">
        <v>382</v>
      </c>
      <c r="F131" s="9"/>
      <c r="G131" s="9"/>
      <c r="H131" s="9"/>
      <c r="I131" s="9"/>
      <c r="J131" s="9"/>
      <c r="K131" s="9"/>
      <c r="L131" s="9"/>
      <c r="M131" s="9"/>
      <c r="N131" s="9"/>
      <c r="O131" s="189"/>
      <c r="P131" s="9"/>
      <c r="Q131" s="9"/>
      <c r="R131" s="9">
        <f t="shared" ref="R131:R157" si="2">SUM(F131:Q131)</f>
        <v>0</v>
      </c>
    </row>
    <row r="132" spans="1:18">
      <c r="A132" s="8" t="s">
        <v>333</v>
      </c>
      <c r="B132" s="8" t="s">
        <v>366</v>
      </c>
      <c r="C132" s="159">
        <v>8214020109</v>
      </c>
      <c r="D132" s="8" t="s">
        <v>383</v>
      </c>
      <c r="E132" s="8" t="s">
        <v>384</v>
      </c>
      <c r="F132" s="9"/>
      <c r="G132" s="9"/>
      <c r="H132" s="9"/>
      <c r="I132" s="9"/>
      <c r="J132" s="9"/>
      <c r="K132" s="9"/>
      <c r="L132" s="9"/>
      <c r="M132" s="9"/>
      <c r="N132" s="9"/>
      <c r="O132" s="189"/>
      <c r="P132" s="9"/>
      <c r="Q132" s="9"/>
      <c r="R132" s="9">
        <f t="shared" si="2"/>
        <v>0</v>
      </c>
    </row>
    <row r="133" spans="1:18">
      <c r="A133" s="8" t="s">
        <v>333</v>
      </c>
      <c r="B133" s="8" t="s">
        <v>366</v>
      </c>
      <c r="C133" s="159">
        <v>8214020110</v>
      </c>
      <c r="D133" s="8" t="s">
        <v>385</v>
      </c>
      <c r="E133" s="8" t="s">
        <v>386</v>
      </c>
      <c r="F133" s="9"/>
      <c r="G133" s="9"/>
      <c r="H133" s="9"/>
      <c r="I133" s="9"/>
      <c r="J133" s="9"/>
      <c r="K133" s="9"/>
      <c r="L133" s="9"/>
      <c r="M133" s="9"/>
      <c r="N133" s="9"/>
      <c r="O133" s="189"/>
      <c r="P133" s="9"/>
      <c r="Q133" s="9"/>
      <c r="R133" s="9">
        <f t="shared" si="2"/>
        <v>0</v>
      </c>
    </row>
    <row r="134" spans="1:18">
      <c r="A134" s="8" t="s">
        <v>333</v>
      </c>
      <c r="B134" s="8" t="s">
        <v>366</v>
      </c>
      <c r="C134" s="159">
        <v>8214020111</v>
      </c>
      <c r="D134" s="8" t="s">
        <v>387</v>
      </c>
      <c r="E134" s="8" t="s">
        <v>388</v>
      </c>
      <c r="F134" s="9"/>
      <c r="G134" s="9"/>
      <c r="H134" s="9"/>
      <c r="I134" s="9"/>
      <c r="J134" s="9"/>
      <c r="K134" s="9"/>
      <c r="L134" s="9"/>
      <c r="M134" s="9"/>
      <c r="N134" s="9"/>
      <c r="O134" s="189"/>
      <c r="P134" s="9"/>
      <c r="Q134" s="9"/>
      <c r="R134" s="9">
        <f t="shared" si="2"/>
        <v>0</v>
      </c>
    </row>
    <row r="135" spans="1:18">
      <c r="A135" s="8" t="s">
        <v>333</v>
      </c>
      <c r="B135" s="8" t="s">
        <v>366</v>
      </c>
      <c r="C135" s="159">
        <v>8214020112</v>
      </c>
      <c r="D135" s="8" t="s">
        <v>389</v>
      </c>
      <c r="E135" s="8" t="s">
        <v>390</v>
      </c>
      <c r="F135" s="9"/>
      <c r="G135" s="9"/>
      <c r="H135" s="9"/>
      <c r="I135" s="9"/>
      <c r="J135" s="9"/>
      <c r="K135" s="9"/>
      <c r="L135" s="9"/>
      <c r="M135" s="9"/>
      <c r="N135" s="9"/>
      <c r="O135" s="189"/>
      <c r="P135" s="9"/>
      <c r="Q135" s="9"/>
      <c r="R135" s="9">
        <f t="shared" si="2"/>
        <v>0</v>
      </c>
    </row>
    <row r="136" spans="1:18" ht="18" customHeight="1">
      <c r="A136" s="8" t="s">
        <v>333</v>
      </c>
      <c r="B136" s="8" t="s">
        <v>391</v>
      </c>
      <c r="C136" s="159">
        <v>8214030101</v>
      </c>
      <c r="D136" s="8" t="s">
        <v>392</v>
      </c>
      <c r="E136" s="8" t="s">
        <v>393</v>
      </c>
      <c r="F136" s="9">
        <v>0.33260000000000001</v>
      </c>
      <c r="G136" s="9">
        <v>0.1847</v>
      </c>
      <c r="H136" s="9"/>
      <c r="I136" s="9"/>
      <c r="J136" s="9"/>
      <c r="K136" s="9"/>
      <c r="L136" s="9"/>
      <c r="M136" s="9"/>
      <c r="N136" s="9"/>
      <c r="O136" s="189"/>
      <c r="P136" s="9"/>
      <c r="Q136" s="9"/>
      <c r="R136" s="11">
        <f t="shared" si="2"/>
        <v>0.51729999999999998</v>
      </c>
    </row>
    <row r="137" spans="1:18">
      <c r="A137" s="8" t="s">
        <v>333</v>
      </c>
      <c r="B137" s="8" t="s">
        <v>394</v>
      </c>
      <c r="C137" s="159">
        <v>8214030102</v>
      </c>
      <c r="D137" s="8" t="s">
        <v>395</v>
      </c>
      <c r="E137" s="8" t="s">
        <v>396</v>
      </c>
      <c r="F137" s="9"/>
      <c r="G137" s="9"/>
      <c r="H137" s="9"/>
      <c r="I137" s="9"/>
      <c r="J137" s="9"/>
      <c r="K137" s="9"/>
      <c r="L137" s="9"/>
      <c r="M137" s="9"/>
      <c r="N137" s="9"/>
      <c r="O137" s="189"/>
      <c r="P137" s="9"/>
      <c r="Q137" s="9"/>
      <c r="R137" s="9">
        <f t="shared" si="2"/>
        <v>0</v>
      </c>
    </row>
    <row r="138" spans="1:18" ht="18" customHeight="1">
      <c r="A138" s="8" t="s">
        <v>333</v>
      </c>
      <c r="B138" s="8" t="s">
        <v>397</v>
      </c>
      <c r="C138" s="159">
        <v>8214040101</v>
      </c>
      <c r="D138" s="8" t="s">
        <v>398</v>
      </c>
      <c r="E138" s="8" t="s">
        <v>399</v>
      </c>
      <c r="F138" s="9"/>
      <c r="G138" s="9"/>
      <c r="H138" s="9"/>
      <c r="I138" s="9"/>
      <c r="J138" s="9"/>
      <c r="K138" s="9"/>
      <c r="L138" s="9"/>
      <c r="M138" s="9"/>
      <c r="N138" s="9"/>
      <c r="O138" s="189"/>
      <c r="P138" s="9"/>
      <c r="Q138" s="9"/>
      <c r="R138" s="11">
        <f t="shared" si="2"/>
        <v>0</v>
      </c>
    </row>
    <row r="139" spans="1:18">
      <c r="A139" s="8" t="s">
        <v>333</v>
      </c>
      <c r="B139" s="8" t="s">
        <v>400</v>
      </c>
      <c r="C139" s="159">
        <v>8214050101</v>
      </c>
      <c r="D139" s="8" t="s">
        <v>401</v>
      </c>
      <c r="E139" s="8" t="s">
        <v>402</v>
      </c>
      <c r="F139" s="9"/>
      <c r="G139" s="9"/>
      <c r="H139" s="9"/>
      <c r="I139" s="9"/>
      <c r="J139" s="9"/>
      <c r="K139" s="9"/>
      <c r="L139" s="9"/>
      <c r="M139" s="9"/>
      <c r="N139" s="9"/>
      <c r="O139" s="189"/>
      <c r="P139" s="9"/>
      <c r="Q139" s="9"/>
      <c r="R139" s="9">
        <f t="shared" si="2"/>
        <v>0</v>
      </c>
    </row>
    <row r="140" spans="1:18">
      <c r="A140" s="8" t="s">
        <v>333</v>
      </c>
      <c r="B140" s="8" t="s">
        <v>400</v>
      </c>
      <c r="C140" s="8">
        <v>8214050102</v>
      </c>
      <c r="D140" s="8" t="s">
        <v>403</v>
      </c>
      <c r="E140" s="8" t="s">
        <v>404</v>
      </c>
      <c r="F140" s="9"/>
      <c r="G140" s="9"/>
      <c r="H140" s="9"/>
      <c r="I140" s="9"/>
      <c r="J140" s="9"/>
      <c r="K140" s="9"/>
      <c r="L140" s="9"/>
      <c r="M140" s="9"/>
      <c r="N140" s="9"/>
      <c r="O140" s="189"/>
      <c r="P140" s="9"/>
      <c r="Q140" s="9"/>
      <c r="R140" s="9">
        <f t="shared" si="2"/>
        <v>0</v>
      </c>
    </row>
    <row r="141" spans="1:18">
      <c r="A141" s="8" t="s">
        <v>333</v>
      </c>
      <c r="B141" s="8" t="s">
        <v>400</v>
      </c>
      <c r="C141" s="8">
        <v>8214050103</v>
      </c>
      <c r="D141" s="8" t="s">
        <v>405</v>
      </c>
      <c r="E141" s="8" t="s">
        <v>406</v>
      </c>
      <c r="F141" s="9"/>
      <c r="G141" s="9"/>
      <c r="H141" s="9"/>
      <c r="I141" s="9"/>
      <c r="J141" s="9"/>
      <c r="K141" s="9"/>
      <c r="L141" s="9"/>
      <c r="M141" s="9"/>
      <c r="N141" s="9"/>
      <c r="O141" s="189"/>
      <c r="P141" s="9"/>
      <c r="Q141" s="9"/>
      <c r="R141" s="9">
        <f t="shared" si="2"/>
        <v>0</v>
      </c>
    </row>
    <row r="142" spans="1:18">
      <c r="A142" s="8" t="s">
        <v>333</v>
      </c>
      <c r="B142" s="8" t="s">
        <v>400</v>
      </c>
      <c r="C142" s="8">
        <v>8214050104</v>
      </c>
      <c r="D142" s="8" t="s">
        <v>407</v>
      </c>
      <c r="E142" s="8" t="s">
        <v>408</v>
      </c>
      <c r="F142" s="9"/>
      <c r="G142" s="9"/>
      <c r="H142" s="9"/>
      <c r="I142" s="9"/>
      <c r="J142" s="9"/>
      <c r="K142" s="9"/>
      <c r="L142" s="9"/>
      <c r="M142" s="9"/>
      <c r="N142" s="9"/>
      <c r="O142" s="189"/>
      <c r="P142" s="9"/>
      <c r="Q142" s="9"/>
      <c r="R142" s="9">
        <f t="shared" si="2"/>
        <v>0</v>
      </c>
    </row>
    <row r="143" spans="1:18">
      <c r="A143" s="8" t="s">
        <v>333</v>
      </c>
      <c r="B143" s="8" t="s">
        <v>409</v>
      </c>
      <c r="C143" s="8">
        <v>8214060101</v>
      </c>
      <c r="D143" s="8" t="s">
        <v>410</v>
      </c>
      <c r="E143" s="8" t="s">
        <v>411</v>
      </c>
      <c r="F143" s="9"/>
      <c r="G143" s="9"/>
      <c r="H143" s="9"/>
      <c r="I143" s="9"/>
      <c r="J143" s="9"/>
      <c r="K143" s="9"/>
      <c r="L143" s="9"/>
      <c r="M143" s="9"/>
      <c r="N143" s="9"/>
      <c r="O143" s="189"/>
      <c r="P143" s="9"/>
      <c r="Q143" s="9"/>
      <c r="R143" s="9">
        <f t="shared" si="2"/>
        <v>0</v>
      </c>
    </row>
    <row r="144" spans="1:18">
      <c r="A144" s="8" t="s">
        <v>333</v>
      </c>
      <c r="B144" s="8" t="s">
        <v>409</v>
      </c>
      <c r="C144" s="8">
        <v>8214060102</v>
      </c>
      <c r="D144" s="8" t="s">
        <v>412</v>
      </c>
      <c r="E144" s="8" t="s">
        <v>413</v>
      </c>
      <c r="F144" s="9"/>
      <c r="G144" s="9"/>
      <c r="H144" s="9"/>
      <c r="I144" s="9"/>
      <c r="J144" s="9"/>
      <c r="K144" s="9"/>
      <c r="L144" s="9"/>
      <c r="M144" s="9"/>
      <c r="N144" s="9"/>
      <c r="O144" s="189"/>
      <c r="P144" s="9"/>
      <c r="Q144" s="9"/>
      <c r="R144" s="9">
        <f t="shared" si="2"/>
        <v>0</v>
      </c>
    </row>
    <row r="145" spans="1:18">
      <c r="A145" s="8" t="s">
        <v>333</v>
      </c>
      <c r="B145" s="8" t="s">
        <v>409</v>
      </c>
      <c r="C145" s="8">
        <v>8214060103</v>
      </c>
      <c r="D145" s="8" t="s">
        <v>414</v>
      </c>
      <c r="E145" s="8" t="s">
        <v>415</v>
      </c>
      <c r="F145" s="9"/>
      <c r="G145" s="9"/>
      <c r="H145" s="9"/>
      <c r="I145" s="9"/>
      <c r="J145" s="9"/>
      <c r="K145" s="9"/>
      <c r="L145" s="9"/>
      <c r="M145" s="9"/>
      <c r="N145" s="9"/>
      <c r="O145" s="189"/>
      <c r="P145" s="9"/>
      <c r="Q145" s="9"/>
      <c r="R145" s="9">
        <f t="shared" si="2"/>
        <v>0</v>
      </c>
    </row>
    <row r="146" spans="1:18">
      <c r="A146" s="8" t="s">
        <v>333</v>
      </c>
      <c r="B146" s="8" t="s">
        <v>409</v>
      </c>
      <c r="C146" s="8">
        <v>8214060104</v>
      </c>
      <c r="D146" s="8" t="s">
        <v>416</v>
      </c>
      <c r="E146" s="8" t="s">
        <v>417</v>
      </c>
      <c r="F146" s="9"/>
      <c r="G146" s="9"/>
      <c r="H146" s="9"/>
      <c r="I146" s="9"/>
      <c r="J146" s="9"/>
      <c r="K146" s="9"/>
      <c r="L146" s="9"/>
      <c r="M146" s="9"/>
      <c r="N146" s="9"/>
      <c r="O146" s="189"/>
      <c r="P146" s="9"/>
      <c r="Q146" s="9"/>
      <c r="R146" s="9">
        <f t="shared" si="2"/>
        <v>0</v>
      </c>
    </row>
    <row r="147" spans="1:18">
      <c r="A147" s="8" t="s">
        <v>333</v>
      </c>
      <c r="B147" s="8" t="s">
        <v>418</v>
      </c>
      <c r="C147" s="8">
        <v>8214070001</v>
      </c>
      <c r="D147" s="8" t="s">
        <v>419</v>
      </c>
      <c r="E147" s="8" t="s">
        <v>420</v>
      </c>
      <c r="F147" s="9"/>
      <c r="G147" s="9"/>
      <c r="H147" s="9"/>
      <c r="I147" s="9"/>
      <c r="J147" s="9"/>
      <c r="K147" s="9"/>
      <c r="L147" s="9"/>
      <c r="M147" s="9"/>
      <c r="N147" s="9"/>
      <c r="O147" s="189"/>
      <c r="P147" s="9"/>
      <c r="Q147" s="9"/>
      <c r="R147" s="9">
        <f t="shared" si="2"/>
        <v>0</v>
      </c>
    </row>
    <row r="148" spans="1:18">
      <c r="A148" s="8" t="s">
        <v>333</v>
      </c>
      <c r="B148" s="8" t="s">
        <v>421</v>
      </c>
      <c r="C148" s="8">
        <v>8214080001</v>
      </c>
      <c r="D148" s="8" t="s">
        <v>422</v>
      </c>
      <c r="E148" s="8" t="s">
        <v>423</v>
      </c>
      <c r="F148" s="9"/>
      <c r="G148" s="9"/>
      <c r="H148" s="9"/>
      <c r="I148" s="9"/>
      <c r="J148" s="9"/>
      <c r="K148" s="9"/>
      <c r="L148" s="9"/>
      <c r="M148" s="9"/>
      <c r="N148" s="9"/>
      <c r="O148" s="189"/>
      <c r="P148" s="9"/>
      <c r="Q148" s="9"/>
      <c r="R148" s="9">
        <f t="shared" si="2"/>
        <v>0</v>
      </c>
    </row>
    <row r="149" spans="1:18">
      <c r="A149" s="8" t="s">
        <v>333</v>
      </c>
      <c r="B149" s="8" t="s">
        <v>424</v>
      </c>
      <c r="C149" s="8">
        <v>8214100001</v>
      </c>
      <c r="D149" s="8" t="s">
        <v>425</v>
      </c>
      <c r="E149" s="8" t="s">
        <v>424</v>
      </c>
      <c r="F149" s="9"/>
      <c r="G149" s="9"/>
      <c r="H149" s="9"/>
      <c r="I149" s="9"/>
      <c r="J149" s="9"/>
      <c r="K149" s="9"/>
      <c r="L149" s="9"/>
      <c r="M149" s="9"/>
      <c r="N149" s="9"/>
      <c r="O149" s="189"/>
      <c r="P149" s="9"/>
      <c r="Q149" s="9"/>
      <c r="R149" s="9">
        <f t="shared" si="2"/>
        <v>0</v>
      </c>
    </row>
    <row r="150" spans="1:18">
      <c r="A150" s="8" t="s">
        <v>333</v>
      </c>
      <c r="B150" s="8" t="s">
        <v>426</v>
      </c>
      <c r="C150" s="8">
        <v>8214110001</v>
      </c>
      <c r="D150" s="8" t="s">
        <v>427</v>
      </c>
      <c r="E150" s="8" t="s">
        <v>428</v>
      </c>
      <c r="F150" s="9"/>
      <c r="G150" s="9"/>
      <c r="H150" s="9"/>
      <c r="I150" s="9"/>
      <c r="J150" s="9"/>
      <c r="K150" s="9"/>
      <c r="L150" s="9"/>
      <c r="M150" s="9"/>
      <c r="N150" s="9"/>
      <c r="O150" s="189"/>
      <c r="P150" s="9"/>
      <c r="Q150" s="9"/>
      <c r="R150" s="9">
        <f t="shared" si="2"/>
        <v>0</v>
      </c>
    </row>
    <row r="151" spans="1:18">
      <c r="A151" s="8" t="s">
        <v>333</v>
      </c>
      <c r="B151" s="8" t="s">
        <v>429</v>
      </c>
      <c r="C151" s="8">
        <v>8214010102</v>
      </c>
      <c r="D151" s="8" t="s">
        <v>430</v>
      </c>
      <c r="E151" s="8" t="s">
        <v>475</v>
      </c>
      <c r="F151" s="9"/>
      <c r="G151" s="9"/>
      <c r="H151" s="9"/>
      <c r="I151" s="9"/>
      <c r="J151" s="9"/>
      <c r="K151" s="9"/>
      <c r="L151" s="9"/>
      <c r="M151" s="9"/>
      <c r="N151" s="9"/>
      <c r="O151" s="189"/>
      <c r="P151" s="9"/>
      <c r="Q151" s="9"/>
      <c r="R151" s="9">
        <f t="shared" si="2"/>
        <v>0</v>
      </c>
    </row>
    <row r="152" spans="1:18">
      <c r="A152" s="8" t="s">
        <v>431</v>
      </c>
      <c r="B152" s="8" t="s">
        <v>432</v>
      </c>
      <c r="C152" s="8">
        <v>8214120001</v>
      </c>
      <c r="D152" s="8" t="s">
        <v>433</v>
      </c>
      <c r="E152" s="8" t="s">
        <v>476</v>
      </c>
      <c r="F152" s="9"/>
      <c r="G152" s="9"/>
      <c r="H152" s="9"/>
      <c r="I152" s="9"/>
      <c r="J152" s="9"/>
      <c r="K152" s="9"/>
      <c r="L152" s="9"/>
      <c r="M152" s="9"/>
      <c r="N152" s="9"/>
      <c r="O152" s="189"/>
      <c r="P152" s="9"/>
      <c r="Q152" s="9"/>
      <c r="R152" s="9">
        <f t="shared" si="2"/>
        <v>0</v>
      </c>
    </row>
    <row r="153" spans="1:18">
      <c r="A153" s="8" t="s">
        <v>431</v>
      </c>
      <c r="B153" s="8" t="s">
        <v>434</v>
      </c>
      <c r="C153" s="8">
        <v>8214120002</v>
      </c>
      <c r="D153" s="8" t="s">
        <v>435</v>
      </c>
      <c r="E153" s="8" t="s">
        <v>477</v>
      </c>
      <c r="F153" s="9"/>
      <c r="G153" s="9"/>
      <c r="H153" s="9"/>
      <c r="I153" s="9"/>
      <c r="J153" s="9"/>
      <c r="K153" s="9"/>
      <c r="L153" s="9"/>
      <c r="M153" s="9"/>
      <c r="N153" s="9"/>
      <c r="O153" s="189"/>
      <c r="P153" s="9"/>
      <c r="Q153" s="9"/>
      <c r="R153" s="9">
        <f t="shared" si="2"/>
        <v>0</v>
      </c>
    </row>
    <row r="154" spans="1:18">
      <c r="A154" s="8" t="s">
        <v>431</v>
      </c>
      <c r="B154" s="8" t="s">
        <v>436</v>
      </c>
      <c r="C154" s="8">
        <v>8214120003</v>
      </c>
      <c r="D154" s="8" t="s">
        <v>437</v>
      </c>
      <c r="E154" s="8" t="s">
        <v>438</v>
      </c>
      <c r="F154" s="9"/>
      <c r="G154" s="9"/>
      <c r="H154" s="9"/>
      <c r="I154" s="9"/>
      <c r="J154" s="9"/>
      <c r="K154" s="9"/>
      <c r="L154" s="9"/>
      <c r="M154" s="9"/>
      <c r="N154" s="9"/>
      <c r="O154" s="189"/>
      <c r="P154" s="9"/>
      <c r="Q154" s="9"/>
      <c r="R154" s="9">
        <f t="shared" si="2"/>
        <v>0</v>
      </c>
    </row>
    <row r="155" spans="1:18">
      <c r="A155" s="8" t="s">
        <v>38</v>
      </c>
      <c r="B155" s="8"/>
      <c r="C155" s="8">
        <v>8219010101</v>
      </c>
      <c r="D155" s="8" t="s">
        <v>38</v>
      </c>
      <c r="E155" s="8" t="s">
        <v>439</v>
      </c>
      <c r="F155" s="9"/>
      <c r="G155" s="9"/>
      <c r="H155" s="9"/>
      <c r="I155" s="9"/>
      <c r="J155" s="9"/>
      <c r="K155" s="9"/>
      <c r="L155" s="9"/>
      <c r="M155" s="9"/>
      <c r="N155" s="9"/>
      <c r="O155" s="189"/>
      <c r="P155" s="9"/>
      <c r="Q155" s="9"/>
      <c r="R155" s="9">
        <f t="shared" si="2"/>
        <v>0</v>
      </c>
    </row>
    <row r="156" spans="1:18">
      <c r="A156" s="8" t="s">
        <v>28</v>
      </c>
      <c r="B156" s="8"/>
      <c r="C156" s="8">
        <v>8220010105</v>
      </c>
      <c r="D156" s="8" t="s">
        <v>28</v>
      </c>
      <c r="E156" s="8" t="s">
        <v>478</v>
      </c>
      <c r="F156" s="9"/>
      <c r="G156" s="9"/>
      <c r="H156" s="9"/>
      <c r="I156" s="9"/>
      <c r="J156" s="9"/>
      <c r="K156" s="9"/>
      <c r="L156" s="9"/>
      <c r="M156" s="9"/>
      <c r="N156" s="9"/>
      <c r="O156" s="189"/>
      <c r="P156" s="9"/>
      <c r="Q156" s="9"/>
      <c r="R156" s="9">
        <f t="shared" si="2"/>
        <v>0</v>
      </c>
    </row>
    <row r="157" spans="1:18">
      <c r="A157" s="8" t="s">
        <v>440</v>
      </c>
      <c r="B157" s="8"/>
      <c r="C157" s="14">
        <v>6901010100</v>
      </c>
      <c r="D157" s="8" t="s">
        <v>440</v>
      </c>
      <c r="E157" s="8"/>
      <c r="F157" s="9"/>
      <c r="G157" s="9"/>
      <c r="H157" s="9"/>
      <c r="I157" s="9"/>
      <c r="J157" s="9"/>
      <c r="K157" s="9"/>
      <c r="L157" s="9"/>
      <c r="M157" s="9"/>
      <c r="N157" s="9"/>
      <c r="O157" s="189"/>
      <c r="P157" s="9"/>
      <c r="Q157" s="9"/>
      <c r="R157" s="9">
        <f t="shared" si="2"/>
        <v>0</v>
      </c>
    </row>
    <row r="158" spans="1:18" s="13" customFormat="1" ht="18" customHeight="1">
      <c r="A158" s="10"/>
      <c r="B158" s="10"/>
      <c r="C158" s="204" t="s">
        <v>479</v>
      </c>
      <c r="D158" s="205"/>
      <c r="E158" s="10"/>
      <c r="F158" s="11">
        <f>SUM(F2:F157)</f>
        <v>13.482917999999998</v>
      </c>
      <c r="G158" s="11">
        <f t="shared" ref="G158:R158" si="3">SUM(G2:G157)</f>
        <v>12.748996</v>
      </c>
      <c r="H158" s="11">
        <f>SUM(H2:H157)</f>
        <v>0</v>
      </c>
      <c r="I158" s="11">
        <f t="shared" si="3"/>
        <v>0</v>
      </c>
      <c r="J158" s="11">
        <f t="shared" si="3"/>
        <v>0</v>
      </c>
      <c r="K158" s="11">
        <f t="shared" si="3"/>
        <v>0</v>
      </c>
      <c r="L158" s="11">
        <f t="shared" si="3"/>
        <v>0</v>
      </c>
      <c r="M158" s="11">
        <f t="shared" si="3"/>
        <v>0</v>
      </c>
      <c r="N158" s="11">
        <f t="shared" si="3"/>
        <v>0</v>
      </c>
      <c r="O158" s="188">
        <f t="shared" si="3"/>
        <v>0</v>
      </c>
      <c r="P158" s="11">
        <f t="shared" si="3"/>
        <v>0</v>
      </c>
      <c r="Q158" s="11">
        <f t="shared" si="3"/>
        <v>0</v>
      </c>
      <c r="R158" s="11">
        <f t="shared" si="3"/>
        <v>26.231914</v>
      </c>
    </row>
    <row r="160" spans="1:18">
      <c r="A160" s="168"/>
      <c r="F160" s="166"/>
      <c r="G160" s="166"/>
      <c r="H160" s="166"/>
      <c r="I160" s="166"/>
      <c r="J160" s="166"/>
      <c r="K160" s="166"/>
      <c r="R160" s="166">
        <f>R158-'植物智慧21年利润表（实际）'!N29</f>
        <v>0</v>
      </c>
    </row>
    <row r="161" spans="6:17">
      <c r="F161" s="166"/>
      <c r="M161" s="166"/>
      <c r="N161" s="166"/>
    </row>
    <row r="162" spans="6:17">
      <c r="G162" s="166" t="e">
        <f>G158*10000-GETPIVOTDATA("报表货币值",[1]透视表!$A$42,"起始期间",2,"渠道","市场费用")</f>
        <v>#REF!</v>
      </c>
      <c r="L162" s="171"/>
    </row>
    <row r="163" spans="6:17">
      <c r="Q163" s="171"/>
    </row>
  </sheetData>
  <autoFilter ref="A1:R158"/>
  <mergeCells count="1">
    <mergeCell ref="C158:D158"/>
  </mergeCells>
  <phoneticPr fontId="2" type="noConversion"/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5" sqref="I15"/>
    </sheetView>
  </sheetViews>
  <sheetFormatPr defaultRowHeight="13.5"/>
  <cols>
    <col min="1" max="1" width="9" customWidth="1"/>
    <col min="2" max="2" width="42.875" customWidth="1"/>
    <col min="3" max="3" width="15.125" bestFit="1" customWidth="1"/>
    <col min="4" max="4" width="11.25" bestFit="1" customWidth="1"/>
    <col min="5" max="5" width="12.625" bestFit="1" customWidth="1"/>
    <col min="6" max="6" width="8.375" bestFit="1" customWidth="1"/>
    <col min="7" max="7" width="9.5" bestFit="1" customWidth="1"/>
    <col min="8" max="8" width="10.625" bestFit="1" customWidth="1"/>
    <col min="9" max="9" width="11.625" bestFit="1" customWidth="1"/>
    <col min="10" max="10" width="27.5" customWidth="1"/>
    <col min="11" max="11" width="12.75" bestFit="1" customWidth="1"/>
  </cols>
  <sheetData>
    <row r="1" spans="1:10" ht="20.25">
      <c r="B1" s="213" t="s">
        <v>565</v>
      </c>
      <c r="C1" s="213"/>
      <c r="D1" s="213"/>
      <c r="E1" s="213"/>
      <c r="F1" s="213"/>
      <c r="G1" s="213"/>
      <c r="H1" s="213"/>
      <c r="I1" s="213"/>
      <c r="J1" s="213"/>
    </row>
    <row r="2" spans="1:10" ht="15.75">
      <c r="B2" s="178"/>
      <c r="C2" s="178"/>
      <c r="D2" s="178"/>
      <c r="E2" s="178"/>
      <c r="F2" s="178"/>
      <c r="G2" s="178"/>
      <c r="H2" s="178"/>
      <c r="I2" s="178"/>
      <c r="J2" s="186" t="s">
        <v>500</v>
      </c>
    </row>
    <row r="3" spans="1:10" ht="14.25">
      <c r="A3" s="208" t="s">
        <v>566</v>
      </c>
      <c r="B3" s="208" t="s">
        <v>539</v>
      </c>
      <c r="C3" s="214" t="s">
        <v>540</v>
      </c>
      <c r="D3" s="215" t="s">
        <v>541</v>
      </c>
      <c r="E3" s="215"/>
      <c r="F3" s="215" t="s">
        <v>542</v>
      </c>
      <c r="G3" s="215" t="s">
        <v>543</v>
      </c>
      <c r="H3" s="215" t="s">
        <v>544</v>
      </c>
      <c r="I3" s="215" t="s">
        <v>545</v>
      </c>
      <c r="J3" s="216" t="s">
        <v>546</v>
      </c>
    </row>
    <row r="4" spans="1:10" ht="14.25">
      <c r="A4" s="209"/>
      <c r="B4" s="209"/>
      <c r="C4" s="214"/>
      <c r="D4" s="179" t="s">
        <v>547</v>
      </c>
      <c r="E4" s="179" t="s">
        <v>548</v>
      </c>
      <c r="F4" s="215"/>
      <c r="G4" s="215"/>
      <c r="H4" s="215"/>
      <c r="I4" s="215"/>
      <c r="J4" s="216"/>
    </row>
    <row r="5" spans="1:10" ht="48">
      <c r="A5" s="180">
        <v>1000590</v>
      </c>
      <c r="B5" s="180" t="s">
        <v>555</v>
      </c>
      <c r="C5" s="181"/>
      <c r="D5" s="182">
        <f>123921.68/10000</f>
        <v>12.392168</v>
      </c>
      <c r="E5" s="182">
        <f>123921.68/10000</f>
        <v>12.392168</v>
      </c>
      <c r="F5" s="182">
        <v>0</v>
      </c>
      <c r="G5" s="182">
        <v>0</v>
      </c>
      <c r="H5" s="182">
        <v>0</v>
      </c>
      <c r="I5" s="182">
        <f>123921.68/10000</f>
        <v>12.392168</v>
      </c>
      <c r="J5" s="183" t="s">
        <v>551</v>
      </c>
    </row>
    <row r="6" spans="1:10" ht="48" customHeight="1">
      <c r="A6" s="180">
        <v>1000870</v>
      </c>
      <c r="B6" s="180" t="s">
        <v>561</v>
      </c>
      <c r="C6" s="181"/>
      <c r="D6" s="182">
        <f>70207.2/10000</f>
        <v>7.0207199999999998</v>
      </c>
      <c r="E6" s="182"/>
      <c r="F6" s="182"/>
      <c r="G6" s="182"/>
      <c r="H6" s="182">
        <v>7.0207199999999998</v>
      </c>
      <c r="I6" s="182"/>
      <c r="J6" s="183" t="s">
        <v>562</v>
      </c>
    </row>
    <row r="7" spans="1:10" ht="23.25" customHeight="1">
      <c r="A7" s="180">
        <v>1002174</v>
      </c>
      <c r="B7" s="180" t="s">
        <v>563</v>
      </c>
      <c r="C7" s="181"/>
      <c r="D7" s="182">
        <f>28922.88/10000</f>
        <v>2.8922880000000002</v>
      </c>
      <c r="E7" s="182"/>
      <c r="F7" s="182">
        <f>28922.88/10000</f>
        <v>2.8922880000000002</v>
      </c>
      <c r="G7" s="182"/>
      <c r="H7" s="182"/>
      <c r="I7" s="182"/>
      <c r="J7" s="183" t="s">
        <v>564</v>
      </c>
    </row>
    <row r="8" spans="1:10">
      <c r="A8" s="180"/>
      <c r="B8" s="180"/>
      <c r="C8" s="181"/>
      <c r="D8" s="182"/>
      <c r="E8" s="182"/>
      <c r="F8" s="182"/>
      <c r="G8" s="182"/>
      <c r="H8" s="182"/>
      <c r="I8" s="182"/>
      <c r="J8" s="183"/>
    </row>
    <row r="9" spans="1:10">
      <c r="A9" s="180"/>
      <c r="B9" s="180"/>
      <c r="C9" s="181"/>
      <c r="D9" s="182"/>
      <c r="E9" s="182"/>
      <c r="F9" s="182"/>
      <c r="G9" s="182"/>
      <c r="H9" s="182"/>
      <c r="I9" s="182"/>
      <c r="J9" s="183"/>
    </row>
    <row r="10" spans="1:10">
      <c r="A10" s="210" t="s">
        <v>549</v>
      </c>
      <c r="B10" s="211"/>
      <c r="C10" s="212"/>
      <c r="D10" s="184">
        <f>SUBTOTAL(9,D5:D9)</f>
        <v>22.305175999999999</v>
      </c>
      <c r="E10" s="184">
        <f>SUBTOTAL(9,E5:E9)</f>
        <v>12.392168</v>
      </c>
      <c r="F10" s="184">
        <f>SUBTOTAL(9,F5:F9)</f>
        <v>2.8922880000000002</v>
      </c>
      <c r="G10" s="184">
        <f t="shared" ref="G10:I10" si="0">SUBTOTAL(9,G5:G9)</f>
        <v>0</v>
      </c>
      <c r="H10" s="184">
        <f t="shared" si="0"/>
        <v>7.0207199999999998</v>
      </c>
      <c r="I10" s="184">
        <f t="shared" si="0"/>
        <v>12.392168</v>
      </c>
      <c r="J10" s="185"/>
    </row>
  </sheetData>
  <mergeCells count="11">
    <mergeCell ref="A3:A4"/>
    <mergeCell ref="A10:C10"/>
    <mergeCell ref="B1:J1"/>
    <mergeCell ref="B3:B4"/>
    <mergeCell ref="C3:C4"/>
    <mergeCell ref="D3:E3"/>
    <mergeCell ref="F3:F4"/>
    <mergeCell ref="G3:G4"/>
    <mergeCell ref="H3:H4"/>
    <mergeCell ref="I3:I4"/>
    <mergeCell ref="J3:J4"/>
  </mergeCells>
  <phoneticPr fontId="2" type="noConversion"/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7"/>
  <sheetViews>
    <sheetView workbookViewId="0">
      <pane xSplit="1" ySplit="10" topLeftCell="B11" activePane="bottomRight" state="frozen"/>
      <selection activeCell="A49" sqref="A49"/>
      <selection pane="topRight" activeCell="A49" sqref="A49"/>
      <selection pane="bottomLeft" activeCell="A49" sqref="A49"/>
      <selection pane="bottomRight" activeCell="A53" sqref="A53"/>
    </sheetView>
  </sheetViews>
  <sheetFormatPr defaultColWidth="8.625" defaultRowHeight="13.5" outlineLevelRow="1"/>
  <cols>
    <col min="1" max="1" width="31.625" style="131" customWidth="1"/>
    <col min="2" max="7" width="9.125" style="131" customWidth="1"/>
    <col min="8" max="14" width="8.625" style="131" customWidth="1"/>
    <col min="15" max="15" width="12.75" style="131" hidden="1" customWidth="1"/>
    <col min="16" max="16" width="10.5" style="131" bestFit="1" customWidth="1"/>
    <col min="17" max="17" width="8.625" style="131"/>
    <col min="18" max="18" width="16.125" style="131" bestFit="1" customWidth="1"/>
    <col min="19" max="16384" width="8.625" style="131"/>
  </cols>
  <sheetData>
    <row r="1" spans="1:16" s="110" customFormat="1" ht="21.95" customHeight="1" thickBot="1">
      <c r="A1" s="110" t="s">
        <v>498</v>
      </c>
      <c r="C1" s="111" t="s">
        <v>499</v>
      </c>
    </row>
    <row r="2" spans="1:16" s="115" customFormat="1" ht="17.45" customHeight="1">
      <c r="A2" s="112" t="s">
        <v>500</v>
      </c>
      <c r="B2" s="113" t="s">
        <v>501</v>
      </c>
      <c r="C2" s="114" t="s">
        <v>69</v>
      </c>
      <c r="D2" s="114" t="s">
        <v>70</v>
      </c>
      <c r="E2" s="114" t="s">
        <v>71</v>
      </c>
      <c r="F2" s="114" t="s">
        <v>72</v>
      </c>
      <c r="G2" s="114" t="s">
        <v>73</v>
      </c>
      <c r="H2" s="114" t="s">
        <v>74</v>
      </c>
      <c r="I2" s="114" t="s">
        <v>75</v>
      </c>
      <c r="J2" s="114" t="s">
        <v>76</v>
      </c>
      <c r="K2" s="114" t="s">
        <v>77</v>
      </c>
      <c r="L2" s="114" t="s">
        <v>78</v>
      </c>
      <c r="M2" s="114" t="s">
        <v>79</v>
      </c>
      <c r="N2" s="114" t="s">
        <v>479</v>
      </c>
    </row>
    <row r="3" spans="1:16" s="115" customFormat="1" ht="17.45" customHeight="1">
      <c r="A3" s="116" t="s">
        <v>497</v>
      </c>
      <c r="B3" s="117">
        <v>399.08690000000001</v>
      </c>
      <c r="C3" s="118">
        <v>894.53309999999999</v>
      </c>
      <c r="D3" s="118">
        <v>1078.9000000000001</v>
      </c>
      <c r="E3" s="118">
        <v>1030.29</v>
      </c>
      <c r="F3" s="118">
        <v>998.34</v>
      </c>
      <c r="G3" s="118">
        <f>16188350/10000</f>
        <v>1618.835</v>
      </c>
      <c r="H3" s="118"/>
      <c r="I3" s="118"/>
      <c r="J3" s="118"/>
      <c r="K3" s="118"/>
      <c r="L3" s="118"/>
      <c r="M3" s="118"/>
      <c r="N3" s="119">
        <f>SUM(B3:M3)</f>
        <v>6019.9849999999997</v>
      </c>
      <c r="O3" s="120"/>
    </row>
    <row r="4" spans="1:16" s="115" customFormat="1" ht="17.45" customHeight="1">
      <c r="A4" s="116" t="s">
        <v>0</v>
      </c>
      <c r="B4" s="117">
        <v>207.75390857142861</v>
      </c>
      <c r="C4" s="118">
        <v>547.40230337142862</v>
      </c>
      <c r="D4" s="118">
        <v>665.08571428571429</v>
      </c>
      <c r="E4" s="118">
        <v>627.50514285714291</v>
      </c>
      <c r="F4" s="118">
        <f>F5/0.35</f>
        <v>568.84199999999998</v>
      </c>
      <c r="G4" s="118">
        <f>G5/0.35</f>
        <v>869.24545848571427</v>
      </c>
      <c r="H4" s="118"/>
      <c r="I4" s="118"/>
      <c r="J4" s="118"/>
      <c r="K4" s="118"/>
      <c r="L4" s="118"/>
      <c r="M4" s="118"/>
      <c r="N4" s="119">
        <f t="shared" ref="N4:N46" si="0">SUM(B4:M4)</f>
        <v>3485.8345275714287</v>
      </c>
      <c r="O4" s="120"/>
    </row>
    <row r="5" spans="1:16" s="115" customFormat="1" ht="17.45" customHeight="1">
      <c r="A5" s="116" t="s">
        <v>503</v>
      </c>
      <c r="B5" s="117">
        <v>72.713868000000005</v>
      </c>
      <c r="C5" s="118">
        <v>191.59080617999999</v>
      </c>
      <c r="D5" s="118">
        <v>232.77999999999997</v>
      </c>
      <c r="E5" s="118">
        <v>219.6268</v>
      </c>
      <c r="F5" s="118">
        <f>F6*1.13</f>
        <v>199.09469999999999</v>
      </c>
      <c r="G5" s="118">
        <f>G6*1.13</f>
        <v>304.23591046999996</v>
      </c>
      <c r="H5" s="118"/>
      <c r="I5" s="118"/>
      <c r="J5" s="118"/>
      <c r="K5" s="118"/>
      <c r="L5" s="118"/>
      <c r="M5" s="118"/>
      <c r="N5" s="119">
        <f t="shared" si="0"/>
        <v>1220.0420846499999</v>
      </c>
      <c r="O5" s="120"/>
    </row>
    <row r="6" spans="1:16" s="115" customFormat="1" ht="17.45" customHeight="1">
      <c r="A6" s="116" t="s">
        <v>504</v>
      </c>
      <c r="B6" s="117">
        <v>64.348557999999997</v>
      </c>
      <c r="C6" s="118">
        <v>169.549386</v>
      </c>
      <c r="D6" s="118">
        <v>206</v>
      </c>
      <c r="E6" s="118">
        <v>194.36</v>
      </c>
      <c r="F6" s="118">
        <v>176.19</v>
      </c>
      <c r="G6" s="118">
        <f>2692353.19/10000</f>
        <v>269.235319</v>
      </c>
      <c r="H6" s="118"/>
      <c r="I6" s="118"/>
      <c r="J6" s="118"/>
      <c r="K6" s="118"/>
      <c r="L6" s="118"/>
      <c r="M6" s="118"/>
      <c r="N6" s="119">
        <f t="shared" si="0"/>
        <v>1079.6832629999999</v>
      </c>
      <c r="O6" s="120"/>
    </row>
    <row r="7" spans="1:16" s="115" customFormat="1" ht="17.45" customHeight="1">
      <c r="A7" s="116" t="s">
        <v>505</v>
      </c>
      <c r="B7" s="117">
        <v>14.589727999999999</v>
      </c>
      <c r="C7" s="118">
        <v>50.643021999999995</v>
      </c>
      <c r="D7" s="118">
        <v>63.57</v>
      </c>
      <c r="E7" s="118">
        <v>66.819999999999993</v>
      </c>
      <c r="F7" s="118">
        <v>50.62</v>
      </c>
      <c r="G7" s="118">
        <f>647698.09/10000</f>
        <v>64.769808999999995</v>
      </c>
      <c r="H7" s="118"/>
      <c r="I7" s="118"/>
      <c r="J7" s="118"/>
      <c r="K7" s="118"/>
      <c r="L7" s="118"/>
      <c r="M7" s="118"/>
      <c r="N7" s="119">
        <f t="shared" si="0"/>
        <v>311.01255900000001</v>
      </c>
    </row>
    <row r="8" spans="1:16" s="115" customFormat="1" ht="17.45" customHeight="1">
      <c r="A8" s="121" t="s">
        <v>506</v>
      </c>
      <c r="B8" s="122">
        <f>B6-B7</f>
        <v>49.758829999999996</v>
      </c>
      <c r="C8" s="119">
        <f t="shared" ref="C8:M8" si="1">C6-C7</f>
        <v>118.906364</v>
      </c>
      <c r="D8" s="119">
        <f t="shared" si="1"/>
        <v>142.43</v>
      </c>
      <c r="E8" s="119">
        <f t="shared" si="1"/>
        <v>127.54000000000002</v>
      </c>
      <c r="F8" s="119">
        <f t="shared" si="1"/>
        <v>125.57</v>
      </c>
      <c r="G8" s="119">
        <f t="shared" si="1"/>
        <v>204.46550999999999</v>
      </c>
      <c r="H8" s="119">
        <f t="shared" si="1"/>
        <v>0</v>
      </c>
      <c r="I8" s="119">
        <f t="shared" si="1"/>
        <v>0</v>
      </c>
      <c r="J8" s="119">
        <f t="shared" si="1"/>
        <v>0</v>
      </c>
      <c r="K8" s="119">
        <f t="shared" si="1"/>
        <v>0</v>
      </c>
      <c r="L8" s="119">
        <f t="shared" si="1"/>
        <v>0</v>
      </c>
      <c r="M8" s="119">
        <f t="shared" si="1"/>
        <v>0</v>
      </c>
      <c r="N8" s="119">
        <f t="shared" si="0"/>
        <v>768.670704</v>
      </c>
    </row>
    <row r="9" spans="1:16" s="115" customFormat="1" ht="17.45" customHeight="1">
      <c r="A9" s="123" t="s">
        <v>507</v>
      </c>
      <c r="B9" s="124">
        <f>IFERROR(B8/B6,0)</f>
        <v>0.77327031943746116</v>
      </c>
      <c r="C9" s="125">
        <f t="shared" ref="C9:N9" si="2">IFERROR(C8/C6,0)</f>
        <v>0.70130813685164273</v>
      </c>
      <c r="D9" s="125">
        <f t="shared" si="2"/>
        <v>0.69140776699029127</v>
      </c>
      <c r="E9" s="125">
        <f t="shared" si="2"/>
        <v>0.65620498044865205</v>
      </c>
      <c r="F9" s="125">
        <f t="shared" si="2"/>
        <v>0.71269652080140755</v>
      </c>
      <c r="G9" s="125">
        <f t="shared" si="2"/>
        <v>0.75943048913281685</v>
      </c>
      <c r="H9" s="125">
        <f t="shared" si="2"/>
        <v>0</v>
      </c>
      <c r="I9" s="125">
        <f t="shared" si="2"/>
        <v>0</v>
      </c>
      <c r="J9" s="125">
        <f t="shared" si="2"/>
        <v>0</v>
      </c>
      <c r="K9" s="125">
        <f t="shared" si="2"/>
        <v>0</v>
      </c>
      <c r="L9" s="125">
        <f t="shared" si="2"/>
        <v>0</v>
      </c>
      <c r="M9" s="125">
        <f t="shared" si="2"/>
        <v>0</v>
      </c>
      <c r="N9" s="125">
        <f t="shared" si="2"/>
        <v>0.71194092780893659</v>
      </c>
    </row>
    <row r="10" spans="1:16" s="115" customFormat="1" ht="17.45" customHeight="1">
      <c r="A10" s="121" t="s">
        <v>508</v>
      </c>
      <c r="B10" s="122">
        <f t="shared" ref="B10:M10" si="3">SUM(B11:B27)</f>
        <v>54.577967000000001</v>
      </c>
      <c r="C10" s="119">
        <f t="shared" si="3"/>
        <v>66.051073000000002</v>
      </c>
      <c r="D10" s="119">
        <f t="shared" si="3"/>
        <v>117.698352</v>
      </c>
      <c r="E10" s="119">
        <f t="shared" si="3"/>
        <v>61.931298999999996</v>
      </c>
      <c r="F10" s="119">
        <f t="shared" si="3"/>
        <v>56.05003700000001</v>
      </c>
      <c r="G10" s="119">
        <f t="shared" si="3"/>
        <v>137.27181499999998</v>
      </c>
      <c r="H10" s="119">
        <f t="shared" si="3"/>
        <v>0</v>
      </c>
      <c r="I10" s="119">
        <f t="shared" si="3"/>
        <v>0</v>
      </c>
      <c r="J10" s="119">
        <f t="shared" si="3"/>
        <v>0</v>
      </c>
      <c r="K10" s="119">
        <f t="shared" si="3"/>
        <v>0</v>
      </c>
      <c r="L10" s="119">
        <f t="shared" si="3"/>
        <v>0</v>
      </c>
      <c r="M10" s="119">
        <f t="shared" si="3"/>
        <v>0</v>
      </c>
      <c r="N10" s="119">
        <f t="shared" si="0"/>
        <v>493.58054300000003</v>
      </c>
    </row>
    <row r="11" spans="1:16" s="115" customFormat="1" ht="17.45" customHeight="1" outlineLevel="1">
      <c r="A11" s="126" t="s">
        <v>39</v>
      </c>
      <c r="B11" s="117">
        <v>13.233163000000001</v>
      </c>
      <c r="C11" s="118">
        <v>30.86458</v>
      </c>
      <c r="D11" s="118">
        <v>26.426511999999999</v>
      </c>
      <c r="E11" s="118">
        <v>14.673299000000002</v>
      </c>
      <c r="F11" s="118">
        <v>21.491037000000002</v>
      </c>
      <c r="G11" s="118">
        <v>48.110092000000002</v>
      </c>
      <c r="H11" s="118"/>
      <c r="I11" s="118"/>
      <c r="J11" s="118"/>
      <c r="K11" s="118"/>
      <c r="L11" s="118"/>
      <c r="M11" s="118"/>
      <c r="N11" s="119">
        <f t="shared" si="0"/>
        <v>154.79868300000001</v>
      </c>
      <c r="P11" s="156"/>
    </row>
    <row r="12" spans="1:16" s="115" customFormat="1" ht="17.45" customHeight="1" outlineLevel="1">
      <c r="A12" s="126" t="s">
        <v>40</v>
      </c>
      <c r="B12" s="117">
        <v>0.16644</v>
      </c>
      <c r="C12" s="118">
        <v>0.21661999999999998</v>
      </c>
      <c r="D12" s="118">
        <v>0.78183999999999998</v>
      </c>
      <c r="E12" s="118">
        <v>0.73799999999999999</v>
      </c>
      <c r="F12" s="118">
        <v>2.4390000000000001</v>
      </c>
      <c r="G12" s="118">
        <v>6.5047199999999998</v>
      </c>
      <c r="H12" s="118"/>
      <c r="I12" s="118"/>
      <c r="J12" s="118"/>
      <c r="K12" s="118"/>
      <c r="L12" s="118"/>
      <c r="M12" s="118"/>
      <c r="N12" s="119">
        <f t="shared" si="0"/>
        <v>10.84662</v>
      </c>
      <c r="P12" s="156"/>
    </row>
    <row r="13" spans="1:16" s="115" customFormat="1" ht="17.45" customHeight="1" outlineLevel="1">
      <c r="A13" s="126" t="s">
        <v>41</v>
      </c>
      <c r="B13" s="117">
        <v>0</v>
      </c>
      <c r="C13" s="118">
        <v>0</v>
      </c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9">
        <f t="shared" si="0"/>
        <v>0</v>
      </c>
      <c r="P13" s="156"/>
    </row>
    <row r="14" spans="1:16" s="115" customFormat="1" ht="17.45" customHeight="1" outlineLevel="1">
      <c r="A14" s="126" t="s">
        <v>42</v>
      </c>
      <c r="B14" s="117">
        <v>0</v>
      </c>
      <c r="C14" s="118">
        <v>0</v>
      </c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9">
        <f t="shared" si="0"/>
        <v>0</v>
      </c>
      <c r="P14" s="156"/>
    </row>
    <row r="15" spans="1:16" s="115" customFormat="1" ht="17.45" customHeight="1" outlineLevel="1">
      <c r="A15" s="126" t="s">
        <v>43</v>
      </c>
      <c r="B15" s="117">
        <v>0</v>
      </c>
      <c r="C15" s="118">
        <v>0</v>
      </c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9">
        <f t="shared" si="0"/>
        <v>0</v>
      </c>
      <c r="P15" s="156"/>
    </row>
    <row r="16" spans="1:16" s="115" customFormat="1" ht="17.45" customHeight="1" outlineLevel="1">
      <c r="A16" s="126" t="s">
        <v>44</v>
      </c>
      <c r="B16" s="117">
        <v>0</v>
      </c>
      <c r="C16" s="118">
        <v>0</v>
      </c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9">
        <f t="shared" si="0"/>
        <v>0</v>
      </c>
      <c r="P16" s="156"/>
    </row>
    <row r="17" spans="1:19" s="115" customFormat="1">
      <c r="A17" s="126" t="s">
        <v>45</v>
      </c>
      <c r="B17" s="117">
        <v>0</v>
      </c>
      <c r="C17" s="118">
        <v>0</v>
      </c>
      <c r="D17" s="118"/>
      <c r="E17" s="118"/>
      <c r="F17" s="118"/>
      <c r="G17" s="118">
        <v>0</v>
      </c>
      <c r="H17" s="118"/>
      <c r="I17" s="118"/>
      <c r="J17" s="118"/>
      <c r="K17" s="118"/>
      <c r="L17" s="118"/>
      <c r="M17" s="118"/>
      <c r="N17" s="119">
        <f t="shared" si="0"/>
        <v>0</v>
      </c>
      <c r="P17" s="156"/>
      <c r="R17" s="158"/>
    </row>
    <row r="18" spans="1:19" s="115" customFormat="1">
      <c r="A18" s="126" t="s">
        <v>46</v>
      </c>
      <c r="B18" s="117">
        <v>0</v>
      </c>
      <c r="C18" s="118">
        <v>0</v>
      </c>
      <c r="D18" s="118"/>
      <c r="E18" s="118"/>
      <c r="F18" s="118"/>
      <c r="G18" s="118">
        <v>0</v>
      </c>
      <c r="H18" s="118"/>
      <c r="I18" s="118"/>
      <c r="J18" s="118"/>
      <c r="K18" s="118"/>
      <c r="L18" s="118"/>
      <c r="M18" s="118"/>
      <c r="N18" s="119">
        <f t="shared" si="0"/>
        <v>0</v>
      </c>
      <c r="P18" s="156"/>
      <c r="R18" s="158"/>
    </row>
    <row r="19" spans="1:19" s="115" customFormat="1">
      <c r="A19" s="126" t="s">
        <v>47</v>
      </c>
      <c r="B19" s="117">
        <v>0</v>
      </c>
      <c r="C19" s="118">
        <v>0</v>
      </c>
      <c r="D19" s="118"/>
      <c r="E19" s="118"/>
      <c r="F19" s="118"/>
      <c r="G19" s="118">
        <v>0</v>
      </c>
      <c r="H19" s="118"/>
      <c r="I19" s="118"/>
      <c r="J19" s="118"/>
      <c r="K19" s="118"/>
      <c r="L19" s="118"/>
      <c r="M19" s="118"/>
      <c r="N19" s="119">
        <f t="shared" si="0"/>
        <v>0</v>
      </c>
      <c r="P19" s="156"/>
      <c r="R19" s="158"/>
    </row>
    <row r="20" spans="1:19" s="115" customFormat="1">
      <c r="A20" s="126" t="s">
        <v>48</v>
      </c>
      <c r="B20" s="117">
        <v>0</v>
      </c>
      <c r="C20" s="118">
        <v>0</v>
      </c>
      <c r="D20" s="118"/>
      <c r="E20" s="118"/>
      <c r="F20" s="118"/>
      <c r="G20" s="118">
        <v>0</v>
      </c>
      <c r="H20" s="118"/>
      <c r="I20" s="118"/>
      <c r="J20" s="118"/>
      <c r="K20" s="118"/>
      <c r="L20" s="118"/>
      <c r="M20" s="118"/>
      <c r="N20" s="119">
        <f t="shared" si="0"/>
        <v>0</v>
      </c>
      <c r="P20" s="156"/>
      <c r="R20" s="158"/>
    </row>
    <row r="21" spans="1:19" s="115" customFormat="1">
      <c r="A21" s="126" t="s">
        <v>49</v>
      </c>
      <c r="B21" s="117">
        <v>14.392827000000004</v>
      </c>
      <c r="C21" s="118">
        <v>29.134592000000001</v>
      </c>
      <c r="D21" s="118">
        <v>85.68</v>
      </c>
      <c r="E21" s="118">
        <v>41.12</v>
      </c>
      <c r="F21" s="118">
        <v>16.46</v>
      </c>
      <c r="G21" s="118">
        <v>44.45090399999998</v>
      </c>
      <c r="H21" s="118"/>
      <c r="I21" s="118"/>
      <c r="J21" s="118"/>
      <c r="K21" s="118"/>
      <c r="L21" s="118"/>
      <c r="M21" s="118"/>
      <c r="N21" s="119">
        <f>SUM(B21:M21)</f>
        <v>231.23832300000001</v>
      </c>
      <c r="O21" s="115" t="s">
        <v>513</v>
      </c>
      <c r="P21" s="156"/>
      <c r="R21" s="158"/>
    </row>
    <row r="22" spans="1:19" s="115" customFormat="1">
      <c r="A22" s="126" t="s">
        <v>50</v>
      </c>
      <c r="B22" s="117">
        <v>-9.9999999947613104E-7</v>
      </c>
      <c r="C22" s="118">
        <v>2.0513E-2</v>
      </c>
      <c r="D22" s="118"/>
      <c r="E22" s="118"/>
      <c r="F22" s="118">
        <v>0.1</v>
      </c>
      <c r="G22" s="118">
        <v>0.45574000000000003</v>
      </c>
      <c r="H22" s="118"/>
      <c r="I22" s="118"/>
      <c r="J22" s="118"/>
      <c r="K22" s="118"/>
      <c r="L22" s="118"/>
      <c r="M22" s="118"/>
      <c r="N22" s="119">
        <f t="shared" si="0"/>
        <v>0.57625200000000054</v>
      </c>
      <c r="O22" s="115" t="s">
        <v>15</v>
      </c>
      <c r="P22" s="156"/>
      <c r="R22" s="158"/>
    </row>
    <row r="23" spans="1:19" s="115" customFormat="1">
      <c r="A23" s="126" t="s">
        <v>51</v>
      </c>
      <c r="B23" s="117">
        <v>7.0746280000000006</v>
      </c>
      <c r="C23" s="118">
        <v>1.1720519999999994</v>
      </c>
      <c r="D23" s="118"/>
      <c r="E23" s="118"/>
      <c r="F23" s="118">
        <v>0.85</v>
      </c>
      <c r="G23" s="118">
        <v>19.338152000000001</v>
      </c>
      <c r="H23" s="118"/>
      <c r="I23" s="118"/>
      <c r="J23" s="118"/>
      <c r="K23" s="118"/>
      <c r="L23" s="118"/>
      <c r="M23" s="118"/>
      <c r="N23" s="119">
        <f t="shared" si="0"/>
        <v>28.434832</v>
      </c>
      <c r="O23" s="115" t="s">
        <v>12</v>
      </c>
      <c r="P23" s="156"/>
      <c r="R23" s="158"/>
    </row>
    <row r="24" spans="1:19" s="115" customFormat="1">
      <c r="A24" s="126" t="s">
        <v>52</v>
      </c>
      <c r="B24" s="117">
        <v>5.1916000000000004E-2</v>
      </c>
      <c r="C24" s="118">
        <v>5.1916000000000004E-2</v>
      </c>
      <c r="D24" s="118">
        <v>0.03</v>
      </c>
      <c r="E24" s="118">
        <v>0.03</v>
      </c>
      <c r="F24" s="118">
        <v>0.03</v>
      </c>
      <c r="G24" s="118">
        <v>9.9394999999999956E-2</v>
      </c>
      <c r="H24" s="118"/>
      <c r="I24" s="118"/>
      <c r="J24" s="118"/>
      <c r="K24" s="118"/>
      <c r="L24" s="118"/>
      <c r="M24" s="118"/>
      <c r="N24" s="119">
        <f t="shared" si="0"/>
        <v>0.29322699999999996</v>
      </c>
      <c r="O24" s="115" t="s">
        <v>295</v>
      </c>
      <c r="P24" s="156"/>
      <c r="R24" s="158"/>
    </row>
    <row r="25" spans="1:19" s="115" customFormat="1">
      <c r="A25" s="126" t="s">
        <v>53</v>
      </c>
      <c r="B25" s="117">
        <v>0</v>
      </c>
      <c r="C25" s="118">
        <v>0</v>
      </c>
      <c r="D25" s="118"/>
      <c r="E25" s="118"/>
      <c r="F25" s="118"/>
      <c r="G25" s="118">
        <v>0</v>
      </c>
      <c r="H25" s="118"/>
      <c r="I25" s="118"/>
      <c r="J25" s="118"/>
      <c r="K25" s="118"/>
      <c r="L25" s="118"/>
      <c r="M25" s="118"/>
      <c r="N25" s="119">
        <f t="shared" si="0"/>
        <v>0</v>
      </c>
      <c r="P25" s="156"/>
      <c r="R25" s="158"/>
    </row>
    <row r="26" spans="1:19" s="115" customFormat="1">
      <c r="A26" s="126" t="s">
        <v>54</v>
      </c>
      <c r="B26" s="117">
        <v>0</v>
      </c>
      <c r="C26" s="118">
        <v>0</v>
      </c>
      <c r="D26" s="118"/>
      <c r="E26" s="118"/>
      <c r="F26" s="118"/>
      <c r="G26" s="118">
        <v>0</v>
      </c>
      <c r="H26" s="118"/>
      <c r="I26" s="118"/>
      <c r="J26" s="118"/>
      <c r="K26" s="118"/>
      <c r="L26" s="118"/>
      <c r="M26" s="118"/>
      <c r="N26" s="119">
        <f t="shared" si="0"/>
        <v>0</v>
      </c>
      <c r="P26" s="156"/>
      <c r="R26" s="158"/>
    </row>
    <row r="27" spans="1:19" s="115" customFormat="1">
      <c r="A27" s="126" t="s">
        <v>55</v>
      </c>
      <c r="B27" s="117">
        <v>19.658994</v>
      </c>
      <c r="C27" s="118">
        <v>4.5907999999999998</v>
      </c>
      <c r="D27" s="118">
        <v>4.78</v>
      </c>
      <c r="E27" s="118">
        <v>5.37</v>
      </c>
      <c r="F27" s="118">
        <v>14.68</v>
      </c>
      <c r="G27" s="118">
        <v>18.312811999999987</v>
      </c>
      <c r="H27" s="118"/>
      <c r="I27" s="118"/>
      <c r="J27" s="118"/>
      <c r="K27" s="118"/>
      <c r="L27" s="118"/>
      <c r="M27" s="118"/>
      <c r="N27" s="119">
        <f t="shared" si="0"/>
        <v>67.392605999999986</v>
      </c>
      <c r="O27" s="115" t="s">
        <v>333</v>
      </c>
      <c r="P27" s="156"/>
      <c r="R27" s="158"/>
    </row>
    <row r="28" spans="1:19" s="115" customFormat="1">
      <c r="A28" s="127" t="s">
        <v>9</v>
      </c>
      <c r="B28" s="122">
        <f t="shared" ref="B28:M28" si="4">B8-B10</f>
        <v>-4.8191370000000049</v>
      </c>
      <c r="C28" s="119">
        <f t="shared" si="4"/>
        <v>52.855290999999994</v>
      </c>
      <c r="D28" s="119">
        <f t="shared" si="4"/>
        <v>24.731648000000007</v>
      </c>
      <c r="E28" s="119">
        <f t="shared" si="4"/>
        <v>65.608701000000025</v>
      </c>
      <c r="F28" s="119">
        <f t="shared" si="4"/>
        <v>69.51996299999999</v>
      </c>
      <c r="G28" s="119">
        <f t="shared" si="4"/>
        <v>67.193695000000019</v>
      </c>
      <c r="H28" s="119">
        <f t="shared" si="4"/>
        <v>0</v>
      </c>
      <c r="I28" s="119">
        <f t="shared" si="4"/>
        <v>0</v>
      </c>
      <c r="J28" s="119">
        <f t="shared" si="4"/>
        <v>0</v>
      </c>
      <c r="K28" s="119">
        <f t="shared" si="4"/>
        <v>0</v>
      </c>
      <c r="L28" s="119">
        <f t="shared" si="4"/>
        <v>0</v>
      </c>
      <c r="M28" s="119">
        <f t="shared" si="4"/>
        <v>0</v>
      </c>
      <c r="N28" s="119">
        <f t="shared" si="0"/>
        <v>275.09016100000002</v>
      </c>
      <c r="R28" s="158"/>
      <c r="S28" s="158"/>
    </row>
    <row r="29" spans="1:19" s="115" customFormat="1">
      <c r="A29" s="121" t="s">
        <v>509</v>
      </c>
      <c r="B29" s="122">
        <f>SUM(B30:B45)</f>
        <v>19.002771000000003</v>
      </c>
      <c r="C29" s="119">
        <f t="shared" ref="C29:M29" si="5">SUM(C30:C45)</f>
        <v>13.475380000000001</v>
      </c>
      <c r="D29" s="119">
        <f t="shared" si="5"/>
        <v>17.96</v>
      </c>
      <c r="E29" s="119">
        <f t="shared" si="5"/>
        <v>11.959</v>
      </c>
      <c r="F29" s="119">
        <f t="shared" si="5"/>
        <v>14.059999999999999</v>
      </c>
      <c r="G29" s="119">
        <f t="shared" si="5"/>
        <v>33.520122999999984</v>
      </c>
      <c r="H29" s="119">
        <f t="shared" si="5"/>
        <v>0</v>
      </c>
      <c r="I29" s="119">
        <f t="shared" si="5"/>
        <v>0</v>
      </c>
      <c r="J29" s="119">
        <f t="shared" si="5"/>
        <v>0</v>
      </c>
      <c r="K29" s="119">
        <f t="shared" si="5"/>
        <v>0</v>
      </c>
      <c r="L29" s="119">
        <f t="shared" si="5"/>
        <v>0</v>
      </c>
      <c r="M29" s="119">
        <f t="shared" si="5"/>
        <v>0</v>
      </c>
      <c r="N29" s="119">
        <f t="shared" si="0"/>
        <v>109.97727399999999</v>
      </c>
      <c r="P29" s="158"/>
      <c r="Q29" s="158"/>
      <c r="R29" s="158"/>
    </row>
    <row r="30" spans="1:19" s="115" customFormat="1">
      <c r="A30" s="126" t="s">
        <v>56</v>
      </c>
      <c r="B30" s="117">
        <v>4.559717</v>
      </c>
      <c r="C30" s="118">
        <v>0</v>
      </c>
      <c r="D30" s="118">
        <v>0.04</v>
      </c>
      <c r="E30" s="118">
        <v>-0.2</v>
      </c>
      <c r="F30" s="118"/>
      <c r="G30" s="118">
        <v>4.2671699999999992</v>
      </c>
      <c r="H30" s="118"/>
      <c r="I30" s="118"/>
      <c r="J30" s="118"/>
      <c r="K30" s="118"/>
      <c r="L30" s="118"/>
      <c r="M30" s="118"/>
      <c r="N30" s="119">
        <f t="shared" si="0"/>
        <v>8.6668869999999991</v>
      </c>
      <c r="O30" s="115" t="s">
        <v>14</v>
      </c>
      <c r="P30" s="156"/>
      <c r="R30" s="158"/>
    </row>
    <row r="31" spans="1:19" s="115" customFormat="1">
      <c r="A31" s="126" t="s">
        <v>57</v>
      </c>
      <c r="B31" s="117">
        <v>0</v>
      </c>
      <c r="C31" s="118">
        <v>0</v>
      </c>
      <c r="D31" s="118"/>
      <c r="E31" s="118"/>
      <c r="F31" s="118"/>
      <c r="G31" s="118">
        <v>0</v>
      </c>
      <c r="H31" s="118"/>
      <c r="I31" s="118"/>
      <c r="J31" s="118"/>
      <c r="K31" s="118"/>
      <c r="L31" s="118"/>
      <c r="M31" s="118"/>
      <c r="N31" s="119">
        <f t="shared" si="0"/>
        <v>0</v>
      </c>
      <c r="O31" s="115" t="s">
        <v>23</v>
      </c>
      <c r="P31" s="156"/>
      <c r="R31" s="158"/>
    </row>
    <row r="32" spans="1:19" s="115" customFormat="1">
      <c r="A32" s="126" t="s">
        <v>58</v>
      </c>
      <c r="B32" s="117">
        <v>0</v>
      </c>
      <c r="C32" s="118">
        <v>0</v>
      </c>
      <c r="D32" s="118"/>
      <c r="E32" s="118"/>
      <c r="F32" s="118"/>
      <c r="G32" s="118">
        <v>0</v>
      </c>
      <c r="H32" s="118"/>
      <c r="I32" s="118"/>
      <c r="J32" s="118"/>
      <c r="K32" s="118"/>
      <c r="L32" s="118"/>
      <c r="M32" s="118"/>
      <c r="N32" s="119">
        <f t="shared" si="0"/>
        <v>0</v>
      </c>
      <c r="P32" s="156"/>
      <c r="R32" s="158"/>
    </row>
    <row r="33" spans="1:18" s="115" customFormat="1">
      <c r="A33" s="126" t="s">
        <v>42</v>
      </c>
      <c r="B33" s="117">
        <v>0</v>
      </c>
      <c r="C33" s="118">
        <v>0</v>
      </c>
      <c r="D33" s="118"/>
      <c r="E33" s="118"/>
      <c r="F33" s="118"/>
      <c r="G33" s="118">
        <v>0</v>
      </c>
      <c r="H33" s="118"/>
      <c r="I33" s="118"/>
      <c r="J33" s="118"/>
      <c r="K33" s="118"/>
      <c r="L33" s="118"/>
      <c r="M33" s="118"/>
      <c r="N33" s="119">
        <f t="shared" si="0"/>
        <v>0</v>
      </c>
      <c r="P33" s="156"/>
      <c r="R33" s="158"/>
    </row>
    <row r="34" spans="1:18" s="115" customFormat="1">
      <c r="A34" s="126" t="s">
        <v>59</v>
      </c>
      <c r="B34" s="117">
        <v>0</v>
      </c>
      <c r="C34" s="118">
        <v>0</v>
      </c>
      <c r="D34" s="118"/>
      <c r="E34" s="118"/>
      <c r="F34" s="118"/>
      <c r="G34" s="118">
        <v>0</v>
      </c>
      <c r="H34" s="118"/>
      <c r="I34" s="118"/>
      <c r="J34" s="118"/>
      <c r="K34" s="118"/>
      <c r="L34" s="118"/>
      <c r="M34" s="118"/>
      <c r="N34" s="119">
        <f t="shared" si="0"/>
        <v>0</v>
      </c>
      <c r="P34" s="156"/>
      <c r="R34" s="158"/>
    </row>
    <row r="35" spans="1:18" s="115" customFormat="1">
      <c r="A35" s="126" t="s">
        <v>60</v>
      </c>
      <c r="B35" s="117">
        <v>0</v>
      </c>
      <c r="C35" s="118">
        <v>0</v>
      </c>
      <c r="D35" s="118"/>
      <c r="E35" s="118"/>
      <c r="F35" s="118">
        <v>7.0000000000000007E-2</v>
      </c>
      <c r="G35" s="118">
        <v>5.7429999999999842E-3</v>
      </c>
      <c r="H35" s="118"/>
      <c r="I35" s="118"/>
      <c r="J35" s="118"/>
      <c r="K35" s="118"/>
      <c r="L35" s="118"/>
      <c r="M35" s="118"/>
      <c r="N35" s="119">
        <f t="shared" si="0"/>
        <v>7.5742999999999991E-2</v>
      </c>
      <c r="O35" s="157" t="s">
        <v>514</v>
      </c>
      <c r="P35" s="156"/>
      <c r="R35" s="158"/>
    </row>
    <row r="36" spans="1:18" s="115" customFormat="1">
      <c r="A36" s="126" t="s">
        <v>61</v>
      </c>
      <c r="B36" s="117">
        <v>0</v>
      </c>
      <c r="C36" s="118">
        <v>0</v>
      </c>
      <c r="D36" s="118">
        <v>4.7</v>
      </c>
      <c r="E36" s="118">
        <v>-2.83</v>
      </c>
      <c r="F36" s="118"/>
      <c r="G36" s="118">
        <v>18.884715999999997</v>
      </c>
      <c r="H36" s="118"/>
      <c r="I36" s="118"/>
      <c r="J36" s="118"/>
      <c r="K36" s="118"/>
      <c r="L36" s="118"/>
      <c r="M36" s="118"/>
      <c r="N36" s="119">
        <f t="shared" si="0"/>
        <v>20.754715999999998</v>
      </c>
      <c r="O36" s="115" t="s">
        <v>515</v>
      </c>
      <c r="P36" s="156"/>
      <c r="R36" s="158"/>
    </row>
    <row r="37" spans="1:18" s="115" customFormat="1">
      <c r="A37" s="126" t="s">
        <v>62</v>
      </c>
      <c r="B37" s="117">
        <v>0</v>
      </c>
      <c r="C37" s="118">
        <v>0</v>
      </c>
      <c r="D37" s="118"/>
      <c r="E37" s="118">
        <v>0.04</v>
      </c>
      <c r="F37" s="118">
        <v>0.05</v>
      </c>
      <c r="G37" s="118">
        <v>-2.8200000000000031E-3</v>
      </c>
      <c r="H37" s="118"/>
      <c r="I37" s="118"/>
      <c r="J37" s="118"/>
      <c r="K37" s="118"/>
      <c r="L37" s="118"/>
      <c r="M37" s="118"/>
      <c r="N37" s="119">
        <f t="shared" si="0"/>
        <v>8.7179999999999994E-2</v>
      </c>
      <c r="O37" s="115" t="s">
        <v>152</v>
      </c>
      <c r="P37" s="156"/>
      <c r="R37" s="158"/>
    </row>
    <row r="38" spans="1:18" s="115" customFormat="1">
      <c r="A38" s="126" t="s">
        <v>63</v>
      </c>
      <c r="B38" s="117">
        <v>0</v>
      </c>
      <c r="C38" s="118">
        <v>0</v>
      </c>
      <c r="D38" s="118"/>
      <c r="E38" s="118"/>
      <c r="F38" s="118"/>
      <c r="G38" s="118">
        <v>0</v>
      </c>
      <c r="H38" s="118"/>
      <c r="I38" s="118"/>
      <c r="J38" s="118"/>
      <c r="K38" s="118"/>
      <c r="L38" s="118"/>
      <c r="M38" s="118"/>
      <c r="N38" s="119">
        <f t="shared" si="0"/>
        <v>0</v>
      </c>
      <c r="P38" s="156"/>
      <c r="R38" s="158"/>
    </row>
    <row r="39" spans="1:18" s="115" customFormat="1">
      <c r="A39" s="126" t="s">
        <v>64</v>
      </c>
      <c r="B39" s="117">
        <v>0</v>
      </c>
      <c r="C39" s="118">
        <v>0</v>
      </c>
      <c r="D39" s="118"/>
      <c r="E39" s="118"/>
      <c r="F39" s="118"/>
      <c r="G39" s="118">
        <v>0.57522099999999998</v>
      </c>
      <c r="H39" s="118"/>
      <c r="I39" s="118"/>
      <c r="J39" s="118"/>
      <c r="K39" s="118"/>
      <c r="L39" s="118"/>
      <c r="M39" s="118"/>
      <c r="N39" s="119">
        <f t="shared" si="0"/>
        <v>0.57522099999999998</v>
      </c>
      <c r="O39" s="115" t="s">
        <v>17</v>
      </c>
      <c r="P39" s="156"/>
      <c r="R39" s="158"/>
    </row>
    <row r="40" spans="1:18" s="115" customFormat="1">
      <c r="A40" s="126" t="s">
        <v>65</v>
      </c>
      <c r="B40" s="117">
        <v>13.5771</v>
      </c>
      <c r="C40" s="118">
        <v>13.380632</v>
      </c>
      <c r="D40" s="118">
        <v>11.38</v>
      </c>
      <c r="E40" s="118">
        <v>14.74</v>
      </c>
      <c r="F40" s="118">
        <v>13.43</v>
      </c>
      <c r="G40" s="118">
        <v>8.4627519999999947</v>
      </c>
      <c r="H40" s="118"/>
      <c r="I40" s="118"/>
      <c r="J40" s="118"/>
      <c r="K40" s="118"/>
      <c r="L40" s="118"/>
      <c r="M40" s="118"/>
      <c r="N40" s="119">
        <f t="shared" si="0"/>
        <v>74.970483999999999</v>
      </c>
      <c r="O40" s="115" t="s">
        <v>513</v>
      </c>
      <c r="P40" s="156"/>
      <c r="R40" s="158"/>
    </row>
    <row r="41" spans="1:18" s="115" customFormat="1">
      <c r="A41" s="126" t="s">
        <v>50</v>
      </c>
      <c r="B41" s="117">
        <v>0.40754699999999999</v>
      </c>
      <c r="C41" s="118">
        <v>0</v>
      </c>
      <c r="D41" s="118"/>
      <c r="E41" s="118"/>
      <c r="F41" s="118"/>
      <c r="G41" s="118">
        <v>0.38867299999999994</v>
      </c>
      <c r="H41" s="118"/>
      <c r="I41" s="118"/>
      <c r="J41" s="118"/>
      <c r="K41" s="118"/>
      <c r="L41" s="118"/>
      <c r="M41" s="118"/>
      <c r="N41" s="119">
        <f t="shared" si="0"/>
        <v>0.79621999999999993</v>
      </c>
      <c r="O41" s="115" t="s">
        <v>15</v>
      </c>
      <c r="P41" s="156"/>
      <c r="R41" s="158"/>
    </row>
    <row r="42" spans="1:18" s="115" customFormat="1">
      <c r="A42" s="126" t="s">
        <v>51</v>
      </c>
      <c r="B42" s="117"/>
      <c r="C42" s="118">
        <v>0</v>
      </c>
      <c r="D42" s="118"/>
      <c r="E42" s="118"/>
      <c r="F42" s="118"/>
      <c r="G42" s="118">
        <v>0</v>
      </c>
      <c r="H42" s="118"/>
      <c r="I42" s="118"/>
      <c r="J42" s="118"/>
      <c r="K42" s="118"/>
      <c r="L42" s="118"/>
      <c r="M42" s="118"/>
      <c r="N42" s="119">
        <f t="shared" si="0"/>
        <v>0</v>
      </c>
      <c r="P42" s="156"/>
      <c r="R42" s="158"/>
    </row>
    <row r="43" spans="1:18" s="115" customFormat="1">
      <c r="A43" s="126" t="s">
        <v>52</v>
      </c>
      <c r="B43" s="117">
        <v>1.9397000000000001E-2</v>
      </c>
      <c r="C43" s="118">
        <v>1.9396E-2</v>
      </c>
      <c r="D43" s="118">
        <v>0.02</v>
      </c>
      <c r="E43" s="118">
        <v>1.9E-2</v>
      </c>
      <c r="F43" s="118">
        <v>0.02</v>
      </c>
      <c r="G43" s="118">
        <v>1.8585999999999991E-2</v>
      </c>
      <c r="H43" s="118"/>
      <c r="I43" s="118"/>
      <c r="J43" s="118"/>
      <c r="K43" s="118"/>
      <c r="L43" s="118"/>
      <c r="M43" s="118"/>
      <c r="N43" s="119">
        <f t="shared" si="0"/>
        <v>0.116379</v>
      </c>
      <c r="O43" s="115" t="s">
        <v>295</v>
      </c>
      <c r="P43" s="156"/>
      <c r="R43" s="158"/>
    </row>
    <row r="44" spans="1:18" s="115" customFormat="1">
      <c r="A44" s="126" t="s">
        <v>53</v>
      </c>
      <c r="B44" s="117">
        <v>0</v>
      </c>
      <c r="C44" s="118">
        <v>0</v>
      </c>
      <c r="D44" s="118">
        <v>1.67</v>
      </c>
      <c r="E44" s="118"/>
      <c r="F44" s="118"/>
      <c r="G44" s="118">
        <v>0.4591940000000001</v>
      </c>
      <c r="H44" s="118"/>
      <c r="I44" s="118"/>
      <c r="J44" s="118"/>
      <c r="K44" s="118"/>
      <c r="L44" s="118"/>
      <c r="M44" s="118"/>
      <c r="N44" s="119">
        <f t="shared" si="0"/>
        <v>2.129194</v>
      </c>
      <c r="O44" s="115" t="s">
        <v>20</v>
      </c>
      <c r="P44" s="156"/>
      <c r="R44" s="158"/>
    </row>
    <row r="45" spans="1:18" s="115" customFormat="1">
      <c r="A45" s="126" t="s">
        <v>66</v>
      </c>
      <c r="B45" s="117">
        <v>0.43900999999999996</v>
      </c>
      <c r="C45" s="118">
        <v>7.5352000000000002E-2</v>
      </c>
      <c r="D45" s="118">
        <v>0.15</v>
      </c>
      <c r="E45" s="118">
        <v>0.19</v>
      </c>
      <c r="F45" s="118">
        <v>0.49</v>
      </c>
      <c r="G45" s="118">
        <v>0.46088799999999996</v>
      </c>
      <c r="H45" s="118"/>
      <c r="I45" s="118"/>
      <c r="J45" s="118"/>
      <c r="K45" s="118"/>
      <c r="L45" s="118"/>
      <c r="M45" s="118"/>
      <c r="N45" s="119">
        <f t="shared" si="0"/>
        <v>1.80525</v>
      </c>
      <c r="O45" s="115" t="s">
        <v>333</v>
      </c>
      <c r="P45" s="156"/>
      <c r="R45" s="158"/>
    </row>
    <row r="46" spans="1:18" ht="14.25" thickBot="1">
      <c r="A46" s="128" t="s">
        <v>1</v>
      </c>
      <c r="B46" s="129">
        <f>B28-B29</f>
        <v>-23.821908000000008</v>
      </c>
      <c r="C46" s="130">
        <f t="shared" ref="C46:M46" si="6">C28-C29</f>
        <v>39.379910999999993</v>
      </c>
      <c r="D46" s="130">
        <f t="shared" si="6"/>
        <v>6.7716480000000061</v>
      </c>
      <c r="E46" s="130">
        <f t="shared" si="6"/>
        <v>53.649701000000022</v>
      </c>
      <c r="F46" s="130">
        <f t="shared" si="6"/>
        <v>55.459962999999988</v>
      </c>
      <c r="G46" s="130">
        <f t="shared" si="6"/>
        <v>33.673572000000036</v>
      </c>
      <c r="H46" s="130">
        <f t="shared" si="6"/>
        <v>0</v>
      </c>
      <c r="I46" s="130">
        <f t="shared" si="6"/>
        <v>0</v>
      </c>
      <c r="J46" s="130">
        <f t="shared" si="6"/>
        <v>0</v>
      </c>
      <c r="K46" s="130">
        <f t="shared" si="6"/>
        <v>0</v>
      </c>
      <c r="L46" s="130">
        <f t="shared" si="6"/>
        <v>0</v>
      </c>
      <c r="M46" s="130">
        <f t="shared" si="6"/>
        <v>0</v>
      </c>
      <c r="N46" s="130">
        <f t="shared" si="0"/>
        <v>165.11288700000003</v>
      </c>
    </row>
    <row r="47" spans="1:18" ht="17.25">
      <c r="A47" s="147" t="s">
        <v>519</v>
      </c>
      <c r="O47" s="154"/>
    </row>
    <row r="48" spans="1:18" ht="17.25">
      <c r="A48" s="147" t="s">
        <v>520</v>
      </c>
    </row>
    <row r="49" spans="2:16">
      <c r="B49" s="155"/>
      <c r="C49" s="155"/>
      <c r="D49" s="155"/>
      <c r="E49" s="155"/>
      <c r="F49" s="155"/>
      <c r="G49" s="155"/>
    </row>
    <row r="50" spans="2:16">
      <c r="B50" s="155"/>
      <c r="C50" s="155"/>
      <c r="D50" s="155"/>
      <c r="E50" s="155"/>
      <c r="F50" s="155"/>
      <c r="G50" s="154"/>
      <c r="P50" s="155"/>
    </row>
    <row r="52" spans="2:16">
      <c r="G52" s="155"/>
      <c r="P52" s="155"/>
    </row>
    <row r="53" spans="2:16">
      <c r="G53" s="154"/>
    </row>
    <row r="55" spans="2:16">
      <c r="P55" s="155"/>
    </row>
    <row r="57" spans="2:16">
      <c r="P57" s="155"/>
    </row>
  </sheetData>
  <phoneticPr fontId="2" type="noConversion"/>
  <hyperlinks>
    <hyperlink ref="C1" location="目录!A1" display="返回首页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workbookViewId="0">
      <pane ySplit="1" topLeftCell="A5" activePane="bottomLeft" state="frozen"/>
      <selection activeCell="K13" sqref="K13"/>
      <selection pane="bottomLeft" activeCell="K13" sqref="K13"/>
    </sheetView>
  </sheetViews>
  <sheetFormatPr defaultColWidth="9" defaultRowHeight="14.25"/>
  <cols>
    <col min="1" max="1" width="14.25" style="12" customWidth="1"/>
    <col min="2" max="2" width="12" style="12" customWidth="1"/>
    <col min="3" max="3" width="11.625" style="12" customWidth="1"/>
    <col min="4" max="4" width="35.5" style="12" customWidth="1"/>
    <col min="5" max="5" width="8.375" style="12" hidden="1" customWidth="1"/>
    <col min="6" max="6" width="8.875" style="12" customWidth="1"/>
    <col min="7" max="17" width="9" style="12" customWidth="1"/>
    <col min="18" max="16384" width="9" style="12"/>
  </cols>
  <sheetData>
    <row r="1" spans="1:18" s="13" customFormat="1" ht="18" customHeight="1">
      <c r="A1" s="10" t="s">
        <v>441</v>
      </c>
      <c r="B1" s="10" t="s">
        <v>442</v>
      </c>
      <c r="C1" s="10" t="s">
        <v>443</v>
      </c>
      <c r="D1" s="10" t="s">
        <v>444</v>
      </c>
      <c r="E1" s="20" t="s">
        <v>484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73</v>
      </c>
      <c r="L1" s="10" t="s">
        <v>74</v>
      </c>
      <c r="M1" s="10" t="s">
        <v>75</v>
      </c>
      <c r="N1" s="10" t="s">
        <v>76</v>
      </c>
      <c r="O1" s="10" t="s">
        <v>77</v>
      </c>
      <c r="P1" s="10" t="s">
        <v>78</v>
      </c>
      <c r="Q1" s="10" t="s">
        <v>79</v>
      </c>
      <c r="R1" s="10" t="s">
        <v>479</v>
      </c>
    </row>
    <row r="2" spans="1:18">
      <c r="A2" s="8" t="s">
        <v>14</v>
      </c>
      <c r="B2" s="8" t="s">
        <v>80</v>
      </c>
      <c r="C2" s="8">
        <v>8001010101</v>
      </c>
      <c r="D2" s="8" t="s">
        <v>81</v>
      </c>
      <c r="E2" s="8" t="s">
        <v>82</v>
      </c>
      <c r="F2" s="9">
        <v>0</v>
      </c>
      <c r="G2" s="9">
        <v>0</v>
      </c>
      <c r="H2" s="9"/>
      <c r="I2" s="9"/>
      <c r="J2" s="9"/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f>SUM(F2:Q2)</f>
        <v>0</v>
      </c>
    </row>
    <row r="3" spans="1:18">
      <c r="A3" s="8" t="s">
        <v>14</v>
      </c>
      <c r="B3" s="8" t="s">
        <v>80</v>
      </c>
      <c r="C3" s="8">
        <v>8001010102</v>
      </c>
      <c r="D3" s="8" t="s">
        <v>83</v>
      </c>
      <c r="E3" s="8" t="s">
        <v>84</v>
      </c>
      <c r="F3" s="9">
        <v>0</v>
      </c>
      <c r="G3" s="9">
        <v>0</v>
      </c>
      <c r="H3" s="9"/>
      <c r="I3" s="9"/>
      <c r="J3" s="9"/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f t="shared" ref="R3:R66" si="0">SUM(F3:Q3)</f>
        <v>0</v>
      </c>
    </row>
    <row r="4" spans="1:18">
      <c r="A4" s="8" t="s">
        <v>14</v>
      </c>
      <c r="B4" s="8" t="s">
        <v>80</v>
      </c>
      <c r="C4" s="8">
        <v>8001010106</v>
      </c>
      <c r="D4" s="8" t="s">
        <v>85</v>
      </c>
      <c r="E4" s="8" t="s">
        <v>86</v>
      </c>
      <c r="F4" s="9">
        <v>0</v>
      </c>
      <c r="G4" s="9">
        <v>0</v>
      </c>
      <c r="H4" s="9"/>
      <c r="I4" s="9"/>
      <c r="J4" s="9"/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f t="shared" si="0"/>
        <v>0</v>
      </c>
    </row>
    <row r="5" spans="1:18">
      <c r="A5" s="8" t="s">
        <v>14</v>
      </c>
      <c r="B5" s="8" t="s">
        <v>80</v>
      </c>
      <c r="C5" s="8">
        <v>8001010107</v>
      </c>
      <c r="D5" s="8" t="s">
        <v>87</v>
      </c>
      <c r="E5" s="8" t="s">
        <v>445</v>
      </c>
      <c r="F5" s="9">
        <v>0</v>
      </c>
      <c r="G5" s="9">
        <v>0</v>
      </c>
      <c r="H5" s="9"/>
      <c r="I5" s="9"/>
      <c r="J5" s="9"/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f t="shared" si="0"/>
        <v>0</v>
      </c>
    </row>
    <row r="6" spans="1:18">
      <c r="A6" s="8" t="s">
        <v>14</v>
      </c>
      <c r="B6" s="8" t="s">
        <v>88</v>
      </c>
      <c r="C6" s="8">
        <v>8001020103</v>
      </c>
      <c r="D6" s="8" t="s">
        <v>446</v>
      </c>
      <c r="E6" s="8" t="s">
        <v>89</v>
      </c>
      <c r="F6" s="9">
        <v>0</v>
      </c>
      <c r="G6" s="9">
        <v>0</v>
      </c>
      <c r="H6" s="9"/>
      <c r="I6" s="9"/>
      <c r="J6" s="9"/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f t="shared" si="0"/>
        <v>0</v>
      </c>
    </row>
    <row r="7" spans="1:18">
      <c r="A7" s="8" t="s">
        <v>14</v>
      </c>
      <c r="B7" s="8" t="s">
        <v>90</v>
      </c>
      <c r="C7" s="8">
        <v>8001030101</v>
      </c>
      <c r="D7" s="8" t="s">
        <v>91</v>
      </c>
      <c r="E7" s="8" t="s">
        <v>447</v>
      </c>
      <c r="F7" s="9">
        <v>0</v>
      </c>
      <c r="G7" s="9">
        <v>0</v>
      </c>
      <c r="H7" s="9"/>
      <c r="I7" s="9"/>
      <c r="J7" s="9"/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f t="shared" si="0"/>
        <v>0</v>
      </c>
    </row>
    <row r="8" spans="1:18">
      <c r="A8" s="8" t="s">
        <v>14</v>
      </c>
      <c r="B8" s="8" t="s">
        <v>90</v>
      </c>
      <c r="C8" s="8">
        <v>8001030108</v>
      </c>
      <c r="D8" s="8" t="s">
        <v>92</v>
      </c>
      <c r="E8" s="8" t="s">
        <v>448</v>
      </c>
      <c r="F8" s="9">
        <v>0</v>
      </c>
      <c r="G8" s="9">
        <v>0</v>
      </c>
      <c r="H8" s="9"/>
      <c r="I8" s="9"/>
      <c r="J8" s="9"/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f t="shared" si="0"/>
        <v>0</v>
      </c>
    </row>
    <row r="9" spans="1:18">
      <c r="A9" s="8" t="s">
        <v>14</v>
      </c>
      <c r="B9" s="8" t="s">
        <v>93</v>
      </c>
      <c r="C9" s="8">
        <v>8001120101</v>
      </c>
      <c r="D9" s="8" t="s">
        <v>94</v>
      </c>
      <c r="E9" s="8" t="s">
        <v>449</v>
      </c>
      <c r="F9" s="9">
        <v>0</v>
      </c>
      <c r="G9" s="9">
        <v>0</v>
      </c>
      <c r="H9" s="9"/>
      <c r="I9" s="9"/>
      <c r="J9" s="9"/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f t="shared" si="0"/>
        <v>0</v>
      </c>
    </row>
    <row r="10" spans="1:18">
      <c r="A10" s="8" t="s">
        <v>14</v>
      </c>
      <c r="B10" s="8" t="s">
        <v>95</v>
      </c>
      <c r="C10" s="8">
        <v>8001040113</v>
      </c>
      <c r="D10" s="8" t="s">
        <v>96</v>
      </c>
      <c r="E10" s="8" t="s">
        <v>450</v>
      </c>
      <c r="F10" s="9">
        <v>0</v>
      </c>
      <c r="G10" s="9">
        <v>0</v>
      </c>
      <c r="H10" s="9"/>
      <c r="I10" s="9"/>
      <c r="J10" s="9"/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f t="shared" si="0"/>
        <v>0</v>
      </c>
    </row>
    <row r="11" spans="1:18">
      <c r="A11" s="8" t="s">
        <v>14</v>
      </c>
      <c r="B11" s="8" t="s">
        <v>95</v>
      </c>
      <c r="C11" s="8">
        <v>8001040114</v>
      </c>
      <c r="D11" s="8" t="s">
        <v>97</v>
      </c>
      <c r="E11" s="8" t="s">
        <v>451</v>
      </c>
      <c r="F11" s="9">
        <v>0</v>
      </c>
      <c r="G11" s="9">
        <v>0</v>
      </c>
      <c r="H11" s="9"/>
      <c r="I11" s="9"/>
      <c r="J11" s="9"/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f t="shared" si="0"/>
        <v>0</v>
      </c>
    </row>
    <row r="12" spans="1:18">
      <c r="A12" s="8" t="s">
        <v>14</v>
      </c>
      <c r="B12" s="8" t="s">
        <v>95</v>
      </c>
      <c r="C12" s="8">
        <v>8001040115</v>
      </c>
      <c r="D12" s="8" t="s">
        <v>98</v>
      </c>
      <c r="E12" s="8" t="s">
        <v>452</v>
      </c>
      <c r="F12" s="9">
        <v>0</v>
      </c>
      <c r="G12" s="9">
        <v>0</v>
      </c>
      <c r="H12" s="9"/>
      <c r="I12" s="9"/>
      <c r="J12" s="9"/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f t="shared" si="0"/>
        <v>0</v>
      </c>
    </row>
    <row r="13" spans="1:18">
      <c r="A13" s="8" t="s">
        <v>14</v>
      </c>
      <c r="B13" s="8" t="s">
        <v>99</v>
      </c>
      <c r="C13" s="8">
        <v>8001070104</v>
      </c>
      <c r="D13" s="8" t="s">
        <v>100</v>
      </c>
      <c r="E13" s="8" t="s">
        <v>453</v>
      </c>
      <c r="F13" s="9">
        <v>0</v>
      </c>
      <c r="G13" s="9">
        <v>0</v>
      </c>
      <c r="H13" s="9"/>
      <c r="I13" s="9"/>
      <c r="J13" s="9"/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f t="shared" si="0"/>
        <v>0</v>
      </c>
    </row>
    <row r="14" spans="1:18">
      <c r="A14" s="8" t="s">
        <v>14</v>
      </c>
      <c r="B14" s="8" t="s">
        <v>95</v>
      </c>
      <c r="C14" s="8">
        <v>8001040109</v>
      </c>
      <c r="D14" s="8" t="s">
        <v>101</v>
      </c>
      <c r="E14" s="8" t="s">
        <v>102</v>
      </c>
      <c r="F14" s="9">
        <v>0</v>
      </c>
      <c r="G14" s="9">
        <v>0</v>
      </c>
      <c r="H14" s="9"/>
      <c r="I14" s="9"/>
      <c r="J14" s="9"/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f t="shared" si="0"/>
        <v>0</v>
      </c>
    </row>
    <row r="15" spans="1:18">
      <c r="A15" s="8" t="s">
        <v>14</v>
      </c>
      <c r="B15" s="8" t="s">
        <v>99</v>
      </c>
      <c r="C15" s="8">
        <v>8001070106</v>
      </c>
      <c r="D15" s="8" t="s">
        <v>103</v>
      </c>
      <c r="E15" s="8" t="s">
        <v>454</v>
      </c>
      <c r="F15" s="9">
        <v>0</v>
      </c>
      <c r="G15" s="9">
        <v>0</v>
      </c>
      <c r="H15" s="9"/>
      <c r="I15" s="9"/>
      <c r="J15" s="9"/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f t="shared" si="0"/>
        <v>0</v>
      </c>
    </row>
    <row r="16" spans="1:18">
      <c r="A16" s="8" t="s">
        <v>14</v>
      </c>
      <c r="B16" s="8" t="s">
        <v>104</v>
      </c>
      <c r="C16" s="8">
        <v>8001050101</v>
      </c>
      <c r="D16" s="8" t="s">
        <v>105</v>
      </c>
      <c r="E16" s="8" t="s">
        <v>455</v>
      </c>
      <c r="F16" s="9">
        <v>0</v>
      </c>
      <c r="G16" s="9">
        <v>0</v>
      </c>
      <c r="H16" s="9"/>
      <c r="I16" s="9"/>
      <c r="J16" s="9"/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f t="shared" si="0"/>
        <v>0</v>
      </c>
    </row>
    <row r="17" spans="1:18">
      <c r="A17" s="8" t="s">
        <v>14</v>
      </c>
      <c r="B17" s="8" t="s">
        <v>99</v>
      </c>
      <c r="C17" s="8">
        <v>8001070101</v>
      </c>
      <c r="D17" s="8" t="s">
        <v>106</v>
      </c>
      <c r="E17" s="8" t="s">
        <v>456</v>
      </c>
      <c r="F17" s="9">
        <v>0</v>
      </c>
      <c r="G17" s="9">
        <v>0</v>
      </c>
      <c r="H17" s="9"/>
      <c r="I17" s="9"/>
      <c r="J17" s="9"/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f t="shared" si="0"/>
        <v>0</v>
      </c>
    </row>
    <row r="18" spans="1:18">
      <c r="A18" s="8" t="s">
        <v>14</v>
      </c>
      <c r="B18" s="8" t="s">
        <v>107</v>
      </c>
      <c r="C18" s="8">
        <v>8001080101</v>
      </c>
      <c r="D18" s="8" t="s">
        <v>108</v>
      </c>
      <c r="E18" s="8" t="s">
        <v>457</v>
      </c>
      <c r="F18" s="9">
        <v>0</v>
      </c>
      <c r="G18" s="9">
        <v>0</v>
      </c>
      <c r="H18" s="9"/>
      <c r="I18" s="9"/>
      <c r="J18" s="9"/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f t="shared" si="0"/>
        <v>0</v>
      </c>
    </row>
    <row r="19" spans="1:18" ht="18" customHeight="1">
      <c r="A19" s="8" t="s">
        <v>14</v>
      </c>
      <c r="B19" s="8" t="s">
        <v>109</v>
      </c>
      <c r="C19" s="150">
        <v>8001110101</v>
      </c>
      <c r="D19" s="8" t="s">
        <v>458</v>
      </c>
      <c r="E19" s="8" t="s">
        <v>459</v>
      </c>
      <c r="F19" s="9">
        <v>4.559717</v>
      </c>
      <c r="G19" s="9">
        <v>0</v>
      </c>
      <c r="H19" s="9"/>
      <c r="I19" s="9"/>
      <c r="J19" s="9"/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11">
        <f t="shared" si="0"/>
        <v>4.559717</v>
      </c>
    </row>
    <row r="20" spans="1:18">
      <c r="A20" s="8" t="s">
        <v>14</v>
      </c>
      <c r="B20" s="8" t="s">
        <v>109</v>
      </c>
      <c r="C20" s="8">
        <v>8006010101</v>
      </c>
      <c r="D20" s="8" t="s">
        <v>110</v>
      </c>
      <c r="E20" s="8"/>
      <c r="F20" s="9">
        <v>0</v>
      </c>
      <c r="G20" s="9">
        <v>0</v>
      </c>
      <c r="H20" s="9"/>
      <c r="I20" s="9"/>
      <c r="J20" s="9"/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f t="shared" si="0"/>
        <v>0</v>
      </c>
    </row>
    <row r="21" spans="1:18">
      <c r="A21" s="8" t="s">
        <v>14</v>
      </c>
      <c r="B21" s="8" t="s">
        <v>109</v>
      </c>
      <c r="C21" s="8">
        <v>8006010102</v>
      </c>
      <c r="D21" s="8" t="s">
        <v>111</v>
      </c>
      <c r="E21" s="8" t="s">
        <v>460</v>
      </c>
      <c r="F21" s="9">
        <v>0</v>
      </c>
      <c r="G21" s="9">
        <v>0</v>
      </c>
      <c r="H21" s="9"/>
      <c r="I21" s="9"/>
      <c r="J21" s="9"/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f t="shared" si="0"/>
        <v>0</v>
      </c>
    </row>
    <row r="22" spans="1:18">
      <c r="A22" s="8" t="s">
        <v>14</v>
      </c>
      <c r="B22" s="8" t="s">
        <v>93</v>
      </c>
      <c r="C22" s="8">
        <v>8001120102</v>
      </c>
      <c r="D22" s="8" t="s">
        <v>112</v>
      </c>
      <c r="E22" s="8" t="s">
        <v>113</v>
      </c>
      <c r="F22" s="9">
        <v>0</v>
      </c>
      <c r="G22" s="9">
        <v>0</v>
      </c>
      <c r="H22" s="9"/>
      <c r="I22" s="9"/>
      <c r="J22" s="9"/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f t="shared" si="0"/>
        <v>0</v>
      </c>
    </row>
    <row r="23" spans="1:18">
      <c r="A23" s="8" t="s">
        <v>24</v>
      </c>
      <c r="B23" s="8" t="s">
        <v>114</v>
      </c>
      <c r="C23" s="8">
        <v>8002010101</v>
      </c>
      <c r="D23" s="8" t="s">
        <v>115</v>
      </c>
      <c r="E23" s="8" t="s">
        <v>461</v>
      </c>
      <c r="F23" s="9">
        <v>0</v>
      </c>
      <c r="G23" s="9">
        <v>0</v>
      </c>
      <c r="H23" s="9"/>
      <c r="I23" s="9"/>
      <c r="J23" s="9"/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f t="shared" si="0"/>
        <v>0</v>
      </c>
    </row>
    <row r="24" spans="1:18">
      <c r="A24" s="8" t="s">
        <v>24</v>
      </c>
      <c r="B24" s="8" t="s">
        <v>116</v>
      </c>
      <c r="C24" s="8">
        <v>8002010102</v>
      </c>
      <c r="D24" s="8" t="s">
        <v>117</v>
      </c>
      <c r="E24" s="8" t="s">
        <v>462</v>
      </c>
      <c r="F24" s="9">
        <v>0</v>
      </c>
      <c r="G24" s="9">
        <v>0</v>
      </c>
      <c r="H24" s="9"/>
      <c r="I24" s="9"/>
      <c r="J24" s="9"/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f t="shared" si="0"/>
        <v>0</v>
      </c>
    </row>
    <row r="25" spans="1:18">
      <c r="A25" s="8" t="s">
        <v>24</v>
      </c>
      <c r="B25" s="8" t="s">
        <v>118</v>
      </c>
      <c r="C25" s="8">
        <v>8002010103</v>
      </c>
      <c r="D25" s="8" t="s">
        <v>119</v>
      </c>
      <c r="E25" s="8" t="s">
        <v>463</v>
      </c>
      <c r="F25" s="9">
        <v>0</v>
      </c>
      <c r="G25" s="9">
        <v>0</v>
      </c>
      <c r="H25" s="9"/>
      <c r="I25" s="9"/>
      <c r="J25" s="9"/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f t="shared" si="0"/>
        <v>0</v>
      </c>
    </row>
    <row r="26" spans="1:18">
      <c r="A26" s="8" t="s">
        <v>23</v>
      </c>
      <c r="B26" s="8" t="s">
        <v>120</v>
      </c>
      <c r="C26" s="8">
        <v>8003010101</v>
      </c>
      <c r="D26" s="8" t="s">
        <v>121</v>
      </c>
      <c r="E26" s="8" t="s">
        <v>464</v>
      </c>
      <c r="F26" s="9">
        <v>0</v>
      </c>
      <c r="G26" s="9">
        <v>0</v>
      </c>
      <c r="H26" s="9"/>
      <c r="I26" s="9"/>
      <c r="J26" s="9"/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f t="shared" si="0"/>
        <v>0</v>
      </c>
    </row>
    <row r="27" spans="1:18">
      <c r="A27" s="8" t="s">
        <v>23</v>
      </c>
      <c r="B27" s="8" t="s">
        <v>122</v>
      </c>
      <c r="C27" s="8">
        <v>8003010102</v>
      </c>
      <c r="D27" s="8" t="s">
        <v>123</v>
      </c>
      <c r="E27" s="8" t="s">
        <v>465</v>
      </c>
      <c r="F27" s="9">
        <v>0</v>
      </c>
      <c r="G27" s="9">
        <v>0</v>
      </c>
      <c r="H27" s="9"/>
      <c r="I27" s="9">
        <v>-0.2</v>
      </c>
      <c r="J27" s="9"/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f t="shared" si="0"/>
        <v>-0.2</v>
      </c>
    </row>
    <row r="28" spans="1:18">
      <c r="A28" s="8" t="s">
        <v>19</v>
      </c>
      <c r="B28" s="8" t="s">
        <v>124</v>
      </c>
      <c r="C28" s="8">
        <v>8004010101</v>
      </c>
      <c r="D28" s="8" t="s">
        <v>125</v>
      </c>
      <c r="E28" s="8" t="s">
        <v>126</v>
      </c>
      <c r="F28" s="9">
        <v>0</v>
      </c>
      <c r="G28" s="9">
        <v>0</v>
      </c>
      <c r="H28" s="9"/>
      <c r="I28" s="9"/>
      <c r="J28" s="9"/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f t="shared" si="0"/>
        <v>0</v>
      </c>
    </row>
    <row r="29" spans="1:18">
      <c r="A29" s="8" t="s">
        <v>19</v>
      </c>
      <c r="B29" s="8" t="s">
        <v>127</v>
      </c>
      <c r="C29" s="8">
        <v>8004010102</v>
      </c>
      <c r="D29" s="8" t="s">
        <v>128</v>
      </c>
      <c r="E29" s="8" t="s">
        <v>129</v>
      </c>
      <c r="F29" s="9">
        <v>0</v>
      </c>
      <c r="G29" s="9">
        <v>0</v>
      </c>
      <c r="H29" s="9"/>
      <c r="I29" s="9"/>
      <c r="J29" s="9"/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f t="shared" si="0"/>
        <v>0</v>
      </c>
    </row>
    <row r="30" spans="1:18">
      <c r="A30" s="8" t="s">
        <v>19</v>
      </c>
      <c r="B30" s="8" t="s">
        <v>130</v>
      </c>
      <c r="C30" s="8">
        <v>8004010103</v>
      </c>
      <c r="D30" s="8" t="s">
        <v>131</v>
      </c>
      <c r="E30" s="8" t="s">
        <v>132</v>
      </c>
      <c r="F30" s="9">
        <v>0</v>
      </c>
      <c r="G30" s="9">
        <v>0</v>
      </c>
      <c r="H30" s="9"/>
      <c r="I30" s="9"/>
      <c r="J30" s="9"/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f t="shared" si="0"/>
        <v>0</v>
      </c>
    </row>
    <row r="31" spans="1:18">
      <c r="A31" s="8" t="s">
        <v>19</v>
      </c>
      <c r="B31" s="8" t="s">
        <v>133</v>
      </c>
      <c r="C31" s="8">
        <v>8004010104</v>
      </c>
      <c r="D31" s="8" t="s">
        <v>134</v>
      </c>
      <c r="E31" s="8" t="s">
        <v>466</v>
      </c>
      <c r="F31" s="9">
        <v>0</v>
      </c>
      <c r="G31" s="9">
        <v>0</v>
      </c>
      <c r="H31" s="9"/>
      <c r="I31" s="9"/>
      <c r="J31" s="9"/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f t="shared" si="0"/>
        <v>0</v>
      </c>
    </row>
    <row r="32" spans="1:18">
      <c r="A32" s="8" t="s">
        <v>19</v>
      </c>
      <c r="B32" s="8" t="s">
        <v>135</v>
      </c>
      <c r="C32" s="8">
        <v>8004010105</v>
      </c>
      <c r="D32" s="8" t="s">
        <v>136</v>
      </c>
      <c r="E32" s="8" t="s">
        <v>137</v>
      </c>
      <c r="F32" s="9">
        <v>0</v>
      </c>
      <c r="G32" s="9">
        <v>0</v>
      </c>
      <c r="H32" s="9"/>
      <c r="I32" s="9"/>
      <c r="J32" s="9"/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f t="shared" si="0"/>
        <v>0</v>
      </c>
    </row>
    <row r="33" spans="1:18">
      <c r="A33" s="8" t="s">
        <v>19</v>
      </c>
      <c r="B33" s="8" t="s">
        <v>138</v>
      </c>
      <c r="C33" s="8">
        <v>8004010106</v>
      </c>
      <c r="D33" s="8" t="s">
        <v>139</v>
      </c>
      <c r="E33" s="8" t="s">
        <v>140</v>
      </c>
      <c r="F33" s="9">
        <v>0</v>
      </c>
      <c r="G33" s="9">
        <v>0</v>
      </c>
      <c r="H33" s="9"/>
      <c r="I33" s="9"/>
      <c r="J33" s="9"/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f t="shared" si="0"/>
        <v>0</v>
      </c>
    </row>
    <row r="34" spans="1:18">
      <c r="A34" s="8" t="s">
        <v>19</v>
      </c>
      <c r="B34" s="8" t="s">
        <v>141</v>
      </c>
      <c r="C34" s="8">
        <v>8004010107</v>
      </c>
      <c r="D34" s="8" t="s">
        <v>142</v>
      </c>
      <c r="E34" s="8" t="s">
        <v>143</v>
      </c>
      <c r="F34" s="9">
        <v>0</v>
      </c>
      <c r="G34" s="9">
        <v>0</v>
      </c>
      <c r="H34" s="9"/>
      <c r="I34" s="9"/>
      <c r="J34" s="9"/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f t="shared" si="0"/>
        <v>0</v>
      </c>
    </row>
    <row r="35" spans="1:18">
      <c r="A35" s="8" t="s">
        <v>22</v>
      </c>
      <c r="B35" s="8" t="s">
        <v>144</v>
      </c>
      <c r="C35" s="8">
        <v>8005010101</v>
      </c>
      <c r="D35" s="8" t="s">
        <v>145</v>
      </c>
      <c r="E35" s="8" t="s">
        <v>467</v>
      </c>
      <c r="F35" s="9">
        <v>0</v>
      </c>
      <c r="G35" s="9">
        <v>0</v>
      </c>
      <c r="H35" s="9"/>
      <c r="I35" s="9"/>
      <c r="J35" s="9"/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f t="shared" si="0"/>
        <v>0</v>
      </c>
    </row>
    <row r="36" spans="1:18">
      <c r="A36" s="8" t="s">
        <v>22</v>
      </c>
      <c r="B36" s="8" t="s">
        <v>146</v>
      </c>
      <c r="C36" s="8">
        <v>8005020101</v>
      </c>
      <c r="D36" s="8" t="s">
        <v>147</v>
      </c>
      <c r="E36" s="8" t="s">
        <v>468</v>
      </c>
      <c r="F36" s="9">
        <v>0</v>
      </c>
      <c r="G36" s="9">
        <v>0</v>
      </c>
      <c r="H36" s="9"/>
      <c r="I36" s="9"/>
      <c r="J36" s="9"/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f t="shared" si="0"/>
        <v>0</v>
      </c>
    </row>
    <row r="37" spans="1:18">
      <c r="A37" s="8" t="s">
        <v>22</v>
      </c>
      <c r="B37" s="8" t="s">
        <v>148</v>
      </c>
      <c r="C37" s="8">
        <v>8005030101</v>
      </c>
      <c r="D37" s="8" t="s">
        <v>149</v>
      </c>
      <c r="E37" s="8" t="s">
        <v>469</v>
      </c>
      <c r="F37" s="9">
        <v>0</v>
      </c>
      <c r="G37" s="9">
        <v>0</v>
      </c>
      <c r="H37" s="9">
        <v>4.7169809999999996</v>
      </c>
      <c r="I37" s="9">
        <v>-2.8301889999999998</v>
      </c>
      <c r="J37" s="9"/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f t="shared" si="0"/>
        <v>1.8867919999999998</v>
      </c>
    </row>
    <row r="38" spans="1:18">
      <c r="A38" s="8" t="s">
        <v>27</v>
      </c>
      <c r="B38" s="8" t="s">
        <v>150</v>
      </c>
      <c r="C38" s="8">
        <v>8001100103</v>
      </c>
      <c r="D38" s="8" t="s">
        <v>151</v>
      </c>
      <c r="E38" s="8" t="s">
        <v>470</v>
      </c>
      <c r="F38" s="9">
        <v>0</v>
      </c>
      <c r="G38" s="9">
        <v>0</v>
      </c>
      <c r="H38" s="9"/>
      <c r="I38" s="9"/>
      <c r="J38" s="9"/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f t="shared" si="0"/>
        <v>0</v>
      </c>
    </row>
    <row r="39" spans="1:18">
      <c r="A39" s="8" t="s">
        <v>152</v>
      </c>
      <c r="B39" s="8" t="s">
        <v>29</v>
      </c>
      <c r="C39" s="8">
        <v>8007020101</v>
      </c>
      <c r="D39" s="8" t="s">
        <v>153</v>
      </c>
      <c r="E39" s="8" t="s">
        <v>154</v>
      </c>
      <c r="F39" s="9">
        <v>0</v>
      </c>
      <c r="G39" s="9">
        <v>0</v>
      </c>
      <c r="H39" s="9"/>
      <c r="I39" s="9">
        <v>4.0800000000000003E-2</v>
      </c>
      <c r="J39" s="9">
        <v>0.05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f t="shared" si="0"/>
        <v>9.0800000000000006E-2</v>
      </c>
    </row>
    <row r="40" spans="1:18">
      <c r="A40" s="8" t="s">
        <v>152</v>
      </c>
      <c r="B40" s="8" t="s">
        <v>155</v>
      </c>
      <c r="C40" s="8">
        <v>8007020102</v>
      </c>
      <c r="D40" s="8" t="s">
        <v>156</v>
      </c>
      <c r="E40" s="8" t="s">
        <v>157</v>
      </c>
      <c r="F40" s="9">
        <v>0</v>
      </c>
      <c r="G40" s="9">
        <v>0</v>
      </c>
      <c r="H40" s="9"/>
      <c r="I40" s="9"/>
      <c r="J40" s="9"/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f t="shared" si="0"/>
        <v>0</v>
      </c>
    </row>
    <row r="41" spans="1:18">
      <c r="A41" s="8" t="s">
        <v>13</v>
      </c>
      <c r="B41" s="8" t="s">
        <v>158</v>
      </c>
      <c r="C41" s="8">
        <v>8008010101</v>
      </c>
      <c r="D41" s="8" t="s">
        <v>159</v>
      </c>
      <c r="E41" s="8" t="s">
        <v>160</v>
      </c>
      <c r="F41" s="9">
        <v>0</v>
      </c>
      <c r="G41" s="9">
        <v>0</v>
      </c>
      <c r="H41" s="9"/>
      <c r="I41" s="9"/>
      <c r="J41" s="9"/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f t="shared" si="0"/>
        <v>0</v>
      </c>
    </row>
    <row r="42" spans="1:18">
      <c r="A42" s="8" t="s">
        <v>13</v>
      </c>
      <c r="B42" s="8" t="s">
        <v>158</v>
      </c>
      <c r="C42" s="8">
        <v>8008010102</v>
      </c>
      <c r="D42" s="8" t="s">
        <v>161</v>
      </c>
      <c r="E42" s="8" t="s">
        <v>162</v>
      </c>
      <c r="F42" s="9">
        <v>0</v>
      </c>
      <c r="G42" s="9">
        <v>0</v>
      </c>
      <c r="H42" s="9"/>
      <c r="I42" s="9"/>
      <c r="J42" s="9"/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f t="shared" si="0"/>
        <v>0</v>
      </c>
    </row>
    <row r="43" spans="1:18">
      <c r="A43" s="8" t="s">
        <v>13</v>
      </c>
      <c r="B43" s="8" t="s">
        <v>158</v>
      </c>
      <c r="C43" s="8">
        <v>8008010103</v>
      </c>
      <c r="D43" s="8" t="s">
        <v>163</v>
      </c>
      <c r="E43" s="8" t="s">
        <v>164</v>
      </c>
      <c r="F43" s="9">
        <v>0</v>
      </c>
      <c r="G43" s="9">
        <v>0</v>
      </c>
      <c r="H43" s="9"/>
      <c r="I43" s="9"/>
      <c r="J43" s="9"/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f t="shared" si="0"/>
        <v>0</v>
      </c>
    </row>
    <row r="44" spans="1:18">
      <c r="A44" s="8" t="s">
        <v>13</v>
      </c>
      <c r="B44" s="8" t="s">
        <v>158</v>
      </c>
      <c r="C44" s="8">
        <v>8008010104</v>
      </c>
      <c r="D44" s="8" t="s">
        <v>165</v>
      </c>
      <c r="E44" s="8" t="s">
        <v>166</v>
      </c>
      <c r="F44" s="9">
        <v>0</v>
      </c>
      <c r="G44" s="9">
        <v>0</v>
      </c>
      <c r="H44" s="9"/>
      <c r="I44" s="9"/>
      <c r="J44" s="9"/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f t="shared" si="0"/>
        <v>0</v>
      </c>
    </row>
    <row r="45" spans="1:18">
      <c r="A45" s="8" t="s">
        <v>13</v>
      </c>
      <c r="B45" s="8" t="s">
        <v>158</v>
      </c>
      <c r="C45" s="8">
        <v>8008010105</v>
      </c>
      <c r="D45" s="8" t="s">
        <v>167</v>
      </c>
      <c r="E45" s="8" t="s">
        <v>168</v>
      </c>
      <c r="F45" s="9">
        <v>0</v>
      </c>
      <c r="G45" s="9">
        <v>0</v>
      </c>
      <c r="H45" s="9"/>
      <c r="I45" s="9"/>
      <c r="J45" s="9"/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f t="shared" si="0"/>
        <v>0</v>
      </c>
    </row>
    <row r="46" spans="1:18">
      <c r="A46" s="8" t="s">
        <v>13</v>
      </c>
      <c r="B46" s="8" t="s">
        <v>158</v>
      </c>
      <c r="C46" s="8">
        <v>8008010106</v>
      </c>
      <c r="D46" s="8" t="s">
        <v>169</v>
      </c>
      <c r="E46" s="8" t="s">
        <v>170</v>
      </c>
      <c r="F46" s="9">
        <v>0</v>
      </c>
      <c r="G46" s="9">
        <v>0</v>
      </c>
      <c r="H46" s="9"/>
      <c r="I46" s="9"/>
      <c r="J46" s="9"/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f t="shared" si="0"/>
        <v>0</v>
      </c>
    </row>
    <row r="47" spans="1:18">
      <c r="A47" s="8" t="s">
        <v>13</v>
      </c>
      <c r="B47" s="8" t="s">
        <v>158</v>
      </c>
      <c r="C47" s="8">
        <v>8008010107</v>
      </c>
      <c r="D47" s="8" t="s">
        <v>171</v>
      </c>
      <c r="E47" s="8" t="s">
        <v>172</v>
      </c>
      <c r="F47" s="9">
        <v>0</v>
      </c>
      <c r="G47" s="9">
        <v>0</v>
      </c>
      <c r="H47" s="9"/>
      <c r="I47" s="9"/>
      <c r="J47" s="9"/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f t="shared" si="0"/>
        <v>0</v>
      </c>
    </row>
    <row r="48" spans="1:18">
      <c r="A48" s="8" t="s">
        <v>13</v>
      </c>
      <c r="B48" s="8" t="s">
        <v>158</v>
      </c>
      <c r="C48" s="8">
        <v>8008010108</v>
      </c>
      <c r="D48" s="8" t="s">
        <v>173</v>
      </c>
      <c r="E48" s="8" t="s">
        <v>174</v>
      </c>
      <c r="F48" s="9">
        <v>0</v>
      </c>
      <c r="G48" s="9">
        <v>0</v>
      </c>
      <c r="H48" s="9"/>
      <c r="I48" s="9"/>
      <c r="J48" s="9"/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f t="shared" si="0"/>
        <v>0</v>
      </c>
    </row>
    <row r="49" spans="1:18">
      <c r="A49" s="8" t="s">
        <v>13</v>
      </c>
      <c r="B49" s="8" t="s">
        <v>158</v>
      </c>
      <c r="C49" s="8">
        <v>8008010110</v>
      </c>
      <c r="D49" s="8" t="s">
        <v>175</v>
      </c>
      <c r="E49" s="8" t="s">
        <v>176</v>
      </c>
      <c r="F49" s="9">
        <v>0</v>
      </c>
      <c r="G49" s="9">
        <v>0</v>
      </c>
      <c r="H49" s="9"/>
      <c r="I49" s="9"/>
      <c r="J49" s="9"/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f t="shared" si="0"/>
        <v>0</v>
      </c>
    </row>
    <row r="50" spans="1:18">
      <c r="A50" s="8" t="s">
        <v>13</v>
      </c>
      <c r="B50" s="8" t="s">
        <v>18</v>
      </c>
      <c r="C50" s="8">
        <v>8008020101</v>
      </c>
      <c r="D50" s="8" t="s">
        <v>177</v>
      </c>
      <c r="E50" s="8" t="s">
        <v>178</v>
      </c>
      <c r="F50" s="9">
        <v>0</v>
      </c>
      <c r="G50" s="9">
        <v>0</v>
      </c>
      <c r="H50" s="9"/>
      <c r="I50" s="9"/>
      <c r="J50" s="9"/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f t="shared" si="0"/>
        <v>0</v>
      </c>
    </row>
    <row r="51" spans="1:18">
      <c r="A51" s="8" t="s">
        <v>13</v>
      </c>
      <c r="B51" s="8" t="s">
        <v>18</v>
      </c>
      <c r="C51" s="8">
        <v>8008020102</v>
      </c>
      <c r="D51" s="8" t="s">
        <v>179</v>
      </c>
      <c r="E51" s="8" t="s">
        <v>180</v>
      </c>
      <c r="F51" s="9">
        <v>0</v>
      </c>
      <c r="G51" s="9">
        <v>0</v>
      </c>
      <c r="H51" s="9"/>
      <c r="I51" s="9"/>
      <c r="J51" s="9"/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f t="shared" si="0"/>
        <v>0</v>
      </c>
    </row>
    <row r="52" spans="1:18">
      <c r="A52" s="8" t="s">
        <v>13</v>
      </c>
      <c r="B52" s="8" t="s">
        <v>18</v>
      </c>
      <c r="C52" s="8">
        <v>8008020103</v>
      </c>
      <c r="D52" s="8" t="s">
        <v>181</v>
      </c>
      <c r="E52" s="8" t="s">
        <v>182</v>
      </c>
      <c r="F52" s="9">
        <v>0</v>
      </c>
      <c r="G52" s="9">
        <v>0</v>
      </c>
      <c r="H52" s="9"/>
      <c r="I52" s="9"/>
      <c r="J52" s="9"/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f t="shared" si="0"/>
        <v>0</v>
      </c>
    </row>
    <row r="53" spans="1:18">
      <c r="A53" s="8" t="s">
        <v>13</v>
      </c>
      <c r="B53" s="8" t="s">
        <v>18</v>
      </c>
      <c r="C53" s="8">
        <v>8008020104</v>
      </c>
      <c r="D53" s="8" t="s">
        <v>183</v>
      </c>
      <c r="E53" s="8" t="s">
        <v>184</v>
      </c>
      <c r="F53" s="9">
        <v>0</v>
      </c>
      <c r="G53" s="9">
        <v>0</v>
      </c>
      <c r="H53" s="9"/>
      <c r="I53" s="9"/>
      <c r="J53" s="9"/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f t="shared" si="0"/>
        <v>0</v>
      </c>
    </row>
    <row r="54" spans="1:18">
      <c r="A54" s="8" t="s">
        <v>13</v>
      </c>
      <c r="B54" s="8" t="s">
        <v>18</v>
      </c>
      <c r="C54" s="8">
        <v>8008020105</v>
      </c>
      <c r="D54" s="8" t="s">
        <v>185</v>
      </c>
      <c r="E54" s="8" t="s">
        <v>162</v>
      </c>
      <c r="F54" s="9">
        <v>0</v>
      </c>
      <c r="G54" s="9">
        <v>0</v>
      </c>
      <c r="H54" s="9"/>
      <c r="I54" s="9"/>
      <c r="J54" s="9"/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f t="shared" si="0"/>
        <v>0</v>
      </c>
    </row>
    <row r="55" spans="1:18">
      <c r="A55" s="8" t="s">
        <v>13</v>
      </c>
      <c r="B55" s="8" t="s">
        <v>18</v>
      </c>
      <c r="C55" s="8">
        <v>8008020106</v>
      </c>
      <c r="D55" s="8" t="s">
        <v>186</v>
      </c>
      <c r="E55" s="8" t="s">
        <v>471</v>
      </c>
      <c r="F55" s="9">
        <v>0</v>
      </c>
      <c r="G55" s="9">
        <v>0</v>
      </c>
      <c r="H55" s="9"/>
      <c r="I55" s="9"/>
      <c r="J55" s="9"/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f t="shared" si="0"/>
        <v>0</v>
      </c>
    </row>
    <row r="56" spans="1:18">
      <c r="A56" s="8" t="s">
        <v>13</v>
      </c>
      <c r="B56" s="8" t="s">
        <v>187</v>
      </c>
      <c r="C56" s="8">
        <v>8008020201</v>
      </c>
      <c r="D56" s="8" t="s">
        <v>188</v>
      </c>
      <c r="E56" s="8" t="s">
        <v>472</v>
      </c>
      <c r="F56" s="9">
        <v>0</v>
      </c>
      <c r="G56" s="9">
        <v>0</v>
      </c>
      <c r="H56" s="9"/>
      <c r="I56" s="9"/>
      <c r="J56" s="9"/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f t="shared" si="0"/>
        <v>0</v>
      </c>
    </row>
    <row r="57" spans="1:18">
      <c r="A57" s="8" t="s">
        <v>13</v>
      </c>
      <c r="B57" s="8" t="s">
        <v>187</v>
      </c>
      <c r="C57" s="8">
        <v>8008020202</v>
      </c>
      <c r="D57" s="8" t="s">
        <v>189</v>
      </c>
      <c r="E57" s="8" t="s">
        <v>473</v>
      </c>
      <c r="F57" s="9">
        <v>0</v>
      </c>
      <c r="G57" s="9">
        <v>0</v>
      </c>
      <c r="H57" s="9"/>
      <c r="I57" s="9"/>
      <c r="J57" s="9"/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f t="shared" si="0"/>
        <v>0</v>
      </c>
    </row>
    <row r="58" spans="1:18">
      <c r="A58" s="8" t="s">
        <v>13</v>
      </c>
      <c r="B58" s="8" t="s">
        <v>158</v>
      </c>
      <c r="C58" s="8">
        <v>8008010109</v>
      </c>
      <c r="D58" s="8" t="s">
        <v>190</v>
      </c>
      <c r="E58" s="8" t="s">
        <v>191</v>
      </c>
      <c r="F58" s="9">
        <v>0</v>
      </c>
      <c r="G58" s="9">
        <v>0</v>
      </c>
      <c r="H58" s="9"/>
      <c r="I58" s="9"/>
      <c r="J58" s="9"/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f t="shared" si="0"/>
        <v>0</v>
      </c>
    </row>
    <row r="59" spans="1:18">
      <c r="A59" s="8" t="s">
        <v>30</v>
      </c>
      <c r="B59" s="8" t="s">
        <v>192</v>
      </c>
      <c r="C59" s="8">
        <v>8009010101</v>
      </c>
      <c r="D59" s="8" t="s">
        <v>193</v>
      </c>
      <c r="E59" s="8" t="s">
        <v>194</v>
      </c>
      <c r="F59" s="9">
        <v>0</v>
      </c>
      <c r="G59" s="9">
        <v>0</v>
      </c>
      <c r="H59" s="9"/>
      <c r="I59" s="9"/>
      <c r="J59" s="9"/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f t="shared" si="0"/>
        <v>0</v>
      </c>
    </row>
    <row r="60" spans="1:18">
      <c r="A60" s="8" t="s">
        <v>30</v>
      </c>
      <c r="B60" s="8" t="s">
        <v>192</v>
      </c>
      <c r="C60" s="8">
        <v>8209010102</v>
      </c>
      <c r="D60" s="8" t="s">
        <v>195</v>
      </c>
      <c r="E60" s="8" t="s">
        <v>196</v>
      </c>
      <c r="F60" s="9">
        <v>0</v>
      </c>
      <c r="G60" s="9">
        <v>0</v>
      </c>
      <c r="H60" s="9"/>
      <c r="I60" s="9"/>
      <c r="J60" s="9"/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f t="shared" si="0"/>
        <v>0</v>
      </c>
    </row>
    <row r="61" spans="1:18" ht="18" customHeight="1">
      <c r="A61" s="8" t="s">
        <v>30</v>
      </c>
      <c r="B61" s="8" t="s">
        <v>197</v>
      </c>
      <c r="C61" s="159">
        <v>8209020101</v>
      </c>
      <c r="D61" s="8" t="s">
        <v>198</v>
      </c>
      <c r="E61" s="8" t="s">
        <v>199</v>
      </c>
      <c r="F61" s="9">
        <v>11.187583999999999</v>
      </c>
      <c r="G61" s="9">
        <v>11.128816</v>
      </c>
      <c r="H61" s="9">
        <v>10.6007</v>
      </c>
      <c r="I61" s="9">
        <v>10.907338000000001</v>
      </c>
      <c r="J61" s="9">
        <v>11.22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11">
        <f t="shared" si="0"/>
        <v>55.044438000000007</v>
      </c>
    </row>
    <row r="62" spans="1:18">
      <c r="A62" s="8" t="s">
        <v>30</v>
      </c>
      <c r="B62" s="8" t="s">
        <v>197</v>
      </c>
      <c r="C62" s="159">
        <v>8209020102</v>
      </c>
      <c r="D62" s="8" t="s">
        <v>200</v>
      </c>
      <c r="E62" s="8" t="s">
        <v>201</v>
      </c>
      <c r="F62" s="9">
        <v>0</v>
      </c>
      <c r="G62" s="9">
        <v>0</v>
      </c>
      <c r="H62" s="9"/>
      <c r="I62" s="9"/>
      <c r="J62" s="9"/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f t="shared" si="0"/>
        <v>0</v>
      </c>
    </row>
    <row r="63" spans="1:18" ht="18" customHeight="1">
      <c r="A63" s="8" t="s">
        <v>30</v>
      </c>
      <c r="B63" s="8" t="s">
        <v>197</v>
      </c>
      <c r="C63" s="159">
        <v>8209020103</v>
      </c>
      <c r="D63" s="8" t="s">
        <v>202</v>
      </c>
      <c r="E63" s="8" t="s">
        <v>203</v>
      </c>
      <c r="F63" s="9">
        <v>-0.65336400000000006</v>
      </c>
      <c r="G63" s="9">
        <v>0</v>
      </c>
      <c r="H63" s="9"/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11">
        <f t="shared" si="0"/>
        <v>-0.65336400000000006</v>
      </c>
    </row>
    <row r="64" spans="1:18" ht="18" customHeight="1">
      <c r="A64" s="8" t="s">
        <v>30</v>
      </c>
      <c r="B64" s="8" t="s">
        <v>197</v>
      </c>
      <c r="C64" s="159">
        <v>8209020104</v>
      </c>
      <c r="D64" s="8" t="s">
        <v>204</v>
      </c>
      <c r="E64" s="8" t="s">
        <v>205</v>
      </c>
      <c r="F64" s="9">
        <v>3.0428799999999998</v>
      </c>
      <c r="G64" s="9">
        <v>0.67141000000000006</v>
      </c>
      <c r="H64" s="9">
        <v>0</v>
      </c>
      <c r="I64" s="9">
        <v>3.0428799999999998</v>
      </c>
      <c r="J64" s="9">
        <v>1.52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11">
        <f t="shared" si="0"/>
        <v>8.2771699999999999</v>
      </c>
    </row>
    <row r="65" spans="1:18" ht="18" customHeight="1">
      <c r="A65" s="8" t="s">
        <v>30</v>
      </c>
      <c r="B65" s="8" t="s">
        <v>197</v>
      </c>
      <c r="C65" s="159">
        <v>8209020105</v>
      </c>
      <c r="D65" s="8" t="s">
        <v>206</v>
      </c>
      <c r="E65" s="8" t="s">
        <v>207</v>
      </c>
      <c r="F65" s="9">
        <v>0</v>
      </c>
      <c r="G65" s="9">
        <v>1.5629999999999999</v>
      </c>
      <c r="H65" s="9">
        <v>0.78149999999999997</v>
      </c>
      <c r="I65" s="9">
        <v>0.78149999999999997</v>
      </c>
      <c r="J65" s="9">
        <v>0.68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11">
        <f t="shared" si="0"/>
        <v>3.806</v>
      </c>
    </row>
    <row r="66" spans="1:18">
      <c r="A66" s="8" t="s">
        <v>30</v>
      </c>
      <c r="B66" s="8" t="s">
        <v>197</v>
      </c>
      <c r="C66" s="159">
        <v>8209020106</v>
      </c>
      <c r="D66" s="8" t="s">
        <v>208</v>
      </c>
      <c r="E66" s="8" t="s">
        <v>209</v>
      </c>
      <c r="F66" s="9">
        <v>0</v>
      </c>
      <c r="G66" s="9">
        <v>0</v>
      </c>
      <c r="H66" s="9"/>
      <c r="I66" s="9">
        <v>0.01</v>
      </c>
      <c r="J66" s="9"/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f t="shared" si="0"/>
        <v>0.01</v>
      </c>
    </row>
    <row r="67" spans="1:18">
      <c r="A67" s="8" t="s">
        <v>30</v>
      </c>
      <c r="B67" s="8" t="s">
        <v>197</v>
      </c>
      <c r="C67" s="159">
        <v>8209020107</v>
      </c>
      <c r="D67" s="8" t="s">
        <v>210</v>
      </c>
      <c r="E67" s="8" t="s">
        <v>211</v>
      </c>
      <c r="F67" s="9">
        <v>0</v>
      </c>
      <c r="G67" s="9">
        <v>0</v>
      </c>
      <c r="H67" s="9"/>
      <c r="I67" s="9"/>
      <c r="J67" s="9"/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f t="shared" ref="R67:R130" si="1">SUM(F67:Q67)</f>
        <v>0</v>
      </c>
    </row>
    <row r="68" spans="1:18">
      <c r="A68" s="8" t="s">
        <v>30</v>
      </c>
      <c r="B68" s="8" t="s">
        <v>197</v>
      </c>
      <c r="C68" s="159">
        <v>8209020108</v>
      </c>
      <c r="D68" s="8" t="s">
        <v>212</v>
      </c>
      <c r="E68" s="8" t="s">
        <v>213</v>
      </c>
      <c r="F68" s="9">
        <v>0</v>
      </c>
      <c r="G68" s="9">
        <v>0</v>
      </c>
      <c r="H68" s="9">
        <v>0</v>
      </c>
      <c r="I68" s="9">
        <v>0</v>
      </c>
      <c r="J68" s="9"/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f t="shared" si="1"/>
        <v>0</v>
      </c>
    </row>
    <row r="69" spans="1:18" ht="18" customHeight="1">
      <c r="A69" s="8" t="s">
        <v>30</v>
      </c>
      <c r="B69" s="8" t="s">
        <v>197</v>
      </c>
      <c r="C69" s="159">
        <v>8209020109</v>
      </c>
      <c r="D69" s="8" t="s">
        <v>214</v>
      </c>
      <c r="E69" s="8" t="s">
        <v>215</v>
      </c>
      <c r="F69" s="9">
        <v>0</v>
      </c>
      <c r="G69" s="9">
        <v>1.7406000000000001E-2</v>
      </c>
      <c r="H69" s="9">
        <v>0</v>
      </c>
      <c r="I69" s="9"/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11">
        <f t="shared" si="1"/>
        <v>1.7406000000000001E-2</v>
      </c>
    </row>
    <row r="70" spans="1:18">
      <c r="A70" s="8" t="s">
        <v>30</v>
      </c>
      <c r="B70" s="8" t="s">
        <v>197</v>
      </c>
      <c r="C70" s="8">
        <v>8209020110</v>
      </c>
      <c r="D70" s="8" t="s">
        <v>216</v>
      </c>
      <c r="E70" s="8" t="s">
        <v>474</v>
      </c>
      <c r="F70" s="9">
        <v>0</v>
      </c>
      <c r="G70" s="9">
        <v>0</v>
      </c>
      <c r="H70" s="9"/>
      <c r="I70" s="9"/>
      <c r="J70" s="9"/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f t="shared" si="1"/>
        <v>0</v>
      </c>
    </row>
    <row r="71" spans="1:18">
      <c r="A71" s="8" t="s">
        <v>30</v>
      </c>
      <c r="B71" s="8" t="s">
        <v>217</v>
      </c>
      <c r="C71" s="8">
        <v>8209030101</v>
      </c>
      <c r="D71" s="8" t="s">
        <v>218</v>
      </c>
      <c r="E71" s="8" t="s">
        <v>219</v>
      </c>
      <c r="F71" s="9">
        <v>0</v>
      </c>
      <c r="G71" s="9">
        <v>0</v>
      </c>
      <c r="H71" s="9"/>
      <c r="I71" s="9"/>
      <c r="J71" s="9"/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f t="shared" si="1"/>
        <v>0</v>
      </c>
    </row>
    <row r="72" spans="1:18">
      <c r="A72" s="8" t="s">
        <v>17</v>
      </c>
      <c r="B72" s="8" t="s">
        <v>220</v>
      </c>
      <c r="C72" s="8">
        <v>8010010101</v>
      </c>
      <c r="D72" s="8" t="s">
        <v>221</v>
      </c>
      <c r="E72" s="8" t="s">
        <v>222</v>
      </c>
      <c r="F72" s="9">
        <v>0</v>
      </c>
      <c r="G72" s="9">
        <v>0</v>
      </c>
      <c r="H72" s="9"/>
      <c r="I72" s="9"/>
      <c r="J72" s="9"/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f t="shared" si="1"/>
        <v>0</v>
      </c>
    </row>
    <row r="73" spans="1:18">
      <c r="A73" s="8" t="s">
        <v>17</v>
      </c>
      <c r="B73" s="8" t="s">
        <v>223</v>
      </c>
      <c r="C73" s="8">
        <v>8010020101</v>
      </c>
      <c r="D73" s="8" t="s">
        <v>224</v>
      </c>
      <c r="E73" s="8" t="s">
        <v>225</v>
      </c>
      <c r="F73" s="9">
        <v>0</v>
      </c>
      <c r="G73" s="9">
        <v>0</v>
      </c>
      <c r="H73" s="9"/>
      <c r="I73" s="9"/>
      <c r="J73" s="9"/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f t="shared" si="1"/>
        <v>0</v>
      </c>
    </row>
    <row r="74" spans="1:18">
      <c r="A74" s="8" t="s">
        <v>17</v>
      </c>
      <c r="B74" s="8" t="s">
        <v>226</v>
      </c>
      <c r="C74" s="8">
        <v>8010030101</v>
      </c>
      <c r="D74" s="8" t="s">
        <v>227</v>
      </c>
      <c r="E74" s="8" t="s">
        <v>228</v>
      </c>
      <c r="F74" s="9">
        <v>0</v>
      </c>
      <c r="G74" s="9">
        <v>0</v>
      </c>
      <c r="H74" s="9"/>
      <c r="I74" s="9"/>
      <c r="J74" s="9"/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f t="shared" si="1"/>
        <v>0</v>
      </c>
    </row>
    <row r="75" spans="1:18">
      <c r="A75" s="8" t="s">
        <v>17</v>
      </c>
      <c r="B75" s="8" t="s">
        <v>229</v>
      </c>
      <c r="C75" s="8">
        <v>8010080101</v>
      </c>
      <c r="D75" s="8" t="s">
        <v>230</v>
      </c>
      <c r="E75" s="8" t="s">
        <v>231</v>
      </c>
      <c r="F75" s="9">
        <v>0</v>
      </c>
      <c r="G75" s="9">
        <v>0</v>
      </c>
      <c r="H75" s="9"/>
      <c r="I75" s="9"/>
      <c r="J75" s="9"/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f t="shared" si="1"/>
        <v>0</v>
      </c>
    </row>
    <row r="76" spans="1:18">
      <c r="A76" s="8" t="s">
        <v>17</v>
      </c>
      <c r="B76" s="8" t="s">
        <v>232</v>
      </c>
      <c r="C76" s="8">
        <v>8010040101</v>
      </c>
      <c r="D76" s="8" t="s">
        <v>233</v>
      </c>
      <c r="E76" s="8" t="s">
        <v>234</v>
      </c>
      <c r="F76" s="9">
        <v>0</v>
      </c>
      <c r="G76" s="9">
        <v>0</v>
      </c>
      <c r="H76" s="9"/>
      <c r="I76" s="9"/>
      <c r="J76" s="9"/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f t="shared" si="1"/>
        <v>0</v>
      </c>
    </row>
    <row r="77" spans="1:18">
      <c r="A77" s="8" t="s">
        <v>17</v>
      </c>
      <c r="B77" s="8" t="s">
        <v>232</v>
      </c>
      <c r="C77" s="8">
        <v>8010040102</v>
      </c>
      <c r="D77" s="8" t="s">
        <v>235</v>
      </c>
      <c r="E77" s="8" t="s">
        <v>236</v>
      </c>
      <c r="F77" s="9">
        <v>0</v>
      </c>
      <c r="G77" s="9">
        <v>0</v>
      </c>
      <c r="H77" s="9"/>
      <c r="I77" s="9"/>
      <c r="J77" s="9"/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f t="shared" si="1"/>
        <v>0</v>
      </c>
    </row>
    <row r="78" spans="1:18">
      <c r="A78" s="8" t="s">
        <v>17</v>
      </c>
      <c r="B78" s="8" t="s">
        <v>232</v>
      </c>
      <c r="C78" s="8">
        <v>8010040103</v>
      </c>
      <c r="D78" s="8" t="s">
        <v>237</v>
      </c>
      <c r="E78" s="8" t="s">
        <v>238</v>
      </c>
      <c r="F78" s="9">
        <v>0</v>
      </c>
      <c r="G78" s="9">
        <v>0</v>
      </c>
      <c r="H78" s="9"/>
      <c r="I78" s="9"/>
      <c r="J78" s="9"/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f t="shared" si="1"/>
        <v>0</v>
      </c>
    </row>
    <row r="79" spans="1:18">
      <c r="A79" s="8" t="s">
        <v>17</v>
      </c>
      <c r="B79" s="8" t="s">
        <v>232</v>
      </c>
      <c r="C79" s="8">
        <v>8010040104</v>
      </c>
      <c r="D79" s="8" t="s">
        <v>239</v>
      </c>
      <c r="E79" s="8" t="s">
        <v>240</v>
      </c>
      <c r="F79" s="9">
        <v>0</v>
      </c>
      <c r="G79" s="9">
        <v>0</v>
      </c>
      <c r="H79" s="9"/>
      <c r="I79" s="9"/>
      <c r="J79" s="9"/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f t="shared" si="1"/>
        <v>0</v>
      </c>
    </row>
    <row r="80" spans="1:18">
      <c r="A80" s="8" t="s">
        <v>17</v>
      </c>
      <c r="B80" s="8" t="s">
        <v>232</v>
      </c>
      <c r="C80" s="8">
        <v>8010040105</v>
      </c>
      <c r="D80" s="8" t="s">
        <v>241</v>
      </c>
      <c r="E80" s="8" t="s">
        <v>242</v>
      </c>
      <c r="F80" s="9">
        <v>0</v>
      </c>
      <c r="G80" s="9">
        <v>0</v>
      </c>
      <c r="H80" s="9"/>
      <c r="I80" s="9"/>
      <c r="J80" s="9"/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f t="shared" si="1"/>
        <v>0</v>
      </c>
    </row>
    <row r="81" spans="1:18">
      <c r="A81" s="8" t="s">
        <v>17</v>
      </c>
      <c r="B81" s="8" t="s">
        <v>243</v>
      </c>
      <c r="C81" s="8">
        <v>8010050101</v>
      </c>
      <c r="D81" s="8" t="s">
        <v>244</v>
      </c>
      <c r="E81" s="8" t="s">
        <v>245</v>
      </c>
      <c r="F81" s="9">
        <v>0</v>
      </c>
      <c r="G81" s="9">
        <v>0</v>
      </c>
      <c r="H81" s="9"/>
      <c r="I81" s="9"/>
      <c r="J81" s="9"/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f t="shared" si="1"/>
        <v>0</v>
      </c>
    </row>
    <row r="82" spans="1:18">
      <c r="A82" s="8" t="s">
        <v>17</v>
      </c>
      <c r="B82" s="8" t="s">
        <v>243</v>
      </c>
      <c r="C82" s="8">
        <v>8010050102</v>
      </c>
      <c r="D82" s="8" t="s">
        <v>246</v>
      </c>
      <c r="E82" s="8" t="s">
        <v>247</v>
      </c>
      <c r="F82" s="9">
        <v>0</v>
      </c>
      <c r="G82" s="9">
        <v>0</v>
      </c>
      <c r="H82" s="9"/>
      <c r="I82" s="9"/>
      <c r="J82" s="9"/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f t="shared" si="1"/>
        <v>0</v>
      </c>
    </row>
    <row r="83" spans="1:18">
      <c r="A83" s="8" t="s">
        <v>17</v>
      </c>
      <c r="B83" s="8" t="s">
        <v>248</v>
      </c>
      <c r="C83" s="8">
        <v>8010060101</v>
      </c>
      <c r="D83" s="8" t="s">
        <v>249</v>
      </c>
      <c r="E83" s="8" t="s">
        <v>250</v>
      </c>
      <c r="F83" s="9">
        <v>0</v>
      </c>
      <c r="G83" s="9">
        <v>0</v>
      </c>
      <c r="H83" s="9"/>
      <c r="I83" s="9"/>
      <c r="J83" s="9"/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f t="shared" si="1"/>
        <v>0</v>
      </c>
    </row>
    <row r="84" spans="1:18">
      <c r="A84" s="8" t="s">
        <v>17</v>
      </c>
      <c r="B84" s="8" t="s">
        <v>251</v>
      </c>
      <c r="C84" s="8">
        <v>8010070101</v>
      </c>
      <c r="D84" s="8" t="s">
        <v>252</v>
      </c>
      <c r="E84" s="8" t="s">
        <v>253</v>
      </c>
      <c r="F84" s="9">
        <v>0</v>
      </c>
      <c r="G84" s="9">
        <v>0</v>
      </c>
      <c r="H84" s="9"/>
      <c r="I84" s="9"/>
      <c r="J84" s="9"/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f t="shared" si="1"/>
        <v>0</v>
      </c>
    </row>
    <row r="85" spans="1:18">
      <c r="A85" s="8" t="s">
        <v>16</v>
      </c>
      <c r="B85" s="8" t="s">
        <v>254</v>
      </c>
      <c r="C85" s="8">
        <v>8011010101</v>
      </c>
      <c r="D85" s="8" t="s">
        <v>255</v>
      </c>
      <c r="E85" s="8" t="s">
        <v>256</v>
      </c>
      <c r="F85" s="9">
        <v>0</v>
      </c>
      <c r="G85" s="9">
        <v>0</v>
      </c>
      <c r="H85" s="9"/>
      <c r="I85" s="9"/>
      <c r="J85" s="9"/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f t="shared" si="1"/>
        <v>0</v>
      </c>
    </row>
    <row r="86" spans="1:18">
      <c r="A86" s="8" t="s">
        <v>16</v>
      </c>
      <c r="B86" s="8" t="s">
        <v>257</v>
      </c>
      <c r="C86" s="8">
        <v>8011020101</v>
      </c>
      <c r="D86" s="8" t="s">
        <v>258</v>
      </c>
      <c r="E86" s="8" t="s">
        <v>259</v>
      </c>
      <c r="F86" s="9">
        <v>0</v>
      </c>
      <c r="G86" s="9">
        <v>0</v>
      </c>
      <c r="H86" s="9"/>
      <c r="I86" s="9"/>
      <c r="J86" s="9"/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f t="shared" si="1"/>
        <v>0</v>
      </c>
    </row>
    <row r="87" spans="1:18">
      <c r="A87" s="8" t="s">
        <v>16</v>
      </c>
      <c r="B87" s="8" t="s">
        <v>260</v>
      </c>
      <c r="C87" s="8">
        <v>8011030101</v>
      </c>
      <c r="D87" s="8" t="s">
        <v>261</v>
      </c>
      <c r="E87" s="8" t="s">
        <v>262</v>
      </c>
      <c r="F87" s="9">
        <v>0</v>
      </c>
      <c r="G87" s="9">
        <v>0</v>
      </c>
      <c r="H87" s="9"/>
      <c r="I87" s="9"/>
      <c r="J87" s="9"/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f t="shared" si="1"/>
        <v>0</v>
      </c>
    </row>
    <row r="88" spans="1:18">
      <c r="A88" s="8" t="s">
        <v>16</v>
      </c>
      <c r="B88" s="8" t="s">
        <v>263</v>
      </c>
      <c r="C88" s="8">
        <v>8011040101</v>
      </c>
      <c r="D88" s="8" t="s">
        <v>264</v>
      </c>
      <c r="E88" s="8" t="s">
        <v>265</v>
      </c>
      <c r="F88" s="9">
        <v>0</v>
      </c>
      <c r="G88" s="9">
        <v>0</v>
      </c>
      <c r="H88" s="9"/>
      <c r="I88" s="9"/>
      <c r="J88" s="9"/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f t="shared" si="1"/>
        <v>0</v>
      </c>
    </row>
    <row r="89" spans="1:18">
      <c r="A89" s="8" t="s">
        <v>16</v>
      </c>
      <c r="B89" s="8" t="s">
        <v>266</v>
      </c>
      <c r="C89" s="8">
        <v>8011050101</v>
      </c>
      <c r="D89" s="8" t="s">
        <v>267</v>
      </c>
      <c r="E89" s="8" t="s">
        <v>268</v>
      </c>
      <c r="F89" s="9">
        <v>0</v>
      </c>
      <c r="G89" s="9">
        <v>0</v>
      </c>
      <c r="H89" s="9"/>
      <c r="I89" s="9"/>
      <c r="J89" s="9"/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f t="shared" si="1"/>
        <v>0</v>
      </c>
    </row>
    <row r="90" spans="1:18">
      <c r="A90" s="8" t="s">
        <v>16</v>
      </c>
      <c r="B90" s="8" t="s">
        <v>269</v>
      </c>
      <c r="C90" s="8">
        <v>8011060101</v>
      </c>
      <c r="D90" s="8" t="s">
        <v>270</v>
      </c>
      <c r="E90" s="8" t="s">
        <v>271</v>
      </c>
      <c r="F90" s="9">
        <v>0</v>
      </c>
      <c r="G90" s="9">
        <v>0</v>
      </c>
      <c r="H90" s="9"/>
      <c r="I90" s="9"/>
      <c r="J90" s="9"/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f t="shared" si="1"/>
        <v>0</v>
      </c>
    </row>
    <row r="91" spans="1:18">
      <c r="A91" s="8" t="s">
        <v>16</v>
      </c>
      <c r="B91" s="8" t="s">
        <v>272</v>
      </c>
      <c r="C91" s="8">
        <v>8011070101</v>
      </c>
      <c r="D91" s="8" t="s">
        <v>273</v>
      </c>
      <c r="E91" s="8" t="s">
        <v>274</v>
      </c>
      <c r="F91" s="9">
        <v>0</v>
      </c>
      <c r="G91" s="9">
        <v>0</v>
      </c>
      <c r="H91" s="9"/>
      <c r="I91" s="9"/>
      <c r="J91" s="9"/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f t="shared" si="1"/>
        <v>0</v>
      </c>
    </row>
    <row r="92" spans="1:18" ht="18" customHeight="1">
      <c r="A92" s="8" t="s">
        <v>15</v>
      </c>
      <c r="B92" s="8" t="s">
        <v>275</v>
      </c>
      <c r="C92" s="159">
        <v>8212010101</v>
      </c>
      <c r="D92" s="8" t="s">
        <v>276</v>
      </c>
      <c r="E92" s="8" t="s">
        <v>277</v>
      </c>
      <c r="F92" s="9">
        <v>0.40754699999999999</v>
      </c>
      <c r="G92" s="9">
        <v>0</v>
      </c>
      <c r="H92" s="9"/>
      <c r="I92" s="9"/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11">
        <f t="shared" si="1"/>
        <v>0.40754699999999999</v>
      </c>
    </row>
    <row r="93" spans="1:18">
      <c r="A93" s="8" t="s">
        <v>15</v>
      </c>
      <c r="B93" s="8" t="s">
        <v>278</v>
      </c>
      <c r="C93" s="159">
        <v>8212020101</v>
      </c>
      <c r="D93" s="8" t="s">
        <v>279</v>
      </c>
      <c r="E93" s="8" t="s">
        <v>280</v>
      </c>
      <c r="F93" s="9">
        <v>0</v>
      </c>
      <c r="G93" s="9">
        <v>0</v>
      </c>
      <c r="H93" s="9"/>
      <c r="I93" s="9"/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f t="shared" si="1"/>
        <v>0</v>
      </c>
    </row>
    <row r="94" spans="1:18">
      <c r="A94" s="8" t="s">
        <v>12</v>
      </c>
      <c r="B94" s="8" t="s">
        <v>281</v>
      </c>
      <c r="C94" s="159">
        <v>8213010101</v>
      </c>
      <c r="D94" s="8" t="s">
        <v>282</v>
      </c>
      <c r="E94" s="8" t="s">
        <v>283</v>
      </c>
      <c r="F94" s="9">
        <v>0</v>
      </c>
      <c r="G94" s="9">
        <v>0</v>
      </c>
      <c r="H94" s="9"/>
      <c r="I94" s="9"/>
      <c r="J94" s="9"/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f t="shared" si="1"/>
        <v>0</v>
      </c>
    </row>
    <row r="95" spans="1:18">
      <c r="A95" s="8" t="s">
        <v>12</v>
      </c>
      <c r="B95" s="8" t="s">
        <v>284</v>
      </c>
      <c r="C95" s="159">
        <v>8213010102</v>
      </c>
      <c r="D95" s="8" t="s">
        <v>285</v>
      </c>
      <c r="E95" s="8" t="s">
        <v>286</v>
      </c>
      <c r="F95" s="9">
        <v>0</v>
      </c>
      <c r="G95" s="9">
        <v>0</v>
      </c>
      <c r="H95" s="9"/>
      <c r="I95" s="9"/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f t="shared" si="1"/>
        <v>0</v>
      </c>
    </row>
    <row r="96" spans="1:18">
      <c r="A96" s="8" t="s">
        <v>12</v>
      </c>
      <c r="B96" s="8" t="s">
        <v>287</v>
      </c>
      <c r="C96" s="159">
        <v>8213010103</v>
      </c>
      <c r="D96" s="8" t="s">
        <v>288</v>
      </c>
      <c r="E96" s="8" t="s">
        <v>289</v>
      </c>
      <c r="F96" s="9">
        <v>0</v>
      </c>
      <c r="G96" s="9">
        <v>0</v>
      </c>
      <c r="H96" s="9"/>
      <c r="I96" s="9"/>
      <c r="J96" s="9"/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f t="shared" si="1"/>
        <v>0</v>
      </c>
    </row>
    <row r="97" spans="1:18">
      <c r="A97" s="8" t="s">
        <v>12</v>
      </c>
      <c r="B97" s="8" t="s">
        <v>290</v>
      </c>
      <c r="C97" s="159">
        <v>8213010104</v>
      </c>
      <c r="D97" s="8" t="s">
        <v>291</v>
      </c>
      <c r="E97" s="8" t="s">
        <v>292</v>
      </c>
      <c r="F97" s="9">
        <v>0</v>
      </c>
      <c r="G97" s="9">
        <v>0</v>
      </c>
      <c r="H97" s="9"/>
      <c r="I97" s="9"/>
      <c r="J97" s="9"/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f t="shared" si="1"/>
        <v>0</v>
      </c>
    </row>
    <row r="98" spans="1:18" ht="18" customHeight="1">
      <c r="A98" s="8" t="s">
        <v>293</v>
      </c>
      <c r="B98" s="8"/>
      <c r="C98" s="159">
        <v>8015010101</v>
      </c>
      <c r="D98" s="8" t="s">
        <v>293</v>
      </c>
      <c r="E98" s="8" t="s">
        <v>294</v>
      </c>
      <c r="F98" s="9">
        <v>1.9397000000000001E-2</v>
      </c>
      <c r="G98" s="9">
        <v>1.9396E-2</v>
      </c>
      <c r="H98" s="9">
        <v>1.9397000000000001E-2</v>
      </c>
      <c r="I98" s="9">
        <v>1.9396E-2</v>
      </c>
      <c r="J98" s="9">
        <v>0.02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11">
        <f t="shared" si="1"/>
        <v>9.7586000000000006E-2</v>
      </c>
    </row>
    <row r="99" spans="1:18">
      <c r="A99" s="8" t="s">
        <v>295</v>
      </c>
      <c r="B99" s="8" t="s">
        <v>296</v>
      </c>
      <c r="C99" s="159">
        <v>8015020101</v>
      </c>
      <c r="D99" s="8" t="s">
        <v>297</v>
      </c>
      <c r="E99" s="8" t="s">
        <v>298</v>
      </c>
      <c r="F99" s="9">
        <v>0</v>
      </c>
      <c r="G99" s="9">
        <v>0</v>
      </c>
      <c r="H99" s="9"/>
      <c r="I99" s="9"/>
      <c r="J99" s="9"/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f t="shared" si="1"/>
        <v>0</v>
      </c>
    </row>
    <row r="100" spans="1:18">
      <c r="A100" s="8" t="s">
        <v>295</v>
      </c>
      <c r="B100" s="8" t="s">
        <v>299</v>
      </c>
      <c r="C100" s="8">
        <v>8015020102</v>
      </c>
      <c r="D100" s="8" t="s">
        <v>300</v>
      </c>
      <c r="E100" s="8" t="s">
        <v>301</v>
      </c>
      <c r="F100" s="9">
        <v>0</v>
      </c>
      <c r="G100" s="9">
        <v>0</v>
      </c>
      <c r="H100" s="9"/>
      <c r="I100" s="9"/>
      <c r="J100" s="9"/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f t="shared" si="1"/>
        <v>0</v>
      </c>
    </row>
    <row r="101" spans="1:18">
      <c r="A101" s="8" t="s">
        <v>295</v>
      </c>
      <c r="B101" s="8" t="s">
        <v>302</v>
      </c>
      <c r="C101" s="8">
        <v>8015020103</v>
      </c>
      <c r="D101" s="8" t="s">
        <v>303</v>
      </c>
      <c r="E101" s="8" t="s">
        <v>304</v>
      </c>
      <c r="F101" s="9">
        <v>0</v>
      </c>
      <c r="G101" s="9">
        <v>0</v>
      </c>
      <c r="H101" s="9"/>
      <c r="I101" s="9"/>
      <c r="J101" s="9"/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f t="shared" si="1"/>
        <v>0</v>
      </c>
    </row>
    <row r="102" spans="1:18">
      <c r="A102" s="8" t="s">
        <v>295</v>
      </c>
      <c r="B102" s="8" t="s">
        <v>305</v>
      </c>
      <c r="C102" s="8">
        <v>8015020104</v>
      </c>
      <c r="D102" s="8" t="s">
        <v>306</v>
      </c>
      <c r="E102" s="8" t="s">
        <v>307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f t="shared" si="1"/>
        <v>0</v>
      </c>
    </row>
    <row r="103" spans="1:18">
      <c r="A103" s="8" t="s">
        <v>295</v>
      </c>
      <c r="B103" s="8" t="s">
        <v>308</v>
      </c>
      <c r="C103" s="8">
        <v>8015020105</v>
      </c>
      <c r="D103" s="8" t="s">
        <v>309</v>
      </c>
      <c r="E103" s="8" t="s">
        <v>310</v>
      </c>
      <c r="F103" s="9">
        <v>0</v>
      </c>
      <c r="G103" s="9">
        <v>0</v>
      </c>
      <c r="H103" s="9"/>
      <c r="I103" s="9"/>
      <c r="J103" s="9"/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f t="shared" si="1"/>
        <v>0</v>
      </c>
    </row>
    <row r="104" spans="1:18">
      <c r="A104" s="8" t="s">
        <v>295</v>
      </c>
      <c r="B104" s="8" t="s">
        <v>311</v>
      </c>
      <c r="C104" s="8">
        <v>8015020107</v>
      </c>
      <c r="D104" s="8" t="s">
        <v>312</v>
      </c>
      <c r="E104" s="8" t="s">
        <v>313</v>
      </c>
      <c r="F104" s="9">
        <v>0</v>
      </c>
      <c r="G104" s="9">
        <v>0</v>
      </c>
      <c r="H104" s="9"/>
      <c r="I104" s="9"/>
      <c r="J104" s="9"/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f t="shared" si="1"/>
        <v>0</v>
      </c>
    </row>
    <row r="105" spans="1:18">
      <c r="A105" s="8" t="s">
        <v>314</v>
      </c>
      <c r="B105" s="8" t="s">
        <v>315</v>
      </c>
      <c r="C105" s="8">
        <v>8015030101</v>
      </c>
      <c r="D105" s="8" t="s">
        <v>316</v>
      </c>
      <c r="E105" s="8" t="s">
        <v>317</v>
      </c>
      <c r="F105" s="9">
        <v>0</v>
      </c>
      <c r="G105" s="9">
        <v>0</v>
      </c>
      <c r="H105" s="9"/>
      <c r="I105" s="9"/>
      <c r="J105" s="9"/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f t="shared" si="1"/>
        <v>0</v>
      </c>
    </row>
    <row r="106" spans="1:18">
      <c r="A106" s="8" t="s">
        <v>314</v>
      </c>
      <c r="B106" s="8" t="s">
        <v>318</v>
      </c>
      <c r="C106" s="8">
        <v>8015030102</v>
      </c>
      <c r="D106" s="8" t="s">
        <v>319</v>
      </c>
      <c r="E106" s="8" t="s">
        <v>320</v>
      </c>
      <c r="F106" s="9">
        <v>0</v>
      </c>
      <c r="G106" s="9">
        <v>0</v>
      </c>
      <c r="H106" s="9"/>
      <c r="I106" s="9"/>
      <c r="J106" s="9"/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f t="shared" si="1"/>
        <v>0</v>
      </c>
    </row>
    <row r="107" spans="1:18">
      <c r="A107" s="8" t="s">
        <v>314</v>
      </c>
      <c r="B107" s="8" t="s">
        <v>321</v>
      </c>
      <c r="C107" s="8">
        <v>8015030103</v>
      </c>
      <c r="D107" s="8" t="s">
        <v>322</v>
      </c>
      <c r="E107" s="8" t="s">
        <v>323</v>
      </c>
      <c r="F107" s="9">
        <v>0</v>
      </c>
      <c r="G107" s="9">
        <v>0</v>
      </c>
      <c r="H107" s="9"/>
      <c r="I107" s="9"/>
      <c r="J107" s="9"/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f t="shared" si="1"/>
        <v>0</v>
      </c>
    </row>
    <row r="108" spans="1:18">
      <c r="A108" s="8" t="s">
        <v>314</v>
      </c>
      <c r="B108" s="8" t="s">
        <v>324</v>
      </c>
      <c r="C108" s="8">
        <v>8015030104</v>
      </c>
      <c r="D108" s="8" t="s">
        <v>325</v>
      </c>
      <c r="E108" s="8" t="s">
        <v>326</v>
      </c>
      <c r="F108" s="9">
        <v>0</v>
      </c>
      <c r="G108" s="9">
        <v>0</v>
      </c>
      <c r="H108" s="9"/>
      <c r="I108" s="9"/>
      <c r="J108" s="9"/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f t="shared" si="1"/>
        <v>0</v>
      </c>
    </row>
    <row r="109" spans="1:18">
      <c r="A109" s="8" t="s">
        <v>314</v>
      </c>
      <c r="B109" s="8" t="s">
        <v>327</v>
      </c>
      <c r="C109" s="8">
        <v>8015030105</v>
      </c>
      <c r="D109" s="8" t="s">
        <v>328</v>
      </c>
      <c r="E109" s="8" t="s">
        <v>329</v>
      </c>
      <c r="F109" s="9">
        <v>0</v>
      </c>
      <c r="G109" s="9">
        <v>0</v>
      </c>
      <c r="H109" s="9"/>
      <c r="I109" s="9"/>
      <c r="J109" s="9"/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f t="shared" si="1"/>
        <v>0</v>
      </c>
    </row>
    <row r="110" spans="1:18">
      <c r="A110" s="8" t="s">
        <v>314</v>
      </c>
      <c r="B110" s="8" t="s">
        <v>330</v>
      </c>
      <c r="C110" s="8">
        <v>8015030106</v>
      </c>
      <c r="D110" s="8" t="s">
        <v>331</v>
      </c>
      <c r="E110" s="8" t="s">
        <v>332</v>
      </c>
      <c r="F110" s="9">
        <v>0</v>
      </c>
      <c r="G110" s="9">
        <v>0</v>
      </c>
      <c r="H110" s="9"/>
      <c r="I110" s="9"/>
      <c r="J110" s="9"/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f t="shared" si="1"/>
        <v>0</v>
      </c>
    </row>
    <row r="111" spans="1:18">
      <c r="A111" s="8" t="s">
        <v>20</v>
      </c>
      <c r="B111" s="8" t="s">
        <v>333</v>
      </c>
      <c r="C111" s="8">
        <v>8016010001</v>
      </c>
      <c r="D111" s="8" t="s">
        <v>334</v>
      </c>
      <c r="E111" s="8" t="s">
        <v>335</v>
      </c>
      <c r="F111" s="9">
        <v>0</v>
      </c>
      <c r="G111" s="9">
        <v>0</v>
      </c>
      <c r="H111" s="9"/>
      <c r="I111" s="9"/>
      <c r="J111" s="9"/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f t="shared" si="1"/>
        <v>0</v>
      </c>
    </row>
    <row r="112" spans="1:18">
      <c r="A112" s="8" t="s">
        <v>20</v>
      </c>
      <c r="B112" s="8" t="s">
        <v>333</v>
      </c>
      <c r="C112" s="8">
        <v>8016010102</v>
      </c>
      <c r="D112" s="8" t="s">
        <v>336</v>
      </c>
      <c r="E112" s="8" t="s">
        <v>337</v>
      </c>
      <c r="F112" s="9">
        <v>0</v>
      </c>
      <c r="G112" s="9">
        <v>0</v>
      </c>
      <c r="H112" s="9"/>
      <c r="I112" s="9"/>
      <c r="J112" s="9"/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f t="shared" si="1"/>
        <v>0</v>
      </c>
    </row>
    <row r="113" spans="1:18">
      <c r="A113" s="8" t="s">
        <v>20</v>
      </c>
      <c r="B113" s="8" t="s">
        <v>338</v>
      </c>
      <c r="C113" s="8">
        <v>8016020101</v>
      </c>
      <c r="D113" s="8" t="s">
        <v>339</v>
      </c>
      <c r="E113" s="8" t="s">
        <v>338</v>
      </c>
      <c r="F113" s="9">
        <v>0</v>
      </c>
      <c r="G113" s="9">
        <v>0</v>
      </c>
      <c r="H113" s="9"/>
      <c r="I113" s="9"/>
      <c r="J113" s="9"/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f t="shared" si="1"/>
        <v>0</v>
      </c>
    </row>
    <row r="114" spans="1:18">
      <c r="A114" s="8" t="s">
        <v>20</v>
      </c>
      <c r="B114" s="8" t="s">
        <v>340</v>
      </c>
      <c r="C114" s="8">
        <v>8016030101</v>
      </c>
      <c r="D114" s="8" t="s">
        <v>341</v>
      </c>
      <c r="E114" s="8" t="s">
        <v>342</v>
      </c>
      <c r="F114" s="9">
        <v>0</v>
      </c>
      <c r="G114" s="9">
        <v>0</v>
      </c>
      <c r="H114" s="9">
        <v>1.6676380000000002</v>
      </c>
      <c r="I114" s="9"/>
      <c r="J114" s="9"/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f t="shared" si="1"/>
        <v>1.6676380000000002</v>
      </c>
    </row>
    <row r="115" spans="1:18">
      <c r="A115" s="8" t="s">
        <v>343</v>
      </c>
      <c r="B115" s="8" t="s">
        <v>344</v>
      </c>
      <c r="C115" s="8">
        <v>8017010101</v>
      </c>
      <c r="D115" s="8" t="s">
        <v>345</v>
      </c>
      <c r="E115" s="8" t="s">
        <v>346</v>
      </c>
      <c r="F115" s="9">
        <v>0</v>
      </c>
      <c r="G115" s="9">
        <v>0</v>
      </c>
      <c r="H115" s="9"/>
      <c r="I115" s="9"/>
      <c r="J115" s="9"/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f t="shared" si="1"/>
        <v>0</v>
      </c>
    </row>
    <row r="116" spans="1:18">
      <c r="A116" s="8" t="s">
        <v>343</v>
      </c>
      <c r="B116" s="8" t="s">
        <v>347</v>
      </c>
      <c r="C116" s="8">
        <v>8017010102</v>
      </c>
      <c r="D116" s="8" t="s">
        <v>348</v>
      </c>
      <c r="E116" s="8" t="s">
        <v>349</v>
      </c>
      <c r="F116" s="9">
        <v>0</v>
      </c>
      <c r="G116" s="9">
        <v>0</v>
      </c>
      <c r="H116" s="9"/>
      <c r="I116" s="9"/>
      <c r="J116" s="9"/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f t="shared" si="1"/>
        <v>0</v>
      </c>
    </row>
    <row r="117" spans="1:18">
      <c r="A117" s="8" t="s">
        <v>343</v>
      </c>
      <c r="B117" s="8" t="s">
        <v>350</v>
      </c>
      <c r="C117" s="8">
        <v>8017010103</v>
      </c>
      <c r="D117" s="8" t="s">
        <v>351</v>
      </c>
      <c r="E117" s="8" t="s">
        <v>350</v>
      </c>
      <c r="F117" s="9">
        <v>0</v>
      </c>
      <c r="G117" s="9">
        <v>0</v>
      </c>
      <c r="H117" s="9"/>
      <c r="I117" s="9"/>
      <c r="J117" s="9"/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f t="shared" si="1"/>
        <v>0</v>
      </c>
    </row>
    <row r="118" spans="1:18">
      <c r="A118" s="8" t="s">
        <v>343</v>
      </c>
      <c r="B118" s="8" t="s">
        <v>352</v>
      </c>
      <c r="C118" s="8">
        <v>8017010104</v>
      </c>
      <c r="D118" s="8" t="s">
        <v>353</v>
      </c>
      <c r="E118" s="8" t="s">
        <v>352</v>
      </c>
      <c r="F118" s="9">
        <v>0</v>
      </c>
      <c r="G118" s="9">
        <v>0</v>
      </c>
      <c r="H118" s="9"/>
      <c r="I118" s="9"/>
      <c r="J118" s="9"/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f t="shared" si="1"/>
        <v>0</v>
      </c>
    </row>
    <row r="119" spans="1:18">
      <c r="A119" s="8" t="s">
        <v>343</v>
      </c>
      <c r="B119" s="8" t="s">
        <v>354</v>
      </c>
      <c r="C119" s="8">
        <v>8017010105</v>
      </c>
      <c r="D119" s="8" t="s">
        <v>355</v>
      </c>
      <c r="E119" s="8" t="s">
        <v>354</v>
      </c>
      <c r="F119" s="9">
        <v>0</v>
      </c>
      <c r="G119" s="9">
        <v>0</v>
      </c>
      <c r="H119" s="9"/>
      <c r="I119" s="9"/>
      <c r="J119" s="9"/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f t="shared" si="1"/>
        <v>0</v>
      </c>
    </row>
    <row r="120" spans="1:18">
      <c r="A120" s="8" t="s">
        <v>356</v>
      </c>
      <c r="B120" s="8" t="s">
        <v>357</v>
      </c>
      <c r="C120" s="8">
        <v>8018010101</v>
      </c>
      <c r="D120" s="8" t="s">
        <v>358</v>
      </c>
      <c r="E120" s="8" t="s">
        <v>357</v>
      </c>
      <c r="F120" s="9">
        <v>0</v>
      </c>
      <c r="G120" s="9">
        <v>0</v>
      </c>
      <c r="H120" s="9"/>
      <c r="I120" s="9"/>
      <c r="J120" s="9"/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f t="shared" si="1"/>
        <v>0</v>
      </c>
    </row>
    <row r="121" spans="1:18">
      <c r="A121" s="8" t="s">
        <v>356</v>
      </c>
      <c r="B121" s="8" t="s">
        <v>359</v>
      </c>
      <c r="C121" s="8">
        <v>8018010102</v>
      </c>
      <c r="D121" s="8" t="s">
        <v>360</v>
      </c>
      <c r="E121" s="8" t="s">
        <v>359</v>
      </c>
      <c r="F121" s="9">
        <v>0</v>
      </c>
      <c r="G121" s="9">
        <v>0</v>
      </c>
      <c r="H121" s="9"/>
      <c r="I121" s="9"/>
      <c r="J121" s="9"/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f t="shared" si="1"/>
        <v>0</v>
      </c>
    </row>
    <row r="122" spans="1:18">
      <c r="A122" s="8" t="s">
        <v>356</v>
      </c>
      <c r="B122" s="8" t="s">
        <v>361</v>
      </c>
      <c r="C122" s="8">
        <v>8018010103</v>
      </c>
      <c r="D122" s="8" t="s">
        <v>362</v>
      </c>
      <c r="E122" s="8" t="s">
        <v>361</v>
      </c>
      <c r="F122" s="9">
        <v>0</v>
      </c>
      <c r="G122" s="9">
        <v>0</v>
      </c>
      <c r="H122" s="9"/>
      <c r="I122" s="9"/>
      <c r="J122" s="9"/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f t="shared" si="1"/>
        <v>0</v>
      </c>
    </row>
    <row r="123" spans="1:18">
      <c r="A123" s="8" t="s">
        <v>333</v>
      </c>
      <c r="B123" s="8" t="s">
        <v>363</v>
      </c>
      <c r="C123" s="8">
        <v>8214010101</v>
      </c>
      <c r="D123" s="8" t="s">
        <v>364</v>
      </c>
      <c r="E123" s="8" t="s">
        <v>365</v>
      </c>
      <c r="F123" s="9">
        <v>0</v>
      </c>
      <c r="G123" s="9">
        <v>0</v>
      </c>
      <c r="H123" s="9"/>
      <c r="I123" s="9"/>
      <c r="J123" s="9"/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f t="shared" si="1"/>
        <v>0</v>
      </c>
    </row>
    <row r="124" spans="1:18" ht="18" customHeight="1">
      <c r="A124" s="8" t="s">
        <v>333</v>
      </c>
      <c r="B124" s="8" t="s">
        <v>366</v>
      </c>
      <c r="C124" s="159">
        <v>8214020101</v>
      </c>
      <c r="D124" s="8" t="s">
        <v>367</v>
      </c>
      <c r="E124" s="8" t="s">
        <v>368</v>
      </c>
      <c r="F124" s="9">
        <v>1.5299999999999999E-2</v>
      </c>
      <c r="G124" s="9">
        <v>0</v>
      </c>
      <c r="H124" s="9">
        <v>5.8549999999999998E-2</v>
      </c>
      <c r="I124" s="9">
        <v>5.1326999999999998E-2</v>
      </c>
      <c r="J124" s="9"/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11">
        <f t="shared" si="1"/>
        <v>0.12517699999999998</v>
      </c>
    </row>
    <row r="125" spans="1:18" ht="18" customHeight="1">
      <c r="A125" s="8" t="s">
        <v>333</v>
      </c>
      <c r="B125" s="8" t="s">
        <v>366</v>
      </c>
      <c r="C125" s="159">
        <v>8214020102</v>
      </c>
      <c r="D125" s="8" t="s">
        <v>369</v>
      </c>
      <c r="E125" s="8" t="s">
        <v>370</v>
      </c>
      <c r="F125" s="9">
        <v>0</v>
      </c>
      <c r="G125" s="9">
        <v>6.0451999999999999E-2</v>
      </c>
      <c r="H125" s="9">
        <v>8.0603999999999995E-2</v>
      </c>
      <c r="I125" s="9">
        <v>8.0603999999999995E-2</v>
      </c>
      <c r="J125" s="9">
        <v>0.06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11">
        <f t="shared" si="1"/>
        <v>0.28165999999999997</v>
      </c>
    </row>
    <row r="126" spans="1:18">
      <c r="A126" s="8" t="s">
        <v>333</v>
      </c>
      <c r="B126" s="8" t="s">
        <v>366</v>
      </c>
      <c r="C126" s="159">
        <v>8214020103</v>
      </c>
      <c r="D126" s="8" t="s">
        <v>371</v>
      </c>
      <c r="E126" s="8" t="s">
        <v>372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f t="shared" si="1"/>
        <v>0</v>
      </c>
    </row>
    <row r="127" spans="1:18">
      <c r="A127" s="8" t="s">
        <v>333</v>
      </c>
      <c r="B127" s="8" t="s">
        <v>366</v>
      </c>
      <c r="C127" s="159">
        <v>8214020104</v>
      </c>
      <c r="D127" s="8" t="s">
        <v>373</v>
      </c>
      <c r="E127" s="8" t="s">
        <v>374</v>
      </c>
      <c r="F127" s="9">
        <v>0</v>
      </c>
      <c r="G127" s="9">
        <v>0</v>
      </c>
      <c r="H127" s="9">
        <v>0</v>
      </c>
      <c r="I127" s="9">
        <v>5.1999999999999998E-3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f t="shared" si="1"/>
        <v>5.1999999999999998E-3</v>
      </c>
    </row>
    <row r="128" spans="1:18">
      <c r="A128" s="8" t="s">
        <v>333</v>
      </c>
      <c r="B128" s="8" t="s">
        <v>366</v>
      </c>
      <c r="C128" s="159">
        <v>8214020105</v>
      </c>
      <c r="D128" s="8" t="s">
        <v>375</v>
      </c>
      <c r="E128" s="8" t="s">
        <v>376</v>
      </c>
      <c r="F128" s="9">
        <v>0</v>
      </c>
      <c r="G128" s="9">
        <v>0</v>
      </c>
      <c r="H128" s="9"/>
      <c r="I128" s="9"/>
      <c r="J128" s="9"/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f t="shared" si="1"/>
        <v>0</v>
      </c>
    </row>
    <row r="129" spans="1:18">
      <c r="A129" s="8" t="s">
        <v>333</v>
      </c>
      <c r="B129" s="8" t="s">
        <v>366</v>
      </c>
      <c r="C129" s="159">
        <v>8214020106</v>
      </c>
      <c r="D129" s="8" t="s">
        <v>377</v>
      </c>
      <c r="E129" s="8" t="s">
        <v>378</v>
      </c>
      <c r="F129" s="9">
        <v>0</v>
      </c>
      <c r="G129" s="9">
        <v>0</v>
      </c>
      <c r="H129" s="9">
        <v>0</v>
      </c>
      <c r="I129" s="9"/>
      <c r="J129" s="9"/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f t="shared" si="1"/>
        <v>0</v>
      </c>
    </row>
    <row r="130" spans="1:18">
      <c r="A130" s="8" t="s">
        <v>333</v>
      </c>
      <c r="B130" s="8" t="s">
        <v>366</v>
      </c>
      <c r="C130" s="159">
        <v>8214020107</v>
      </c>
      <c r="D130" s="8" t="s">
        <v>379</v>
      </c>
      <c r="E130" s="8" t="s">
        <v>380</v>
      </c>
      <c r="F130" s="9">
        <v>0</v>
      </c>
      <c r="G130" s="9">
        <v>0</v>
      </c>
      <c r="H130" s="9"/>
      <c r="I130" s="9"/>
      <c r="J130" s="9"/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f t="shared" si="1"/>
        <v>0</v>
      </c>
    </row>
    <row r="131" spans="1:18">
      <c r="A131" s="8" t="s">
        <v>333</v>
      </c>
      <c r="B131" s="8" t="s">
        <v>366</v>
      </c>
      <c r="C131" s="159">
        <v>8214020108</v>
      </c>
      <c r="D131" s="8" t="s">
        <v>381</v>
      </c>
      <c r="E131" s="8" t="s">
        <v>382</v>
      </c>
      <c r="F131" s="9">
        <v>0</v>
      </c>
      <c r="G131" s="9">
        <v>0</v>
      </c>
      <c r="H131" s="9"/>
      <c r="I131" s="9"/>
      <c r="J131" s="9"/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f t="shared" ref="R131:R157" si="2">SUM(F131:Q131)</f>
        <v>0</v>
      </c>
    </row>
    <row r="132" spans="1:18">
      <c r="A132" s="8" t="s">
        <v>333</v>
      </c>
      <c r="B132" s="8" t="s">
        <v>366</v>
      </c>
      <c r="C132" s="159">
        <v>8214020109</v>
      </c>
      <c r="D132" s="8" t="s">
        <v>383</v>
      </c>
      <c r="E132" s="8" t="s">
        <v>384</v>
      </c>
      <c r="F132" s="9">
        <v>0</v>
      </c>
      <c r="G132" s="9">
        <v>0</v>
      </c>
      <c r="H132" s="9"/>
      <c r="I132" s="9"/>
      <c r="J132" s="9"/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f t="shared" si="2"/>
        <v>0</v>
      </c>
    </row>
    <row r="133" spans="1:18">
      <c r="A133" s="8" t="s">
        <v>333</v>
      </c>
      <c r="B133" s="8" t="s">
        <v>366</v>
      </c>
      <c r="C133" s="159">
        <v>8214020110</v>
      </c>
      <c r="D133" s="8" t="s">
        <v>385</v>
      </c>
      <c r="E133" s="8" t="s">
        <v>386</v>
      </c>
      <c r="F133" s="9">
        <v>0</v>
      </c>
      <c r="G133" s="9">
        <v>0</v>
      </c>
      <c r="H133" s="9"/>
      <c r="I133" s="9"/>
      <c r="J133" s="9"/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f t="shared" si="2"/>
        <v>0</v>
      </c>
    </row>
    <row r="134" spans="1:18">
      <c r="A134" s="8" t="s">
        <v>333</v>
      </c>
      <c r="B134" s="8" t="s">
        <v>366</v>
      </c>
      <c r="C134" s="159">
        <v>8214020111</v>
      </c>
      <c r="D134" s="8" t="s">
        <v>387</v>
      </c>
      <c r="E134" s="8" t="s">
        <v>388</v>
      </c>
      <c r="F134" s="9">
        <v>0</v>
      </c>
      <c r="G134" s="9">
        <v>0</v>
      </c>
      <c r="H134" s="9"/>
      <c r="I134" s="9"/>
      <c r="J134" s="9"/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f t="shared" si="2"/>
        <v>0</v>
      </c>
    </row>
    <row r="135" spans="1:18">
      <c r="A135" s="8" t="s">
        <v>333</v>
      </c>
      <c r="B135" s="8" t="s">
        <v>366</v>
      </c>
      <c r="C135" s="159">
        <v>8214020112</v>
      </c>
      <c r="D135" s="8" t="s">
        <v>389</v>
      </c>
      <c r="E135" s="8" t="s">
        <v>390</v>
      </c>
      <c r="F135" s="9">
        <v>0</v>
      </c>
      <c r="G135" s="9">
        <v>0</v>
      </c>
      <c r="H135" s="9"/>
      <c r="I135" s="9"/>
      <c r="J135" s="9"/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f t="shared" si="2"/>
        <v>0</v>
      </c>
    </row>
    <row r="136" spans="1:18" ht="18" customHeight="1">
      <c r="A136" s="8" t="s">
        <v>333</v>
      </c>
      <c r="B136" s="8" t="s">
        <v>391</v>
      </c>
      <c r="C136" s="159">
        <v>8214030101</v>
      </c>
      <c r="D136" s="8" t="s">
        <v>392</v>
      </c>
      <c r="E136" s="8" t="s">
        <v>393</v>
      </c>
      <c r="F136" s="9">
        <v>0.29289999999999999</v>
      </c>
      <c r="G136" s="9">
        <v>1.49E-2</v>
      </c>
      <c r="H136" s="9">
        <v>1.0139000000000002E-2</v>
      </c>
      <c r="I136" s="9">
        <v>5.7194000000000009E-2</v>
      </c>
      <c r="J136" s="9">
        <v>0.43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11">
        <f t="shared" si="2"/>
        <v>0.8051330000000001</v>
      </c>
    </row>
    <row r="137" spans="1:18">
      <c r="A137" s="8" t="s">
        <v>333</v>
      </c>
      <c r="B137" s="8" t="s">
        <v>394</v>
      </c>
      <c r="C137" s="159">
        <v>8214030102</v>
      </c>
      <c r="D137" s="8" t="s">
        <v>395</v>
      </c>
      <c r="E137" s="8" t="s">
        <v>396</v>
      </c>
      <c r="F137" s="9">
        <v>0</v>
      </c>
      <c r="G137" s="9">
        <v>0</v>
      </c>
      <c r="H137" s="9"/>
      <c r="I137" s="9"/>
      <c r="J137" s="9"/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f t="shared" si="2"/>
        <v>0</v>
      </c>
    </row>
    <row r="138" spans="1:18" ht="18" customHeight="1">
      <c r="A138" s="8" t="s">
        <v>333</v>
      </c>
      <c r="B138" s="8" t="s">
        <v>397</v>
      </c>
      <c r="C138" s="159">
        <v>8214040101</v>
      </c>
      <c r="D138" s="8" t="s">
        <v>398</v>
      </c>
      <c r="E138" s="8" t="s">
        <v>399</v>
      </c>
      <c r="F138" s="9">
        <v>0.13080999999999998</v>
      </c>
      <c r="G138" s="9">
        <v>0</v>
      </c>
      <c r="H138" s="9">
        <v>0</v>
      </c>
      <c r="I138" s="9"/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11">
        <f t="shared" si="2"/>
        <v>0.13080999999999998</v>
      </c>
    </row>
    <row r="139" spans="1:18">
      <c r="A139" s="8" t="s">
        <v>333</v>
      </c>
      <c r="B139" s="8" t="s">
        <v>400</v>
      </c>
      <c r="C139" s="159">
        <v>8214050101</v>
      </c>
      <c r="D139" s="8" t="s">
        <v>401</v>
      </c>
      <c r="E139" s="8" t="s">
        <v>402</v>
      </c>
      <c r="F139" s="9">
        <v>0</v>
      </c>
      <c r="G139" s="9">
        <v>0</v>
      </c>
      <c r="H139" s="9"/>
      <c r="I139" s="9"/>
      <c r="J139" s="9"/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f t="shared" si="2"/>
        <v>0</v>
      </c>
    </row>
    <row r="140" spans="1:18">
      <c r="A140" s="8" t="s">
        <v>333</v>
      </c>
      <c r="B140" s="8" t="s">
        <v>400</v>
      </c>
      <c r="C140" s="8">
        <v>8214050102</v>
      </c>
      <c r="D140" s="8" t="s">
        <v>403</v>
      </c>
      <c r="E140" s="8" t="s">
        <v>404</v>
      </c>
      <c r="F140" s="9">
        <v>0</v>
      </c>
      <c r="G140" s="9">
        <v>0</v>
      </c>
      <c r="H140" s="9"/>
      <c r="I140" s="9"/>
      <c r="J140" s="9"/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f t="shared" si="2"/>
        <v>0</v>
      </c>
    </row>
    <row r="141" spans="1:18">
      <c r="A141" s="8" t="s">
        <v>333</v>
      </c>
      <c r="B141" s="8" t="s">
        <v>400</v>
      </c>
      <c r="C141" s="8">
        <v>8214050103</v>
      </c>
      <c r="D141" s="8" t="s">
        <v>405</v>
      </c>
      <c r="E141" s="8" t="s">
        <v>406</v>
      </c>
      <c r="F141" s="9">
        <v>0</v>
      </c>
      <c r="G141" s="9">
        <v>0</v>
      </c>
      <c r="H141" s="9"/>
      <c r="I141" s="9"/>
      <c r="J141" s="9"/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f t="shared" si="2"/>
        <v>0</v>
      </c>
    </row>
    <row r="142" spans="1:18">
      <c r="A142" s="8" t="s">
        <v>333</v>
      </c>
      <c r="B142" s="8" t="s">
        <v>400</v>
      </c>
      <c r="C142" s="8">
        <v>8214050104</v>
      </c>
      <c r="D142" s="8" t="s">
        <v>407</v>
      </c>
      <c r="E142" s="8" t="s">
        <v>408</v>
      </c>
      <c r="F142" s="9">
        <v>0</v>
      </c>
      <c r="G142" s="9">
        <v>0</v>
      </c>
      <c r="H142" s="9"/>
      <c r="I142" s="9"/>
      <c r="J142" s="9"/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f t="shared" si="2"/>
        <v>0</v>
      </c>
    </row>
    <row r="143" spans="1:18">
      <c r="A143" s="8" t="s">
        <v>333</v>
      </c>
      <c r="B143" s="8" t="s">
        <v>409</v>
      </c>
      <c r="C143" s="8">
        <v>8214060101</v>
      </c>
      <c r="D143" s="8" t="s">
        <v>410</v>
      </c>
      <c r="E143" s="8" t="s">
        <v>411</v>
      </c>
      <c r="F143" s="9">
        <v>0</v>
      </c>
      <c r="G143" s="9">
        <v>0</v>
      </c>
      <c r="H143" s="9">
        <v>0</v>
      </c>
      <c r="I143" s="9"/>
      <c r="J143" s="9"/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f t="shared" si="2"/>
        <v>0</v>
      </c>
    </row>
    <row r="144" spans="1:18">
      <c r="A144" s="8" t="s">
        <v>333</v>
      </c>
      <c r="B144" s="8" t="s">
        <v>409</v>
      </c>
      <c r="C144" s="8">
        <v>8214060102</v>
      </c>
      <c r="D144" s="8" t="s">
        <v>412</v>
      </c>
      <c r="E144" s="8" t="s">
        <v>413</v>
      </c>
      <c r="F144" s="9">
        <v>0</v>
      </c>
      <c r="G144" s="9">
        <v>0</v>
      </c>
      <c r="H144" s="9"/>
      <c r="I144" s="9"/>
      <c r="J144" s="9"/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f t="shared" si="2"/>
        <v>0</v>
      </c>
    </row>
    <row r="145" spans="1:18">
      <c r="A145" s="8" t="s">
        <v>333</v>
      </c>
      <c r="B145" s="8" t="s">
        <v>409</v>
      </c>
      <c r="C145" s="8">
        <v>8214060103</v>
      </c>
      <c r="D145" s="8" t="s">
        <v>414</v>
      </c>
      <c r="E145" s="8" t="s">
        <v>415</v>
      </c>
      <c r="F145" s="9">
        <v>0</v>
      </c>
      <c r="G145" s="9">
        <v>0</v>
      </c>
      <c r="H145" s="9"/>
      <c r="I145" s="9"/>
      <c r="J145" s="9"/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f t="shared" si="2"/>
        <v>0</v>
      </c>
    </row>
    <row r="146" spans="1:18">
      <c r="A146" s="8" t="s">
        <v>333</v>
      </c>
      <c r="B146" s="8" t="s">
        <v>409</v>
      </c>
      <c r="C146" s="8">
        <v>8214060104</v>
      </c>
      <c r="D146" s="8" t="s">
        <v>416</v>
      </c>
      <c r="E146" s="8" t="s">
        <v>417</v>
      </c>
      <c r="F146" s="9">
        <v>0</v>
      </c>
      <c r="G146" s="9">
        <v>0</v>
      </c>
      <c r="H146" s="9"/>
      <c r="I146" s="9"/>
      <c r="J146" s="9"/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f t="shared" si="2"/>
        <v>0</v>
      </c>
    </row>
    <row r="147" spans="1:18">
      <c r="A147" s="8" t="s">
        <v>333</v>
      </c>
      <c r="B147" s="8" t="s">
        <v>418</v>
      </c>
      <c r="C147" s="8">
        <v>8214070001</v>
      </c>
      <c r="D147" s="8" t="s">
        <v>419</v>
      </c>
      <c r="E147" s="8" t="s">
        <v>420</v>
      </c>
      <c r="F147" s="9">
        <v>0</v>
      </c>
      <c r="G147" s="9">
        <v>0</v>
      </c>
      <c r="H147" s="9"/>
      <c r="I147" s="9"/>
      <c r="J147" s="9"/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f t="shared" si="2"/>
        <v>0</v>
      </c>
    </row>
    <row r="148" spans="1:18">
      <c r="A148" s="8" t="s">
        <v>333</v>
      </c>
      <c r="B148" s="8" t="s">
        <v>421</v>
      </c>
      <c r="C148" s="8">
        <v>8214080001</v>
      </c>
      <c r="D148" s="8" t="s">
        <v>422</v>
      </c>
      <c r="E148" s="8" t="s">
        <v>423</v>
      </c>
      <c r="F148" s="9">
        <v>0</v>
      </c>
      <c r="G148" s="9">
        <v>0</v>
      </c>
      <c r="H148" s="9"/>
      <c r="I148" s="9"/>
      <c r="J148" s="9"/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f t="shared" si="2"/>
        <v>0</v>
      </c>
    </row>
    <row r="149" spans="1:18">
      <c r="A149" s="8" t="s">
        <v>333</v>
      </c>
      <c r="B149" s="8" t="s">
        <v>424</v>
      </c>
      <c r="C149" s="8">
        <v>8214100001</v>
      </c>
      <c r="D149" s="8" t="s">
        <v>425</v>
      </c>
      <c r="E149" s="8" t="s">
        <v>424</v>
      </c>
      <c r="F149" s="9">
        <v>0</v>
      </c>
      <c r="G149" s="9">
        <v>0</v>
      </c>
      <c r="H149" s="9"/>
      <c r="I149" s="9"/>
      <c r="J149" s="9"/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f t="shared" si="2"/>
        <v>0</v>
      </c>
    </row>
    <row r="150" spans="1:18">
      <c r="A150" s="8" t="s">
        <v>333</v>
      </c>
      <c r="B150" s="8" t="s">
        <v>426</v>
      </c>
      <c r="C150" s="8">
        <v>8214110001</v>
      </c>
      <c r="D150" s="8" t="s">
        <v>427</v>
      </c>
      <c r="E150" s="8" t="s">
        <v>428</v>
      </c>
      <c r="F150" s="9">
        <v>0</v>
      </c>
      <c r="G150" s="9">
        <v>0</v>
      </c>
      <c r="H150" s="9"/>
      <c r="I150" s="9"/>
      <c r="J150" s="9"/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f t="shared" si="2"/>
        <v>0</v>
      </c>
    </row>
    <row r="151" spans="1:18">
      <c r="A151" s="8" t="s">
        <v>333</v>
      </c>
      <c r="B151" s="8" t="s">
        <v>429</v>
      </c>
      <c r="C151" s="8">
        <v>8214010102</v>
      </c>
      <c r="D151" s="8" t="s">
        <v>430</v>
      </c>
      <c r="E151" s="8" t="s">
        <v>475</v>
      </c>
      <c r="F151" s="9">
        <v>0</v>
      </c>
      <c r="G151" s="9">
        <v>0</v>
      </c>
      <c r="H151" s="9"/>
      <c r="I151" s="9"/>
      <c r="J151" s="9"/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f t="shared" si="2"/>
        <v>0</v>
      </c>
    </row>
    <row r="152" spans="1:18">
      <c r="A152" s="8" t="s">
        <v>431</v>
      </c>
      <c r="B152" s="8" t="s">
        <v>432</v>
      </c>
      <c r="C152" s="8">
        <v>8214120001</v>
      </c>
      <c r="D152" s="8" t="s">
        <v>433</v>
      </c>
      <c r="E152" s="8" t="s">
        <v>476</v>
      </c>
      <c r="F152" s="9">
        <v>0</v>
      </c>
      <c r="G152" s="9">
        <v>0</v>
      </c>
      <c r="H152" s="9"/>
      <c r="I152" s="9"/>
      <c r="J152" s="9"/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f t="shared" si="2"/>
        <v>0</v>
      </c>
    </row>
    <row r="153" spans="1:18">
      <c r="A153" s="8" t="s">
        <v>431</v>
      </c>
      <c r="B153" s="8" t="s">
        <v>434</v>
      </c>
      <c r="C153" s="8">
        <v>8214120002</v>
      </c>
      <c r="D153" s="8" t="s">
        <v>435</v>
      </c>
      <c r="E153" s="8" t="s">
        <v>477</v>
      </c>
      <c r="F153" s="9">
        <v>0</v>
      </c>
      <c r="G153" s="9">
        <v>0</v>
      </c>
      <c r="H153" s="9"/>
      <c r="I153" s="9"/>
      <c r="J153" s="9"/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f t="shared" si="2"/>
        <v>0</v>
      </c>
    </row>
    <row r="154" spans="1:18">
      <c r="A154" s="8" t="s">
        <v>431</v>
      </c>
      <c r="B154" s="8" t="s">
        <v>436</v>
      </c>
      <c r="C154" s="8">
        <v>8214120003</v>
      </c>
      <c r="D154" s="8" t="s">
        <v>437</v>
      </c>
      <c r="E154" s="8" t="s">
        <v>438</v>
      </c>
      <c r="F154" s="9">
        <v>0</v>
      </c>
      <c r="G154" s="9">
        <v>0</v>
      </c>
      <c r="H154" s="9"/>
      <c r="I154" s="9"/>
      <c r="J154" s="9"/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f t="shared" si="2"/>
        <v>0</v>
      </c>
    </row>
    <row r="155" spans="1:18">
      <c r="A155" s="8" t="s">
        <v>38</v>
      </c>
      <c r="B155" s="8"/>
      <c r="C155" s="8">
        <v>8219010101</v>
      </c>
      <c r="D155" s="8" t="s">
        <v>38</v>
      </c>
      <c r="E155" s="8" t="s">
        <v>439</v>
      </c>
      <c r="F155" s="9">
        <v>0</v>
      </c>
      <c r="G155" s="9">
        <v>0</v>
      </c>
      <c r="H155" s="9"/>
      <c r="I155" s="9"/>
      <c r="J155" s="9"/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f t="shared" si="2"/>
        <v>0</v>
      </c>
    </row>
    <row r="156" spans="1:18">
      <c r="A156" s="8" t="s">
        <v>28</v>
      </c>
      <c r="B156" s="8"/>
      <c r="C156" s="8">
        <v>8220010105</v>
      </c>
      <c r="D156" s="8" t="s">
        <v>28</v>
      </c>
      <c r="E156" s="8" t="s">
        <v>478</v>
      </c>
      <c r="F156" s="9">
        <v>0</v>
      </c>
      <c r="G156" s="9">
        <v>0</v>
      </c>
      <c r="H156" s="9"/>
      <c r="I156" s="9"/>
      <c r="J156" s="9">
        <v>0.08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f t="shared" si="2"/>
        <v>0.08</v>
      </c>
    </row>
    <row r="157" spans="1:18">
      <c r="A157" s="8" t="s">
        <v>440</v>
      </c>
      <c r="B157" s="8"/>
      <c r="C157" s="14">
        <v>6901010100</v>
      </c>
      <c r="D157" s="8" t="s">
        <v>440</v>
      </c>
      <c r="E157" s="8"/>
      <c r="F157" s="9">
        <v>0</v>
      </c>
      <c r="G157" s="9">
        <v>0</v>
      </c>
      <c r="H157" s="9"/>
      <c r="I157" s="9"/>
      <c r="J157" s="9"/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f t="shared" si="2"/>
        <v>0</v>
      </c>
    </row>
    <row r="158" spans="1:18" s="13" customFormat="1" ht="18" customHeight="1">
      <c r="A158" s="10"/>
      <c r="B158" s="10"/>
      <c r="C158" s="204" t="s">
        <v>479</v>
      </c>
      <c r="D158" s="205"/>
      <c r="E158" s="10"/>
      <c r="F158" s="11">
        <f>SUM(F2:F157)</f>
        <v>19.002771000000003</v>
      </c>
      <c r="G158" s="11">
        <f t="shared" ref="G158:R158" si="3">SUM(G2:G157)</f>
        <v>13.475380000000001</v>
      </c>
      <c r="H158" s="11">
        <f>SUM(H2:H157)</f>
        <v>17.935509000000003</v>
      </c>
      <c r="I158" s="11">
        <f t="shared" si="3"/>
        <v>11.966050000000001</v>
      </c>
      <c r="J158" s="11">
        <f t="shared" si="3"/>
        <v>14.06</v>
      </c>
      <c r="K158" s="11">
        <f t="shared" si="3"/>
        <v>0</v>
      </c>
      <c r="L158" s="11">
        <f t="shared" si="3"/>
        <v>0</v>
      </c>
      <c r="M158" s="11">
        <f t="shared" si="3"/>
        <v>0</v>
      </c>
      <c r="N158" s="11">
        <f t="shared" si="3"/>
        <v>0</v>
      </c>
      <c r="O158" s="11">
        <f t="shared" si="3"/>
        <v>0</v>
      </c>
      <c r="P158" s="11">
        <f t="shared" si="3"/>
        <v>0</v>
      </c>
      <c r="Q158" s="11">
        <f t="shared" si="3"/>
        <v>0</v>
      </c>
      <c r="R158" s="11">
        <f t="shared" si="3"/>
        <v>76.439709999999991</v>
      </c>
    </row>
  </sheetData>
  <autoFilter ref="A1:R158"/>
  <mergeCells count="1">
    <mergeCell ref="C158:D158"/>
  </mergeCells>
  <phoneticPr fontId="2" type="noConversion"/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D14" sqref="D14"/>
    </sheetView>
  </sheetViews>
  <sheetFormatPr defaultRowHeight="13.5"/>
  <sheetData>
    <row r="2" spans="1:2">
      <c r="A2" s="172" t="s">
        <v>536</v>
      </c>
      <c r="B2" s="172"/>
    </row>
    <row r="3" spans="1:2">
      <c r="A3" s="172" t="s">
        <v>537</v>
      </c>
      <c r="B3" s="172">
        <v>1</v>
      </c>
    </row>
    <row r="4" spans="1:2">
      <c r="A4" s="172" t="s">
        <v>69</v>
      </c>
      <c r="B4" s="172">
        <v>2</v>
      </c>
    </row>
    <row r="5" spans="1:2">
      <c r="A5" s="172" t="s">
        <v>70</v>
      </c>
      <c r="B5" s="172">
        <v>3</v>
      </c>
    </row>
    <row r="6" spans="1:2">
      <c r="A6" s="172" t="s">
        <v>71</v>
      </c>
      <c r="B6" s="172">
        <v>4</v>
      </c>
    </row>
    <row r="7" spans="1:2">
      <c r="A7" s="172" t="s">
        <v>72</v>
      </c>
      <c r="B7" s="172">
        <v>5</v>
      </c>
    </row>
    <row r="8" spans="1:2">
      <c r="A8" s="172" t="s">
        <v>73</v>
      </c>
      <c r="B8" s="172">
        <v>6</v>
      </c>
    </row>
    <row r="9" spans="1:2">
      <c r="A9" s="172" t="s">
        <v>74</v>
      </c>
      <c r="B9" s="172">
        <v>7</v>
      </c>
    </row>
    <row r="10" spans="1:2">
      <c r="A10" s="172" t="s">
        <v>75</v>
      </c>
      <c r="B10" s="172">
        <v>8</v>
      </c>
    </row>
    <row r="11" spans="1:2">
      <c r="A11" s="172" t="s">
        <v>76</v>
      </c>
      <c r="B11" s="172">
        <v>9</v>
      </c>
    </row>
    <row r="12" spans="1:2">
      <c r="A12" s="172" t="s">
        <v>77</v>
      </c>
      <c r="B12" s="172">
        <v>10</v>
      </c>
    </row>
    <row r="13" spans="1:2">
      <c r="A13" s="172" t="s">
        <v>78</v>
      </c>
      <c r="B13" s="172">
        <v>11</v>
      </c>
    </row>
    <row r="14" spans="1:2">
      <c r="A14" s="172" t="s">
        <v>79</v>
      </c>
      <c r="B14" s="172">
        <v>12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1" workbookViewId="0">
      <selection activeCell="M54" sqref="M54"/>
    </sheetView>
  </sheetViews>
  <sheetFormatPr defaultRowHeight="13.5"/>
  <sheetData/>
  <phoneticPr fontId="2" type="noConversion"/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pane xSplit="1" ySplit="2" topLeftCell="B3" activePane="bottomRight" state="frozen"/>
      <selection activeCell="T23" sqref="T23"/>
      <selection pane="topRight" activeCell="T23" sqref="T23"/>
      <selection pane="bottomLeft" activeCell="T23" sqref="T23"/>
      <selection pane="bottomRight" activeCell="B7" sqref="B7:M7"/>
    </sheetView>
  </sheetViews>
  <sheetFormatPr defaultColWidth="8.625" defaultRowHeight="13.5" outlineLevelRow="1"/>
  <cols>
    <col min="1" max="1" width="31.625" style="131" customWidth="1"/>
    <col min="2" max="14" width="8.625" style="131" customWidth="1"/>
    <col min="15" max="16" width="8.625" style="131"/>
    <col min="17" max="17" width="0" style="131" hidden="1" customWidth="1"/>
    <col min="18" max="16384" width="8.625" style="131"/>
  </cols>
  <sheetData>
    <row r="1" spans="1:20" s="110" customFormat="1" ht="19.5" thickBot="1">
      <c r="A1" s="110" t="s">
        <v>522</v>
      </c>
      <c r="C1" s="111" t="s">
        <v>499</v>
      </c>
      <c r="R1" s="170"/>
    </row>
    <row r="2" spans="1:20" s="115" customFormat="1">
      <c r="A2" s="112" t="s">
        <v>500</v>
      </c>
      <c r="B2" s="113" t="s">
        <v>501</v>
      </c>
      <c r="C2" s="114" t="s">
        <v>69</v>
      </c>
      <c r="D2" s="114" t="s">
        <v>70</v>
      </c>
      <c r="E2" s="114" t="s">
        <v>71</v>
      </c>
      <c r="F2" s="114" t="s">
        <v>72</v>
      </c>
      <c r="G2" s="114" t="s">
        <v>73</v>
      </c>
      <c r="H2" s="114" t="s">
        <v>74</v>
      </c>
      <c r="I2" s="114" t="s">
        <v>75</v>
      </c>
      <c r="J2" s="114" t="s">
        <v>76</v>
      </c>
      <c r="K2" s="114" t="s">
        <v>77</v>
      </c>
      <c r="L2" s="114" t="s">
        <v>78</v>
      </c>
      <c r="M2" s="114" t="s">
        <v>79</v>
      </c>
      <c r="N2" s="114" t="s">
        <v>526</v>
      </c>
      <c r="R2" s="170" t="s">
        <v>550</v>
      </c>
    </row>
    <row r="3" spans="1:20" s="115" customFormat="1">
      <c r="A3" s="116" t="s">
        <v>497</v>
      </c>
      <c r="B3" s="117">
        <v>399.08690000000001</v>
      </c>
      <c r="C3" s="117">
        <v>894.53309999999999</v>
      </c>
      <c r="D3" s="117">
        <v>1078.9000000000001</v>
      </c>
      <c r="E3" s="117">
        <v>1030.29</v>
      </c>
      <c r="F3" s="117">
        <v>998.34</v>
      </c>
      <c r="G3" s="117">
        <v>1618.835</v>
      </c>
      <c r="H3" s="117">
        <f t="shared" ref="H3:M3" si="0">H4*1.62</f>
        <v>601.71428571428578</v>
      </c>
      <c r="I3" s="117">
        <f t="shared" si="0"/>
        <v>1342.2857142857144</v>
      </c>
      <c r="J3" s="117">
        <f t="shared" si="0"/>
        <v>1504.2857142857144</v>
      </c>
      <c r="K3" s="117">
        <f t="shared" si="0"/>
        <v>1342.2857142857144</v>
      </c>
      <c r="L3" s="117">
        <f t="shared" si="0"/>
        <v>1504.2857142857144</v>
      </c>
      <c r="M3" s="117">
        <f t="shared" si="0"/>
        <v>1504.2857142857144</v>
      </c>
      <c r="N3" s="119">
        <f>SUM(B3:M3)</f>
        <v>13819.127857142856</v>
      </c>
      <c r="P3" s="120"/>
      <c r="R3" s="120">
        <f ca="1">SUM(OFFSET(A3,0,1,1,LEFT($R$2,2*LEN($R$2)-LENB($R$2))))</f>
        <v>13819.127857142856</v>
      </c>
    </row>
    <row r="4" spans="1:20" s="115" customFormat="1">
      <c r="A4" s="116" t="s">
        <v>0</v>
      </c>
      <c r="B4" s="117">
        <f>B5/0.35</f>
        <v>207.75391582857139</v>
      </c>
      <c r="C4" s="117">
        <f t="shared" ref="C4:M4" si="1">C5/0.35</f>
        <v>547.40230337142862</v>
      </c>
      <c r="D4" s="117">
        <f t="shared" si="1"/>
        <v>666.01337002857144</v>
      </c>
      <c r="E4" s="117">
        <f t="shared" si="1"/>
        <v>627.50514285714291</v>
      </c>
      <c r="F4" s="117">
        <f t="shared" si="1"/>
        <v>568.84199999999998</v>
      </c>
      <c r="G4" s="117">
        <f t="shared" si="1"/>
        <v>869.24545848571427</v>
      </c>
      <c r="H4" s="117">
        <f t="shared" si="1"/>
        <v>371.42857142857144</v>
      </c>
      <c r="I4" s="117">
        <f t="shared" si="1"/>
        <v>828.57142857142867</v>
      </c>
      <c r="J4" s="117">
        <f t="shared" si="1"/>
        <v>928.57142857142867</v>
      </c>
      <c r="K4" s="117">
        <f t="shared" si="1"/>
        <v>828.57142857142867</v>
      </c>
      <c r="L4" s="117">
        <f t="shared" si="1"/>
        <v>928.57142857142867</v>
      </c>
      <c r="M4" s="117">
        <f t="shared" si="1"/>
        <v>928.57142857142867</v>
      </c>
      <c r="N4" s="119">
        <f t="shared" ref="N4:N46" si="2">SUM(B4:M4)</f>
        <v>8301.0479048571433</v>
      </c>
      <c r="P4" s="120"/>
      <c r="R4" s="120">
        <f t="shared" ref="R4:R8" ca="1" si="3">SUM(OFFSET(A4,0,1,1,LEFT($R$2,2*LEN($R$2)-LENB($R$2))))</f>
        <v>8301.0479048571433</v>
      </c>
    </row>
    <row r="5" spans="1:20" s="115" customFormat="1">
      <c r="A5" s="116" t="s">
        <v>503</v>
      </c>
      <c r="B5" s="117">
        <f>B6*1.13</f>
        <v>72.713870539999988</v>
      </c>
      <c r="C5" s="117">
        <f t="shared" ref="C5:M5" si="4">C6*1.13</f>
        <v>191.59080617999999</v>
      </c>
      <c r="D5" s="117">
        <f t="shared" si="4"/>
        <v>233.10467950999998</v>
      </c>
      <c r="E5" s="117">
        <f t="shared" si="4"/>
        <v>219.6268</v>
      </c>
      <c r="F5" s="117">
        <f t="shared" si="4"/>
        <v>199.09469999999999</v>
      </c>
      <c r="G5" s="117">
        <f t="shared" si="4"/>
        <v>304.23591046999996</v>
      </c>
      <c r="H5" s="117">
        <f t="shared" si="4"/>
        <v>130</v>
      </c>
      <c r="I5" s="117">
        <f t="shared" si="4"/>
        <v>290</v>
      </c>
      <c r="J5" s="117">
        <f t="shared" si="4"/>
        <v>325</v>
      </c>
      <c r="K5" s="117">
        <f t="shared" si="4"/>
        <v>290</v>
      </c>
      <c r="L5" s="117">
        <f t="shared" si="4"/>
        <v>325</v>
      </c>
      <c r="M5" s="117">
        <f t="shared" si="4"/>
        <v>325</v>
      </c>
      <c r="N5" s="119">
        <f t="shared" si="2"/>
        <v>2905.3667667</v>
      </c>
      <c r="P5" s="120"/>
      <c r="R5" s="120">
        <f t="shared" ca="1" si="3"/>
        <v>2905.3667667</v>
      </c>
    </row>
    <row r="6" spans="1:20" s="115" customFormat="1">
      <c r="A6" s="116" t="s">
        <v>528</v>
      </c>
      <c r="B6" s="117">
        <v>64.348557999999997</v>
      </c>
      <c r="C6" s="118">
        <v>169.549386</v>
      </c>
      <c r="D6" s="118">
        <v>206.287327</v>
      </c>
      <c r="E6" s="118">
        <v>194.36</v>
      </c>
      <c r="F6" s="118">
        <v>176.19</v>
      </c>
      <c r="G6" s="118">
        <v>269.235319</v>
      </c>
      <c r="H6" s="118">
        <v>115.04424778761063</v>
      </c>
      <c r="I6" s="118">
        <v>256.63716814159295</v>
      </c>
      <c r="J6" s="118">
        <v>287.61061946902657</v>
      </c>
      <c r="K6" s="118">
        <v>256.63716814159295</v>
      </c>
      <c r="L6" s="118">
        <v>287.61061946902657</v>
      </c>
      <c r="M6" s="118">
        <v>287.61061946902657</v>
      </c>
      <c r="N6" s="119">
        <f t="shared" si="2"/>
        <v>2571.1210324778758</v>
      </c>
      <c r="O6" s="120">
        <f>C6+D6</f>
        <v>375.83671300000003</v>
      </c>
      <c r="P6" s="120"/>
      <c r="R6" s="120">
        <f t="shared" ca="1" si="3"/>
        <v>2571.1210324778758</v>
      </c>
    </row>
    <row r="7" spans="1:20" s="115" customFormat="1">
      <c r="A7" s="116" t="s">
        <v>529</v>
      </c>
      <c r="B7" s="117">
        <v>14.589728000000001</v>
      </c>
      <c r="C7" s="117">
        <v>50.643022000000002</v>
      </c>
      <c r="D7" s="117">
        <v>63.569999999999993</v>
      </c>
      <c r="E7" s="117">
        <v>66.819999999999993</v>
      </c>
      <c r="F7" s="117">
        <v>50.620000000000005</v>
      </c>
      <c r="G7" s="117">
        <v>64.769809000000009</v>
      </c>
      <c r="H7" s="117">
        <f t="shared" ref="H7:M7" si="5">H6*0.29</f>
        <v>33.362831858407077</v>
      </c>
      <c r="I7" s="117">
        <f t="shared" si="5"/>
        <v>74.424778761061944</v>
      </c>
      <c r="J7" s="117">
        <f t="shared" si="5"/>
        <v>83.407079646017706</v>
      </c>
      <c r="K7" s="117">
        <f t="shared" si="5"/>
        <v>74.424778761061944</v>
      </c>
      <c r="L7" s="117">
        <f t="shared" si="5"/>
        <v>83.407079646017706</v>
      </c>
      <c r="M7" s="117">
        <f t="shared" si="5"/>
        <v>83.407079646017706</v>
      </c>
      <c r="N7" s="119">
        <f t="shared" si="2"/>
        <v>743.44618731858395</v>
      </c>
      <c r="O7" s="120">
        <f>C7+D7</f>
        <v>114.213022</v>
      </c>
      <c r="R7" s="120">
        <f t="shared" ca="1" si="3"/>
        <v>743.44618731858395</v>
      </c>
    </row>
    <row r="8" spans="1:20" s="115" customFormat="1">
      <c r="A8" s="121" t="s">
        <v>530</v>
      </c>
      <c r="B8" s="122">
        <f>B6-B7</f>
        <v>49.758829999999996</v>
      </c>
      <c r="C8" s="119">
        <f t="shared" ref="C8:O8" si="6">C6-C7</f>
        <v>118.906364</v>
      </c>
      <c r="D8" s="119">
        <f t="shared" si="6"/>
        <v>142.71732700000001</v>
      </c>
      <c r="E8" s="119">
        <f t="shared" si="6"/>
        <v>127.54000000000002</v>
      </c>
      <c r="F8" s="119">
        <f t="shared" si="6"/>
        <v>125.57</v>
      </c>
      <c r="G8" s="119">
        <f t="shared" si="6"/>
        <v>204.46550999999999</v>
      </c>
      <c r="H8" s="119">
        <f t="shared" si="6"/>
        <v>81.681415929203553</v>
      </c>
      <c r="I8" s="119">
        <f t="shared" si="6"/>
        <v>182.21238938053102</v>
      </c>
      <c r="J8" s="119">
        <f t="shared" si="6"/>
        <v>204.20353982300887</v>
      </c>
      <c r="K8" s="119">
        <f t="shared" si="6"/>
        <v>182.21238938053102</v>
      </c>
      <c r="L8" s="119">
        <f t="shared" si="6"/>
        <v>204.20353982300887</v>
      </c>
      <c r="M8" s="119">
        <f t="shared" si="6"/>
        <v>204.20353982300887</v>
      </c>
      <c r="N8" s="119">
        <f t="shared" si="2"/>
        <v>1827.6748451592923</v>
      </c>
      <c r="O8" s="119">
        <f t="shared" si="6"/>
        <v>261.62369100000001</v>
      </c>
      <c r="R8" s="120">
        <f t="shared" ca="1" si="3"/>
        <v>1827.6748451592923</v>
      </c>
    </row>
    <row r="9" spans="1:20" s="115" customFormat="1">
      <c r="A9" s="123" t="s">
        <v>531</v>
      </c>
      <c r="B9" s="124">
        <f>IFERROR(B8/B6,0)</f>
        <v>0.77327031943746116</v>
      </c>
      <c r="C9" s="125">
        <f t="shared" ref="C9:N9" si="7">IFERROR(C8/C6,0)</f>
        <v>0.70130813685164273</v>
      </c>
      <c r="D9" s="125">
        <f t="shared" si="7"/>
        <v>0.69183758922815464</v>
      </c>
      <c r="E9" s="125">
        <f t="shared" si="7"/>
        <v>0.65620498044865205</v>
      </c>
      <c r="F9" s="125">
        <f t="shared" si="7"/>
        <v>0.71269652080140755</v>
      </c>
      <c r="G9" s="125">
        <f t="shared" si="7"/>
        <v>0.75943048913281685</v>
      </c>
      <c r="H9" s="125">
        <f t="shared" si="7"/>
        <v>0.71000000000000008</v>
      </c>
      <c r="I9" s="125">
        <f t="shared" si="7"/>
        <v>0.71000000000000008</v>
      </c>
      <c r="J9" s="125">
        <f t="shared" si="7"/>
        <v>0.71</v>
      </c>
      <c r="K9" s="125">
        <f t="shared" si="7"/>
        <v>0.71000000000000008</v>
      </c>
      <c r="L9" s="125">
        <f t="shared" si="7"/>
        <v>0.71</v>
      </c>
      <c r="M9" s="125">
        <f t="shared" si="7"/>
        <v>0.71</v>
      </c>
      <c r="N9" s="125">
        <f t="shared" si="7"/>
        <v>0.71084745606001309</v>
      </c>
    </row>
    <row r="10" spans="1:20" s="115" customFormat="1">
      <c r="A10" s="121" t="s">
        <v>508</v>
      </c>
      <c r="B10" s="122">
        <f t="shared" ref="B10:M10" si="8">SUM(B11:B27)</f>
        <v>54.577967000000001</v>
      </c>
      <c r="C10" s="119">
        <f t="shared" si="8"/>
        <v>66.051072999999988</v>
      </c>
      <c r="D10" s="119">
        <f t="shared" si="8"/>
        <v>123.24736299999998</v>
      </c>
      <c r="E10" s="119">
        <f t="shared" si="8"/>
        <v>66.155924999999996</v>
      </c>
      <c r="F10" s="119">
        <f t="shared" si="8"/>
        <v>60.183513999999988</v>
      </c>
      <c r="G10" s="119">
        <f t="shared" si="8"/>
        <v>142.231289</v>
      </c>
      <c r="H10" s="119">
        <f t="shared" si="8"/>
        <v>80.011694241882793</v>
      </c>
      <c r="I10" s="119">
        <f t="shared" si="8"/>
        <v>134.70964178256094</v>
      </c>
      <c r="J10" s="119">
        <f t="shared" si="8"/>
        <v>143.03741148672566</v>
      </c>
      <c r="K10" s="119">
        <f t="shared" si="8"/>
        <v>130.80665562831857</v>
      </c>
      <c r="L10" s="119">
        <f t="shared" si="8"/>
        <v>123.86333704424783</v>
      </c>
      <c r="M10" s="119">
        <f t="shared" si="8"/>
        <v>160.70048801769914</v>
      </c>
      <c r="N10" s="119">
        <f t="shared" si="2"/>
        <v>1285.576359201435</v>
      </c>
      <c r="O10" s="120">
        <f>C10+D10</f>
        <v>189.29843599999998</v>
      </c>
      <c r="R10" s="119">
        <f t="shared" ref="R10:R46" ca="1" si="9">SUM(OFFSET(A10,0,1,1,LEFT($R$2,2*LEN($R$2)-LENB($R$2))))</f>
        <v>1285.576359201435</v>
      </c>
      <c r="T10" s="120"/>
    </row>
    <row r="11" spans="1:20" s="115" customFormat="1" outlineLevel="1">
      <c r="A11" s="126" t="s">
        <v>39</v>
      </c>
      <c r="B11" s="117">
        <v>13.233163000000001</v>
      </c>
      <c r="C11" s="118">
        <v>30.864579999999997</v>
      </c>
      <c r="D11" s="118">
        <v>26.426511999999999</v>
      </c>
      <c r="E11" s="118">
        <v>14.67</v>
      </c>
      <c r="F11" s="118">
        <v>21.49</v>
      </c>
      <c r="G11" s="118">
        <v>48.110092000000002</v>
      </c>
      <c r="H11" s="118">
        <v>16.673162608133598</v>
      </c>
      <c r="I11" s="118">
        <v>38.246693967087658</v>
      </c>
      <c r="J11" s="118">
        <v>43.897804393805316</v>
      </c>
      <c r="K11" s="118">
        <v>50.534972535398239</v>
      </c>
      <c r="L11" s="118">
        <v>44.937804393805315</v>
      </c>
      <c r="M11" s="118">
        <v>59.318335367256644</v>
      </c>
      <c r="N11" s="119">
        <f t="shared" si="2"/>
        <v>408.40312026548673</v>
      </c>
      <c r="R11" s="120">
        <f t="shared" ca="1" si="9"/>
        <v>408.40312026548673</v>
      </c>
    </row>
    <row r="12" spans="1:20" s="115" customFormat="1" outlineLevel="1">
      <c r="A12" s="126" t="s">
        <v>40</v>
      </c>
      <c r="B12" s="117">
        <v>0.16644</v>
      </c>
      <c r="C12" s="118">
        <v>0.21661999999999998</v>
      </c>
      <c r="D12" s="118">
        <v>0.78183999999999998</v>
      </c>
      <c r="E12" s="118">
        <v>0.74</v>
      </c>
      <c r="F12" s="118">
        <v>2.44</v>
      </c>
      <c r="G12" s="118">
        <v>6.5047199999999998</v>
      </c>
      <c r="H12" s="118">
        <v>12.087899338769057</v>
      </c>
      <c r="I12" s="118">
        <v>13.080739661230938</v>
      </c>
      <c r="J12" s="118">
        <v>13.6243195</v>
      </c>
      <c r="K12" s="118">
        <v>13.6243195</v>
      </c>
      <c r="L12" s="118">
        <v>12.584319499999999</v>
      </c>
      <c r="M12" s="118">
        <v>12.584319499999999</v>
      </c>
      <c r="N12" s="119">
        <f t="shared" si="2"/>
        <v>88.435536999999982</v>
      </c>
      <c r="R12" s="120">
        <f t="shared" ca="1" si="9"/>
        <v>88.435536999999982</v>
      </c>
    </row>
    <row r="13" spans="1:20" s="115" customFormat="1" outlineLevel="1">
      <c r="A13" s="126" t="s">
        <v>41</v>
      </c>
      <c r="B13" s="117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9">
        <f t="shared" si="2"/>
        <v>0</v>
      </c>
      <c r="R13" s="120">
        <f t="shared" ca="1" si="9"/>
        <v>0</v>
      </c>
    </row>
    <row r="14" spans="1:20" s="115" customFormat="1" outlineLevel="1">
      <c r="A14" s="126" t="s">
        <v>42</v>
      </c>
      <c r="B14" s="117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9">
        <f t="shared" si="2"/>
        <v>0</v>
      </c>
      <c r="R14" s="120">
        <f t="shared" ca="1" si="9"/>
        <v>0</v>
      </c>
    </row>
    <row r="15" spans="1:20" s="115" customFormat="1" outlineLevel="1">
      <c r="A15" s="126" t="s">
        <v>43</v>
      </c>
      <c r="B15" s="117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9">
        <f t="shared" si="2"/>
        <v>0</v>
      </c>
      <c r="R15" s="120">
        <f t="shared" ca="1" si="9"/>
        <v>0</v>
      </c>
    </row>
    <row r="16" spans="1:20" s="115" customFormat="1" outlineLevel="1">
      <c r="A16" s="126" t="s">
        <v>44</v>
      </c>
      <c r="B16" s="117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9">
        <f t="shared" si="2"/>
        <v>0</v>
      </c>
      <c r="R16" s="120">
        <f t="shared" ca="1" si="9"/>
        <v>0</v>
      </c>
    </row>
    <row r="17" spans="1:18" s="115" customFormat="1" outlineLevel="1">
      <c r="A17" s="126" t="s">
        <v>45</v>
      </c>
      <c r="B17" s="117"/>
      <c r="C17" s="118"/>
      <c r="D17" s="118"/>
      <c r="E17" s="118"/>
      <c r="F17" s="118"/>
      <c r="G17" s="118">
        <v>18.867923999999999</v>
      </c>
      <c r="H17" s="118"/>
      <c r="I17" s="118">
        <v>27.667923999999996</v>
      </c>
      <c r="J17" s="118">
        <v>23.667923999999999</v>
      </c>
      <c r="K17" s="118">
        <v>4.8000000000000007</v>
      </c>
      <c r="L17" s="118"/>
      <c r="M17" s="118"/>
      <c r="N17" s="119">
        <f t="shared" si="2"/>
        <v>75.003771999999984</v>
      </c>
      <c r="R17" s="120">
        <f t="shared" ca="1" si="9"/>
        <v>75.003771999999984</v>
      </c>
    </row>
    <row r="18" spans="1:18" s="115" customFormat="1" outlineLevel="1">
      <c r="A18" s="126" t="s">
        <v>46</v>
      </c>
      <c r="B18" s="117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9">
        <f t="shared" si="2"/>
        <v>0</v>
      </c>
      <c r="R18" s="120">
        <f t="shared" ca="1" si="9"/>
        <v>0</v>
      </c>
    </row>
    <row r="19" spans="1:18" s="115" customFormat="1" outlineLevel="1">
      <c r="A19" s="126" t="s">
        <v>47</v>
      </c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>
        <f t="shared" si="2"/>
        <v>0</v>
      </c>
      <c r="R19" s="120">
        <f t="shared" ca="1" si="9"/>
        <v>0</v>
      </c>
    </row>
    <row r="20" spans="1:18" s="115" customFormat="1" outlineLevel="1">
      <c r="A20" s="126" t="s">
        <v>48</v>
      </c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9">
        <f t="shared" si="2"/>
        <v>0</v>
      </c>
      <c r="R20" s="120">
        <f t="shared" ca="1" si="9"/>
        <v>0</v>
      </c>
    </row>
    <row r="21" spans="1:18" s="115" customFormat="1" outlineLevel="1">
      <c r="A21" s="126" t="s">
        <v>49</v>
      </c>
      <c r="B21" s="117">
        <v>14.392827000000004</v>
      </c>
      <c r="C21" s="118">
        <v>29.134592000000001</v>
      </c>
      <c r="D21" s="118">
        <v>85.712372999999985</v>
      </c>
      <c r="E21" s="118">
        <v>41.137121999999998</v>
      </c>
      <c r="F21" s="118">
        <v>16.473064999999998</v>
      </c>
      <c r="G21" s="118">
        <v>44.388343999999996</v>
      </c>
      <c r="H21" s="118">
        <v>27.476536999999997</v>
      </c>
      <c r="I21" s="118">
        <v>27.476536999999997</v>
      </c>
      <c r="J21" s="118">
        <v>33.470399999999998</v>
      </c>
      <c r="K21" s="118">
        <v>33.470399999999998</v>
      </c>
      <c r="L21" s="118">
        <v>38.470400000000005</v>
      </c>
      <c r="M21" s="118">
        <v>60.470400000000005</v>
      </c>
      <c r="N21" s="119">
        <f t="shared" si="2"/>
        <v>452.07299699999993</v>
      </c>
      <c r="R21" s="120">
        <f t="shared" ca="1" si="9"/>
        <v>452.07299699999993</v>
      </c>
    </row>
    <row r="22" spans="1:18" s="115" customFormat="1" outlineLevel="1">
      <c r="A22" s="126" t="s">
        <v>50</v>
      </c>
      <c r="B22" s="117">
        <v>-9.9999999947613104E-7</v>
      </c>
      <c r="C22" s="118">
        <v>2.0513E-2</v>
      </c>
      <c r="D22" s="118">
        <v>0</v>
      </c>
      <c r="E22" s="118">
        <v>0</v>
      </c>
      <c r="F22" s="118">
        <v>9.9120000000000014E-2</v>
      </c>
      <c r="G22" s="118">
        <v>0.45661999999999997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0.45661999999999997</v>
      </c>
      <c r="N22" s="119">
        <f t="shared" si="2"/>
        <v>1.0328720000000005</v>
      </c>
      <c r="R22" s="120">
        <f t="shared" ca="1" si="9"/>
        <v>1.0328720000000005</v>
      </c>
    </row>
    <row r="23" spans="1:18" s="115" customFormat="1" outlineLevel="1">
      <c r="A23" s="126" t="s">
        <v>51</v>
      </c>
      <c r="B23" s="117">
        <v>7.0746280000000006</v>
      </c>
      <c r="C23" s="118">
        <v>1.1720519999999994</v>
      </c>
      <c r="D23" s="118">
        <v>5.4895140000000016</v>
      </c>
      <c r="E23" s="118">
        <v>4.0631599999999999</v>
      </c>
      <c r="F23" s="118">
        <v>4.9463679999999997</v>
      </c>
      <c r="G23" s="118">
        <v>5.6891099999999994</v>
      </c>
      <c r="H23" s="118">
        <v>6.3540971753585804</v>
      </c>
      <c r="I23" s="118">
        <v>7.5</v>
      </c>
      <c r="J23" s="118">
        <v>9.6681415929203496</v>
      </c>
      <c r="K23" s="118">
        <v>9.6681415929203496</v>
      </c>
      <c r="L23" s="118">
        <v>10.1769911504425</v>
      </c>
      <c r="M23" s="118">
        <v>10.1769911504425</v>
      </c>
      <c r="N23" s="119">
        <f t="shared" si="2"/>
        <v>81.979194662084282</v>
      </c>
      <c r="R23" s="120">
        <f t="shared" ca="1" si="9"/>
        <v>81.979194662084282</v>
      </c>
    </row>
    <row r="24" spans="1:18" s="115" customFormat="1" outlineLevel="1">
      <c r="A24" s="126" t="s">
        <v>52</v>
      </c>
      <c r="B24" s="117">
        <v>5.1916000000000004E-2</v>
      </c>
      <c r="C24" s="118">
        <v>5.1916000000000004E-2</v>
      </c>
      <c r="D24" s="118">
        <v>5.1916999999999991E-2</v>
      </c>
      <c r="E24" s="118">
        <v>5.1915000000000003E-2</v>
      </c>
      <c r="F24" s="118">
        <v>5.1916000000000004E-2</v>
      </c>
      <c r="G24" s="118">
        <v>3.3646999999999996E-2</v>
      </c>
      <c r="H24" s="118">
        <v>2.8294192651104461E-2</v>
      </c>
      <c r="I24" s="118">
        <v>3.3424999999999996E-2</v>
      </c>
      <c r="J24" s="118">
        <v>3.2822000000000004E-2</v>
      </c>
      <c r="K24" s="118">
        <v>3.2822000000000004E-2</v>
      </c>
      <c r="L24" s="118">
        <v>3.2822000000000004E-2</v>
      </c>
      <c r="M24" s="118">
        <v>3.2822000000000004E-2</v>
      </c>
      <c r="N24" s="119">
        <f t="shared" si="2"/>
        <v>0.48623419265110451</v>
      </c>
      <c r="R24" s="120">
        <f t="shared" ca="1" si="9"/>
        <v>0.48623419265110451</v>
      </c>
    </row>
    <row r="25" spans="1:18" s="115" customFormat="1" outlineLevel="1">
      <c r="A25" s="126" t="s">
        <v>53</v>
      </c>
      <c r="B25" s="117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9">
        <f t="shared" si="2"/>
        <v>0</v>
      </c>
      <c r="R25" s="120">
        <f t="shared" ca="1" si="9"/>
        <v>0</v>
      </c>
    </row>
    <row r="26" spans="1:18" s="115" customFormat="1" outlineLevel="1">
      <c r="A26" s="126" t="s">
        <v>54</v>
      </c>
      <c r="B26" s="117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9">
        <f t="shared" si="2"/>
        <v>0</v>
      </c>
      <c r="R26" s="120">
        <f t="shared" ca="1" si="9"/>
        <v>0</v>
      </c>
    </row>
    <row r="27" spans="1:18" s="115" customFormat="1" outlineLevel="1">
      <c r="A27" s="126" t="s">
        <v>55</v>
      </c>
      <c r="B27" s="117">
        <v>19.658994000000003</v>
      </c>
      <c r="C27" s="118">
        <v>4.5907999999999998</v>
      </c>
      <c r="D27" s="118">
        <v>4.785206999999998</v>
      </c>
      <c r="E27" s="118">
        <v>5.4937279999999991</v>
      </c>
      <c r="F27" s="118">
        <v>14.683044999999996</v>
      </c>
      <c r="G27" s="118">
        <v>18.180832000000006</v>
      </c>
      <c r="H27" s="118">
        <v>17.39170392697045</v>
      </c>
      <c r="I27" s="118">
        <v>20.704322154242348</v>
      </c>
      <c r="J27" s="118">
        <v>18.675999999999998</v>
      </c>
      <c r="K27" s="118">
        <v>18.675999999999998</v>
      </c>
      <c r="L27" s="118">
        <v>17.661000000000001</v>
      </c>
      <c r="M27" s="118">
        <v>17.661000000000001</v>
      </c>
      <c r="N27" s="119">
        <f t="shared" si="2"/>
        <v>178.16263208121279</v>
      </c>
      <c r="R27" s="120">
        <f t="shared" ca="1" si="9"/>
        <v>178.16263208121279</v>
      </c>
    </row>
    <row r="28" spans="1:18" s="115" customFormat="1">
      <c r="A28" s="127" t="s">
        <v>9</v>
      </c>
      <c r="B28" s="122">
        <f t="shared" ref="B28:O28" si="10">B8-B10</f>
        <v>-4.8191370000000049</v>
      </c>
      <c r="C28" s="119">
        <f t="shared" si="10"/>
        <v>52.855291000000008</v>
      </c>
      <c r="D28" s="119">
        <f t="shared" si="10"/>
        <v>19.469964000000033</v>
      </c>
      <c r="E28" s="119">
        <f t="shared" si="10"/>
        <v>61.384075000000024</v>
      </c>
      <c r="F28" s="119">
        <f t="shared" si="10"/>
        <v>65.386486000000005</v>
      </c>
      <c r="G28" s="119">
        <f t="shared" si="10"/>
        <v>62.234220999999991</v>
      </c>
      <c r="H28" s="119">
        <f t="shared" si="10"/>
        <v>1.6697216873207594</v>
      </c>
      <c r="I28" s="119">
        <f t="shared" si="10"/>
        <v>47.502747597970085</v>
      </c>
      <c r="J28" s="119">
        <f t="shared" si="10"/>
        <v>61.166128336283208</v>
      </c>
      <c r="K28" s="119">
        <f t="shared" si="10"/>
        <v>51.405733752212456</v>
      </c>
      <c r="L28" s="119">
        <f t="shared" si="10"/>
        <v>80.340202778761039</v>
      </c>
      <c r="M28" s="119">
        <f t="shared" si="10"/>
        <v>43.503051805309724</v>
      </c>
      <c r="N28" s="119">
        <f t="shared" si="2"/>
        <v>542.09848595785729</v>
      </c>
      <c r="O28" s="119">
        <f t="shared" si="10"/>
        <v>72.325255000000027</v>
      </c>
      <c r="R28" s="119">
        <f t="shared" ca="1" si="9"/>
        <v>542.09848595785729</v>
      </c>
    </row>
    <row r="29" spans="1:18" s="115" customFormat="1">
      <c r="A29" s="121" t="s">
        <v>509</v>
      </c>
      <c r="B29" s="122">
        <f>SUM(B30:B45)</f>
        <v>19.656135000000003</v>
      </c>
      <c r="C29" s="119">
        <f t="shared" ref="C29:M29" si="11">SUM(C30:C45)</f>
        <v>13.475380000000001</v>
      </c>
      <c r="D29" s="119">
        <f t="shared" si="11"/>
        <v>13.574712</v>
      </c>
      <c r="E29" s="119">
        <f t="shared" si="11"/>
        <v>15.01469</v>
      </c>
      <c r="F29" s="119">
        <f t="shared" si="11"/>
        <v>14.173464000000001</v>
      </c>
      <c r="G29" s="119">
        <f t="shared" si="11"/>
        <v>14.261011</v>
      </c>
      <c r="H29" s="119">
        <f t="shared" si="11"/>
        <v>13.874433</v>
      </c>
      <c r="I29" s="119">
        <f t="shared" si="11"/>
        <v>14.744694702778521</v>
      </c>
      <c r="J29" s="119">
        <f t="shared" si="11"/>
        <v>17.5396</v>
      </c>
      <c r="K29" s="119">
        <f t="shared" si="11"/>
        <v>16.0396</v>
      </c>
      <c r="L29" s="119">
        <f t="shared" si="11"/>
        <v>24.028400000000001</v>
      </c>
      <c r="M29" s="119">
        <f t="shared" si="11"/>
        <v>24.371780000000001</v>
      </c>
      <c r="N29" s="119">
        <f t="shared" si="2"/>
        <v>200.75389970277854</v>
      </c>
      <c r="O29" s="120">
        <f>C29+D29</f>
        <v>27.050091999999999</v>
      </c>
      <c r="R29" s="119">
        <f t="shared" ca="1" si="9"/>
        <v>200.75389970277854</v>
      </c>
    </row>
    <row r="30" spans="1:18" s="115" customFormat="1" outlineLevel="1">
      <c r="A30" s="126" t="s">
        <v>56</v>
      </c>
      <c r="B30" s="117">
        <v>4.559717</v>
      </c>
      <c r="C30" s="118">
        <v>0</v>
      </c>
      <c r="D30" s="118">
        <v>0</v>
      </c>
      <c r="E30" s="118">
        <v>0</v>
      </c>
      <c r="F30" s="118">
        <v>0</v>
      </c>
      <c r="G30" s="118">
        <v>4</v>
      </c>
      <c r="H30" s="118">
        <v>0.06</v>
      </c>
      <c r="I30" s="118">
        <v>1.5</v>
      </c>
      <c r="J30" s="118">
        <v>0.7</v>
      </c>
      <c r="K30" s="118">
        <v>0.7</v>
      </c>
      <c r="L30" s="118">
        <v>0.7</v>
      </c>
      <c r="M30" s="118">
        <v>0.7</v>
      </c>
      <c r="N30" s="119">
        <f t="shared" si="2"/>
        <v>12.919716999999997</v>
      </c>
      <c r="R30" s="120">
        <f t="shared" ca="1" si="9"/>
        <v>12.919716999999997</v>
      </c>
    </row>
    <row r="31" spans="1:18" s="115" customFormat="1" outlineLevel="1">
      <c r="A31" s="126" t="s">
        <v>57</v>
      </c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9">
        <f t="shared" si="2"/>
        <v>0</v>
      </c>
      <c r="R31" s="120">
        <f t="shared" ca="1" si="9"/>
        <v>0</v>
      </c>
    </row>
    <row r="32" spans="1:18" s="115" customFormat="1" outlineLevel="1">
      <c r="A32" s="126" t="s">
        <v>58</v>
      </c>
      <c r="B32" s="117">
        <v>0</v>
      </c>
      <c r="C32" s="118">
        <v>0</v>
      </c>
      <c r="D32" s="118">
        <v>0</v>
      </c>
      <c r="E32" s="118">
        <v>0</v>
      </c>
      <c r="F32" s="118">
        <v>0</v>
      </c>
      <c r="G32" s="118">
        <v>0</v>
      </c>
      <c r="H32" s="118">
        <v>0</v>
      </c>
      <c r="I32" s="118">
        <v>0</v>
      </c>
      <c r="J32" s="118">
        <v>5</v>
      </c>
      <c r="K32" s="118">
        <v>2.5</v>
      </c>
      <c r="L32" s="118">
        <v>2.5</v>
      </c>
      <c r="M32" s="118">
        <v>2.5</v>
      </c>
      <c r="N32" s="119">
        <f t="shared" si="2"/>
        <v>12.5</v>
      </c>
      <c r="R32" s="120">
        <f t="shared" ca="1" si="9"/>
        <v>12.5</v>
      </c>
    </row>
    <row r="33" spans="1:18" s="115" customFormat="1" outlineLevel="1">
      <c r="A33" s="126" t="s">
        <v>42</v>
      </c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>
        <f t="shared" si="2"/>
        <v>0</v>
      </c>
      <c r="R33" s="120">
        <f t="shared" ca="1" si="9"/>
        <v>0</v>
      </c>
    </row>
    <row r="34" spans="1:18" s="115" customFormat="1" outlineLevel="1">
      <c r="A34" s="126" t="s">
        <v>59</v>
      </c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9">
        <f t="shared" si="2"/>
        <v>0</v>
      </c>
      <c r="R34" s="120">
        <f t="shared" ca="1" si="9"/>
        <v>0</v>
      </c>
    </row>
    <row r="35" spans="1:18" s="115" customFormat="1" outlineLevel="1">
      <c r="A35" s="126" t="s">
        <v>60</v>
      </c>
      <c r="B35" s="117">
        <v>0</v>
      </c>
      <c r="C35" s="118">
        <v>0</v>
      </c>
      <c r="D35" s="118">
        <v>0</v>
      </c>
      <c r="E35" s="118">
        <v>0</v>
      </c>
      <c r="F35" s="118">
        <v>7.5743000000000005E-2</v>
      </c>
      <c r="G35" s="118">
        <v>0</v>
      </c>
      <c r="H35" s="118">
        <v>0</v>
      </c>
      <c r="I35" s="118">
        <v>0</v>
      </c>
      <c r="J35" s="118">
        <v>0</v>
      </c>
      <c r="K35" s="118">
        <v>0</v>
      </c>
      <c r="L35" s="118">
        <v>0</v>
      </c>
      <c r="M35" s="118">
        <v>0</v>
      </c>
      <c r="N35" s="119">
        <f t="shared" si="2"/>
        <v>7.5743000000000005E-2</v>
      </c>
      <c r="R35" s="120">
        <f t="shared" ca="1" si="9"/>
        <v>7.5743000000000005E-2</v>
      </c>
    </row>
    <row r="36" spans="1:18" s="115" customFormat="1" outlineLevel="1">
      <c r="A36" s="126" t="s">
        <v>61</v>
      </c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9">
        <f t="shared" si="2"/>
        <v>0</v>
      </c>
      <c r="R36" s="120">
        <f t="shared" ca="1" si="9"/>
        <v>0</v>
      </c>
    </row>
    <row r="37" spans="1:18" s="115" customFormat="1" outlineLevel="1">
      <c r="A37" s="126" t="s">
        <v>62</v>
      </c>
      <c r="B37" s="117">
        <v>0</v>
      </c>
      <c r="C37" s="118">
        <v>0</v>
      </c>
      <c r="D37" s="118">
        <v>0</v>
      </c>
      <c r="E37" s="118">
        <v>4.0800000000000003E-2</v>
      </c>
      <c r="F37" s="118">
        <v>4.6379999999999998E-2</v>
      </c>
      <c r="G37" s="118">
        <v>0</v>
      </c>
      <c r="H37" s="118">
        <v>0</v>
      </c>
      <c r="I37" s="118">
        <v>0</v>
      </c>
      <c r="J37" s="118">
        <v>0</v>
      </c>
      <c r="K37" s="118">
        <v>1</v>
      </c>
      <c r="L37" s="118">
        <v>0</v>
      </c>
      <c r="M37" s="118">
        <v>0</v>
      </c>
      <c r="N37" s="119">
        <f t="shared" si="2"/>
        <v>1.08718</v>
      </c>
      <c r="R37" s="120">
        <f t="shared" ca="1" si="9"/>
        <v>1.08718</v>
      </c>
    </row>
    <row r="38" spans="1:18" s="115" customFormat="1" outlineLevel="1">
      <c r="A38" s="126" t="s">
        <v>63</v>
      </c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9">
        <f t="shared" si="2"/>
        <v>0</v>
      </c>
      <c r="R38" s="120">
        <f t="shared" ca="1" si="9"/>
        <v>0</v>
      </c>
    </row>
    <row r="39" spans="1:18" s="115" customFormat="1" outlineLevel="1">
      <c r="A39" s="126" t="s">
        <v>64</v>
      </c>
      <c r="B39" s="117">
        <v>0</v>
      </c>
      <c r="C39" s="118">
        <v>0</v>
      </c>
      <c r="D39" s="118">
        <v>0</v>
      </c>
      <c r="E39" s="118">
        <v>0</v>
      </c>
      <c r="F39" s="118">
        <v>0</v>
      </c>
      <c r="G39" s="118">
        <v>0.57522099999999998</v>
      </c>
      <c r="H39" s="118">
        <v>0</v>
      </c>
      <c r="I39" s="118">
        <v>0</v>
      </c>
      <c r="J39" s="118">
        <v>0</v>
      </c>
      <c r="K39" s="118">
        <v>0</v>
      </c>
      <c r="L39" s="118">
        <v>0</v>
      </c>
      <c r="M39" s="118">
        <v>0</v>
      </c>
      <c r="N39" s="119">
        <f t="shared" si="2"/>
        <v>0.57522099999999998</v>
      </c>
      <c r="R39" s="120">
        <f t="shared" ca="1" si="9"/>
        <v>0.57522099999999998</v>
      </c>
    </row>
    <row r="40" spans="1:18" s="115" customFormat="1" outlineLevel="1">
      <c r="A40" s="126" t="s">
        <v>65</v>
      </c>
      <c r="B40" s="117">
        <v>14.230464</v>
      </c>
      <c r="C40" s="118">
        <v>13.380632</v>
      </c>
      <c r="D40" s="118">
        <v>11.417012</v>
      </c>
      <c r="E40" s="118">
        <v>14.760168999999999</v>
      </c>
      <c r="F40" s="118">
        <v>13.446929000000001</v>
      </c>
      <c r="G40" s="118">
        <v>8.7752820000000007</v>
      </c>
      <c r="H40" s="118">
        <v>13.203087</v>
      </c>
      <c r="I40" s="118">
        <v>10</v>
      </c>
      <c r="J40" s="118">
        <v>10.569599999999999</v>
      </c>
      <c r="K40" s="118">
        <v>10.569599999999999</v>
      </c>
      <c r="L40" s="118">
        <v>17.558400000000002</v>
      </c>
      <c r="M40" s="118">
        <v>17.558400000000002</v>
      </c>
      <c r="N40" s="119">
        <f t="shared" si="2"/>
        <v>155.46957499999999</v>
      </c>
      <c r="R40" s="120">
        <f t="shared" ca="1" si="9"/>
        <v>155.46957499999999</v>
      </c>
    </row>
    <row r="41" spans="1:18" s="115" customFormat="1" outlineLevel="1">
      <c r="A41" s="126" t="s">
        <v>50</v>
      </c>
      <c r="B41" s="117">
        <v>0.40754699999999999</v>
      </c>
      <c r="C41" s="118">
        <v>0</v>
      </c>
      <c r="D41" s="118">
        <v>0</v>
      </c>
      <c r="E41" s="118">
        <v>0</v>
      </c>
      <c r="F41" s="118">
        <v>0</v>
      </c>
      <c r="G41" s="118">
        <v>0.38867299999999999</v>
      </c>
      <c r="H41" s="118">
        <v>0</v>
      </c>
      <c r="I41" s="118">
        <v>2.0788950346072999</v>
      </c>
      <c r="J41" s="118">
        <v>0</v>
      </c>
      <c r="K41" s="118">
        <v>0</v>
      </c>
      <c r="L41" s="118">
        <v>0</v>
      </c>
      <c r="M41" s="118">
        <v>0.34338000000000002</v>
      </c>
      <c r="N41" s="119">
        <f t="shared" si="2"/>
        <v>3.2184950346073</v>
      </c>
      <c r="R41" s="120">
        <f t="shared" ca="1" si="9"/>
        <v>3.2184950346073</v>
      </c>
    </row>
    <row r="42" spans="1:18" s="115" customFormat="1" outlineLevel="1">
      <c r="A42" s="126" t="s">
        <v>51</v>
      </c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9">
        <f t="shared" si="2"/>
        <v>0</v>
      </c>
      <c r="R42" s="120">
        <f t="shared" ca="1" si="9"/>
        <v>0</v>
      </c>
    </row>
    <row r="43" spans="1:18" s="115" customFormat="1" outlineLevel="1">
      <c r="A43" s="126" t="s">
        <v>52</v>
      </c>
      <c r="B43" s="117">
        <v>1.9397000000000001E-2</v>
      </c>
      <c r="C43" s="118">
        <v>1.9396E-2</v>
      </c>
      <c r="D43" s="118">
        <v>1.9397000000000001E-2</v>
      </c>
      <c r="E43" s="118">
        <v>1.9396E-2</v>
      </c>
      <c r="F43" s="118">
        <v>1.9397000000000001E-2</v>
      </c>
      <c r="G43" s="118">
        <v>1.9396E-2</v>
      </c>
      <c r="H43" s="118">
        <v>1.9397000000000001E-2</v>
      </c>
      <c r="I43" s="118">
        <v>0.02</v>
      </c>
      <c r="J43" s="118">
        <v>0.02</v>
      </c>
      <c r="K43" s="118">
        <v>0.02</v>
      </c>
      <c r="L43" s="118">
        <v>0.02</v>
      </c>
      <c r="M43" s="118">
        <v>0.02</v>
      </c>
      <c r="N43" s="119">
        <f t="shared" si="2"/>
        <v>0.23577599999999996</v>
      </c>
      <c r="R43" s="120">
        <f t="shared" ca="1" si="9"/>
        <v>0.23577599999999996</v>
      </c>
    </row>
    <row r="44" spans="1:18" s="115" customFormat="1" outlineLevel="1">
      <c r="A44" s="126" t="s">
        <v>53</v>
      </c>
      <c r="B44" s="117">
        <v>0</v>
      </c>
      <c r="C44" s="118">
        <v>0</v>
      </c>
      <c r="D44" s="118">
        <v>1.9890099999999999</v>
      </c>
      <c r="E44" s="118">
        <v>0</v>
      </c>
      <c r="F44" s="118">
        <v>9.2424999999999993E-2</v>
      </c>
      <c r="G44" s="118">
        <v>4.7759000000000003E-2</v>
      </c>
      <c r="H44" s="118">
        <v>8.4697999999999996E-2</v>
      </c>
      <c r="I44" s="118">
        <v>0.51972375865182596</v>
      </c>
      <c r="J44" s="118">
        <v>0</v>
      </c>
      <c r="K44" s="118">
        <v>0</v>
      </c>
      <c r="L44" s="118">
        <v>0</v>
      </c>
      <c r="M44" s="118">
        <v>0</v>
      </c>
      <c r="N44" s="119">
        <f t="shared" si="2"/>
        <v>2.7336157586518262</v>
      </c>
      <c r="R44" s="120">
        <f t="shared" ca="1" si="9"/>
        <v>2.7336157586518262</v>
      </c>
    </row>
    <row r="45" spans="1:18" s="115" customFormat="1" outlineLevel="1">
      <c r="A45" s="126" t="s">
        <v>66</v>
      </c>
      <c r="B45" s="117">
        <v>0.43901000000000001</v>
      </c>
      <c r="C45" s="118">
        <v>7.5352000000000002E-2</v>
      </c>
      <c r="D45" s="118">
        <v>0.14929299999999998</v>
      </c>
      <c r="E45" s="118">
        <v>0.19432500000000003</v>
      </c>
      <c r="F45" s="118">
        <v>0.49259000000000003</v>
      </c>
      <c r="G45" s="118">
        <v>0.45468000000000003</v>
      </c>
      <c r="H45" s="118">
        <v>0.50725100000000001</v>
      </c>
      <c r="I45" s="118">
        <v>0.62607590951939429</v>
      </c>
      <c r="J45" s="118">
        <v>1.2500000000000002</v>
      </c>
      <c r="K45" s="118">
        <v>1.2500000000000002</v>
      </c>
      <c r="L45" s="118">
        <v>3.25</v>
      </c>
      <c r="M45" s="118">
        <v>3.25</v>
      </c>
      <c r="N45" s="119">
        <f t="shared" si="2"/>
        <v>11.938576909519394</v>
      </c>
      <c r="R45" s="120">
        <f t="shared" ca="1" si="9"/>
        <v>11.938576909519394</v>
      </c>
    </row>
    <row r="46" spans="1:18" ht="14.25" thickBot="1">
      <c r="A46" s="128" t="s">
        <v>1</v>
      </c>
      <c r="B46" s="129">
        <f>B28-B29</f>
        <v>-24.475272000000007</v>
      </c>
      <c r="C46" s="130">
        <f t="shared" ref="C46:O46" si="12">C28-C29</f>
        <v>39.379911000000007</v>
      </c>
      <c r="D46" s="130">
        <f t="shared" si="12"/>
        <v>5.895252000000033</v>
      </c>
      <c r="E46" s="130">
        <f t="shared" si="12"/>
        <v>46.369385000000023</v>
      </c>
      <c r="F46" s="130">
        <f t="shared" si="12"/>
        <v>51.213022000000002</v>
      </c>
      <c r="G46" s="130">
        <f t="shared" si="12"/>
        <v>47.973209999999995</v>
      </c>
      <c r="H46" s="130">
        <f t="shared" si="12"/>
        <v>-12.20471131267924</v>
      </c>
      <c r="I46" s="130">
        <f t="shared" si="12"/>
        <v>32.758052895191568</v>
      </c>
      <c r="J46" s="130">
        <f t="shared" si="12"/>
        <v>43.626528336283208</v>
      </c>
      <c r="K46" s="130">
        <f t="shared" si="12"/>
        <v>35.366133752212455</v>
      </c>
      <c r="L46" s="130">
        <f t="shared" si="12"/>
        <v>56.311802778761034</v>
      </c>
      <c r="M46" s="130">
        <f t="shared" si="12"/>
        <v>19.131271805309723</v>
      </c>
      <c r="N46" s="130">
        <f t="shared" si="2"/>
        <v>341.34458625507875</v>
      </c>
      <c r="O46" s="130">
        <f t="shared" si="12"/>
        <v>45.275163000000028</v>
      </c>
      <c r="R46" s="130">
        <f t="shared" ca="1" si="9"/>
        <v>341.34458625507875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6"/>
  <sheetViews>
    <sheetView tabSelected="1" zoomScaleNormal="100" workbookViewId="0">
      <pane xSplit="1" ySplit="2" topLeftCell="B3" activePane="bottomRight" state="frozen"/>
      <selection activeCell="T23" sqref="T23"/>
      <selection pane="topRight" activeCell="T23" sqref="T23"/>
      <selection pane="bottomLeft" activeCell="T23" sqref="T23"/>
      <selection pane="bottomRight" activeCell="T5" sqref="T5"/>
    </sheetView>
  </sheetViews>
  <sheetFormatPr defaultColWidth="8.625" defaultRowHeight="13.5" outlineLevelRow="1"/>
  <cols>
    <col min="1" max="1" width="31.625" style="131" customWidth="1"/>
    <col min="2" max="2" width="8.75" style="131" bestFit="1" customWidth="1"/>
    <col min="3" max="14" width="8.625" style="131" customWidth="1"/>
    <col min="15" max="15" width="8.75" style="131" hidden="1" customWidth="1"/>
    <col min="16" max="16" width="8.625" style="131"/>
    <col min="17" max="17" width="0" style="131" hidden="1" customWidth="1"/>
    <col min="18" max="18" width="10.75" style="131" hidden="1" customWidth="1"/>
    <col min="19" max="16384" width="8.625" style="131"/>
  </cols>
  <sheetData>
    <row r="1" spans="1:20" s="110" customFormat="1" ht="19.5" thickBot="1">
      <c r="A1" s="110" t="s">
        <v>522</v>
      </c>
      <c r="C1" s="111" t="s">
        <v>523</v>
      </c>
    </row>
    <row r="2" spans="1:20" s="115" customFormat="1">
      <c r="A2" s="112" t="s">
        <v>524</v>
      </c>
      <c r="B2" s="113" t="s">
        <v>525</v>
      </c>
      <c r="C2" s="114" t="s">
        <v>69</v>
      </c>
      <c r="D2" s="114" t="s">
        <v>70</v>
      </c>
      <c r="E2" s="114" t="s">
        <v>71</v>
      </c>
      <c r="F2" s="114" t="s">
        <v>72</v>
      </c>
      <c r="G2" s="114" t="s">
        <v>73</v>
      </c>
      <c r="H2" s="114" t="s">
        <v>74</v>
      </c>
      <c r="I2" s="114" t="s">
        <v>75</v>
      </c>
      <c r="J2" s="114" t="s">
        <v>76</v>
      </c>
      <c r="K2" s="114" t="s">
        <v>77</v>
      </c>
      <c r="L2" s="114" t="s">
        <v>78</v>
      </c>
      <c r="M2" s="114" t="s">
        <v>79</v>
      </c>
      <c r="N2" s="114" t="s">
        <v>526</v>
      </c>
      <c r="R2" s="170" t="s">
        <v>557</v>
      </c>
    </row>
    <row r="3" spans="1:20" s="115" customFormat="1">
      <c r="A3" s="116" t="s">
        <v>497</v>
      </c>
      <c r="B3" s="117">
        <v>692.73580000000004</v>
      </c>
      <c r="C3" s="118">
        <v>923.97059999999999</v>
      </c>
      <c r="D3" s="118">
        <v>3089.3238999999999</v>
      </c>
      <c r="E3" s="118">
        <v>1732.1771000000001</v>
      </c>
      <c r="F3" s="118">
        <v>1113.7501999999999</v>
      </c>
      <c r="G3" s="118">
        <v>1104.0869</v>
      </c>
      <c r="H3" s="118">
        <v>816.26419999999996</v>
      </c>
      <c r="I3" s="118">
        <v>1574.8394000000001</v>
      </c>
      <c r="J3" s="118">
        <v>2169.5632999999998</v>
      </c>
      <c r="K3" s="118">
        <v>1434.3142</v>
      </c>
      <c r="L3" s="118">
        <v>1492.3055999999999</v>
      </c>
      <c r="M3" s="118">
        <v>2440.2873</v>
      </c>
      <c r="N3" s="119">
        <f>SUM(B3:M3)</f>
        <v>18583.6185</v>
      </c>
      <c r="P3" s="120"/>
      <c r="R3" s="120">
        <f ca="1">SUM(OFFSET(A3,0,1,1,LEFT($R$2,2*LEN($R$2)-LENB($R$2))))</f>
        <v>1616.7064</v>
      </c>
    </row>
    <row r="4" spans="1:20" s="115" customFormat="1">
      <c r="A4" s="116" t="s">
        <v>0</v>
      </c>
      <c r="B4" s="117">
        <v>411.40954285714287</v>
      </c>
      <c r="C4" s="118">
        <v>574.84414285714297</v>
      </c>
      <c r="D4" s="118">
        <v>1943.9983742857146</v>
      </c>
      <c r="E4" s="118">
        <v>1033.3017199999999</v>
      </c>
      <c r="F4" s="118">
        <v>757.12107428571449</v>
      </c>
      <c r="G4" s="118">
        <v>674.6563771428572</v>
      </c>
      <c r="H4" s="118">
        <v>451.19065714285716</v>
      </c>
      <c r="I4" s="118">
        <v>784.21466571428584</v>
      </c>
      <c r="J4" s="118">
        <v>1224.305222857143</v>
      </c>
      <c r="K4" s="118">
        <v>772.8036914285716</v>
      </c>
      <c r="L4" s="118">
        <v>722.12224285714285</v>
      </c>
      <c r="M4" s="118">
        <v>1259.428602857143</v>
      </c>
      <c r="N4" s="119">
        <f t="shared" ref="N4:N46" si="0">SUM(B4:M4)</f>
        <v>10609.396314285716</v>
      </c>
      <c r="P4" s="120"/>
      <c r="R4" s="120">
        <f t="shared" ref="R4:R8" ca="1" si="1">SUM(OFFSET(A4,0,1,1,LEFT($R$2,2*LEN($R$2)-LENB($R$2))))</f>
        <v>986.25368571428589</v>
      </c>
    </row>
    <row r="5" spans="1:20" s="115" customFormat="1">
      <c r="A5" s="116" t="s">
        <v>527</v>
      </c>
      <c r="B5" s="117">
        <v>143.99333999999999</v>
      </c>
      <c r="C5" s="118">
        <v>201.19545000000002</v>
      </c>
      <c r="D5" s="118">
        <v>680.39943100000005</v>
      </c>
      <c r="E5" s="118">
        <v>361.65560199999999</v>
      </c>
      <c r="F5" s="118">
        <v>264.99237600000004</v>
      </c>
      <c r="G5" s="118">
        <v>236.12973200000002</v>
      </c>
      <c r="H5" s="118">
        <v>157.91673</v>
      </c>
      <c r="I5" s="118">
        <v>274.47513300000003</v>
      </c>
      <c r="J5" s="118">
        <v>428.50682800000004</v>
      </c>
      <c r="K5" s="118">
        <v>270.48129200000005</v>
      </c>
      <c r="L5" s="118">
        <v>252.742785</v>
      </c>
      <c r="M5" s="118">
        <v>440.80001100000004</v>
      </c>
      <c r="N5" s="119">
        <f t="shared" si="0"/>
        <v>3713.2887099999998</v>
      </c>
      <c r="P5" s="120"/>
      <c r="R5" s="120">
        <f t="shared" ca="1" si="1"/>
        <v>345.18879000000004</v>
      </c>
    </row>
    <row r="6" spans="1:20" s="115" customFormat="1">
      <c r="A6" s="116" t="s">
        <v>528</v>
      </c>
      <c r="B6" s="117">
        <v>127.44051</v>
      </c>
      <c r="C6" s="118">
        <v>173.46690100000001</v>
      </c>
      <c r="D6" s="118">
        <v>583.24291400000004</v>
      </c>
      <c r="E6" s="118">
        <v>320.07200700000004</v>
      </c>
      <c r="F6" s="118">
        <v>234.50870899999998</v>
      </c>
      <c r="G6" s="118">
        <v>208.96436800000001</v>
      </c>
      <c r="H6" s="118">
        <v>139.74931999999998</v>
      </c>
      <c r="I6" s="118">
        <v>242.89834399999998</v>
      </c>
      <c r="J6" s="118">
        <v>379.20958099999996</v>
      </c>
      <c r="K6" s="118">
        <v>239.36397599999998</v>
      </c>
      <c r="L6" s="118">
        <v>223.66932999999997</v>
      </c>
      <c r="M6" s="118">
        <v>389.76817999999997</v>
      </c>
      <c r="N6" s="119">
        <f t="shared" si="0"/>
        <v>3262.3541399999999</v>
      </c>
      <c r="O6" s="120">
        <f>C6+D6</f>
        <v>756.70981500000005</v>
      </c>
      <c r="P6" s="120"/>
      <c r="R6" s="120">
        <f t="shared" ca="1" si="1"/>
        <v>300.90741100000002</v>
      </c>
      <c r="T6" s="120"/>
    </row>
    <row r="7" spans="1:20" s="115" customFormat="1">
      <c r="A7" s="116" t="s">
        <v>529</v>
      </c>
      <c r="B7" s="117">
        <v>36.412566000000005</v>
      </c>
      <c r="C7" s="118">
        <v>66.652648999999997</v>
      </c>
      <c r="D7" s="118">
        <v>217.14556299999998</v>
      </c>
      <c r="E7" s="118">
        <v>84.780625000000001</v>
      </c>
      <c r="F7" s="118">
        <v>52.612983999999997</v>
      </c>
      <c r="G7" s="118">
        <v>68.076546999999991</v>
      </c>
      <c r="H7" s="118">
        <v>53.063468000000007</v>
      </c>
      <c r="I7" s="118">
        <v>72.232518999999996</v>
      </c>
      <c r="J7" s="118">
        <v>114.212655</v>
      </c>
      <c r="K7" s="118">
        <v>57.524133999999997</v>
      </c>
      <c r="L7" s="118">
        <v>67.319203000000002</v>
      </c>
      <c r="M7" s="118">
        <v>90.757452000000001</v>
      </c>
      <c r="N7" s="119">
        <f t="shared" si="0"/>
        <v>980.79036500000007</v>
      </c>
      <c r="O7" s="120">
        <f>C7+D7</f>
        <v>283.79821199999998</v>
      </c>
      <c r="R7" s="120">
        <f t="shared" ca="1" si="1"/>
        <v>103.06521499999999</v>
      </c>
    </row>
    <row r="8" spans="1:20" s="115" customFormat="1">
      <c r="A8" s="121" t="s">
        <v>530</v>
      </c>
      <c r="B8" s="122">
        <f>B6-B7</f>
        <v>91.027943999999991</v>
      </c>
      <c r="C8" s="119">
        <f t="shared" ref="C8:O8" si="2">C6-C7</f>
        <v>106.81425200000001</v>
      </c>
      <c r="D8" s="119">
        <f t="shared" si="2"/>
        <v>366.09735100000006</v>
      </c>
      <c r="E8" s="119">
        <f t="shared" si="2"/>
        <v>235.29138200000006</v>
      </c>
      <c r="F8" s="119">
        <f t="shared" si="2"/>
        <v>181.89572499999997</v>
      </c>
      <c r="G8" s="119">
        <f t="shared" si="2"/>
        <v>140.88782100000003</v>
      </c>
      <c r="H8" s="119">
        <f t="shared" si="2"/>
        <v>86.685851999999983</v>
      </c>
      <c r="I8" s="119">
        <f t="shared" si="2"/>
        <v>170.66582499999998</v>
      </c>
      <c r="J8" s="119">
        <f t="shared" si="2"/>
        <v>264.99692599999997</v>
      </c>
      <c r="K8" s="119">
        <f t="shared" si="2"/>
        <v>181.83984199999998</v>
      </c>
      <c r="L8" s="119">
        <f t="shared" si="2"/>
        <v>156.35012699999999</v>
      </c>
      <c r="M8" s="119">
        <f t="shared" si="2"/>
        <v>299.01072799999997</v>
      </c>
      <c r="N8" s="119">
        <f t="shared" si="0"/>
        <v>2281.5637750000001</v>
      </c>
      <c r="O8" s="119">
        <f t="shared" si="2"/>
        <v>472.91160300000007</v>
      </c>
      <c r="R8" s="120">
        <f t="shared" ca="1" si="1"/>
        <v>197.842196</v>
      </c>
    </row>
    <row r="9" spans="1:20" s="115" customFormat="1">
      <c r="A9" s="123" t="s">
        <v>531</v>
      </c>
      <c r="B9" s="124">
        <f>IFERROR(B8/B6,0)</f>
        <v>0.71427793250356564</v>
      </c>
      <c r="C9" s="125">
        <f t="shared" ref="C9:N9" si="3">IFERROR(C8/C6,0)</f>
        <v>0.61576157401924192</v>
      </c>
      <c r="D9" s="125">
        <f t="shared" si="3"/>
        <v>0.62769275410348158</v>
      </c>
      <c r="E9" s="125">
        <f t="shared" si="3"/>
        <v>0.73512015063535385</v>
      </c>
      <c r="F9" s="125">
        <f t="shared" si="3"/>
        <v>0.77564592707727531</v>
      </c>
      <c r="G9" s="125">
        <f t="shared" si="3"/>
        <v>0.67421935303343217</v>
      </c>
      <c r="H9" s="125">
        <f t="shared" si="3"/>
        <v>0.62029534025639621</v>
      </c>
      <c r="I9" s="125">
        <f t="shared" si="3"/>
        <v>0.70262243121756318</v>
      </c>
      <c r="J9" s="125">
        <f t="shared" si="3"/>
        <v>0.69881389943045769</v>
      </c>
      <c r="K9" s="125">
        <f t="shared" si="3"/>
        <v>0.75967923427207773</v>
      </c>
      <c r="L9" s="125">
        <f t="shared" si="3"/>
        <v>0.69902354068839034</v>
      </c>
      <c r="M9" s="125">
        <f t="shared" si="3"/>
        <v>0.76715017629196924</v>
      </c>
      <c r="N9" s="125">
        <f t="shared" si="3"/>
        <v>0.69936115979119307</v>
      </c>
    </row>
    <row r="10" spans="1:20" s="115" customFormat="1">
      <c r="A10" s="121" t="s">
        <v>532</v>
      </c>
      <c r="B10" s="122">
        <f t="shared" ref="B10:M10" si="4">SUM(B11:B27)</f>
        <v>52.542003000000001</v>
      </c>
      <c r="C10" s="119">
        <f t="shared" si="4"/>
        <v>79.138497000000001</v>
      </c>
      <c r="D10" s="119">
        <f t="shared" si="4"/>
        <v>146.55004399999999</v>
      </c>
      <c r="E10" s="119">
        <f t="shared" si="4"/>
        <v>127.99148699999999</v>
      </c>
      <c r="F10" s="119">
        <f t="shared" si="4"/>
        <v>109.31188999999999</v>
      </c>
      <c r="G10" s="119">
        <f t="shared" si="4"/>
        <v>91.209374999999994</v>
      </c>
      <c r="H10" s="119">
        <f t="shared" si="4"/>
        <v>80.707677000000018</v>
      </c>
      <c r="I10" s="119">
        <f t="shared" si="4"/>
        <v>118.218654</v>
      </c>
      <c r="J10" s="119">
        <f t="shared" si="4"/>
        <v>141.51609399999998</v>
      </c>
      <c r="K10" s="119">
        <f t="shared" si="4"/>
        <v>109.442678</v>
      </c>
      <c r="L10" s="119">
        <f t="shared" si="4"/>
        <v>121.394272</v>
      </c>
      <c r="M10" s="119">
        <f t="shared" si="4"/>
        <v>236.78144699999999</v>
      </c>
      <c r="N10" s="119">
        <f t="shared" si="0"/>
        <v>1414.804118</v>
      </c>
      <c r="O10" s="120">
        <f>C10+D10</f>
        <v>225.68854099999999</v>
      </c>
      <c r="R10" s="119">
        <f t="shared" ref="R10:R46" ca="1" si="5">SUM(OFFSET(A10,0,1,1,LEFT($R$2,2*LEN($R$2)-LENB($R$2))))</f>
        <v>131.68049999999999</v>
      </c>
    </row>
    <row r="11" spans="1:20" s="115" customFormat="1" outlineLevel="1">
      <c r="A11" s="126" t="s">
        <v>39</v>
      </c>
      <c r="B11" s="117">
        <v>13.140908</v>
      </c>
      <c r="C11" s="118">
        <v>8.8924200000000013</v>
      </c>
      <c r="D11" s="118">
        <v>57.00242999999999</v>
      </c>
      <c r="E11" s="118">
        <v>56.580677999999992</v>
      </c>
      <c r="F11" s="118">
        <v>31.479506999999998</v>
      </c>
      <c r="G11" s="118">
        <v>26.770785</v>
      </c>
      <c r="H11" s="118">
        <v>13.552662999999999</v>
      </c>
      <c r="I11" s="118">
        <v>52.119076</v>
      </c>
      <c r="J11" s="118">
        <v>60.623264999999996</v>
      </c>
      <c r="K11" s="118">
        <v>47.060525000000005</v>
      </c>
      <c r="L11" s="118">
        <v>45.309386000000003</v>
      </c>
      <c r="M11" s="118">
        <v>95.451557000000008</v>
      </c>
      <c r="N11" s="119">
        <f t="shared" si="0"/>
        <v>507.98320000000001</v>
      </c>
      <c r="R11" s="120">
        <f t="shared" ca="1" si="5"/>
        <v>22.033328000000001</v>
      </c>
    </row>
    <row r="12" spans="1:20" s="115" customFormat="1" outlineLevel="1">
      <c r="A12" s="126" t="s">
        <v>40</v>
      </c>
      <c r="B12" s="117">
        <v>1.0040260000000001</v>
      </c>
      <c r="C12" s="118">
        <v>14.179646</v>
      </c>
      <c r="D12" s="118">
        <v>12.643700000000001</v>
      </c>
      <c r="E12" s="118">
        <v>4.0361419999999999</v>
      </c>
      <c r="F12" s="118">
        <v>13.190284</v>
      </c>
      <c r="G12" s="118">
        <v>2.9559480000000002</v>
      </c>
      <c r="H12" s="118">
        <v>2.8211079999999997</v>
      </c>
      <c r="I12" s="118">
        <v>9.7787699999999997</v>
      </c>
      <c r="J12" s="118">
        <v>5.1046700000000005</v>
      </c>
      <c r="K12" s="118">
        <v>2.3170280000000001</v>
      </c>
      <c r="L12" s="118">
        <v>2.3845499999999999</v>
      </c>
      <c r="M12" s="118">
        <v>3.6346499999999997</v>
      </c>
      <c r="N12" s="119">
        <f t="shared" si="0"/>
        <v>74.050522000000001</v>
      </c>
      <c r="R12" s="120">
        <f t="shared" ca="1" si="5"/>
        <v>15.183672</v>
      </c>
    </row>
    <row r="13" spans="1:20" s="115" customFormat="1" outlineLevel="1">
      <c r="A13" s="126" t="s">
        <v>41</v>
      </c>
      <c r="B13" s="117">
        <v>0</v>
      </c>
      <c r="C13" s="118">
        <v>0</v>
      </c>
      <c r="D13" s="118">
        <v>0</v>
      </c>
      <c r="E13" s="118">
        <v>0</v>
      </c>
      <c r="F13" s="118">
        <v>0</v>
      </c>
      <c r="G13" s="118">
        <v>0</v>
      </c>
      <c r="H13" s="118">
        <v>0</v>
      </c>
      <c r="I13" s="118">
        <v>0</v>
      </c>
      <c r="J13" s="118">
        <v>0</v>
      </c>
      <c r="K13" s="118">
        <v>0</v>
      </c>
      <c r="L13" s="118">
        <v>0</v>
      </c>
      <c r="M13" s="118">
        <v>0</v>
      </c>
      <c r="N13" s="119">
        <f t="shared" si="0"/>
        <v>0</v>
      </c>
      <c r="R13" s="120">
        <f t="shared" ca="1" si="5"/>
        <v>0</v>
      </c>
    </row>
    <row r="14" spans="1:20" s="115" customFormat="1" outlineLevel="1">
      <c r="A14" s="126" t="s">
        <v>42</v>
      </c>
      <c r="B14" s="117">
        <v>0</v>
      </c>
      <c r="C14" s="118">
        <v>0</v>
      </c>
      <c r="D14" s="118">
        <v>0</v>
      </c>
      <c r="E14" s="118">
        <v>0</v>
      </c>
      <c r="F14" s="118">
        <v>0</v>
      </c>
      <c r="G14" s="118"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9">
        <f t="shared" si="0"/>
        <v>0</v>
      </c>
      <c r="R14" s="120">
        <f t="shared" ca="1" si="5"/>
        <v>0</v>
      </c>
    </row>
    <row r="15" spans="1:20" s="115" customFormat="1" outlineLevel="1">
      <c r="A15" s="126" t="s">
        <v>43</v>
      </c>
      <c r="B15" s="117">
        <v>0</v>
      </c>
      <c r="C15" s="118">
        <v>0</v>
      </c>
      <c r="D15" s="118">
        <v>0</v>
      </c>
      <c r="E15" s="118">
        <v>0</v>
      </c>
      <c r="F15" s="118">
        <v>0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9">
        <f t="shared" si="0"/>
        <v>0</v>
      </c>
      <c r="R15" s="120">
        <f t="shared" ca="1" si="5"/>
        <v>0</v>
      </c>
    </row>
    <row r="16" spans="1:20" s="115" customFormat="1" outlineLevel="1">
      <c r="A16" s="126" t="s">
        <v>44</v>
      </c>
      <c r="B16" s="117">
        <v>0</v>
      </c>
      <c r="C16" s="118">
        <v>0</v>
      </c>
      <c r="D16" s="118">
        <v>0</v>
      </c>
      <c r="E16" s="118">
        <v>0</v>
      </c>
      <c r="F16" s="118">
        <v>0</v>
      </c>
      <c r="G16" s="118">
        <v>0</v>
      </c>
      <c r="H16" s="118">
        <v>0</v>
      </c>
      <c r="I16" s="118">
        <v>0</v>
      </c>
      <c r="J16" s="118">
        <v>0</v>
      </c>
      <c r="K16" s="118">
        <v>0</v>
      </c>
      <c r="L16" s="118">
        <v>0</v>
      </c>
      <c r="M16" s="118">
        <v>0</v>
      </c>
      <c r="N16" s="119">
        <f t="shared" si="0"/>
        <v>0</v>
      </c>
      <c r="R16" s="120">
        <f t="shared" ca="1" si="5"/>
        <v>0</v>
      </c>
    </row>
    <row r="17" spans="1:18" s="115" customFormat="1" outlineLevel="1">
      <c r="A17" s="126" t="s">
        <v>45</v>
      </c>
      <c r="B17" s="117">
        <v>0</v>
      </c>
      <c r="C17" s="118">
        <v>0</v>
      </c>
      <c r="D17" s="118">
        <v>0</v>
      </c>
      <c r="E17" s="118">
        <v>0</v>
      </c>
      <c r="F17" s="118">
        <v>0</v>
      </c>
      <c r="G17" s="118">
        <v>0</v>
      </c>
      <c r="H17" s="118">
        <v>0</v>
      </c>
      <c r="I17" s="118">
        <v>0</v>
      </c>
      <c r="J17" s="118">
        <v>0</v>
      </c>
      <c r="K17" s="118">
        <v>0</v>
      </c>
      <c r="L17" s="118">
        <v>0</v>
      </c>
      <c r="M17" s="118">
        <v>0</v>
      </c>
      <c r="N17" s="119">
        <f t="shared" si="0"/>
        <v>0</v>
      </c>
      <c r="R17" s="120">
        <f t="shared" ca="1" si="5"/>
        <v>0</v>
      </c>
    </row>
    <row r="18" spans="1:18" s="115" customFormat="1" outlineLevel="1">
      <c r="A18" s="126" t="s">
        <v>46</v>
      </c>
      <c r="B18" s="117">
        <v>0</v>
      </c>
      <c r="C18" s="118">
        <v>0</v>
      </c>
      <c r="D18" s="118">
        <v>0</v>
      </c>
      <c r="E18" s="118">
        <v>0</v>
      </c>
      <c r="F18" s="118">
        <v>0</v>
      </c>
      <c r="G18" s="118">
        <v>0</v>
      </c>
      <c r="H18" s="118">
        <v>0</v>
      </c>
      <c r="I18" s="118">
        <v>0</v>
      </c>
      <c r="J18" s="118">
        <v>0</v>
      </c>
      <c r="K18" s="118">
        <v>0</v>
      </c>
      <c r="L18" s="118">
        <v>0</v>
      </c>
      <c r="M18" s="118">
        <v>0</v>
      </c>
      <c r="N18" s="119">
        <f t="shared" si="0"/>
        <v>0</v>
      </c>
      <c r="R18" s="120">
        <f t="shared" ca="1" si="5"/>
        <v>0</v>
      </c>
    </row>
    <row r="19" spans="1:18" s="115" customFormat="1" outlineLevel="1">
      <c r="A19" s="126" t="s">
        <v>47</v>
      </c>
      <c r="B19" s="117">
        <v>0</v>
      </c>
      <c r="C19" s="118">
        <v>0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119">
        <f t="shared" si="0"/>
        <v>0</v>
      </c>
      <c r="R19" s="120">
        <f t="shared" ca="1" si="5"/>
        <v>0</v>
      </c>
    </row>
    <row r="20" spans="1:18" s="115" customFormat="1" outlineLevel="1">
      <c r="A20" s="126" t="s">
        <v>48</v>
      </c>
      <c r="B20" s="117">
        <v>0</v>
      </c>
      <c r="C20" s="118">
        <v>0</v>
      </c>
      <c r="D20" s="118">
        <v>0</v>
      </c>
      <c r="E20" s="118">
        <v>0</v>
      </c>
      <c r="F20" s="118">
        <v>0</v>
      </c>
      <c r="G20" s="118">
        <v>0</v>
      </c>
      <c r="H20" s="118">
        <v>0</v>
      </c>
      <c r="I20" s="118">
        <v>0</v>
      </c>
      <c r="J20" s="118">
        <v>0</v>
      </c>
      <c r="K20" s="118">
        <v>0</v>
      </c>
      <c r="L20" s="118">
        <v>0</v>
      </c>
      <c r="M20" s="118">
        <v>0</v>
      </c>
      <c r="N20" s="119">
        <f t="shared" si="0"/>
        <v>0</v>
      </c>
      <c r="R20" s="120">
        <f t="shared" ca="1" si="5"/>
        <v>0</v>
      </c>
    </row>
    <row r="21" spans="1:18" s="115" customFormat="1" outlineLevel="1">
      <c r="A21" s="126" t="s">
        <v>49</v>
      </c>
      <c r="B21" s="117">
        <v>6.471423999999999</v>
      </c>
      <c r="C21" s="118">
        <v>36.992567999999999</v>
      </c>
      <c r="D21" s="118">
        <v>38.395617000000001</v>
      </c>
      <c r="E21" s="118">
        <v>42.654697000000006</v>
      </c>
      <c r="F21" s="118">
        <v>45.029406999999999</v>
      </c>
      <c r="G21" s="118">
        <v>36.83208299999999</v>
      </c>
      <c r="H21" s="118">
        <v>40.233830000000005</v>
      </c>
      <c r="I21" s="118">
        <v>34.414954999999992</v>
      </c>
      <c r="J21" s="118">
        <v>36.761394999999993</v>
      </c>
      <c r="K21" s="118">
        <v>36.256022999999999</v>
      </c>
      <c r="L21" s="118">
        <v>51.833633000000006</v>
      </c>
      <c r="M21" s="118">
        <v>105.43899999999999</v>
      </c>
      <c r="N21" s="119">
        <f t="shared" si="0"/>
        <v>511.31463200000007</v>
      </c>
      <c r="R21" s="120">
        <f t="shared" ca="1" si="5"/>
        <v>43.463991999999998</v>
      </c>
    </row>
    <row r="22" spans="1:18" s="115" customFormat="1" outlineLevel="1">
      <c r="A22" s="126" t="s">
        <v>50</v>
      </c>
      <c r="B22" s="117">
        <v>6.1787000000000002E-2</v>
      </c>
      <c r="C22" s="118">
        <v>0.223602</v>
      </c>
      <c r="D22" s="118">
        <v>0</v>
      </c>
      <c r="E22" s="118">
        <v>0</v>
      </c>
      <c r="F22" s="118">
        <v>0</v>
      </c>
      <c r="G22" s="118">
        <v>4.8000000000000001E-2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7.7800580000000004</v>
      </c>
      <c r="N22" s="119">
        <f t="shared" si="0"/>
        <v>8.1134470000000007</v>
      </c>
      <c r="R22" s="120">
        <f t="shared" ca="1" si="5"/>
        <v>0.285389</v>
      </c>
    </row>
    <row r="23" spans="1:18" s="115" customFormat="1" outlineLevel="1">
      <c r="A23" s="126" t="s">
        <v>51</v>
      </c>
      <c r="B23" s="117">
        <v>3.4122389999999996</v>
      </c>
      <c r="C23" s="118">
        <v>6.6144020000000001</v>
      </c>
      <c r="D23" s="118">
        <v>11.812812999999998</v>
      </c>
      <c r="E23" s="118">
        <v>6.5977540000000001</v>
      </c>
      <c r="F23" s="118">
        <v>4.1658109999999997</v>
      </c>
      <c r="G23" s="118">
        <v>4.9947699999999999</v>
      </c>
      <c r="H23" s="118">
        <v>4.3510359999999997</v>
      </c>
      <c r="I23" s="118">
        <v>5.4122680000000001</v>
      </c>
      <c r="J23" s="118">
        <v>7.4131780000000003</v>
      </c>
      <c r="K23" s="118">
        <v>4.9460459999999999</v>
      </c>
      <c r="L23" s="118">
        <v>4.2725840000000002</v>
      </c>
      <c r="M23" s="118">
        <v>7.4047459999999994</v>
      </c>
      <c r="N23" s="119">
        <f t="shared" si="0"/>
        <v>71.397647000000006</v>
      </c>
      <c r="R23" s="120">
        <f t="shared" ca="1" si="5"/>
        <v>10.026641</v>
      </c>
    </row>
    <row r="24" spans="1:18" s="115" customFormat="1" outlineLevel="1">
      <c r="A24" s="126" t="s">
        <v>52</v>
      </c>
      <c r="B24" s="117">
        <v>4.9822999999999999E-2</v>
      </c>
      <c r="C24" s="118">
        <v>4.9824E-2</v>
      </c>
      <c r="D24" s="118">
        <v>4.9822999999999999E-2</v>
      </c>
      <c r="E24" s="118">
        <v>4.9822999999999999E-2</v>
      </c>
      <c r="F24" s="118">
        <v>5.9749999999999998E-2</v>
      </c>
      <c r="G24" s="118">
        <v>5.9749999999999998E-2</v>
      </c>
      <c r="H24" s="118">
        <v>5.5406999999999998E-2</v>
      </c>
      <c r="I24" s="118">
        <v>5.5405999999999997E-2</v>
      </c>
      <c r="J24" s="118">
        <v>5.5404999999999996E-2</v>
      </c>
      <c r="K24" s="118">
        <v>6.8833000000000005E-2</v>
      </c>
      <c r="L24" s="118">
        <v>6.8831000000000003E-2</v>
      </c>
      <c r="M24" s="118">
        <v>5.1916999999999991E-2</v>
      </c>
      <c r="N24" s="119">
        <f t="shared" si="0"/>
        <v>0.67459199999999997</v>
      </c>
      <c r="R24" s="120">
        <f t="shared" ca="1" si="5"/>
        <v>9.9646999999999999E-2</v>
      </c>
    </row>
    <row r="25" spans="1:18" s="115" customFormat="1" outlineLevel="1">
      <c r="A25" s="126" t="s">
        <v>53</v>
      </c>
      <c r="B25" s="117">
        <v>0</v>
      </c>
      <c r="C25" s="118">
        <v>0</v>
      </c>
      <c r="D25" s="118">
        <v>0</v>
      </c>
      <c r="E25" s="118">
        <v>0</v>
      </c>
      <c r="F25" s="118">
        <v>0</v>
      </c>
      <c r="G25" s="118">
        <v>0</v>
      </c>
      <c r="H25" s="118">
        <v>0</v>
      </c>
      <c r="I25" s="118">
        <v>0</v>
      </c>
      <c r="J25" s="118">
        <v>0</v>
      </c>
      <c r="K25" s="118">
        <v>0</v>
      </c>
      <c r="L25" s="118">
        <v>0</v>
      </c>
      <c r="M25" s="118">
        <v>0</v>
      </c>
      <c r="N25" s="119">
        <f t="shared" si="0"/>
        <v>0</v>
      </c>
      <c r="R25" s="120">
        <f t="shared" ca="1" si="5"/>
        <v>0</v>
      </c>
    </row>
    <row r="26" spans="1:18" s="115" customFormat="1" outlineLevel="1">
      <c r="A26" s="126" t="s">
        <v>54</v>
      </c>
      <c r="B26" s="117">
        <v>0</v>
      </c>
      <c r="C26" s="118">
        <v>0</v>
      </c>
      <c r="D26" s="118">
        <v>0</v>
      </c>
      <c r="E26" s="118">
        <v>0</v>
      </c>
      <c r="F26" s="118">
        <v>0</v>
      </c>
      <c r="G26" s="118">
        <v>0</v>
      </c>
      <c r="H26" s="118">
        <v>0</v>
      </c>
      <c r="I26" s="118">
        <v>0</v>
      </c>
      <c r="J26" s="118">
        <v>0</v>
      </c>
      <c r="K26" s="118">
        <v>0</v>
      </c>
      <c r="L26" s="118">
        <v>0</v>
      </c>
      <c r="M26" s="118">
        <v>0</v>
      </c>
      <c r="N26" s="119">
        <f t="shared" si="0"/>
        <v>0</v>
      </c>
      <c r="R26" s="120">
        <f t="shared" ca="1" si="5"/>
        <v>0</v>
      </c>
    </row>
    <row r="27" spans="1:18" s="115" customFormat="1" outlineLevel="1">
      <c r="A27" s="126" t="s">
        <v>55</v>
      </c>
      <c r="B27" s="117">
        <v>28.401796000000004</v>
      </c>
      <c r="C27" s="118">
        <v>12.186035000000004</v>
      </c>
      <c r="D27" s="118">
        <v>26.645661</v>
      </c>
      <c r="E27" s="118">
        <v>18.072393000000002</v>
      </c>
      <c r="F27" s="118">
        <v>15.387130999999998</v>
      </c>
      <c r="G27" s="118">
        <v>19.548038999999999</v>
      </c>
      <c r="H27" s="118">
        <v>19.693633000000005</v>
      </c>
      <c r="I27" s="118">
        <v>16.438179000000002</v>
      </c>
      <c r="J27" s="118">
        <v>31.558181000000001</v>
      </c>
      <c r="K27" s="118">
        <v>18.794222999999999</v>
      </c>
      <c r="L27" s="118">
        <v>17.525287999999996</v>
      </c>
      <c r="M27" s="118">
        <v>17.019518999999999</v>
      </c>
      <c r="N27" s="119">
        <f t="shared" si="0"/>
        <v>241.27007799999998</v>
      </c>
      <c r="R27" s="120">
        <f t="shared" ca="1" si="5"/>
        <v>40.587831000000008</v>
      </c>
    </row>
    <row r="28" spans="1:18" s="115" customFormat="1">
      <c r="A28" s="127" t="s">
        <v>9</v>
      </c>
      <c r="B28" s="122">
        <f t="shared" ref="B28:O28" si="6">B8-B10</f>
        <v>38.48594099999999</v>
      </c>
      <c r="C28" s="119">
        <f t="shared" si="6"/>
        <v>27.675755000000009</v>
      </c>
      <c r="D28" s="119">
        <f t="shared" si="6"/>
        <v>219.54730700000007</v>
      </c>
      <c r="E28" s="119">
        <f t="shared" si="6"/>
        <v>107.29989500000006</v>
      </c>
      <c r="F28" s="119">
        <f t="shared" si="6"/>
        <v>72.583834999999979</v>
      </c>
      <c r="G28" s="119">
        <f t="shared" si="6"/>
        <v>49.678446000000037</v>
      </c>
      <c r="H28" s="119">
        <f t="shared" si="6"/>
        <v>5.9781749999999647</v>
      </c>
      <c r="I28" s="119">
        <f t="shared" si="6"/>
        <v>52.447170999999983</v>
      </c>
      <c r="J28" s="119">
        <f t="shared" si="6"/>
        <v>123.48083199999999</v>
      </c>
      <c r="K28" s="119">
        <f t="shared" si="6"/>
        <v>72.397163999999975</v>
      </c>
      <c r="L28" s="119">
        <f t="shared" si="6"/>
        <v>34.955854999999985</v>
      </c>
      <c r="M28" s="119">
        <f t="shared" si="6"/>
        <v>62.229280999999986</v>
      </c>
      <c r="N28" s="119">
        <f t="shared" si="0"/>
        <v>866.75965699999995</v>
      </c>
      <c r="O28" s="119">
        <f t="shared" si="6"/>
        <v>247.22306200000008</v>
      </c>
      <c r="R28" s="119">
        <f t="shared" ca="1" si="5"/>
        <v>66.161696000000006</v>
      </c>
    </row>
    <row r="29" spans="1:18" s="115" customFormat="1">
      <c r="A29" s="121" t="s">
        <v>533</v>
      </c>
      <c r="B29" s="122">
        <f>SUM(B30:B45)</f>
        <v>57.259410000000003</v>
      </c>
      <c r="C29" s="119">
        <f t="shared" ref="C29:M29" si="7">SUM(C30:C45)</f>
        <v>47.036366000000001</v>
      </c>
      <c r="D29" s="119">
        <f t="shared" si="7"/>
        <v>57.005406000000001</v>
      </c>
      <c r="E29" s="119">
        <f t="shared" si="7"/>
        <v>48.564793999999999</v>
      </c>
      <c r="F29" s="119">
        <f t="shared" si="7"/>
        <v>72.066473000000002</v>
      </c>
      <c r="G29" s="119">
        <f t="shared" si="7"/>
        <v>85.276826000000014</v>
      </c>
      <c r="H29" s="119">
        <f t="shared" si="7"/>
        <v>36.911979000000002</v>
      </c>
      <c r="I29" s="119">
        <f t="shared" si="7"/>
        <v>41.402266999999995</v>
      </c>
      <c r="J29" s="119">
        <f t="shared" si="7"/>
        <v>25.460989999999995</v>
      </c>
      <c r="K29" s="119">
        <f t="shared" si="7"/>
        <v>-5.2089440000000122</v>
      </c>
      <c r="L29" s="119">
        <f t="shared" si="7"/>
        <v>22.351668000000004</v>
      </c>
      <c r="M29" s="119">
        <f t="shared" si="7"/>
        <v>41.165888000000002</v>
      </c>
      <c r="N29" s="119">
        <f t="shared" si="0"/>
        <v>529.29312300000004</v>
      </c>
      <c r="O29" s="120">
        <f>C29+D29</f>
        <v>104.04177200000001</v>
      </c>
      <c r="R29" s="119">
        <f t="shared" ca="1" si="5"/>
        <v>104.295776</v>
      </c>
    </row>
    <row r="30" spans="1:18" s="115" customFormat="1" outlineLevel="1">
      <c r="A30" s="126" t="s">
        <v>56</v>
      </c>
      <c r="B30" s="117">
        <v>11.744119</v>
      </c>
      <c r="C30" s="118">
        <v>9.7455870000000004</v>
      </c>
      <c r="D30" s="118">
        <v>16.146633999999999</v>
      </c>
      <c r="E30" s="118">
        <v>12.790220999999997</v>
      </c>
      <c r="F30" s="118">
        <v>30.857568000000001</v>
      </c>
      <c r="G30" s="118">
        <v>38.216323000000003</v>
      </c>
      <c r="H30" s="118">
        <v>15.098830999999999</v>
      </c>
      <c r="I30" s="118">
        <v>17.400718999999999</v>
      </c>
      <c r="J30" s="118">
        <v>0.74860699999998914</v>
      </c>
      <c r="K30" s="118">
        <v>-39.216240000000013</v>
      </c>
      <c r="L30" s="118">
        <v>5.5488800000000005</v>
      </c>
      <c r="M30" s="118">
        <v>10.477881</v>
      </c>
      <c r="N30" s="119">
        <f t="shared" si="0"/>
        <v>129.55912999999998</v>
      </c>
      <c r="R30" s="120">
        <f t="shared" ca="1" si="5"/>
        <v>21.489705999999998</v>
      </c>
    </row>
    <row r="31" spans="1:18" s="115" customFormat="1" outlineLevel="1">
      <c r="A31" s="126" t="s">
        <v>57</v>
      </c>
      <c r="B31" s="117">
        <v>22.268511</v>
      </c>
      <c r="C31" s="118">
        <v>17.576132000000001</v>
      </c>
      <c r="D31" s="118">
        <v>20.698419000000001</v>
      </c>
      <c r="E31" s="118">
        <v>18.339010000000002</v>
      </c>
      <c r="F31" s="118">
        <v>18.137182000000003</v>
      </c>
      <c r="G31" s="118">
        <v>22.035209000000002</v>
      </c>
      <c r="H31" s="118">
        <v>0.4</v>
      </c>
      <c r="I31" s="118">
        <v>0.96988200000000002</v>
      </c>
      <c r="J31" s="118">
        <v>2.7284700000000002</v>
      </c>
      <c r="K31" s="118">
        <v>1.027344</v>
      </c>
      <c r="L31" s="118">
        <v>0</v>
      </c>
      <c r="M31" s="118">
        <v>4.9697999999999999E-2</v>
      </c>
      <c r="N31" s="119">
        <f t="shared" si="0"/>
        <v>124.22985700000004</v>
      </c>
      <c r="R31" s="120">
        <f t="shared" ca="1" si="5"/>
        <v>39.844643000000005</v>
      </c>
    </row>
    <row r="32" spans="1:18" s="115" customFormat="1" outlineLevel="1">
      <c r="A32" s="126" t="s">
        <v>58</v>
      </c>
      <c r="B32" s="117">
        <v>10.280000000000001</v>
      </c>
      <c r="C32" s="118">
        <v>0</v>
      </c>
      <c r="D32" s="118">
        <v>0.14815500000000001</v>
      </c>
      <c r="E32" s="118">
        <v>0</v>
      </c>
      <c r="F32" s="118">
        <v>0</v>
      </c>
      <c r="G32" s="118">
        <v>0</v>
      </c>
      <c r="H32" s="118">
        <v>0</v>
      </c>
      <c r="I32" s="118">
        <v>0</v>
      </c>
      <c r="J32" s="118">
        <v>0</v>
      </c>
      <c r="K32" s="118">
        <v>10.377358000000001</v>
      </c>
      <c r="L32" s="118">
        <v>0</v>
      </c>
      <c r="M32" s="118">
        <v>0</v>
      </c>
      <c r="N32" s="119">
        <f t="shared" si="0"/>
        <v>20.805513000000001</v>
      </c>
      <c r="R32" s="120">
        <f t="shared" ca="1" si="5"/>
        <v>10.280000000000001</v>
      </c>
    </row>
    <row r="33" spans="1:18" s="115" customFormat="1" outlineLevel="1">
      <c r="A33" s="126" t="s">
        <v>42</v>
      </c>
      <c r="B33" s="117">
        <v>0</v>
      </c>
      <c r="C33" s="118">
        <v>0</v>
      </c>
      <c r="D33" s="118">
        <v>0</v>
      </c>
      <c r="E33" s="118">
        <v>0</v>
      </c>
      <c r="F33" s="118">
        <v>0</v>
      </c>
      <c r="G33" s="118">
        <v>0</v>
      </c>
      <c r="H33" s="118">
        <v>0</v>
      </c>
      <c r="I33" s="118">
        <v>0</v>
      </c>
      <c r="J33" s="118">
        <v>0</v>
      </c>
      <c r="K33" s="118">
        <v>0</v>
      </c>
      <c r="L33" s="118">
        <v>0</v>
      </c>
      <c r="M33" s="118">
        <v>0</v>
      </c>
      <c r="N33" s="119">
        <f t="shared" si="0"/>
        <v>0</v>
      </c>
      <c r="R33" s="120">
        <f t="shared" ca="1" si="5"/>
        <v>0</v>
      </c>
    </row>
    <row r="34" spans="1:18" s="115" customFormat="1" outlineLevel="1">
      <c r="A34" s="126" t="s">
        <v>59</v>
      </c>
      <c r="B34" s="117">
        <v>0</v>
      </c>
      <c r="C34" s="118">
        <v>0</v>
      </c>
      <c r="D34" s="118">
        <v>0</v>
      </c>
      <c r="E34" s="118">
        <v>0</v>
      </c>
      <c r="F34" s="118">
        <v>0</v>
      </c>
      <c r="G34" s="118">
        <v>0</v>
      </c>
      <c r="H34" s="118">
        <v>0</v>
      </c>
      <c r="I34" s="118">
        <v>0</v>
      </c>
      <c r="J34" s="118">
        <v>0</v>
      </c>
      <c r="K34" s="118">
        <v>0</v>
      </c>
      <c r="L34" s="118">
        <v>0</v>
      </c>
      <c r="M34" s="118">
        <v>0</v>
      </c>
      <c r="N34" s="119">
        <f t="shared" si="0"/>
        <v>0</v>
      </c>
      <c r="R34" s="120">
        <f t="shared" ca="1" si="5"/>
        <v>0</v>
      </c>
    </row>
    <row r="35" spans="1:18" s="115" customFormat="1" outlineLevel="1">
      <c r="A35" s="126" t="s">
        <v>60</v>
      </c>
      <c r="B35" s="117">
        <v>0</v>
      </c>
      <c r="C35" s="118">
        <v>0</v>
      </c>
      <c r="D35" s="118">
        <v>0</v>
      </c>
      <c r="E35" s="118">
        <v>0</v>
      </c>
      <c r="F35" s="118">
        <v>0</v>
      </c>
      <c r="G35" s="118">
        <v>0</v>
      </c>
      <c r="H35" s="118">
        <v>0</v>
      </c>
      <c r="I35" s="118">
        <v>0</v>
      </c>
      <c r="J35" s="118">
        <v>0</v>
      </c>
      <c r="K35" s="118">
        <v>0</v>
      </c>
      <c r="L35" s="118">
        <v>0</v>
      </c>
      <c r="M35" s="118">
        <v>0</v>
      </c>
      <c r="N35" s="119">
        <f t="shared" si="0"/>
        <v>0</v>
      </c>
      <c r="R35" s="120">
        <f t="shared" ca="1" si="5"/>
        <v>0</v>
      </c>
    </row>
    <row r="36" spans="1:18" s="115" customFormat="1" outlineLevel="1">
      <c r="A36" s="126" t="s">
        <v>61</v>
      </c>
      <c r="B36" s="117">
        <v>0</v>
      </c>
      <c r="C36" s="118">
        <v>0</v>
      </c>
      <c r="D36" s="118">
        <v>0</v>
      </c>
      <c r="E36" s="118">
        <v>0</v>
      </c>
      <c r="F36" s="118">
        <v>0</v>
      </c>
      <c r="G36" s="118">
        <v>0</v>
      </c>
      <c r="H36" s="118">
        <v>0</v>
      </c>
      <c r="I36" s="118">
        <v>0</v>
      </c>
      <c r="J36" s="118">
        <v>0</v>
      </c>
      <c r="K36" s="118">
        <v>0</v>
      </c>
      <c r="L36" s="118">
        <v>0</v>
      </c>
      <c r="M36" s="118">
        <v>0</v>
      </c>
      <c r="N36" s="119">
        <f t="shared" si="0"/>
        <v>0</v>
      </c>
      <c r="R36" s="120">
        <f t="shared" ca="1" si="5"/>
        <v>0</v>
      </c>
    </row>
    <row r="37" spans="1:18" s="115" customFormat="1" outlineLevel="1">
      <c r="A37" s="126" t="s">
        <v>62</v>
      </c>
      <c r="B37" s="117">
        <v>0</v>
      </c>
      <c r="C37" s="118">
        <v>0</v>
      </c>
      <c r="D37" s="118">
        <v>0</v>
      </c>
      <c r="E37" s="118">
        <v>0</v>
      </c>
      <c r="F37" s="118">
        <v>0</v>
      </c>
      <c r="G37" s="118">
        <v>0</v>
      </c>
      <c r="H37" s="118">
        <v>0</v>
      </c>
      <c r="I37" s="118">
        <v>0</v>
      </c>
      <c r="J37" s="118">
        <v>0</v>
      </c>
      <c r="K37" s="118">
        <v>2.5</v>
      </c>
      <c r="L37" s="118">
        <v>0</v>
      </c>
      <c r="M37" s="118">
        <v>0</v>
      </c>
      <c r="N37" s="119">
        <f t="shared" si="0"/>
        <v>2.5</v>
      </c>
      <c r="R37" s="120">
        <f t="shared" ca="1" si="5"/>
        <v>0</v>
      </c>
    </row>
    <row r="38" spans="1:18" s="115" customFormat="1" outlineLevel="1">
      <c r="A38" s="126" t="s">
        <v>63</v>
      </c>
      <c r="B38" s="117">
        <v>0</v>
      </c>
      <c r="C38" s="118">
        <v>0</v>
      </c>
      <c r="D38" s="118">
        <v>0</v>
      </c>
      <c r="E38" s="118">
        <v>0</v>
      </c>
      <c r="F38" s="118">
        <v>0</v>
      </c>
      <c r="G38" s="118">
        <v>0</v>
      </c>
      <c r="H38" s="118">
        <v>0</v>
      </c>
      <c r="I38" s="118">
        <v>0</v>
      </c>
      <c r="J38" s="118">
        <v>0</v>
      </c>
      <c r="K38" s="118">
        <v>0</v>
      </c>
      <c r="L38" s="118">
        <v>0</v>
      </c>
      <c r="M38" s="118">
        <v>0</v>
      </c>
      <c r="N38" s="119">
        <f t="shared" si="0"/>
        <v>0</v>
      </c>
      <c r="R38" s="120">
        <f t="shared" ca="1" si="5"/>
        <v>0</v>
      </c>
    </row>
    <row r="39" spans="1:18" s="115" customFormat="1" outlineLevel="1">
      <c r="A39" s="126" t="s">
        <v>64</v>
      </c>
      <c r="B39" s="117">
        <v>0.1075</v>
      </c>
      <c r="C39" s="118">
        <v>0</v>
      </c>
      <c r="D39" s="118">
        <v>0</v>
      </c>
      <c r="E39" s="118">
        <v>0.40210000000000001</v>
      </c>
      <c r="F39" s="118">
        <v>0</v>
      </c>
      <c r="G39" s="118">
        <v>0</v>
      </c>
      <c r="H39" s="118">
        <v>0</v>
      </c>
      <c r="I39" s="118">
        <v>0</v>
      </c>
      <c r="J39" s="118">
        <v>0</v>
      </c>
      <c r="K39" s="118">
        <v>0</v>
      </c>
      <c r="L39" s="118">
        <v>0</v>
      </c>
      <c r="M39" s="118">
        <v>0</v>
      </c>
      <c r="N39" s="119">
        <f t="shared" si="0"/>
        <v>0.50960000000000005</v>
      </c>
      <c r="R39" s="120">
        <f t="shared" ca="1" si="5"/>
        <v>0.1075</v>
      </c>
    </row>
    <row r="40" spans="1:18" s="115" customFormat="1" outlineLevel="1">
      <c r="A40" s="126" t="s">
        <v>65</v>
      </c>
      <c r="B40" s="117">
        <v>9.8384629999999991</v>
      </c>
      <c r="C40" s="118">
        <v>19.017278999999998</v>
      </c>
      <c r="D40" s="118">
        <v>17.782240000000002</v>
      </c>
      <c r="E40" s="118">
        <v>15.466445000000002</v>
      </c>
      <c r="F40" s="118">
        <v>20.889519</v>
      </c>
      <c r="G40" s="118">
        <v>20.860349999999997</v>
      </c>
      <c r="H40" s="118">
        <v>19.817616000000005</v>
      </c>
      <c r="I40" s="118">
        <v>18.074076000000002</v>
      </c>
      <c r="J40" s="118">
        <v>17.666614000000003</v>
      </c>
      <c r="K40" s="118">
        <v>17.610502</v>
      </c>
      <c r="L40" s="118">
        <v>14.914491</v>
      </c>
      <c r="M40" s="118">
        <v>30.277098000000006</v>
      </c>
      <c r="N40" s="119">
        <f t="shared" si="0"/>
        <v>222.21469299999998</v>
      </c>
      <c r="R40" s="120">
        <f t="shared" ca="1" si="5"/>
        <v>28.855741999999999</v>
      </c>
    </row>
    <row r="41" spans="1:18" s="115" customFormat="1" outlineLevel="1">
      <c r="A41" s="126" t="s">
        <v>50</v>
      </c>
      <c r="B41" s="117">
        <v>0</v>
      </c>
      <c r="C41" s="118">
        <v>0</v>
      </c>
      <c r="D41" s="118">
        <v>0</v>
      </c>
      <c r="E41" s="118">
        <v>0</v>
      </c>
      <c r="F41" s="118">
        <v>0</v>
      </c>
      <c r="G41" s="118">
        <v>0</v>
      </c>
      <c r="H41" s="118">
        <v>0</v>
      </c>
      <c r="I41" s="118">
        <v>0</v>
      </c>
      <c r="J41" s="118">
        <v>0</v>
      </c>
      <c r="K41" s="118">
        <v>0</v>
      </c>
      <c r="L41" s="118">
        <v>0</v>
      </c>
      <c r="M41" s="118">
        <v>0</v>
      </c>
      <c r="N41" s="119">
        <f t="shared" si="0"/>
        <v>0</v>
      </c>
      <c r="R41" s="120">
        <f t="shared" ca="1" si="5"/>
        <v>0</v>
      </c>
    </row>
    <row r="42" spans="1:18" s="115" customFormat="1" outlineLevel="1">
      <c r="A42" s="126" t="s">
        <v>51</v>
      </c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9">
        <f t="shared" si="0"/>
        <v>0</v>
      </c>
      <c r="R42" s="120">
        <f t="shared" ca="1" si="5"/>
        <v>0</v>
      </c>
    </row>
    <row r="43" spans="1:18" s="115" customFormat="1" outlineLevel="1">
      <c r="A43" s="126" t="s">
        <v>52</v>
      </c>
      <c r="B43" s="117">
        <v>0</v>
      </c>
      <c r="C43" s="118">
        <v>0</v>
      </c>
      <c r="D43" s="118">
        <v>1.9397000000000001E-2</v>
      </c>
      <c r="E43" s="118">
        <v>1.9396E-2</v>
      </c>
      <c r="F43" s="118">
        <v>1.9397000000000001E-2</v>
      </c>
      <c r="G43" s="118">
        <v>1.9396E-2</v>
      </c>
      <c r="H43" s="118">
        <v>1.9397000000000001E-2</v>
      </c>
      <c r="I43" s="118">
        <v>1.9396E-2</v>
      </c>
      <c r="J43" s="118">
        <v>1.9397000000000001E-2</v>
      </c>
      <c r="K43" s="118">
        <v>1.9396E-2</v>
      </c>
      <c r="L43" s="118">
        <v>1.9397000000000001E-2</v>
      </c>
      <c r="M43" s="118">
        <v>1.9396E-2</v>
      </c>
      <c r="N43" s="119">
        <f t="shared" si="0"/>
        <v>0.193965</v>
      </c>
      <c r="R43" s="120">
        <f t="shared" ca="1" si="5"/>
        <v>0</v>
      </c>
    </row>
    <row r="44" spans="1:18" s="115" customFormat="1" outlineLevel="1">
      <c r="A44" s="126" t="s">
        <v>53</v>
      </c>
      <c r="B44" s="117">
        <v>2.0249890000000001</v>
      </c>
      <c r="C44" s="118">
        <v>0</v>
      </c>
      <c r="D44" s="118">
        <v>0</v>
      </c>
      <c r="E44" s="118">
        <v>0</v>
      </c>
      <c r="F44" s="118">
        <v>0</v>
      </c>
      <c r="G44" s="118">
        <v>0</v>
      </c>
      <c r="H44" s="118">
        <v>0</v>
      </c>
      <c r="I44" s="118">
        <v>1.672264</v>
      </c>
      <c r="J44" s="118">
        <v>0</v>
      </c>
      <c r="K44" s="118">
        <v>0</v>
      </c>
      <c r="L44" s="118">
        <v>0</v>
      </c>
      <c r="M44" s="118">
        <v>0</v>
      </c>
      <c r="N44" s="119">
        <f t="shared" si="0"/>
        <v>3.6972529999999999</v>
      </c>
      <c r="R44" s="120">
        <f t="shared" ca="1" si="5"/>
        <v>2.0249890000000001</v>
      </c>
    </row>
    <row r="45" spans="1:18" s="115" customFormat="1" outlineLevel="1">
      <c r="A45" s="126" t="s">
        <v>66</v>
      </c>
      <c r="B45" s="117">
        <v>0.99582800000000005</v>
      </c>
      <c r="C45" s="118">
        <v>0.6973680000000001</v>
      </c>
      <c r="D45" s="118">
        <v>2.2105610000000002</v>
      </c>
      <c r="E45" s="118">
        <v>1.5476220000000003</v>
      </c>
      <c r="F45" s="118">
        <v>2.1628069999999999</v>
      </c>
      <c r="G45" s="118">
        <v>4.1455479999999998</v>
      </c>
      <c r="H45" s="118">
        <v>1.5761350000000001</v>
      </c>
      <c r="I45" s="118">
        <v>3.26593</v>
      </c>
      <c r="J45" s="118">
        <v>4.2979019999999997</v>
      </c>
      <c r="K45" s="118">
        <v>2.472696</v>
      </c>
      <c r="L45" s="118">
        <v>1.8688999999999998</v>
      </c>
      <c r="M45" s="118">
        <v>0.34181500000000004</v>
      </c>
      <c r="N45" s="119">
        <f t="shared" si="0"/>
        <v>25.583112000000003</v>
      </c>
      <c r="R45" s="120">
        <f t="shared" ca="1" si="5"/>
        <v>1.6931960000000001</v>
      </c>
    </row>
    <row r="46" spans="1:18" ht="14.25" thickBot="1">
      <c r="A46" s="128" t="s">
        <v>1</v>
      </c>
      <c r="B46" s="129">
        <f>B28-B29</f>
        <v>-18.773469000000013</v>
      </c>
      <c r="C46" s="130">
        <f t="shared" ref="C46:O46" si="8">C28-C29</f>
        <v>-19.360610999999992</v>
      </c>
      <c r="D46" s="130">
        <f t="shared" si="8"/>
        <v>162.54190100000008</v>
      </c>
      <c r="E46" s="130">
        <f t="shared" si="8"/>
        <v>58.735101000000064</v>
      </c>
      <c r="F46" s="130">
        <f t="shared" si="8"/>
        <v>0.51736199999997723</v>
      </c>
      <c r="G46" s="130">
        <f t="shared" si="8"/>
        <v>-35.598379999999977</v>
      </c>
      <c r="H46" s="130">
        <f t="shared" si="8"/>
        <v>-30.933804000000038</v>
      </c>
      <c r="I46" s="130">
        <f t="shared" si="8"/>
        <v>11.044903999999988</v>
      </c>
      <c r="J46" s="130">
        <f t="shared" si="8"/>
        <v>98.019841999999997</v>
      </c>
      <c r="K46" s="130">
        <f t="shared" si="8"/>
        <v>77.606107999999992</v>
      </c>
      <c r="L46" s="130">
        <f t="shared" si="8"/>
        <v>12.604186999999982</v>
      </c>
      <c r="M46" s="130">
        <f t="shared" si="8"/>
        <v>21.063392999999984</v>
      </c>
      <c r="N46" s="130">
        <f t="shared" si="0"/>
        <v>337.46653400000002</v>
      </c>
      <c r="O46" s="130">
        <f t="shared" si="8"/>
        <v>143.18129000000008</v>
      </c>
      <c r="R46" s="130">
        <f t="shared" ca="1" si="5"/>
        <v>-38.134080000000004</v>
      </c>
    </row>
  </sheetData>
  <phoneticPr fontId="2" type="noConversion"/>
  <hyperlinks>
    <hyperlink ref="C1" location="目录!A1" display="返回首页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7" orientation="landscape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U61"/>
  <sheetViews>
    <sheetView zoomScaleNormal="100" workbookViewId="0">
      <pane xSplit="1" ySplit="10" topLeftCell="B11" activePane="bottomRight" state="frozen"/>
      <selection activeCell="A49" sqref="A49"/>
      <selection pane="topRight" activeCell="A49" sqref="A49"/>
      <selection pane="bottomLeft" activeCell="A49" sqref="A49"/>
      <selection pane="bottomRight" activeCell="Q1" sqref="Q1:S1048576"/>
    </sheetView>
  </sheetViews>
  <sheetFormatPr defaultColWidth="8.625" defaultRowHeight="13.5" outlineLevelRow="1"/>
  <cols>
    <col min="1" max="1" width="30.25" style="131" customWidth="1"/>
    <col min="2" max="7" width="9.125" style="131" customWidth="1"/>
    <col min="8" max="14" width="8.625" style="131" customWidth="1"/>
    <col min="15" max="15" width="12.75" style="131" hidden="1" customWidth="1"/>
    <col min="16" max="16" width="11.625" style="131" hidden="1" customWidth="1"/>
    <col min="17" max="17" width="12.75" style="131" hidden="1" customWidth="1"/>
    <col min="18" max="18" width="9.5" style="131" hidden="1" customWidth="1"/>
    <col min="19" max="19" width="0" style="131" hidden="1" customWidth="1"/>
    <col min="20" max="16384" width="8.625" style="131"/>
  </cols>
  <sheetData>
    <row r="1" spans="1:21" s="110" customFormat="1" ht="21.95" customHeight="1" thickBot="1">
      <c r="A1" s="110" t="s">
        <v>498</v>
      </c>
      <c r="C1" s="111" t="s">
        <v>499</v>
      </c>
      <c r="R1" s="170"/>
    </row>
    <row r="2" spans="1:21" s="115" customFormat="1" ht="17.45" customHeight="1">
      <c r="A2" s="112" t="s">
        <v>500</v>
      </c>
      <c r="B2" s="113" t="s">
        <v>501</v>
      </c>
      <c r="C2" s="114" t="s">
        <v>69</v>
      </c>
      <c r="D2" s="114" t="s">
        <v>70</v>
      </c>
      <c r="E2" s="114" t="s">
        <v>71</v>
      </c>
      <c r="F2" s="114" t="s">
        <v>72</v>
      </c>
      <c r="G2" s="114" t="s">
        <v>73</v>
      </c>
      <c r="H2" s="114" t="s">
        <v>74</v>
      </c>
      <c r="I2" s="114" t="s">
        <v>75</v>
      </c>
      <c r="J2" s="114" t="s">
        <v>76</v>
      </c>
      <c r="K2" s="114" t="s">
        <v>77</v>
      </c>
      <c r="L2" s="114" t="s">
        <v>78</v>
      </c>
      <c r="M2" s="114" t="s">
        <v>79</v>
      </c>
      <c r="N2" s="114" t="s">
        <v>502</v>
      </c>
      <c r="R2" s="170" t="s">
        <v>557</v>
      </c>
    </row>
    <row r="3" spans="1:21" s="115" customFormat="1" ht="17.45" customHeight="1">
      <c r="A3" s="116" t="s">
        <v>497</v>
      </c>
      <c r="B3" s="117">
        <v>399.08690000000001</v>
      </c>
      <c r="C3" s="118">
        <v>894.53309999999999</v>
      </c>
      <c r="D3" s="118">
        <v>1070.7258999999999</v>
      </c>
      <c r="E3" s="118">
        <v>1023.0953</v>
      </c>
      <c r="F3" s="118">
        <v>963.34159999999997</v>
      </c>
      <c r="G3" s="118">
        <f>16188350/10000</f>
        <v>1618.835</v>
      </c>
      <c r="H3" s="118">
        <f>3795975/10000</f>
        <v>379.59750000000003</v>
      </c>
      <c r="I3" s="118">
        <f>10279679/10000</f>
        <v>1027.9679000000001</v>
      </c>
      <c r="J3" s="118">
        <v>865.04</v>
      </c>
      <c r="K3" s="118">
        <f>1147.4653</f>
        <v>1147.4653000000001</v>
      </c>
      <c r="L3" s="118">
        <v>1552.5415</v>
      </c>
      <c r="M3" s="118">
        <v>1906.7528</v>
      </c>
      <c r="N3" s="119">
        <f>SUM(B3:M3)</f>
        <v>12848.9828</v>
      </c>
      <c r="O3" s="120"/>
      <c r="R3" s="120">
        <f ca="1">SUM(OFFSET(A3,0,1,1,LEFT($R$2,2*LEN($R$2)-LENB($R$2))))</f>
        <v>1293.6199999999999</v>
      </c>
      <c r="S3" s="120"/>
    </row>
    <row r="4" spans="1:21" s="115" customFormat="1" ht="17.45" customHeight="1">
      <c r="A4" s="116" t="s">
        <v>0</v>
      </c>
      <c r="B4" s="117">
        <v>207.75390857142861</v>
      </c>
      <c r="C4" s="118">
        <v>547.40230337142862</v>
      </c>
      <c r="D4" s="118">
        <v>665.08571428571429</v>
      </c>
      <c r="E4" s="118">
        <v>627.50514285714291</v>
      </c>
      <c r="F4" s="118">
        <f t="shared" ref="F4:M4" si="0">F5/0.35</f>
        <v>568.84619391428566</v>
      </c>
      <c r="G4" s="118">
        <f t="shared" si="0"/>
        <v>869.24545848571427</v>
      </c>
      <c r="H4" s="118">
        <f t="shared" si="0"/>
        <v>232.26676368571424</v>
      </c>
      <c r="I4" s="118">
        <f t="shared" si="0"/>
        <v>560.03385339999988</v>
      </c>
      <c r="J4" s="118">
        <f t="shared" si="0"/>
        <v>534.81729319999999</v>
      </c>
      <c r="K4" s="118">
        <f t="shared" si="0"/>
        <v>638.12810497142857</v>
      </c>
      <c r="L4" s="118">
        <f t="shared" si="0"/>
        <v>815.06473828571416</v>
      </c>
      <c r="M4" s="118">
        <f t="shared" si="0"/>
        <v>1198.3052714285714</v>
      </c>
      <c r="N4" s="119">
        <f t="shared" ref="N4:N46" si="1">SUM(B4:M4)</f>
        <v>7464.4547464571424</v>
      </c>
      <c r="O4" s="120"/>
      <c r="P4" s="158"/>
      <c r="R4" s="120">
        <f t="shared" ref="R4:R8" ca="1" si="2">SUM(OFFSET(A4,0,1,1,LEFT($R$2,2*LEN($R$2)-LENB($R$2))))</f>
        <v>755.15621194285723</v>
      </c>
      <c r="S4" s="120"/>
    </row>
    <row r="5" spans="1:21" s="115" customFormat="1" ht="17.45" customHeight="1">
      <c r="A5" s="116" t="s">
        <v>503</v>
      </c>
      <c r="B5" s="117">
        <v>72.713868000000005</v>
      </c>
      <c r="C5" s="118">
        <v>191.59080617999999</v>
      </c>
      <c r="D5" s="118">
        <v>232.77999999999997</v>
      </c>
      <c r="E5" s="118">
        <v>219.6268</v>
      </c>
      <c r="F5" s="118">
        <f t="shared" ref="F5:M5" si="3">F6*1.13</f>
        <v>199.09616786999996</v>
      </c>
      <c r="G5" s="118">
        <f t="shared" si="3"/>
        <v>304.23591046999996</v>
      </c>
      <c r="H5" s="118">
        <f t="shared" si="3"/>
        <v>81.293367289999978</v>
      </c>
      <c r="I5" s="118">
        <f t="shared" si="3"/>
        <v>196.01184868999997</v>
      </c>
      <c r="J5" s="118">
        <f t="shared" si="3"/>
        <v>187.18605262</v>
      </c>
      <c r="K5" s="118">
        <f t="shared" si="3"/>
        <v>223.34483673999998</v>
      </c>
      <c r="L5" s="118">
        <f t="shared" si="3"/>
        <v>285.27265839999995</v>
      </c>
      <c r="M5" s="118">
        <f t="shared" si="3"/>
        <v>419.40684499999998</v>
      </c>
      <c r="N5" s="119">
        <f t="shared" si="1"/>
        <v>2612.5591612599997</v>
      </c>
      <c r="O5" s="120"/>
      <c r="P5" s="191"/>
      <c r="R5" s="120">
        <f t="shared" ca="1" si="2"/>
        <v>264.30467418000001</v>
      </c>
      <c r="S5" s="120"/>
    </row>
    <row r="6" spans="1:21" s="115" customFormat="1" ht="17.45" customHeight="1">
      <c r="A6" s="116" t="s">
        <v>504</v>
      </c>
      <c r="B6" s="117">
        <v>64.348557999999997</v>
      </c>
      <c r="C6" s="118">
        <v>169.549386</v>
      </c>
      <c r="D6" s="118">
        <v>206.287327</v>
      </c>
      <c r="E6" s="118">
        <v>194.36262500000001</v>
      </c>
      <c r="F6" s="118">
        <v>176.19129899999999</v>
      </c>
      <c r="G6" s="118">
        <f>2692353.19/10000</f>
        <v>269.235319</v>
      </c>
      <c r="H6" s="118">
        <f>719410.33/10000</f>
        <v>71.94103299999999</v>
      </c>
      <c r="I6" s="118">
        <f>1734618.13/10000</f>
        <v>173.46181299999998</v>
      </c>
      <c r="J6" s="118">
        <v>165.651374</v>
      </c>
      <c r="K6" s="118">
        <v>197.65029799999999</v>
      </c>
      <c r="L6" s="118">
        <v>252.45367999999999</v>
      </c>
      <c r="M6" s="118">
        <v>371.15649999999999</v>
      </c>
      <c r="N6" s="119">
        <f t="shared" si="1"/>
        <v>2312.2892120000001</v>
      </c>
      <c r="O6" s="120"/>
      <c r="P6" s="158"/>
      <c r="R6" s="120">
        <f t="shared" ca="1" si="2"/>
        <v>233.897944</v>
      </c>
      <c r="S6" s="120"/>
    </row>
    <row r="7" spans="1:21" s="115" customFormat="1" ht="17.45" customHeight="1">
      <c r="A7" s="116" t="s">
        <v>505</v>
      </c>
      <c r="B7" s="117">
        <v>14.589727999999999</v>
      </c>
      <c r="C7" s="118">
        <v>50.643021999999995</v>
      </c>
      <c r="D7" s="118">
        <v>63.574669999999998</v>
      </c>
      <c r="E7" s="118">
        <v>66.822840999999997</v>
      </c>
      <c r="F7" s="118">
        <v>50.616816999999998</v>
      </c>
      <c r="G7" s="118">
        <f>647698.09/10000</f>
        <v>64.769808999999995</v>
      </c>
      <c r="H7" s="118">
        <f>226523.68/10000</f>
        <v>22.652367999999999</v>
      </c>
      <c r="I7" s="118">
        <v>58.115867000000001</v>
      </c>
      <c r="J7" s="118">
        <v>43.615270000000002</v>
      </c>
      <c r="K7" s="118">
        <v>57.797517000000006</v>
      </c>
      <c r="L7" s="118">
        <v>90.905837000000005</v>
      </c>
      <c r="M7" s="118">
        <v>104.08060500000001</v>
      </c>
      <c r="N7" s="119">
        <f t="shared" si="1"/>
        <v>688.18435099999999</v>
      </c>
      <c r="P7" s="158"/>
      <c r="R7" s="120">
        <f t="shared" ca="1" si="2"/>
        <v>65.232749999999996</v>
      </c>
      <c r="S7" s="120"/>
    </row>
    <row r="8" spans="1:21" s="115" customFormat="1" ht="17.45" customHeight="1">
      <c r="A8" s="121" t="s">
        <v>506</v>
      </c>
      <c r="B8" s="122">
        <f>B6-B7</f>
        <v>49.758829999999996</v>
      </c>
      <c r="C8" s="119">
        <f t="shared" ref="C8:M8" si="4">C6-C7</f>
        <v>118.906364</v>
      </c>
      <c r="D8" s="119">
        <f t="shared" si="4"/>
        <v>142.71265700000001</v>
      </c>
      <c r="E8" s="119">
        <f t="shared" si="4"/>
        <v>127.53978400000001</v>
      </c>
      <c r="F8" s="119">
        <f t="shared" si="4"/>
        <v>125.57448199999999</v>
      </c>
      <c r="G8" s="119">
        <f t="shared" si="4"/>
        <v>204.46550999999999</v>
      </c>
      <c r="H8" s="119">
        <f t="shared" si="4"/>
        <v>49.288664999999995</v>
      </c>
      <c r="I8" s="119">
        <f t="shared" si="4"/>
        <v>115.34594599999997</v>
      </c>
      <c r="J8" s="119">
        <f t="shared" si="4"/>
        <v>122.03610399999999</v>
      </c>
      <c r="K8" s="119">
        <f t="shared" si="4"/>
        <v>139.85278099999999</v>
      </c>
      <c r="L8" s="119">
        <f t="shared" si="4"/>
        <v>161.547843</v>
      </c>
      <c r="M8" s="119">
        <f t="shared" si="4"/>
        <v>267.075895</v>
      </c>
      <c r="N8" s="119">
        <f t="shared" si="1"/>
        <v>1624.104861</v>
      </c>
      <c r="R8" s="120">
        <f t="shared" ca="1" si="2"/>
        <v>168.66519399999999</v>
      </c>
      <c r="S8" s="120"/>
    </row>
    <row r="9" spans="1:21" s="115" customFormat="1" ht="17.45" customHeight="1">
      <c r="A9" s="123" t="s">
        <v>507</v>
      </c>
      <c r="B9" s="124">
        <f>IFERROR(B8/B6,0)</f>
        <v>0.77327031943746116</v>
      </c>
      <c r="C9" s="125">
        <f t="shared" ref="C9:N9" si="5">IFERROR(C8/C6,0)</f>
        <v>0.70130813685164273</v>
      </c>
      <c r="D9" s="125">
        <f t="shared" si="5"/>
        <v>0.69181495090098288</v>
      </c>
      <c r="E9" s="125">
        <f t="shared" si="5"/>
        <v>0.65619500662743158</v>
      </c>
      <c r="F9" s="125">
        <f t="shared" si="5"/>
        <v>0.71271670458596259</v>
      </c>
      <c r="G9" s="125">
        <f t="shared" si="5"/>
        <v>0.75943048913281685</v>
      </c>
      <c r="H9" s="125">
        <f t="shared" si="5"/>
        <v>0.68512590026334486</v>
      </c>
      <c r="I9" s="125">
        <f t="shared" si="5"/>
        <v>0.66496448990764312</v>
      </c>
      <c r="J9" s="125">
        <f t="shared" si="5"/>
        <v>0.73670444773974519</v>
      </c>
      <c r="K9" s="125">
        <f t="shared" si="5"/>
        <v>0.70757687903916033</v>
      </c>
      <c r="L9" s="125">
        <f t="shared" si="5"/>
        <v>0.63991082641378016</v>
      </c>
      <c r="M9" s="125">
        <f t="shared" si="5"/>
        <v>0.7195775771136973</v>
      </c>
      <c r="N9" s="125">
        <f t="shared" si="5"/>
        <v>0.70237963857265096</v>
      </c>
      <c r="S9" s="120"/>
    </row>
    <row r="10" spans="1:21" s="115" customFormat="1" ht="17.45" customHeight="1">
      <c r="A10" s="121" t="s">
        <v>508</v>
      </c>
      <c r="B10" s="122">
        <f t="shared" ref="B10:M10" si="6">SUM(B11:B27)</f>
        <v>54.577967000000001</v>
      </c>
      <c r="C10" s="119">
        <f t="shared" si="6"/>
        <v>66.051073000000002</v>
      </c>
      <c r="D10" s="119">
        <f t="shared" si="6"/>
        <v>123.24736300000001</v>
      </c>
      <c r="E10" s="119">
        <f t="shared" si="6"/>
        <v>68.044015999999999</v>
      </c>
      <c r="F10" s="119">
        <f t="shared" si="6"/>
        <v>60.183551000000001</v>
      </c>
      <c r="G10" s="119">
        <f t="shared" si="6"/>
        <v>142.231289</v>
      </c>
      <c r="H10" s="119">
        <f t="shared" si="6"/>
        <v>47.432480999999996</v>
      </c>
      <c r="I10" s="119">
        <f t="shared" si="6"/>
        <v>91.972872999999993</v>
      </c>
      <c r="J10" s="119">
        <f t="shared" si="6"/>
        <v>83.493030000000005</v>
      </c>
      <c r="K10" s="119">
        <f t="shared" si="6"/>
        <v>71.247534999999985</v>
      </c>
      <c r="L10" s="119">
        <f t="shared" si="6"/>
        <v>71.072445999999999</v>
      </c>
      <c r="M10" s="119">
        <f t="shared" si="6"/>
        <v>105.02148100000001</v>
      </c>
      <c r="N10" s="119">
        <f>SUM(B10:M10)</f>
        <v>984.57510499999989</v>
      </c>
      <c r="Q10" s="120"/>
      <c r="R10" s="119">
        <f t="shared" ref="R10:R46" ca="1" si="7">SUM(OFFSET(A10,0,1,1,LEFT($R$2,2*LEN($R$2)-LENB($R$2))))</f>
        <v>120.62904</v>
      </c>
      <c r="S10" s="120"/>
    </row>
    <row r="11" spans="1:21" s="115" customFormat="1" ht="17.45" customHeight="1" outlineLevel="1">
      <c r="A11" s="126" t="s">
        <v>39</v>
      </c>
      <c r="B11" s="117">
        <v>13.233163000000001</v>
      </c>
      <c r="C11" s="118">
        <v>30.86458</v>
      </c>
      <c r="D11" s="118">
        <v>26.426511999999999</v>
      </c>
      <c r="E11" s="118">
        <v>14.673299000000002</v>
      </c>
      <c r="F11" s="118">
        <v>21.491037000000002</v>
      </c>
      <c r="G11" s="118">
        <v>48.110092000000002</v>
      </c>
      <c r="H11" s="118">
        <v>6.0904729999999994</v>
      </c>
      <c r="I11" s="118">
        <v>24.813844</v>
      </c>
      <c r="J11" s="118">
        <v>19.279738999999999</v>
      </c>
      <c r="K11" s="118">
        <v>26.281048999999999</v>
      </c>
      <c r="L11" s="118">
        <v>23.12678</v>
      </c>
      <c r="M11" s="118">
        <v>39.637098000000002</v>
      </c>
      <c r="N11" s="119">
        <f t="shared" si="1"/>
        <v>294.02766600000001</v>
      </c>
      <c r="P11" s="156"/>
      <c r="Q11" s="156"/>
      <c r="R11" s="120">
        <f t="shared" ca="1" si="7"/>
        <v>44.097743000000001</v>
      </c>
      <c r="S11" s="120"/>
      <c r="T11" s="156"/>
      <c r="U11" s="156"/>
    </row>
    <row r="12" spans="1:21" s="115" customFormat="1" ht="17.45" customHeight="1" outlineLevel="1">
      <c r="A12" s="126" t="s">
        <v>40</v>
      </c>
      <c r="B12" s="117">
        <v>0.16644</v>
      </c>
      <c r="C12" s="118">
        <v>0.21661999999999998</v>
      </c>
      <c r="D12" s="118">
        <v>0.78183999999999998</v>
      </c>
      <c r="E12" s="118">
        <v>0.73799999999999999</v>
      </c>
      <c r="F12" s="118">
        <v>2.4390000000000001</v>
      </c>
      <c r="G12" s="118">
        <v>6.5047199999999998</v>
      </c>
      <c r="H12" s="118">
        <v>0.55347999999999997</v>
      </c>
      <c r="I12" s="118">
        <v>2.5693879999999996</v>
      </c>
      <c r="J12" s="118">
        <f>3.80008+15672.7/10000</f>
        <v>5.3673500000000001</v>
      </c>
      <c r="K12" s="118">
        <v>2.8049849999999998</v>
      </c>
      <c r="L12" s="118">
        <f>2.56265+1157.3/10000</f>
        <v>2.6783800000000002</v>
      </c>
      <c r="M12" s="118">
        <v>3.5777200000000002</v>
      </c>
      <c r="N12" s="119">
        <f t="shared" si="1"/>
        <v>28.397922999999999</v>
      </c>
      <c r="P12" s="156"/>
      <c r="Q12" s="120"/>
      <c r="R12" s="120">
        <f t="shared" ca="1" si="7"/>
        <v>0.38305999999999996</v>
      </c>
      <c r="S12" s="120"/>
    </row>
    <row r="13" spans="1:21" s="115" customFormat="1" ht="17.45" customHeight="1" outlineLevel="1">
      <c r="A13" s="126" t="s">
        <v>41</v>
      </c>
      <c r="B13" s="117">
        <v>0</v>
      </c>
      <c r="C13" s="118">
        <v>0</v>
      </c>
      <c r="D13" s="118">
        <v>0</v>
      </c>
      <c r="E13" s="118">
        <v>0</v>
      </c>
      <c r="F13" s="118">
        <v>0</v>
      </c>
      <c r="G13" s="118">
        <v>0</v>
      </c>
      <c r="H13" s="118">
        <v>0</v>
      </c>
      <c r="I13" s="118"/>
      <c r="J13" s="118"/>
      <c r="K13" s="118">
        <v>0</v>
      </c>
      <c r="L13" s="118"/>
      <c r="M13" s="118"/>
      <c r="N13" s="119">
        <f t="shared" si="1"/>
        <v>0</v>
      </c>
      <c r="P13" s="156"/>
      <c r="R13" s="120">
        <f t="shared" ca="1" si="7"/>
        <v>0</v>
      </c>
      <c r="S13" s="120"/>
    </row>
    <row r="14" spans="1:21" s="115" customFormat="1" ht="17.45" customHeight="1" outlineLevel="1">
      <c r="A14" s="126" t="s">
        <v>42</v>
      </c>
      <c r="B14" s="117">
        <v>0</v>
      </c>
      <c r="C14" s="118">
        <v>0</v>
      </c>
      <c r="D14" s="118">
        <v>0</v>
      </c>
      <c r="E14" s="118">
        <v>0</v>
      </c>
      <c r="F14" s="118">
        <v>0</v>
      </c>
      <c r="G14" s="118">
        <v>0</v>
      </c>
      <c r="H14" s="118">
        <v>0</v>
      </c>
      <c r="I14" s="118"/>
      <c r="J14" s="118"/>
      <c r="K14" s="118">
        <v>0</v>
      </c>
      <c r="L14" s="118"/>
      <c r="M14" s="118"/>
      <c r="N14" s="119">
        <f t="shared" si="1"/>
        <v>0</v>
      </c>
      <c r="P14" s="156"/>
      <c r="Q14" s="120"/>
      <c r="R14" s="120">
        <f t="shared" ca="1" si="7"/>
        <v>0</v>
      </c>
      <c r="S14" s="120"/>
    </row>
    <row r="15" spans="1:21" s="115" customFormat="1" ht="17.45" customHeight="1" outlineLevel="1">
      <c r="A15" s="126" t="s">
        <v>43</v>
      </c>
      <c r="B15" s="117">
        <v>0</v>
      </c>
      <c r="C15" s="118">
        <v>0</v>
      </c>
      <c r="D15" s="118">
        <v>0</v>
      </c>
      <c r="E15" s="118">
        <v>0</v>
      </c>
      <c r="F15" s="118">
        <v>0</v>
      </c>
      <c r="G15" s="118">
        <v>0</v>
      </c>
      <c r="H15" s="118">
        <v>0</v>
      </c>
      <c r="I15" s="118"/>
      <c r="J15" s="118"/>
      <c r="K15" s="118">
        <v>0</v>
      </c>
      <c r="L15" s="118"/>
      <c r="M15" s="118"/>
      <c r="N15" s="119">
        <f t="shared" si="1"/>
        <v>0</v>
      </c>
      <c r="P15" s="156"/>
      <c r="R15" s="120">
        <f t="shared" ca="1" si="7"/>
        <v>0</v>
      </c>
      <c r="S15" s="120"/>
    </row>
    <row r="16" spans="1:21" s="115" customFormat="1" ht="17.45" customHeight="1" outlineLevel="1">
      <c r="A16" s="126" t="s">
        <v>44</v>
      </c>
      <c r="B16" s="117">
        <v>0</v>
      </c>
      <c r="C16" s="118">
        <v>0</v>
      </c>
      <c r="D16" s="118">
        <v>0</v>
      </c>
      <c r="E16" s="118">
        <v>0</v>
      </c>
      <c r="F16" s="118">
        <v>0</v>
      </c>
      <c r="G16" s="118">
        <v>0</v>
      </c>
      <c r="H16" s="118">
        <v>0</v>
      </c>
      <c r="I16" s="118"/>
      <c r="J16" s="118"/>
      <c r="K16" s="118">
        <v>0</v>
      </c>
      <c r="L16" s="118"/>
      <c r="M16" s="118"/>
      <c r="N16" s="119">
        <f t="shared" si="1"/>
        <v>0</v>
      </c>
      <c r="P16" s="156"/>
      <c r="R16" s="120">
        <f t="shared" ca="1" si="7"/>
        <v>0</v>
      </c>
      <c r="S16" s="120"/>
    </row>
    <row r="17" spans="1:19" s="115" customFormat="1" outlineLevel="1">
      <c r="A17" s="126" t="s">
        <v>45</v>
      </c>
      <c r="B17" s="117"/>
      <c r="C17" s="118"/>
      <c r="D17" s="118"/>
      <c r="E17" s="118">
        <v>1.8867919999999998</v>
      </c>
      <c r="F17" s="118">
        <v>0</v>
      </c>
      <c r="G17" s="118">
        <v>18.867923999999999</v>
      </c>
      <c r="H17" s="118">
        <v>0</v>
      </c>
      <c r="I17" s="118">
        <v>18.867923999999999</v>
      </c>
      <c r="J17" s="118">
        <v>18.867923999999999</v>
      </c>
      <c r="K17" s="118">
        <v>2.970297</v>
      </c>
      <c r="L17" s="118">
        <v>1.3230520000000001</v>
      </c>
      <c r="M17" s="118">
        <v>-0.14010799999999998</v>
      </c>
      <c r="N17" s="119">
        <f t="shared" si="1"/>
        <v>62.643804999999993</v>
      </c>
      <c r="P17" s="156"/>
      <c r="R17" s="120">
        <f t="shared" ca="1" si="7"/>
        <v>0</v>
      </c>
      <c r="S17" s="120"/>
    </row>
    <row r="18" spans="1:19" s="115" customFormat="1" outlineLevel="1">
      <c r="A18" s="126" t="s">
        <v>46</v>
      </c>
      <c r="B18" s="117">
        <v>0</v>
      </c>
      <c r="C18" s="118">
        <v>0</v>
      </c>
      <c r="D18" s="118">
        <v>0</v>
      </c>
      <c r="E18" s="118">
        <v>0</v>
      </c>
      <c r="F18" s="118">
        <v>0</v>
      </c>
      <c r="G18" s="118">
        <v>0</v>
      </c>
      <c r="H18" s="118">
        <v>0</v>
      </c>
      <c r="I18" s="118"/>
      <c r="J18" s="118"/>
      <c r="K18" s="118">
        <v>0</v>
      </c>
      <c r="L18" s="118">
        <v>0</v>
      </c>
      <c r="M18" s="118"/>
      <c r="N18" s="119">
        <f t="shared" si="1"/>
        <v>0</v>
      </c>
      <c r="P18" s="156"/>
      <c r="R18" s="120">
        <f t="shared" ca="1" si="7"/>
        <v>0</v>
      </c>
      <c r="S18" s="120"/>
    </row>
    <row r="19" spans="1:19" s="115" customFormat="1" outlineLevel="1">
      <c r="A19" s="126" t="s">
        <v>47</v>
      </c>
      <c r="B19" s="117">
        <v>0</v>
      </c>
      <c r="C19" s="118">
        <v>0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/>
      <c r="J19" s="118"/>
      <c r="K19" s="118">
        <v>0</v>
      </c>
      <c r="L19" s="118">
        <v>0</v>
      </c>
      <c r="M19" s="118"/>
      <c r="N19" s="119">
        <f t="shared" si="1"/>
        <v>0</v>
      </c>
      <c r="P19" s="156"/>
      <c r="R19" s="120">
        <f t="shared" ca="1" si="7"/>
        <v>0</v>
      </c>
      <c r="S19" s="120"/>
    </row>
    <row r="20" spans="1:19" s="115" customFormat="1" outlineLevel="1">
      <c r="A20" s="126" t="s">
        <v>48</v>
      </c>
      <c r="B20" s="117">
        <v>0</v>
      </c>
      <c r="C20" s="118">
        <v>0</v>
      </c>
      <c r="D20" s="118">
        <v>0</v>
      </c>
      <c r="E20" s="118">
        <v>0</v>
      </c>
      <c r="F20" s="118">
        <v>0</v>
      </c>
      <c r="G20" s="118">
        <v>0</v>
      </c>
      <c r="H20" s="118">
        <v>0</v>
      </c>
      <c r="I20" s="118"/>
      <c r="J20" s="118"/>
      <c r="K20" s="118">
        <v>0</v>
      </c>
      <c r="L20" s="118">
        <v>0</v>
      </c>
      <c r="M20" s="118"/>
      <c r="N20" s="119">
        <f t="shared" si="1"/>
        <v>0</v>
      </c>
      <c r="P20" s="156"/>
      <c r="R20" s="120">
        <f t="shared" ca="1" si="7"/>
        <v>0</v>
      </c>
      <c r="S20" s="120"/>
    </row>
    <row r="21" spans="1:19" s="115" customFormat="1" outlineLevel="1">
      <c r="A21" s="126" t="s">
        <v>49</v>
      </c>
      <c r="B21" s="117">
        <v>14.392827000000004</v>
      </c>
      <c r="C21" s="118">
        <v>29.134592000000005</v>
      </c>
      <c r="D21" s="118">
        <v>85.712372999999999</v>
      </c>
      <c r="E21" s="118">
        <v>41.137121999999998</v>
      </c>
      <c r="F21" s="118">
        <v>16.473064999999998</v>
      </c>
      <c r="G21" s="118">
        <v>44.388344000000004</v>
      </c>
      <c r="H21" s="118">
        <v>22.580115999999997</v>
      </c>
      <c r="I21" s="118">
        <v>21.982647999999998</v>
      </c>
      <c r="J21" s="118">
        <v>19.019569999999995</v>
      </c>
      <c r="K21" s="118">
        <v>19.121822999999992</v>
      </c>
      <c r="L21" s="118">
        <v>19.273114</v>
      </c>
      <c r="M21" s="118">
        <v>36.980556999999997</v>
      </c>
      <c r="N21" s="119">
        <f>SUM(B21:M21)</f>
        <v>370.19615100000004</v>
      </c>
      <c r="O21" s="115" t="s">
        <v>513</v>
      </c>
      <c r="P21" s="156"/>
      <c r="R21" s="120">
        <f t="shared" ca="1" si="7"/>
        <v>43.527419000000009</v>
      </c>
      <c r="S21" s="120"/>
    </row>
    <row r="22" spans="1:19" s="115" customFormat="1" outlineLevel="1">
      <c r="A22" s="126" t="s">
        <v>50</v>
      </c>
      <c r="B22" s="117">
        <v>-9.9999999947613104E-7</v>
      </c>
      <c r="C22" s="118">
        <v>2.0513E-2</v>
      </c>
      <c r="D22" s="118">
        <v>0</v>
      </c>
      <c r="E22" s="118">
        <v>0</v>
      </c>
      <c r="F22" s="118">
        <v>9.912E-2</v>
      </c>
      <c r="G22" s="118">
        <v>0.45661999999999997</v>
      </c>
      <c r="H22" s="118">
        <v>6.7500000000000004E-2</v>
      </c>
      <c r="I22" s="118">
        <v>0.45185299999999995</v>
      </c>
      <c r="J22" s="118">
        <v>0.314</v>
      </c>
      <c r="K22" s="118">
        <v>1.6E-2</v>
      </c>
      <c r="L22" s="118">
        <v>0.16350000000000001</v>
      </c>
      <c r="M22" s="118">
        <v>0</v>
      </c>
      <c r="N22" s="119">
        <f t="shared" si="1"/>
        <v>1.5891050000000004</v>
      </c>
      <c r="O22" s="115" t="s">
        <v>15</v>
      </c>
      <c r="P22" s="156"/>
      <c r="R22" s="120">
        <f t="shared" ca="1" si="7"/>
        <v>2.0512000000000523E-2</v>
      </c>
      <c r="S22" s="120"/>
    </row>
    <row r="23" spans="1:19" s="115" customFormat="1" outlineLevel="1">
      <c r="A23" s="126" t="s">
        <v>51</v>
      </c>
      <c r="B23" s="117">
        <v>7.0746279999999997</v>
      </c>
      <c r="C23" s="118">
        <v>1.1720520000000003</v>
      </c>
      <c r="D23" s="118">
        <v>5.4895139999999998</v>
      </c>
      <c r="E23" s="118">
        <v>4.0631600000000008</v>
      </c>
      <c r="F23" s="118">
        <v>4.9463679999999997</v>
      </c>
      <c r="G23" s="118">
        <v>5.6891099999999994</v>
      </c>
      <c r="H23" s="118">
        <v>2.9913569999999998</v>
      </c>
      <c r="I23" s="118">
        <v>6.2252879999999999</v>
      </c>
      <c r="J23" s="118">
        <v>1.25265</v>
      </c>
      <c r="K23" s="118">
        <v>3.6159690000000002</v>
      </c>
      <c r="L23" s="118">
        <v>7.7369350000000008</v>
      </c>
      <c r="M23" s="118">
        <v>10.877673999999999</v>
      </c>
      <c r="N23" s="119">
        <f t="shared" si="1"/>
        <v>61.134705000000004</v>
      </c>
      <c r="O23" s="115" t="s">
        <v>12</v>
      </c>
      <c r="P23" s="156"/>
      <c r="R23" s="120">
        <f t="shared" ca="1" si="7"/>
        <v>8.2466799999999996</v>
      </c>
      <c r="S23" s="120"/>
    </row>
    <row r="24" spans="1:19" s="115" customFormat="1" outlineLevel="1">
      <c r="A24" s="126" t="s">
        <v>52</v>
      </c>
      <c r="B24" s="117">
        <v>5.1915999999999997E-2</v>
      </c>
      <c r="C24" s="118">
        <v>5.1915999999999997E-2</v>
      </c>
      <c r="D24" s="118">
        <v>5.1917000000000005E-2</v>
      </c>
      <c r="E24" s="118">
        <v>5.1914999999999996E-2</v>
      </c>
      <c r="F24" s="118">
        <v>5.1915999999999997E-2</v>
      </c>
      <c r="G24" s="118">
        <v>3.3647000000000003E-2</v>
      </c>
      <c r="H24" s="118">
        <v>3.3647000000000003E-2</v>
      </c>
      <c r="I24" s="118">
        <v>3.3647000000000003E-2</v>
      </c>
      <c r="J24" s="118">
        <v>3.3645999999999995E-2</v>
      </c>
      <c r="K24" s="118">
        <v>3.3648000000000004E-2</v>
      </c>
      <c r="L24" s="118">
        <v>3.3646000000000002E-2</v>
      </c>
      <c r="M24" s="118">
        <v>2.0220999999999999E-2</v>
      </c>
      <c r="N24" s="119">
        <f t="shared" si="1"/>
        <v>0.48168199999999994</v>
      </c>
      <c r="O24" s="115" t="s">
        <v>295</v>
      </c>
      <c r="P24" s="156"/>
      <c r="R24" s="120">
        <f t="shared" ca="1" si="7"/>
        <v>0.10383199999999999</v>
      </c>
      <c r="S24" s="120"/>
    </row>
    <row r="25" spans="1:19" s="115" customFormat="1" outlineLevel="1">
      <c r="A25" s="126" t="s">
        <v>53</v>
      </c>
      <c r="B25" s="117">
        <v>0</v>
      </c>
      <c r="C25" s="118">
        <v>0</v>
      </c>
      <c r="D25" s="118">
        <v>0</v>
      </c>
      <c r="E25" s="118">
        <v>0</v>
      </c>
      <c r="F25" s="118">
        <v>0</v>
      </c>
      <c r="G25" s="118">
        <v>0</v>
      </c>
      <c r="H25" s="118">
        <v>0</v>
      </c>
      <c r="I25" s="118"/>
      <c r="J25" s="118"/>
      <c r="K25" s="118">
        <v>0</v>
      </c>
      <c r="L25" s="118">
        <v>0</v>
      </c>
      <c r="M25" s="118">
        <v>0</v>
      </c>
      <c r="N25" s="119">
        <f t="shared" si="1"/>
        <v>0</v>
      </c>
      <c r="P25" s="156"/>
      <c r="R25" s="120">
        <f t="shared" ca="1" si="7"/>
        <v>0</v>
      </c>
      <c r="S25" s="120"/>
    </row>
    <row r="26" spans="1:19" s="115" customFormat="1" outlineLevel="1">
      <c r="A26" s="126" t="s">
        <v>54</v>
      </c>
      <c r="B26" s="117">
        <v>0</v>
      </c>
      <c r="C26" s="118">
        <v>0</v>
      </c>
      <c r="D26" s="118">
        <v>0</v>
      </c>
      <c r="E26" s="118">
        <v>0</v>
      </c>
      <c r="F26" s="118">
        <v>0</v>
      </c>
      <c r="G26" s="118">
        <v>0</v>
      </c>
      <c r="H26" s="118">
        <v>0</v>
      </c>
      <c r="I26" s="118"/>
      <c r="J26" s="118"/>
      <c r="K26" s="118">
        <v>0</v>
      </c>
      <c r="L26" s="118">
        <v>0</v>
      </c>
      <c r="M26" s="118">
        <v>0</v>
      </c>
      <c r="N26" s="119">
        <f t="shared" si="1"/>
        <v>0</v>
      </c>
      <c r="P26" s="156"/>
      <c r="R26" s="120">
        <f t="shared" ca="1" si="7"/>
        <v>0</v>
      </c>
      <c r="S26" s="120"/>
    </row>
    <row r="27" spans="1:19" s="115" customFormat="1" outlineLevel="1">
      <c r="A27" s="126" t="s">
        <v>55</v>
      </c>
      <c r="B27" s="117">
        <v>19.658994000000003</v>
      </c>
      <c r="C27" s="118">
        <v>4.5907999999999989</v>
      </c>
      <c r="D27" s="118">
        <v>4.7852069999999944</v>
      </c>
      <c r="E27" s="118">
        <v>5.4937279999999973</v>
      </c>
      <c r="F27" s="118">
        <v>14.683044999999998</v>
      </c>
      <c r="G27" s="118">
        <v>18.180832000000002</v>
      </c>
      <c r="H27" s="118">
        <v>15.115907999999999</v>
      </c>
      <c r="I27" s="118">
        <v>17.028281</v>
      </c>
      <c r="J27" s="118">
        <v>19.358151000000003</v>
      </c>
      <c r="K27" s="118">
        <v>16.403763999999999</v>
      </c>
      <c r="L27" s="118">
        <v>16.737038999999999</v>
      </c>
      <c r="M27" s="118">
        <v>14.068319000000001</v>
      </c>
      <c r="N27" s="119">
        <f t="shared" si="1"/>
        <v>166.10406800000004</v>
      </c>
      <c r="O27" s="115" t="s">
        <v>333</v>
      </c>
      <c r="P27" s="156"/>
      <c r="R27" s="120">
        <f t="shared" ca="1" si="7"/>
        <v>24.249794000000001</v>
      </c>
      <c r="S27" s="120"/>
    </row>
    <row r="28" spans="1:19" s="115" customFormat="1">
      <c r="A28" s="127" t="s">
        <v>9</v>
      </c>
      <c r="B28" s="122">
        <f t="shared" ref="B28:M28" si="8">B8-B10</f>
        <v>-4.8191370000000049</v>
      </c>
      <c r="C28" s="119">
        <f t="shared" si="8"/>
        <v>52.855290999999994</v>
      </c>
      <c r="D28" s="119">
        <f t="shared" si="8"/>
        <v>19.465294</v>
      </c>
      <c r="E28" s="119">
        <f t="shared" si="8"/>
        <v>59.495768000000012</v>
      </c>
      <c r="F28" s="119">
        <f t="shared" si="8"/>
        <v>65.390930999999995</v>
      </c>
      <c r="G28" s="119">
        <f t="shared" si="8"/>
        <v>62.234220999999991</v>
      </c>
      <c r="H28" s="119">
        <f t="shared" si="8"/>
        <v>1.8561839999999989</v>
      </c>
      <c r="I28" s="119">
        <f t="shared" si="8"/>
        <v>23.373072999999977</v>
      </c>
      <c r="J28" s="119">
        <f t="shared" si="8"/>
        <v>38.54307399999999</v>
      </c>
      <c r="K28" s="119">
        <f t="shared" si="8"/>
        <v>68.605246000000008</v>
      </c>
      <c r="L28" s="119">
        <f t="shared" si="8"/>
        <v>90.475397000000001</v>
      </c>
      <c r="M28" s="119">
        <f t="shared" si="8"/>
        <v>162.05441400000001</v>
      </c>
      <c r="N28" s="119">
        <f t="shared" si="1"/>
        <v>639.52975599999991</v>
      </c>
      <c r="R28" s="119">
        <f t="shared" ca="1" si="7"/>
        <v>48.036153999999989</v>
      </c>
      <c r="S28" s="120"/>
    </row>
    <row r="29" spans="1:19" s="115" customFormat="1">
      <c r="A29" s="121" t="s">
        <v>509</v>
      </c>
      <c r="B29" s="122">
        <f>SUM(B30:B45)</f>
        <v>19.002771000000003</v>
      </c>
      <c r="C29" s="119">
        <f t="shared" ref="C29:M29" si="9">SUM(C30:C45)</f>
        <v>13.475380000000001</v>
      </c>
      <c r="D29" s="119">
        <f t="shared" si="9"/>
        <v>13.622636999999997</v>
      </c>
      <c r="E29" s="119">
        <f t="shared" si="9"/>
        <v>14.814689999999997</v>
      </c>
      <c r="F29" s="119">
        <f t="shared" si="9"/>
        <v>14.173463999999997</v>
      </c>
      <c r="G29" s="119">
        <f t="shared" si="9"/>
        <v>14.133616</v>
      </c>
      <c r="H29" s="119">
        <f t="shared" si="9"/>
        <v>13.874433</v>
      </c>
      <c r="I29" s="119">
        <f t="shared" si="9"/>
        <v>14.006818999999998</v>
      </c>
      <c r="J29" s="119">
        <f t="shared" si="9"/>
        <v>15.659798000000002</v>
      </c>
      <c r="K29" s="119">
        <f t="shared" si="9"/>
        <v>14.134120999999999</v>
      </c>
      <c r="L29" s="119">
        <f t="shared" si="9"/>
        <v>17.967420000000001</v>
      </c>
      <c r="M29" s="119">
        <f t="shared" si="9"/>
        <v>25.233401999999998</v>
      </c>
      <c r="N29" s="119">
        <f t="shared" si="1"/>
        <v>190.09855099999999</v>
      </c>
      <c r="P29" s="158"/>
      <c r="Q29" s="158"/>
      <c r="R29" s="119">
        <f t="shared" ca="1" si="7"/>
        <v>32.478151000000004</v>
      </c>
      <c r="S29" s="120"/>
    </row>
    <row r="30" spans="1:19" s="115" customFormat="1" outlineLevel="1">
      <c r="A30" s="126" t="s">
        <v>56</v>
      </c>
      <c r="B30" s="117">
        <v>4.559717</v>
      </c>
      <c r="C30" s="118">
        <v>0</v>
      </c>
      <c r="D30" s="118">
        <v>4.7925000000000002E-2</v>
      </c>
      <c r="E30" s="118">
        <v>-0.2</v>
      </c>
      <c r="F30" s="118">
        <v>0</v>
      </c>
      <c r="G30" s="118">
        <v>4.2592450000000008</v>
      </c>
      <c r="H30" s="118">
        <v>0.06</v>
      </c>
      <c r="I30" s="118">
        <v>4.2250000000000005E-3</v>
      </c>
      <c r="J30" s="118">
        <v>0.25891200000000003</v>
      </c>
      <c r="K30" s="118"/>
      <c r="L30" s="118">
        <v>2.9827410000000003</v>
      </c>
      <c r="M30" s="118">
        <v>1.2785630000000001</v>
      </c>
      <c r="N30" s="119">
        <f t="shared" si="1"/>
        <v>13.251328000000003</v>
      </c>
      <c r="O30" s="115" t="s">
        <v>14</v>
      </c>
      <c r="P30" s="156"/>
      <c r="R30" s="120">
        <f t="shared" ca="1" si="7"/>
        <v>4.559717</v>
      </c>
      <c r="S30" s="120"/>
    </row>
    <row r="31" spans="1:19" s="115" customFormat="1" outlineLevel="1">
      <c r="A31" s="126" t="s">
        <v>57</v>
      </c>
      <c r="B31" s="117">
        <v>0</v>
      </c>
      <c r="C31" s="118">
        <v>0</v>
      </c>
      <c r="D31" s="118">
        <v>0</v>
      </c>
      <c r="E31" s="118">
        <v>0</v>
      </c>
      <c r="F31" s="118">
        <v>0</v>
      </c>
      <c r="G31" s="118">
        <v>0</v>
      </c>
      <c r="H31" s="118">
        <v>0</v>
      </c>
      <c r="I31" s="118">
        <v>8.8595000000000007E-2</v>
      </c>
      <c r="J31" s="118"/>
      <c r="K31" s="118"/>
      <c r="L31" s="118">
        <v>0</v>
      </c>
      <c r="M31" s="118">
        <v>0</v>
      </c>
      <c r="N31" s="119">
        <f t="shared" si="1"/>
        <v>8.8595000000000007E-2</v>
      </c>
      <c r="O31" s="115" t="s">
        <v>23</v>
      </c>
      <c r="P31" s="156"/>
      <c r="R31" s="120">
        <f t="shared" ca="1" si="7"/>
        <v>0</v>
      </c>
      <c r="S31" s="120"/>
    </row>
    <row r="32" spans="1:19" s="115" customFormat="1" outlineLevel="1">
      <c r="A32" s="126" t="s">
        <v>58</v>
      </c>
      <c r="B32" s="117">
        <v>0</v>
      </c>
      <c r="C32" s="118">
        <v>0</v>
      </c>
      <c r="D32" s="118">
        <v>0</v>
      </c>
      <c r="E32" s="118">
        <v>0</v>
      </c>
      <c r="F32" s="118">
        <v>0</v>
      </c>
      <c r="G32" s="118">
        <v>0</v>
      </c>
      <c r="H32" s="118">
        <v>0</v>
      </c>
      <c r="I32" s="118"/>
      <c r="J32" s="118">
        <v>0.42452799999999996</v>
      </c>
      <c r="K32" s="118"/>
      <c r="L32" s="118">
        <v>0</v>
      </c>
      <c r="M32" s="118">
        <v>0</v>
      </c>
      <c r="N32" s="119">
        <f t="shared" si="1"/>
        <v>0.42452799999999996</v>
      </c>
      <c r="P32" s="156"/>
      <c r="R32" s="120">
        <f t="shared" ca="1" si="7"/>
        <v>0</v>
      </c>
      <c r="S32" s="120"/>
    </row>
    <row r="33" spans="1:19" s="115" customFormat="1" outlineLevel="1">
      <c r="A33" s="126" t="s">
        <v>42</v>
      </c>
      <c r="B33" s="117">
        <v>0</v>
      </c>
      <c r="C33" s="118">
        <v>0</v>
      </c>
      <c r="D33" s="118">
        <v>0</v>
      </c>
      <c r="E33" s="118">
        <v>0</v>
      </c>
      <c r="F33" s="118">
        <v>0</v>
      </c>
      <c r="G33" s="118">
        <v>0</v>
      </c>
      <c r="H33" s="118">
        <v>0</v>
      </c>
      <c r="I33" s="118"/>
      <c r="J33" s="118"/>
      <c r="K33" s="118"/>
      <c r="L33" s="118">
        <v>0</v>
      </c>
      <c r="M33" s="118">
        <v>0</v>
      </c>
      <c r="N33" s="119">
        <f t="shared" si="1"/>
        <v>0</v>
      </c>
      <c r="P33" s="156"/>
      <c r="R33" s="120">
        <f t="shared" ca="1" si="7"/>
        <v>0</v>
      </c>
      <c r="S33" s="120"/>
    </row>
    <row r="34" spans="1:19" s="115" customFormat="1" outlineLevel="1">
      <c r="A34" s="126" t="s">
        <v>59</v>
      </c>
      <c r="B34" s="117">
        <v>0</v>
      </c>
      <c r="C34" s="118">
        <v>0</v>
      </c>
      <c r="D34" s="118">
        <v>0</v>
      </c>
      <c r="E34" s="118">
        <v>0</v>
      </c>
      <c r="F34" s="118">
        <v>0</v>
      </c>
      <c r="G34" s="118">
        <v>0</v>
      </c>
      <c r="H34" s="118">
        <v>0</v>
      </c>
      <c r="I34" s="118"/>
      <c r="J34" s="118"/>
      <c r="K34" s="118"/>
      <c r="L34" s="118">
        <v>0</v>
      </c>
      <c r="M34" s="118">
        <v>0</v>
      </c>
      <c r="N34" s="119">
        <f t="shared" si="1"/>
        <v>0</v>
      </c>
      <c r="P34" s="156"/>
      <c r="R34" s="120">
        <f t="shared" ca="1" si="7"/>
        <v>0</v>
      </c>
      <c r="S34" s="120"/>
    </row>
    <row r="35" spans="1:19" s="115" customFormat="1" outlineLevel="1">
      <c r="A35" s="126" t="s">
        <v>60</v>
      </c>
      <c r="B35" s="117">
        <v>0</v>
      </c>
      <c r="C35" s="118">
        <v>0</v>
      </c>
      <c r="D35" s="118">
        <v>0</v>
      </c>
      <c r="E35" s="118">
        <v>0</v>
      </c>
      <c r="F35" s="118">
        <v>7.5742999999999991E-2</v>
      </c>
      <c r="G35" s="118">
        <v>0</v>
      </c>
      <c r="H35" s="118">
        <v>0</v>
      </c>
      <c r="I35" s="118"/>
      <c r="J35" s="118"/>
      <c r="K35" s="118"/>
      <c r="L35" s="118">
        <v>0</v>
      </c>
      <c r="M35" s="118">
        <v>0</v>
      </c>
      <c r="N35" s="119">
        <f t="shared" si="1"/>
        <v>7.5742999999999991E-2</v>
      </c>
      <c r="O35" s="157" t="s">
        <v>514</v>
      </c>
      <c r="P35" s="156"/>
      <c r="R35" s="120">
        <f t="shared" ca="1" si="7"/>
        <v>0</v>
      </c>
      <c r="S35" s="120"/>
    </row>
    <row r="36" spans="1:19" s="115" customFormat="1" outlineLevel="1">
      <c r="A36" s="126" t="s">
        <v>61</v>
      </c>
      <c r="B36" s="117">
        <v>0</v>
      </c>
      <c r="C36" s="118">
        <v>0</v>
      </c>
      <c r="D36" s="118">
        <v>0</v>
      </c>
      <c r="E36" s="118">
        <v>0</v>
      </c>
      <c r="F36" s="118">
        <v>0</v>
      </c>
      <c r="G36" s="118">
        <v>0</v>
      </c>
      <c r="H36" s="118">
        <v>0</v>
      </c>
      <c r="I36" s="118"/>
      <c r="J36" s="118"/>
      <c r="K36" s="118"/>
      <c r="L36" s="118">
        <v>0</v>
      </c>
      <c r="M36" s="118">
        <v>0</v>
      </c>
      <c r="N36" s="119">
        <f t="shared" si="1"/>
        <v>0</v>
      </c>
      <c r="O36" s="115" t="s">
        <v>515</v>
      </c>
      <c r="P36" s="156"/>
      <c r="R36" s="120">
        <f t="shared" ca="1" si="7"/>
        <v>0</v>
      </c>
      <c r="S36" s="120"/>
    </row>
    <row r="37" spans="1:19" s="115" customFormat="1" outlineLevel="1">
      <c r="A37" s="126" t="s">
        <v>62</v>
      </c>
      <c r="B37" s="117">
        <v>0</v>
      </c>
      <c r="C37" s="118">
        <v>0</v>
      </c>
      <c r="D37" s="118">
        <v>0</v>
      </c>
      <c r="E37" s="118">
        <v>4.0800000000000003E-2</v>
      </c>
      <c r="F37" s="118">
        <v>4.6380000000000005E-2</v>
      </c>
      <c r="G37" s="118">
        <v>0</v>
      </c>
      <c r="H37" s="118">
        <v>0</v>
      </c>
      <c r="I37" s="118"/>
      <c r="J37" s="118"/>
      <c r="K37" s="118"/>
      <c r="L37" s="118">
        <v>0</v>
      </c>
      <c r="M37" s="118">
        <v>0.425371</v>
      </c>
      <c r="N37" s="119">
        <f t="shared" si="1"/>
        <v>0.51255099999999998</v>
      </c>
      <c r="O37" s="115" t="s">
        <v>152</v>
      </c>
      <c r="P37" s="156"/>
      <c r="R37" s="120">
        <f t="shared" ca="1" si="7"/>
        <v>0</v>
      </c>
      <c r="S37" s="120"/>
    </row>
    <row r="38" spans="1:19" s="115" customFormat="1" outlineLevel="1">
      <c r="A38" s="126" t="s">
        <v>63</v>
      </c>
      <c r="B38" s="117">
        <v>0</v>
      </c>
      <c r="C38" s="118">
        <v>0</v>
      </c>
      <c r="D38" s="118">
        <v>0</v>
      </c>
      <c r="E38" s="118">
        <v>0</v>
      </c>
      <c r="F38" s="118">
        <v>0</v>
      </c>
      <c r="G38" s="118">
        <v>0</v>
      </c>
      <c r="H38" s="118">
        <v>0</v>
      </c>
      <c r="I38" s="118"/>
      <c r="J38" s="118">
        <v>6.1415999999999998E-2</v>
      </c>
      <c r="K38" s="118"/>
      <c r="L38" s="118">
        <v>0</v>
      </c>
      <c r="M38" s="118">
        <v>0</v>
      </c>
      <c r="N38" s="119">
        <f t="shared" si="1"/>
        <v>6.1415999999999998E-2</v>
      </c>
      <c r="P38" s="156"/>
      <c r="R38" s="120">
        <f t="shared" ca="1" si="7"/>
        <v>0</v>
      </c>
      <c r="S38" s="120"/>
    </row>
    <row r="39" spans="1:19" s="115" customFormat="1" outlineLevel="1">
      <c r="A39" s="126" t="s">
        <v>64</v>
      </c>
      <c r="B39" s="117">
        <v>0</v>
      </c>
      <c r="C39" s="118">
        <v>0</v>
      </c>
      <c r="D39" s="118">
        <v>0</v>
      </c>
      <c r="E39" s="118">
        <v>0</v>
      </c>
      <c r="F39" s="118">
        <v>0</v>
      </c>
      <c r="G39" s="118">
        <v>0.57522099999999998</v>
      </c>
      <c r="H39" s="118">
        <v>0</v>
      </c>
      <c r="I39" s="118">
        <v>0.69026500000000002</v>
      </c>
      <c r="J39" s="118"/>
      <c r="K39" s="118"/>
      <c r="L39" s="118">
        <v>0</v>
      </c>
      <c r="M39" s="118">
        <v>0</v>
      </c>
      <c r="N39" s="119">
        <f t="shared" si="1"/>
        <v>1.2654860000000001</v>
      </c>
      <c r="O39" s="115" t="s">
        <v>17</v>
      </c>
      <c r="P39" s="156"/>
      <c r="R39" s="120">
        <f t="shared" ca="1" si="7"/>
        <v>0</v>
      </c>
      <c r="S39" s="120"/>
    </row>
    <row r="40" spans="1:19" s="115" customFormat="1" outlineLevel="1">
      <c r="A40" s="126" t="s">
        <v>65</v>
      </c>
      <c r="B40" s="117">
        <v>13.5771</v>
      </c>
      <c r="C40" s="118">
        <v>13.380632</v>
      </c>
      <c r="D40" s="118">
        <v>11.417011999999998</v>
      </c>
      <c r="E40" s="118">
        <v>14.760168999999998</v>
      </c>
      <c r="F40" s="118">
        <v>13.446928999999997</v>
      </c>
      <c r="G40" s="118">
        <v>8.388641999999999</v>
      </c>
      <c r="H40" s="118">
        <v>13.203087</v>
      </c>
      <c r="I40" s="118">
        <v>13.226087</v>
      </c>
      <c r="J40" s="118">
        <v>13.182089000000001</v>
      </c>
      <c r="K40" s="118">
        <v>12.996704999999999</v>
      </c>
      <c r="L40" s="118">
        <v>12.880889999999999</v>
      </c>
      <c r="M40" s="118">
        <v>22.460004999999999</v>
      </c>
      <c r="N40" s="119">
        <f t="shared" si="1"/>
        <v>162.91934699999999</v>
      </c>
      <c r="O40" s="115" t="s">
        <v>513</v>
      </c>
      <c r="P40" s="156"/>
      <c r="R40" s="120">
        <f t="shared" ca="1" si="7"/>
        <v>26.957732</v>
      </c>
      <c r="S40" s="120"/>
    </row>
    <row r="41" spans="1:19" s="115" customFormat="1" outlineLevel="1">
      <c r="A41" s="126" t="s">
        <v>50</v>
      </c>
      <c r="B41" s="117">
        <v>0.40754699999999999</v>
      </c>
      <c r="C41" s="118">
        <v>0</v>
      </c>
      <c r="D41" s="118">
        <v>0</v>
      </c>
      <c r="E41" s="118">
        <v>0</v>
      </c>
      <c r="F41" s="118">
        <v>0</v>
      </c>
      <c r="G41" s="118">
        <v>0.38867299999999999</v>
      </c>
      <c r="H41" s="118">
        <v>0</v>
      </c>
      <c r="I41" s="118"/>
      <c r="J41" s="118">
        <v>0.106838</v>
      </c>
      <c r="K41" s="118">
        <v>0</v>
      </c>
      <c r="L41" s="118">
        <v>0</v>
      </c>
      <c r="M41" s="118">
        <v>4.9569999999999996E-2</v>
      </c>
      <c r="N41" s="119">
        <f t="shared" si="1"/>
        <v>0.95262799999999992</v>
      </c>
      <c r="O41" s="115" t="s">
        <v>15</v>
      </c>
      <c r="P41" s="156"/>
      <c r="R41" s="120">
        <f t="shared" ca="1" si="7"/>
        <v>0.40754699999999999</v>
      </c>
      <c r="S41" s="120"/>
    </row>
    <row r="42" spans="1:19" s="115" customFormat="1" outlineLevel="1">
      <c r="A42" s="126" t="s">
        <v>51</v>
      </c>
      <c r="B42" s="117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/>
      <c r="J42" s="118"/>
      <c r="K42" s="118">
        <v>0</v>
      </c>
      <c r="L42" s="118">
        <v>0</v>
      </c>
      <c r="M42" s="118">
        <v>0</v>
      </c>
      <c r="N42" s="119">
        <f t="shared" si="1"/>
        <v>0</v>
      </c>
      <c r="P42" s="156"/>
      <c r="R42" s="120">
        <f t="shared" ca="1" si="7"/>
        <v>0</v>
      </c>
      <c r="S42" s="120"/>
    </row>
    <row r="43" spans="1:19" s="115" customFormat="1" outlineLevel="1">
      <c r="A43" s="126" t="s">
        <v>52</v>
      </c>
      <c r="B43" s="117">
        <v>1.9397000000000001E-2</v>
      </c>
      <c r="C43" s="118">
        <v>1.9396E-2</v>
      </c>
      <c r="D43" s="118">
        <v>1.9397000000000001E-2</v>
      </c>
      <c r="E43" s="118">
        <v>1.9396E-2</v>
      </c>
      <c r="F43" s="118">
        <v>1.9397000000000001E-2</v>
      </c>
      <c r="G43" s="118">
        <v>1.9396E-2</v>
      </c>
      <c r="H43" s="118">
        <v>1.9397000000000001E-2</v>
      </c>
      <c r="I43" s="118">
        <v>1.9397000000000001E-2</v>
      </c>
      <c r="J43" s="118">
        <v>1.9396E-2</v>
      </c>
      <c r="K43" s="118">
        <v>0</v>
      </c>
      <c r="L43" s="118">
        <v>1.9396E-2</v>
      </c>
      <c r="M43" s="118">
        <v>1.9397000000000001E-2</v>
      </c>
      <c r="N43" s="119">
        <f t="shared" si="1"/>
        <v>0.213362</v>
      </c>
      <c r="O43" s="115" t="s">
        <v>295</v>
      </c>
      <c r="P43" s="156"/>
      <c r="R43" s="120">
        <f t="shared" ca="1" si="7"/>
        <v>3.8793000000000001E-2</v>
      </c>
      <c r="S43" s="120"/>
    </row>
    <row r="44" spans="1:19" s="115" customFormat="1" outlineLevel="1">
      <c r="A44" s="126" t="s">
        <v>53</v>
      </c>
      <c r="B44" s="117">
        <v>0</v>
      </c>
      <c r="C44" s="118">
        <v>0</v>
      </c>
      <c r="D44" s="118">
        <v>1.9890100000000002</v>
      </c>
      <c r="E44" s="118">
        <v>0</v>
      </c>
      <c r="F44" s="118">
        <v>9.2424999999999993E-2</v>
      </c>
      <c r="G44" s="118">
        <v>4.7758999999999996E-2</v>
      </c>
      <c r="H44" s="118">
        <v>8.4697999999999996E-2</v>
      </c>
      <c r="I44" s="118">
        <v>0.33299800000000002</v>
      </c>
      <c r="J44" s="118">
        <v>8.6194000000000007E-2</v>
      </c>
      <c r="K44" s="118">
        <v>7.4271000000000004E-2</v>
      </c>
      <c r="L44" s="118">
        <v>7.3797000000000001E-2</v>
      </c>
      <c r="M44" s="118">
        <v>7.3797000000000001E-2</v>
      </c>
      <c r="N44" s="119">
        <f t="shared" si="1"/>
        <v>2.854949</v>
      </c>
      <c r="O44" s="115" t="s">
        <v>20</v>
      </c>
      <c r="P44" s="156"/>
      <c r="R44" s="120">
        <f t="shared" ca="1" si="7"/>
        <v>0</v>
      </c>
      <c r="S44" s="120"/>
    </row>
    <row r="45" spans="1:19" s="115" customFormat="1" outlineLevel="1">
      <c r="A45" s="126" t="s">
        <v>66</v>
      </c>
      <c r="B45" s="117">
        <v>0.43901000000000001</v>
      </c>
      <c r="C45" s="118">
        <v>7.5352000000000002E-2</v>
      </c>
      <c r="D45" s="118">
        <v>0.14929300000000006</v>
      </c>
      <c r="E45" s="118">
        <v>0.194325</v>
      </c>
      <c r="F45" s="118">
        <v>0.49258999999999997</v>
      </c>
      <c r="G45" s="118">
        <v>0.45468000000000003</v>
      </c>
      <c r="H45" s="118">
        <v>0.50725100000000001</v>
      </c>
      <c r="I45" s="118">
        <v>-0.35474800000000001</v>
      </c>
      <c r="J45" s="118">
        <v>1.5204250000000001</v>
      </c>
      <c r="K45" s="118">
        <v>1.063145</v>
      </c>
      <c r="L45" s="118">
        <v>2.0105960000000005</v>
      </c>
      <c r="M45" s="118">
        <v>0.92669899999999994</v>
      </c>
      <c r="N45" s="119">
        <f t="shared" si="1"/>
        <v>7.4786180000000009</v>
      </c>
      <c r="O45" s="115" t="s">
        <v>333</v>
      </c>
      <c r="P45" s="156"/>
      <c r="R45" s="120">
        <f t="shared" ca="1" si="7"/>
        <v>0.51436199999999999</v>
      </c>
      <c r="S45" s="120"/>
    </row>
    <row r="46" spans="1:19" ht="14.25" thickBot="1">
      <c r="A46" s="128" t="s">
        <v>1</v>
      </c>
      <c r="B46" s="129">
        <f>B28-B29</f>
        <v>-23.821908000000008</v>
      </c>
      <c r="C46" s="130">
        <f t="shared" ref="C46:M46" si="10">C28-C29</f>
        <v>39.379910999999993</v>
      </c>
      <c r="D46" s="130">
        <f t="shared" si="10"/>
        <v>5.8426570000000027</v>
      </c>
      <c r="E46" s="130">
        <f t="shared" si="10"/>
        <v>44.681078000000014</v>
      </c>
      <c r="F46" s="130">
        <f t="shared" si="10"/>
        <v>51.217466999999999</v>
      </c>
      <c r="G46" s="130">
        <f t="shared" si="10"/>
        <v>48.100604999999987</v>
      </c>
      <c r="H46" s="130">
        <f t="shared" si="10"/>
        <v>-12.018249000000001</v>
      </c>
      <c r="I46" s="130">
        <f t="shared" si="10"/>
        <v>9.3662539999999783</v>
      </c>
      <c r="J46" s="130">
        <f t="shared" si="10"/>
        <v>22.883275999999988</v>
      </c>
      <c r="K46" s="130">
        <f t="shared" si="10"/>
        <v>54.471125000000008</v>
      </c>
      <c r="L46" s="130">
        <f t="shared" si="10"/>
        <v>72.507976999999997</v>
      </c>
      <c r="M46" s="130">
        <f t="shared" si="10"/>
        <v>136.821012</v>
      </c>
      <c r="N46" s="130">
        <f t="shared" si="1"/>
        <v>449.43120499999998</v>
      </c>
      <c r="R46" s="130">
        <f t="shared" ca="1" si="7"/>
        <v>15.558002999999985</v>
      </c>
      <c r="S46" s="120"/>
    </row>
    <row r="47" spans="1:19" ht="17.25">
      <c r="A47" s="147" t="s">
        <v>519</v>
      </c>
      <c r="B47" s="155"/>
      <c r="C47" s="155"/>
      <c r="D47" s="155"/>
      <c r="E47" s="155"/>
      <c r="F47" s="155"/>
      <c r="G47" s="155"/>
      <c r="H47" s="155"/>
      <c r="O47" s="154"/>
    </row>
    <row r="48" spans="1:19" ht="17.25">
      <c r="A48" s="147" t="s">
        <v>552</v>
      </c>
      <c r="I48" s="154"/>
    </row>
    <row r="49" spans="1:16">
      <c r="B49" s="155"/>
      <c r="C49" s="155"/>
      <c r="D49" s="155"/>
      <c r="E49" s="155"/>
      <c r="F49" s="155"/>
      <c r="G49" s="155"/>
      <c r="I49" s="154"/>
    </row>
    <row r="50" spans="1:16">
      <c r="B50" s="155"/>
      <c r="C50" s="155"/>
      <c r="D50" s="155"/>
      <c r="E50" s="155"/>
      <c r="F50" s="155"/>
      <c r="G50" s="154"/>
      <c r="P50" s="155"/>
    </row>
    <row r="51" spans="1:16" ht="15.75">
      <c r="A51" s="169" t="s">
        <v>535</v>
      </c>
      <c r="H51" s="154"/>
    </row>
    <row r="52" spans="1:16">
      <c r="G52" s="155"/>
      <c r="H52" s="155"/>
      <c r="P52" s="155"/>
    </row>
    <row r="53" spans="1:16">
      <c r="B53" s="155"/>
      <c r="G53" s="154"/>
      <c r="H53" s="155"/>
    </row>
    <row r="54" spans="1:16">
      <c r="B54" s="155"/>
      <c r="C54" s="155"/>
      <c r="D54" s="155"/>
      <c r="E54" s="155"/>
      <c r="F54" s="155"/>
      <c r="G54" s="155"/>
      <c r="H54" s="155"/>
      <c r="I54" s="155"/>
      <c r="J54" s="155"/>
      <c r="K54" s="155"/>
    </row>
    <row r="55" spans="1:16"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P55" s="155"/>
    </row>
    <row r="56" spans="1:16">
      <c r="B56" s="154"/>
      <c r="C56" s="154"/>
      <c r="D56" s="154"/>
      <c r="E56" s="154"/>
      <c r="F56" s="154"/>
      <c r="G56" s="154"/>
      <c r="H56" s="154"/>
      <c r="I56" s="154"/>
      <c r="J56" s="154"/>
    </row>
    <row r="57" spans="1:16"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P57" s="155"/>
    </row>
    <row r="58" spans="1:16">
      <c r="B58" s="154"/>
      <c r="C58" s="154"/>
      <c r="D58" s="154"/>
      <c r="E58" s="154"/>
      <c r="F58" s="154"/>
      <c r="G58" s="154"/>
      <c r="H58" s="154"/>
      <c r="I58" s="154"/>
      <c r="J58" s="190"/>
      <c r="K58" s="190"/>
    </row>
    <row r="59" spans="1:16">
      <c r="B59" s="154"/>
      <c r="C59" s="154"/>
      <c r="D59" s="154"/>
      <c r="E59" s="154"/>
      <c r="F59" s="154"/>
      <c r="G59" s="154"/>
      <c r="H59" s="154"/>
      <c r="I59" s="154"/>
      <c r="J59" s="154"/>
    </row>
    <row r="61" spans="1:16">
      <c r="B61" s="154"/>
      <c r="C61" s="154"/>
      <c r="D61" s="154"/>
      <c r="E61" s="154"/>
      <c r="F61" s="154"/>
      <c r="G61" s="154"/>
      <c r="H61" s="154"/>
      <c r="I61" s="154"/>
    </row>
  </sheetData>
  <phoneticPr fontId="2" type="noConversion"/>
  <hyperlinks>
    <hyperlink ref="C1" location="目录!A1" display="返回首页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1" orientation="landscape" r:id="rId1"/>
  <rowBreaks count="1" manualBreakCount="1">
    <brk id="46" max="13" man="1"/>
  </rowBreaks>
  <customProperties>
    <customPr name="_pios_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T46"/>
  <sheetViews>
    <sheetView workbookViewId="0">
      <pane xSplit="1" ySplit="2" topLeftCell="B3" activePane="bottomRight" state="frozen"/>
      <selection activeCell="B46" sqref="B46:J46"/>
      <selection pane="topRight" activeCell="B46" sqref="B46:J46"/>
      <selection pane="bottomLeft" activeCell="B46" sqref="B46:J46"/>
      <selection pane="bottomRight" activeCell="O1" sqref="O1:R1048576"/>
    </sheetView>
  </sheetViews>
  <sheetFormatPr defaultColWidth="8.625" defaultRowHeight="13.5" outlineLevelRow="1"/>
  <cols>
    <col min="1" max="1" width="31.625" style="131" customWidth="1"/>
    <col min="2" max="14" width="8.625" style="131" customWidth="1"/>
    <col min="15" max="18" width="0" style="131" hidden="1" customWidth="1"/>
    <col min="19" max="16384" width="8.625" style="131"/>
  </cols>
  <sheetData>
    <row r="1" spans="1:20" s="110" customFormat="1" ht="19.5" thickBot="1">
      <c r="A1" s="110" t="s">
        <v>554</v>
      </c>
      <c r="C1" s="111" t="s">
        <v>499</v>
      </c>
      <c r="R1" s="170"/>
    </row>
    <row r="2" spans="1:20" s="115" customFormat="1">
      <c r="A2" s="112" t="s">
        <v>524</v>
      </c>
      <c r="B2" s="113" t="s">
        <v>525</v>
      </c>
      <c r="C2" s="114" t="s">
        <v>69</v>
      </c>
      <c r="D2" s="114" t="s">
        <v>70</v>
      </c>
      <c r="E2" s="114" t="s">
        <v>71</v>
      </c>
      <c r="F2" s="114" t="s">
        <v>72</v>
      </c>
      <c r="G2" s="114" t="s">
        <v>73</v>
      </c>
      <c r="H2" s="114" t="s">
        <v>74</v>
      </c>
      <c r="I2" s="114" t="s">
        <v>75</v>
      </c>
      <c r="J2" s="114" t="s">
        <v>76</v>
      </c>
      <c r="K2" s="114" t="s">
        <v>77</v>
      </c>
      <c r="L2" s="114" t="s">
        <v>78</v>
      </c>
      <c r="M2" s="114" t="s">
        <v>79</v>
      </c>
      <c r="N2" s="114" t="s">
        <v>526</v>
      </c>
      <c r="R2" s="170" t="s">
        <v>550</v>
      </c>
    </row>
    <row r="3" spans="1:20" s="115" customFormat="1">
      <c r="A3" s="116" t="s">
        <v>497</v>
      </c>
      <c r="B3" s="117">
        <v>350.26402099891556</v>
      </c>
      <c r="C3" s="117">
        <f t="shared" ref="C3:M3" si="0">C4*1.7</f>
        <v>145.71428571428572</v>
      </c>
      <c r="D3" s="117">
        <f t="shared" si="0"/>
        <v>2950.4043878870875</v>
      </c>
      <c r="E3" s="117">
        <f t="shared" si="0"/>
        <v>1202.6593165364004</v>
      </c>
      <c r="F3" s="117">
        <f t="shared" si="0"/>
        <v>1038.3061713095703</v>
      </c>
      <c r="G3" s="117">
        <f t="shared" si="0"/>
        <v>982.13873379281893</v>
      </c>
      <c r="H3" s="117">
        <f t="shared" si="0"/>
        <v>458.11832751864193</v>
      </c>
      <c r="I3" s="117">
        <f t="shared" si="0"/>
        <v>1442.2009310687797</v>
      </c>
      <c r="J3" s="117">
        <f t="shared" si="0"/>
        <v>1307.2338614527039</v>
      </c>
      <c r="K3" s="117">
        <f t="shared" si="0"/>
        <v>1389.0375092651702</v>
      </c>
      <c r="L3" s="117">
        <f t="shared" si="0"/>
        <v>974.11828410373096</v>
      </c>
      <c r="M3" s="117">
        <f t="shared" si="0"/>
        <v>2371.5221107158809</v>
      </c>
      <c r="N3" s="119">
        <f>SUM(B3:M3)</f>
        <v>14611.717940363988</v>
      </c>
      <c r="P3" s="120"/>
      <c r="R3" s="120">
        <f ca="1">SUM(OFFSET(A3,0,1,1,LEFT($R$2,2*LEN($R$2)-LENB($R$2))))</f>
        <v>14611.717940363988</v>
      </c>
    </row>
    <row r="4" spans="1:20" s="115" customFormat="1">
      <c r="A4" s="116" t="s">
        <v>0</v>
      </c>
      <c r="B4" s="117">
        <v>182.33803062558468</v>
      </c>
      <c r="C4" s="117">
        <v>85.714285714285722</v>
      </c>
      <c r="D4" s="117">
        <v>1735.5319928747574</v>
      </c>
      <c r="E4" s="117">
        <v>707.44665678611796</v>
      </c>
      <c r="F4" s="117">
        <v>610.76833606445314</v>
      </c>
      <c r="G4" s="117">
        <v>577.72866693695232</v>
      </c>
      <c r="H4" s="117">
        <v>269.48136912861293</v>
      </c>
      <c r="I4" s="117">
        <v>848.3534888639881</v>
      </c>
      <c r="J4" s="117">
        <v>768.96109497217878</v>
      </c>
      <c r="K4" s="117">
        <v>817.08088780304138</v>
      </c>
      <c r="L4" s="117">
        <v>573.01075535513587</v>
      </c>
      <c r="M4" s="117">
        <v>1395.0130063034594</v>
      </c>
      <c r="N4" s="119">
        <f t="shared" ref="N4:N46" si="1">SUM(B4:M4)</f>
        <v>8571.4285714285688</v>
      </c>
      <c r="P4" s="120"/>
      <c r="R4" s="120">
        <f t="shared" ref="R4:R8" ca="1" si="2">SUM(OFFSET(A4,0,1,1,LEFT($R$2,2*LEN($R$2)-LENB($R$2))))</f>
        <v>8571.4285714285688</v>
      </c>
    </row>
    <row r="5" spans="1:20" s="115" customFormat="1">
      <c r="A5" s="116" t="s">
        <v>527</v>
      </c>
      <c r="B5" s="117">
        <v>63.818310718954635</v>
      </c>
      <c r="C5" s="117">
        <v>30</v>
      </c>
      <c r="D5" s="117">
        <v>445.21999999999997</v>
      </c>
      <c r="E5" s="117">
        <v>247.60632987514126</v>
      </c>
      <c r="F5" s="117">
        <v>213.7689176225586</v>
      </c>
      <c r="G5" s="117">
        <v>202.2050334279333</v>
      </c>
      <c r="H5" s="117">
        <v>94.318479195014518</v>
      </c>
      <c r="I5" s="117">
        <v>296.9237211023958</v>
      </c>
      <c r="J5" s="117">
        <v>269.13638324026255</v>
      </c>
      <c r="K5" s="117">
        <v>285.97831073106448</v>
      </c>
      <c r="L5" s="117">
        <v>200.55376437429754</v>
      </c>
      <c r="M5" s="117">
        <v>488.25455220621075</v>
      </c>
      <c r="N5" s="119">
        <f t="shared" si="1"/>
        <v>2837.7838024938337</v>
      </c>
      <c r="P5" s="120"/>
      <c r="R5" s="120">
        <f t="shared" ca="1" si="2"/>
        <v>2837.7838024938337</v>
      </c>
    </row>
    <row r="6" spans="1:20" s="115" customFormat="1">
      <c r="A6" s="116" t="s">
        <v>528</v>
      </c>
      <c r="B6" s="117">
        <v>200</v>
      </c>
      <c r="C6" s="118">
        <v>26.548672566371685</v>
      </c>
      <c r="D6" s="118">
        <v>394.03053825231837</v>
      </c>
      <c r="E6" s="118">
        <v>219.12064590720468</v>
      </c>
      <c r="F6" s="118">
        <v>189.17603329429966</v>
      </c>
      <c r="G6" s="118">
        <v>178.94250745834808</v>
      </c>
      <c r="H6" s="118">
        <v>83.467680703552674</v>
      </c>
      <c r="I6" s="118">
        <v>262.7643549578724</v>
      </c>
      <c r="J6" s="118">
        <v>238.17379047810846</v>
      </c>
      <c r="K6" s="118">
        <v>253.07815108943763</v>
      </c>
      <c r="L6" s="118">
        <v>177.4812074108828</v>
      </c>
      <c r="M6" s="118">
        <v>432.08367451877064</v>
      </c>
      <c r="N6" s="119">
        <f t="shared" si="1"/>
        <v>2654.867256637167</v>
      </c>
      <c r="O6" s="120">
        <f>C6+D6</f>
        <v>420.57921081869006</v>
      </c>
      <c r="P6" s="120"/>
      <c r="R6" s="120">
        <f t="shared" ca="1" si="2"/>
        <v>2654.867256637167</v>
      </c>
    </row>
    <row r="7" spans="1:20" s="115" customFormat="1">
      <c r="A7" s="116" t="s">
        <v>529</v>
      </c>
      <c r="B7" s="117">
        <f t="shared" ref="B7:L7" si="3">B6*0.29</f>
        <v>57.999999999999993</v>
      </c>
      <c r="C7" s="117">
        <f t="shared" si="3"/>
        <v>7.6991150442477885</v>
      </c>
      <c r="D7" s="117">
        <f t="shared" si="3"/>
        <v>114.26885609317232</v>
      </c>
      <c r="E7" s="117">
        <f t="shared" si="3"/>
        <v>63.544987313089351</v>
      </c>
      <c r="F7" s="117">
        <f t="shared" si="3"/>
        <v>54.861049655346896</v>
      </c>
      <c r="G7" s="117">
        <f t="shared" si="3"/>
        <v>51.89332716292094</v>
      </c>
      <c r="H7" s="117">
        <f t="shared" si="3"/>
        <v>24.205627404030274</v>
      </c>
      <c r="I7" s="117">
        <f t="shared" si="3"/>
        <v>76.201662937782984</v>
      </c>
      <c r="J7" s="117">
        <f t="shared" si="3"/>
        <v>69.070399238651447</v>
      </c>
      <c r="K7" s="117">
        <f t="shared" si="3"/>
        <v>73.392663815936913</v>
      </c>
      <c r="L7" s="117">
        <f t="shared" si="3"/>
        <v>51.469550149156007</v>
      </c>
      <c r="M7" s="117">
        <f t="shared" ref="M7" si="4">M6*0.29</f>
        <v>125.30426561044348</v>
      </c>
      <c r="N7" s="119">
        <f t="shared" si="1"/>
        <v>769.9115044247784</v>
      </c>
      <c r="O7" s="120">
        <f>C7+D7</f>
        <v>121.96797113742011</v>
      </c>
      <c r="R7" s="120">
        <f t="shared" ca="1" si="2"/>
        <v>769.9115044247784</v>
      </c>
    </row>
    <row r="8" spans="1:20" s="115" customFormat="1">
      <c r="A8" s="121" t="s">
        <v>530</v>
      </c>
      <c r="B8" s="122">
        <f>B6-B7</f>
        <v>142</v>
      </c>
      <c r="C8" s="119">
        <f t="shared" ref="C8:O8" si="5">C6-C7</f>
        <v>18.849557522123895</v>
      </c>
      <c r="D8" s="119">
        <f t="shared" si="5"/>
        <v>279.76168215914606</v>
      </c>
      <c r="E8" s="119">
        <f t="shared" si="5"/>
        <v>155.57565859411534</v>
      </c>
      <c r="F8" s="119">
        <f t="shared" si="5"/>
        <v>134.31498363895275</v>
      </c>
      <c r="G8" s="119">
        <f t="shared" si="5"/>
        <v>127.04918029542713</v>
      </c>
      <c r="H8" s="119">
        <f t="shared" si="5"/>
        <v>59.2620532995224</v>
      </c>
      <c r="I8" s="119">
        <f t="shared" si="5"/>
        <v>186.5626920200894</v>
      </c>
      <c r="J8" s="119">
        <f t="shared" si="5"/>
        <v>169.10339123945701</v>
      </c>
      <c r="K8" s="119">
        <f t="shared" si="5"/>
        <v>179.68548727350071</v>
      </c>
      <c r="L8" s="119">
        <f t="shared" si="5"/>
        <v>126.0116572617268</v>
      </c>
      <c r="M8" s="119">
        <f t="shared" si="5"/>
        <v>306.77940890832713</v>
      </c>
      <c r="N8" s="119">
        <f t="shared" si="1"/>
        <v>1884.9557522123887</v>
      </c>
      <c r="O8" s="119">
        <f t="shared" si="5"/>
        <v>298.61123968126992</v>
      </c>
      <c r="R8" s="120">
        <f t="shared" ca="1" si="2"/>
        <v>1884.9557522123887</v>
      </c>
    </row>
    <row r="9" spans="1:20" s="115" customFormat="1">
      <c r="A9" s="123" t="s">
        <v>531</v>
      </c>
      <c r="B9" s="124">
        <f>IFERROR(B8/B6,0)</f>
        <v>0.71</v>
      </c>
      <c r="C9" s="125">
        <f t="shared" ref="C9:N9" si="6">IFERROR(C8/C6,0)</f>
        <v>0.71</v>
      </c>
      <c r="D9" s="125">
        <f t="shared" si="6"/>
        <v>0.71000000000000008</v>
      </c>
      <c r="E9" s="125">
        <f t="shared" si="6"/>
        <v>0.71000000000000008</v>
      </c>
      <c r="F9" s="125">
        <f t="shared" si="6"/>
        <v>0.71</v>
      </c>
      <c r="G9" s="125">
        <f t="shared" si="6"/>
        <v>0.71</v>
      </c>
      <c r="H9" s="125">
        <f t="shared" si="6"/>
        <v>0.71</v>
      </c>
      <c r="I9" s="125">
        <f t="shared" si="6"/>
        <v>0.71</v>
      </c>
      <c r="J9" s="125">
        <f t="shared" si="6"/>
        <v>0.71000000000000008</v>
      </c>
      <c r="K9" s="125">
        <f t="shared" si="6"/>
        <v>0.71</v>
      </c>
      <c r="L9" s="125">
        <f t="shared" si="6"/>
        <v>0.71000000000000008</v>
      </c>
      <c r="M9" s="125">
        <f t="shared" si="6"/>
        <v>0.71</v>
      </c>
      <c r="N9" s="125">
        <f t="shared" si="6"/>
        <v>0.71000000000000008</v>
      </c>
    </row>
    <row r="10" spans="1:20" s="115" customFormat="1">
      <c r="A10" s="121" t="s">
        <v>532</v>
      </c>
      <c r="B10" s="122">
        <f t="shared" ref="B10:M10" si="7">SUM(B11:B27)</f>
        <v>106.05357651684598</v>
      </c>
      <c r="C10" s="119">
        <f t="shared" si="7"/>
        <v>53.256418139380528</v>
      </c>
      <c r="D10" s="119">
        <f t="shared" si="7"/>
        <v>122.80055274999998</v>
      </c>
      <c r="E10" s="119">
        <f t="shared" si="7"/>
        <v>98.801112605865711</v>
      </c>
      <c r="F10" s="119">
        <f t="shared" si="7"/>
        <v>93.75390451576888</v>
      </c>
      <c r="G10" s="119">
        <f t="shared" si="7"/>
        <v>90.189050078457981</v>
      </c>
      <c r="H10" s="119">
        <f t="shared" si="7"/>
        <v>75.583023749999995</v>
      </c>
      <c r="I10" s="119">
        <f t="shared" si="7"/>
        <v>113.06518291403106</v>
      </c>
      <c r="J10" s="119">
        <f t="shared" si="7"/>
        <v>111.80631674999999</v>
      </c>
      <c r="K10" s="119">
        <f t="shared" si="7"/>
        <v>111.70369622505707</v>
      </c>
      <c r="L10" s="119">
        <f t="shared" si="7"/>
        <v>121.74465675</v>
      </c>
      <c r="M10" s="119">
        <f t="shared" si="7"/>
        <v>162.25971148885992</v>
      </c>
      <c r="N10" s="119">
        <f t="shared" si="1"/>
        <v>1261.017202484267</v>
      </c>
      <c r="O10" s="120">
        <f>C10+D10</f>
        <v>176.05697088938052</v>
      </c>
      <c r="R10" s="119">
        <f t="shared" ref="R10:R46" ca="1" si="8">SUM(OFFSET(A10,0,1,1,LEFT($R$2,2*LEN($R$2)-LENB($R$2))))</f>
        <v>1261.017202484267</v>
      </c>
      <c r="T10" s="120"/>
    </row>
    <row r="11" spans="1:20" s="115" customFormat="1" outlineLevel="1">
      <c r="A11" s="126" t="s">
        <v>39</v>
      </c>
      <c r="B11" s="117">
        <v>46.2</v>
      </c>
      <c r="C11" s="118">
        <v>4.1415929203539825</v>
      </c>
      <c r="D11" s="118">
        <v>53</v>
      </c>
      <c r="E11" s="118">
        <v>30.018885000000001</v>
      </c>
      <c r="F11" s="118">
        <v>27.105322999999999</v>
      </c>
      <c r="G11" s="118">
        <v>21.977364000000001</v>
      </c>
      <c r="H11" s="118">
        <v>9.1999999999999993</v>
      </c>
      <c r="I11" s="118">
        <v>41.5</v>
      </c>
      <c r="J11" s="118">
        <v>41.244092999999999</v>
      </c>
      <c r="K11" s="118">
        <v>40.634939000000003</v>
      </c>
      <c r="L11" s="118">
        <v>29.218381999999998</v>
      </c>
      <c r="M11" s="118">
        <v>67.405053224928224</v>
      </c>
      <c r="N11" s="119">
        <f t="shared" si="1"/>
        <v>411.64563214528221</v>
      </c>
      <c r="R11" s="120">
        <f t="shared" ca="1" si="8"/>
        <v>411.64563214528221</v>
      </c>
    </row>
    <row r="12" spans="1:20" s="115" customFormat="1" outlineLevel="1">
      <c r="A12" s="126" t="s">
        <v>40</v>
      </c>
      <c r="B12" s="117">
        <v>3.2325167668459796</v>
      </c>
      <c r="C12" s="118">
        <v>0.56661946902654869</v>
      </c>
      <c r="D12" s="118">
        <v>7.7498400000000007</v>
      </c>
      <c r="E12" s="118">
        <v>5.9645748558657079</v>
      </c>
      <c r="F12" s="118">
        <v>3.7240887657688924</v>
      </c>
      <c r="G12" s="118">
        <v>5.3899623284579903</v>
      </c>
      <c r="H12" s="118">
        <v>2.7734999999999999</v>
      </c>
      <c r="I12" s="118">
        <v>6.2976721640310647</v>
      </c>
      <c r="J12" s="118">
        <v>5.2000799999999998</v>
      </c>
      <c r="K12" s="118">
        <v>5.8769974750570659</v>
      </c>
      <c r="L12" s="118">
        <v>5.0326500000000003</v>
      </c>
      <c r="M12" s="118">
        <v>9.0941245139317246</v>
      </c>
      <c r="N12" s="119">
        <f t="shared" si="1"/>
        <v>60.90262633898498</v>
      </c>
      <c r="R12" s="120">
        <f t="shared" ca="1" si="8"/>
        <v>60.90262633898498</v>
      </c>
    </row>
    <row r="13" spans="1:20" s="115" customFormat="1" outlineLevel="1">
      <c r="A13" s="126" t="s">
        <v>41</v>
      </c>
      <c r="B13" s="117">
        <v>0</v>
      </c>
      <c r="C13" s="118">
        <v>0</v>
      </c>
      <c r="D13" s="118">
        <v>0</v>
      </c>
      <c r="E13" s="118">
        <v>0</v>
      </c>
      <c r="F13" s="118">
        <v>0</v>
      </c>
      <c r="G13" s="118">
        <v>0</v>
      </c>
      <c r="H13" s="118">
        <v>0</v>
      </c>
      <c r="I13" s="118">
        <v>0</v>
      </c>
      <c r="J13" s="118">
        <v>0</v>
      </c>
      <c r="K13" s="118">
        <v>0</v>
      </c>
      <c r="L13" s="118">
        <v>0</v>
      </c>
      <c r="M13" s="118">
        <v>0</v>
      </c>
      <c r="N13" s="119">
        <f t="shared" si="1"/>
        <v>0</v>
      </c>
      <c r="R13" s="120">
        <f t="shared" ca="1" si="8"/>
        <v>0</v>
      </c>
    </row>
    <row r="14" spans="1:20" s="115" customFormat="1" outlineLevel="1">
      <c r="A14" s="126" t="s">
        <v>42</v>
      </c>
      <c r="B14" s="117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9">
        <f t="shared" si="1"/>
        <v>0</v>
      </c>
      <c r="R14" s="120">
        <f t="shared" ca="1" si="8"/>
        <v>0</v>
      </c>
    </row>
    <row r="15" spans="1:20" s="115" customFormat="1" outlineLevel="1">
      <c r="A15" s="126" t="s">
        <v>43</v>
      </c>
      <c r="B15" s="117">
        <v>0</v>
      </c>
      <c r="C15" s="118">
        <v>0</v>
      </c>
      <c r="D15" s="118">
        <v>0</v>
      </c>
      <c r="E15" s="118">
        <v>0</v>
      </c>
      <c r="F15" s="118">
        <v>0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9">
        <f t="shared" si="1"/>
        <v>0</v>
      </c>
      <c r="R15" s="120">
        <f t="shared" ca="1" si="8"/>
        <v>0</v>
      </c>
    </row>
    <row r="16" spans="1:20" s="115" customFormat="1" outlineLevel="1">
      <c r="A16" s="126" t="s">
        <v>44</v>
      </c>
      <c r="B16" s="117">
        <v>0</v>
      </c>
      <c r="C16" s="118">
        <v>0</v>
      </c>
      <c r="D16" s="118">
        <v>0</v>
      </c>
      <c r="E16" s="118">
        <v>0</v>
      </c>
      <c r="F16" s="118">
        <v>0</v>
      </c>
      <c r="G16" s="118">
        <v>0</v>
      </c>
      <c r="H16" s="118">
        <v>0</v>
      </c>
      <c r="I16" s="118">
        <v>0</v>
      </c>
      <c r="J16" s="118">
        <v>0</v>
      </c>
      <c r="K16" s="118">
        <v>0</v>
      </c>
      <c r="L16" s="118">
        <v>0</v>
      </c>
      <c r="M16" s="118">
        <v>0</v>
      </c>
      <c r="N16" s="119">
        <f t="shared" si="1"/>
        <v>0</v>
      </c>
      <c r="R16" s="120">
        <f t="shared" ca="1" si="8"/>
        <v>0</v>
      </c>
    </row>
    <row r="17" spans="1:18" s="115" customFormat="1" outlineLevel="1">
      <c r="A17" s="126" t="s">
        <v>45</v>
      </c>
      <c r="B17" s="117">
        <v>2</v>
      </c>
      <c r="C17" s="118">
        <v>0</v>
      </c>
      <c r="D17" s="118">
        <v>10.8</v>
      </c>
      <c r="E17" s="118">
        <v>10.8</v>
      </c>
      <c r="F17" s="118">
        <v>10.8</v>
      </c>
      <c r="G17" s="118">
        <v>10.8</v>
      </c>
      <c r="H17" s="118">
        <v>10.8</v>
      </c>
      <c r="I17" s="118">
        <v>10.8</v>
      </c>
      <c r="J17" s="118">
        <v>10.8</v>
      </c>
      <c r="K17" s="118">
        <v>10.8</v>
      </c>
      <c r="L17" s="118">
        <v>10.8</v>
      </c>
      <c r="M17" s="118">
        <v>10.8</v>
      </c>
      <c r="N17" s="119">
        <f t="shared" si="1"/>
        <v>109.99999999999999</v>
      </c>
      <c r="R17" s="120">
        <f t="shared" ca="1" si="8"/>
        <v>109.99999999999999</v>
      </c>
    </row>
    <row r="18" spans="1:18" s="115" customFormat="1" outlineLevel="1">
      <c r="A18" s="126" t="s">
        <v>46</v>
      </c>
      <c r="B18" s="117">
        <v>0</v>
      </c>
      <c r="C18" s="118">
        <v>0</v>
      </c>
      <c r="D18" s="118">
        <v>0</v>
      </c>
      <c r="E18" s="118">
        <v>0</v>
      </c>
      <c r="F18" s="118">
        <v>0</v>
      </c>
      <c r="G18" s="118">
        <v>0</v>
      </c>
      <c r="H18" s="118">
        <v>0</v>
      </c>
      <c r="I18" s="118">
        <v>0</v>
      </c>
      <c r="J18" s="118">
        <v>0</v>
      </c>
      <c r="K18" s="118">
        <v>0</v>
      </c>
      <c r="L18" s="118">
        <v>0</v>
      </c>
      <c r="M18" s="118">
        <v>0</v>
      </c>
      <c r="N18" s="119">
        <f t="shared" si="1"/>
        <v>0</v>
      </c>
      <c r="R18" s="120">
        <f t="shared" ca="1" si="8"/>
        <v>0</v>
      </c>
    </row>
    <row r="19" spans="1:18" s="115" customFormat="1" outlineLevel="1">
      <c r="A19" s="126" t="s">
        <v>47</v>
      </c>
      <c r="B19" s="117">
        <v>0</v>
      </c>
      <c r="C19" s="118">
        <v>0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119">
        <f t="shared" si="1"/>
        <v>0</v>
      </c>
      <c r="R19" s="120">
        <f t="shared" ca="1" si="8"/>
        <v>0</v>
      </c>
    </row>
    <row r="20" spans="1:18" s="115" customFormat="1" outlineLevel="1">
      <c r="A20" s="126" t="s">
        <v>48</v>
      </c>
      <c r="B20" s="117">
        <v>0</v>
      </c>
      <c r="C20" s="118">
        <v>0</v>
      </c>
      <c r="D20" s="118">
        <v>0</v>
      </c>
      <c r="E20" s="118">
        <v>0</v>
      </c>
      <c r="F20" s="118">
        <v>0</v>
      </c>
      <c r="G20" s="118">
        <v>0</v>
      </c>
      <c r="H20" s="118">
        <v>0</v>
      </c>
      <c r="I20" s="118">
        <v>0</v>
      </c>
      <c r="J20" s="118">
        <v>0</v>
      </c>
      <c r="K20" s="118">
        <v>0</v>
      </c>
      <c r="L20" s="118">
        <v>0</v>
      </c>
      <c r="M20" s="118">
        <v>0</v>
      </c>
      <c r="N20" s="119">
        <f t="shared" si="1"/>
        <v>0</v>
      </c>
      <c r="R20" s="120">
        <f t="shared" ca="1" si="8"/>
        <v>0</v>
      </c>
    </row>
    <row r="21" spans="1:18" s="115" customFormat="1" outlineLevel="1">
      <c r="A21" s="126" t="s">
        <v>49</v>
      </c>
      <c r="B21" s="117">
        <v>32.06251975</v>
      </c>
      <c r="C21" s="118">
        <v>32.369152749999998</v>
      </c>
      <c r="D21" s="118">
        <v>32.092172749999996</v>
      </c>
      <c r="E21" s="118">
        <v>31.959112749999999</v>
      </c>
      <c r="F21" s="118">
        <v>32.065952750000001</v>
      </c>
      <c r="G21" s="118">
        <v>32.263183749999996</v>
      </c>
      <c r="H21" s="118">
        <v>32.05098375</v>
      </c>
      <c r="I21" s="118">
        <v>32.108970749999997</v>
      </c>
      <c r="J21" s="118">
        <v>32.15897975</v>
      </c>
      <c r="K21" s="118">
        <v>32.090308749999998</v>
      </c>
      <c r="L21" s="118">
        <v>52.642948750000016</v>
      </c>
      <c r="M21" s="118">
        <v>50.935448749999999</v>
      </c>
      <c r="N21" s="119">
        <f t="shared" si="1"/>
        <v>424.799735</v>
      </c>
      <c r="R21" s="120">
        <f t="shared" ca="1" si="8"/>
        <v>424.799735</v>
      </c>
    </row>
    <row r="22" spans="1:18" s="115" customFormat="1" outlineLevel="1">
      <c r="A22" s="126" t="s">
        <v>50</v>
      </c>
      <c r="B22" s="117">
        <v>0</v>
      </c>
      <c r="C22" s="118">
        <v>2.0513E-2</v>
      </c>
      <c r="D22" s="118">
        <v>0.5</v>
      </c>
      <c r="E22" s="118">
        <v>0.5</v>
      </c>
      <c r="F22" s="118">
        <v>0.5</v>
      </c>
      <c r="G22" s="118">
        <v>0.5</v>
      </c>
      <c r="H22" s="118">
        <v>0.5</v>
      </c>
      <c r="I22" s="118">
        <v>0.5</v>
      </c>
      <c r="J22" s="118">
        <v>0.5</v>
      </c>
      <c r="K22" s="118">
        <v>0.5</v>
      </c>
      <c r="L22" s="118">
        <v>0.5</v>
      </c>
      <c r="M22" s="118">
        <v>0.5</v>
      </c>
      <c r="N22" s="119">
        <f t="shared" si="1"/>
        <v>5.0205130000000002</v>
      </c>
      <c r="R22" s="120">
        <f t="shared" ca="1" si="8"/>
        <v>5.0205130000000002</v>
      </c>
    </row>
    <row r="23" spans="1:18" s="115" customFormat="1" outlineLevel="1">
      <c r="A23" s="126" t="s">
        <v>51</v>
      </c>
      <c r="B23" s="117">
        <v>5.3</v>
      </c>
      <c r="C23" s="118">
        <v>5.3</v>
      </c>
      <c r="D23" s="118">
        <v>5.3</v>
      </c>
      <c r="E23" s="118">
        <v>5.3</v>
      </c>
      <c r="F23" s="118">
        <v>5.3</v>
      </c>
      <c r="G23" s="118">
        <v>4</v>
      </c>
      <c r="H23" s="118">
        <v>4</v>
      </c>
      <c r="I23" s="118">
        <v>5.6</v>
      </c>
      <c r="J23" s="118">
        <v>5.6446240000000003</v>
      </c>
      <c r="K23" s="118">
        <v>5.5429110000000001</v>
      </c>
      <c r="L23" s="118">
        <v>7.2921360000000002</v>
      </c>
      <c r="M23" s="118">
        <v>7.2665449999999998</v>
      </c>
      <c r="N23" s="119">
        <f t="shared" si="1"/>
        <v>65.846215999999998</v>
      </c>
      <c r="R23" s="120">
        <f t="shared" ca="1" si="8"/>
        <v>65.846215999999998</v>
      </c>
    </row>
    <row r="24" spans="1:18" s="115" customFormat="1" outlineLevel="1">
      <c r="A24" s="126" t="s">
        <v>52</v>
      </c>
      <c r="B24" s="117">
        <v>0.1</v>
      </c>
      <c r="C24" s="118">
        <v>0.1</v>
      </c>
      <c r="D24" s="118">
        <v>0.1</v>
      </c>
      <c r="E24" s="118">
        <v>0.1</v>
      </c>
      <c r="F24" s="118">
        <v>0.1</v>
      </c>
      <c r="G24" s="118">
        <v>0.1</v>
      </c>
      <c r="H24" s="118">
        <v>0.1</v>
      </c>
      <c r="I24" s="118">
        <v>0.1</v>
      </c>
      <c r="J24" s="118">
        <v>0.1</v>
      </c>
      <c r="K24" s="118">
        <v>0.1</v>
      </c>
      <c r="L24" s="118">
        <v>0.1</v>
      </c>
      <c r="M24" s="118">
        <v>0.1</v>
      </c>
      <c r="N24" s="119">
        <f t="shared" si="1"/>
        <v>1.2</v>
      </c>
      <c r="R24" s="120">
        <f t="shared" ca="1" si="8"/>
        <v>1.2</v>
      </c>
    </row>
    <row r="25" spans="1:18" s="115" customFormat="1" outlineLevel="1">
      <c r="A25" s="126" t="s">
        <v>53</v>
      </c>
      <c r="B25" s="117">
        <v>0</v>
      </c>
      <c r="C25" s="118">
        <v>0</v>
      </c>
      <c r="D25" s="118">
        <v>0</v>
      </c>
      <c r="E25" s="118">
        <v>0</v>
      </c>
      <c r="F25" s="118">
        <v>0</v>
      </c>
      <c r="G25" s="118">
        <v>0</v>
      </c>
      <c r="H25" s="118">
        <v>0</v>
      </c>
      <c r="I25" s="118">
        <v>0</v>
      </c>
      <c r="J25" s="118">
        <v>0</v>
      </c>
      <c r="K25" s="118">
        <v>0</v>
      </c>
      <c r="L25" s="118">
        <v>0</v>
      </c>
      <c r="M25" s="118">
        <v>0</v>
      </c>
      <c r="N25" s="119">
        <f t="shared" si="1"/>
        <v>0</v>
      </c>
      <c r="R25" s="120">
        <f t="shared" ca="1" si="8"/>
        <v>0</v>
      </c>
    </row>
    <row r="26" spans="1:18" s="115" customFormat="1" outlineLevel="1">
      <c r="A26" s="126" t="s">
        <v>54</v>
      </c>
      <c r="B26" s="117">
        <v>0</v>
      </c>
      <c r="C26" s="118">
        <v>0</v>
      </c>
      <c r="D26" s="118">
        <v>0</v>
      </c>
      <c r="E26" s="118">
        <v>0</v>
      </c>
      <c r="F26" s="118">
        <v>0</v>
      </c>
      <c r="G26" s="118">
        <v>0</v>
      </c>
      <c r="H26" s="118">
        <v>0</v>
      </c>
      <c r="I26" s="118">
        <v>0</v>
      </c>
      <c r="J26" s="118">
        <v>0</v>
      </c>
      <c r="K26" s="118">
        <v>0</v>
      </c>
      <c r="L26" s="118">
        <v>0</v>
      </c>
      <c r="M26" s="118">
        <v>0</v>
      </c>
      <c r="N26" s="119">
        <f t="shared" si="1"/>
        <v>0</v>
      </c>
      <c r="R26" s="120">
        <f t="shared" ca="1" si="8"/>
        <v>0</v>
      </c>
    </row>
    <row r="27" spans="1:18" s="115" customFormat="1" outlineLevel="1">
      <c r="A27" s="126" t="s">
        <v>55</v>
      </c>
      <c r="B27" s="117">
        <v>17.158540000000002</v>
      </c>
      <c r="C27" s="118">
        <v>10.758539999999998</v>
      </c>
      <c r="D27" s="118">
        <v>13.258539999999998</v>
      </c>
      <c r="E27" s="118">
        <v>14.158539999999999</v>
      </c>
      <c r="F27" s="118">
        <v>14.158539999999999</v>
      </c>
      <c r="G27" s="118">
        <v>15.158539999999999</v>
      </c>
      <c r="H27" s="118">
        <v>16.158540000000002</v>
      </c>
      <c r="I27" s="118">
        <v>16.158540000000002</v>
      </c>
      <c r="J27" s="118">
        <v>16.158540000000002</v>
      </c>
      <c r="K27" s="118">
        <v>16.158540000000002</v>
      </c>
      <c r="L27" s="118">
        <v>16.158540000000002</v>
      </c>
      <c r="M27" s="118">
        <v>16.158540000000002</v>
      </c>
      <c r="N27" s="119">
        <f t="shared" si="1"/>
        <v>181.60248000000007</v>
      </c>
      <c r="R27" s="120">
        <f t="shared" ca="1" si="8"/>
        <v>181.60248000000007</v>
      </c>
    </row>
    <row r="28" spans="1:18" s="115" customFormat="1">
      <c r="A28" s="127" t="s">
        <v>9</v>
      </c>
      <c r="B28" s="122">
        <f t="shared" ref="B28:O28" si="9">B8-B10</f>
        <v>35.946423483154021</v>
      </c>
      <c r="C28" s="119">
        <f t="shared" si="9"/>
        <v>-34.406860617256633</v>
      </c>
      <c r="D28" s="119">
        <f t="shared" si="9"/>
        <v>156.96112940914608</v>
      </c>
      <c r="E28" s="119">
        <f t="shared" si="9"/>
        <v>56.774545988249628</v>
      </c>
      <c r="F28" s="119">
        <f t="shared" si="9"/>
        <v>40.561079123183873</v>
      </c>
      <c r="G28" s="119">
        <f t="shared" si="9"/>
        <v>36.860130216969154</v>
      </c>
      <c r="H28" s="119">
        <f t="shared" si="9"/>
        <v>-16.320970450477596</v>
      </c>
      <c r="I28" s="119">
        <f t="shared" si="9"/>
        <v>73.497509106058345</v>
      </c>
      <c r="J28" s="119">
        <f t="shared" si="9"/>
        <v>57.297074489457017</v>
      </c>
      <c r="K28" s="119">
        <f t="shared" si="9"/>
        <v>67.98179104844364</v>
      </c>
      <c r="L28" s="119">
        <f t="shared" si="9"/>
        <v>4.267000511726792</v>
      </c>
      <c r="M28" s="119">
        <f t="shared" si="9"/>
        <v>144.51969741946721</v>
      </c>
      <c r="N28" s="119">
        <f t="shared" si="1"/>
        <v>623.93854972812164</v>
      </c>
      <c r="O28" s="119">
        <f t="shared" si="9"/>
        <v>122.5542687918894</v>
      </c>
      <c r="R28" s="119">
        <f t="shared" ca="1" si="8"/>
        <v>623.93854972812164</v>
      </c>
    </row>
    <row r="29" spans="1:18" s="115" customFormat="1">
      <c r="A29" s="121" t="s">
        <v>509</v>
      </c>
      <c r="B29" s="122">
        <f>SUM(B30:B45)</f>
        <v>15.247869999999999</v>
      </c>
      <c r="C29" s="119">
        <f t="shared" ref="C29:M29" si="10">SUM(C30:C45)</f>
        <v>14.940632000000001</v>
      </c>
      <c r="D29" s="119">
        <f t="shared" si="10"/>
        <v>18.247722</v>
      </c>
      <c r="E29" s="119">
        <f t="shared" si="10"/>
        <v>18.462831000000001</v>
      </c>
      <c r="F29" s="119">
        <f t="shared" si="10"/>
        <v>19.842090999999996</v>
      </c>
      <c r="G29" s="119">
        <f t="shared" si="10"/>
        <v>17.517876000000001</v>
      </c>
      <c r="H29" s="119">
        <f t="shared" si="10"/>
        <v>28.125375999999996</v>
      </c>
      <c r="I29" s="119">
        <f t="shared" si="10"/>
        <v>24.332825</v>
      </c>
      <c r="J29" s="119">
        <f t="shared" si="10"/>
        <v>25.07912</v>
      </c>
      <c r="K29" s="119">
        <f t="shared" si="10"/>
        <v>23.063304999999996</v>
      </c>
      <c r="L29" s="119">
        <f t="shared" si="10"/>
        <v>23.584896000000001</v>
      </c>
      <c r="M29" s="119">
        <f t="shared" si="10"/>
        <v>39.293305000000004</v>
      </c>
      <c r="N29" s="119">
        <f t="shared" si="1"/>
        <v>267.73784899999998</v>
      </c>
      <c r="O29" s="120">
        <f>C29+D29</f>
        <v>33.188354000000004</v>
      </c>
      <c r="R29" s="119">
        <f t="shared" ca="1" si="8"/>
        <v>267.73784899999998</v>
      </c>
    </row>
    <row r="30" spans="1:18" s="115" customFormat="1" outlineLevel="1">
      <c r="A30" s="126" t="s">
        <v>56</v>
      </c>
      <c r="B30" s="117">
        <v>0</v>
      </c>
      <c r="C30" s="118">
        <v>0</v>
      </c>
      <c r="D30" s="118">
        <v>1</v>
      </c>
      <c r="E30" s="118">
        <v>1</v>
      </c>
      <c r="F30" s="118">
        <v>2</v>
      </c>
      <c r="G30" s="118">
        <v>1</v>
      </c>
      <c r="H30" s="118">
        <v>8</v>
      </c>
      <c r="I30" s="118">
        <v>6</v>
      </c>
      <c r="J30" s="118">
        <v>6</v>
      </c>
      <c r="K30" s="118">
        <v>6</v>
      </c>
      <c r="L30" s="118">
        <v>6</v>
      </c>
      <c r="M30" s="118">
        <v>8</v>
      </c>
      <c r="N30" s="119">
        <f t="shared" si="1"/>
        <v>45</v>
      </c>
      <c r="R30" s="120">
        <f t="shared" ca="1" si="8"/>
        <v>45</v>
      </c>
    </row>
    <row r="31" spans="1:18" s="115" customFormat="1" outlineLevel="1">
      <c r="A31" s="126" t="s">
        <v>57</v>
      </c>
      <c r="B31" s="117">
        <v>0</v>
      </c>
      <c r="C31" s="118">
        <v>0</v>
      </c>
      <c r="D31" s="118">
        <v>0</v>
      </c>
      <c r="E31" s="118">
        <v>0</v>
      </c>
      <c r="F31" s="118">
        <v>0</v>
      </c>
      <c r="G31" s="118">
        <v>0</v>
      </c>
      <c r="H31" s="118">
        <v>0</v>
      </c>
      <c r="I31" s="118">
        <v>0</v>
      </c>
      <c r="J31" s="118">
        <v>0</v>
      </c>
      <c r="K31" s="118">
        <v>0</v>
      </c>
      <c r="L31" s="118">
        <v>0</v>
      </c>
      <c r="M31" s="118">
        <v>0</v>
      </c>
      <c r="N31" s="119">
        <f t="shared" si="1"/>
        <v>0</v>
      </c>
      <c r="R31" s="120">
        <f t="shared" ca="1" si="8"/>
        <v>0</v>
      </c>
    </row>
    <row r="32" spans="1:18" s="115" customFormat="1" outlineLevel="1">
      <c r="A32" s="126" t="s">
        <v>58</v>
      </c>
      <c r="B32" s="117">
        <v>0</v>
      </c>
      <c r="C32" s="118">
        <v>1</v>
      </c>
      <c r="D32" s="118">
        <v>0</v>
      </c>
      <c r="E32" s="118">
        <v>0</v>
      </c>
      <c r="F32" s="118">
        <v>2</v>
      </c>
      <c r="G32" s="118">
        <v>0</v>
      </c>
      <c r="H32" s="118">
        <v>3</v>
      </c>
      <c r="I32" s="118">
        <v>0</v>
      </c>
      <c r="J32" s="118">
        <v>0</v>
      </c>
      <c r="K32" s="118">
        <v>0</v>
      </c>
      <c r="L32" s="118">
        <v>0</v>
      </c>
      <c r="M32" s="118">
        <v>2</v>
      </c>
      <c r="N32" s="119">
        <f t="shared" si="1"/>
        <v>8</v>
      </c>
      <c r="R32" s="120">
        <f t="shared" ca="1" si="8"/>
        <v>8</v>
      </c>
    </row>
    <row r="33" spans="1:18" s="115" customFormat="1" outlineLevel="1">
      <c r="A33" s="126" t="s">
        <v>42</v>
      </c>
      <c r="B33" s="117">
        <v>0</v>
      </c>
      <c r="C33" s="118">
        <v>0</v>
      </c>
      <c r="D33" s="118">
        <v>0</v>
      </c>
      <c r="E33" s="118"/>
      <c r="F33" s="118"/>
      <c r="G33" s="118"/>
      <c r="H33" s="118"/>
      <c r="I33" s="118"/>
      <c r="J33" s="118"/>
      <c r="K33" s="118"/>
      <c r="L33" s="118"/>
      <c r="M33" s="118"/>
      <c r="N33" s="119">
        <f t="shared" si="1"/>
        <v>0</v>
      </c>
      <c r="R33" s="120">
        <f t="shared" ca="1" si="8"/>
        <v>0</v>
      </c>
    </row>
    <row r="34" spans="1:18" s="115" customFormat="1" outlineLevel="1">
      <c r="A34" s="126" t="s">
        <v>59</v>
      </c>
      <c r="B34" s="117">
        <v>0</v>
      </c>
      <c r="C34" s="118">
        <v>0</v>
      </c>
      <c r="D34" s="118">
        <v>0</v>
      </c>
      <c r="E34" s="118">
        <v>0</v>
      </c>
      <c r="F34" s="118">
        <v>0</v>
      </c>
      <c r="G34" s="118">
        <v>0</v>
      </c>
      <c r="H34" s="118">
        <v>0</v>
      </c>
      <c r="I34" s="118">
        <v>0</v>
      </c>
      <c r="J34" s="118">
        <v>0</v>
      </c>
      <c r="K34" s="118">
        <v>0</v>
      </c>
      <c r="L34" s="118">
        <v>0</v>
      </c>
      <c r="M34" s="118">
        <v>0</v>
      </c>
      <c r="N34" s="119">
        <f t="shared" si="1"/>
        <v>0</v>
      </c>
      <c r="R34" s="120">
        <f t="shared" ca="1" si="8"/>
        <v>0</v>
      </c>
    </row>
    <row r="35" spans="1:18" s="115" customFormat="1" outlineLevel="1">
      <c r="A35" s="126" t="s">
        <v>60</v>
      </c>
      <c r="B35" s="117">
        <v>0</v>
      </c>
      <c r="C35" s="118">
        <v>0</v>
      </c>
      <c r="D35" s="118">
        <v>0</v>
      </c>
      <c r="E35" s="118">
        <v>0</v>
      </c>
      <c r="F35" s="118">
        <v>0</v>
      </c>
      <c r="G35" s="118">
        <v>0</v>
      </c>
      <c r="H35" s="118">
        <v>0</v>
      </c>
      <c r="I35" s="118">
        <v>0</v>
      </c>
      <c r="J35" s="118">
        <v>0</v>
      </c>
      <c r="K35" s="118">
        <v>0</v>
      </c>
      <c r="L35" s="118">
        <v>0</v>
      </c>
      <c r="M35" s="118">
        <v>0</v>
      </c>
      <c r="N35" s="119">
        <f t="shared" si="1"/>
        <v>0</v>
      </c>
      <c r="R35" s="120">
        <f t="shared" ca="1" si="8"/>
        <v>0</v>
      </c>
    </row>
    <row r="36" spans="1:18" s="115" customFormat="1" outlineLevel="1">
      <c r="A36" s="126" t="s">
        <v>61</v>
      </c>
      <c r="B36" s="117">
        <v>0</v>
      </c>
      <c r="C36" s="118">
        <v>0</v>
      </c>
      <c r="D36" s="118">
        <v>0</v>
      </c>
      <c r="E36" s="118">
        <v>0</v>
      </c>
      <c r="F36" s="118">
        <v>0</v>
      </c>
      <c r="G36" s="118">
        <v>0</v>
      </c>
      <c r="H36" s="118">
        <v>0</v>
      </c>
      <c r="I36" s="118">
        <v>0</v>
      </c>
      <c r="J36" s="118">
        <v>0</v>
      </c>
      <c r="K36" s="118">
        <v>0</v>
      </c>
      <c r="L36" s="118">
        <v>0</v>
      </c>
      <c r="M36" s="118">
        <v>0</v>
      </c>
      <c r="N36" s="119">
        <f t="shared" si="1"/>
        <v>0</v>
      </c>
      <c r="R36" s="120">
        <f t="shared" ca="1" si="8"/>
        <v>0</v>
      </c>
    </row>
    <row r="37" spans="1:18" s="115" customFormat="1" outlineLevel="1">
      <c r="A37" s="126" t="s">
        <v>62</v>
      </c>
      <c r="B37" s="117">
        <v>0</v>
      </c>
      <c r="C37" s="118">
        <v>0</v>
      </c>
      <c r="D37" s="118">
        <v>1</v>
      </c>
      <c r="E37" s="118">
        <v>0</v>
      </c>
      <c r="F37" s="118">
        <v>0</v>
      </c>
      <c r="G37" s="118">
        <v>1</v>
      </c>
      <c r="H37" s="118">
        <v>0</v>
      </c>
      <c r="I37" s="118">
        <v>0</v>
      </c>
      <c r="J37" s="118">
        <v>2</v>
      </c>
      <c r="K37" s="118">
        <v>0</v>
      </c>
      <c r="L37" s="118">
        <v>0</v>
      </c>
      <c r="M37" s="118">
        <v>1</v>
      </c>
      <c r="N37" s="119">
        <f t="shared" si="1"/>
        <v>5</v>
      </c>
      <c r="R37" s="120">
        <f t="shared" ca="1" si="8"/>
        <v>5</v>
      </c>
    </row>
    <row r="38" spans="1:18" s="115" customFormat="1" outlineLevel="1">
      <c r="A38" s="126" t="s">
        <v>63</v>
      </c>
      <c r="B38" s="117">
        <v>0</v>
      </c>
      <c r="C38" s="118">
        <v>0</v>
      </c>
      <c r="D38" s="118">
        <v>0</v>
      </c>
      <c r="E38" s="118">
        <v>0</v>
      </c>
      <c r="F38" s="118">
        <v>0</v>
      </c>
      <c r="G38" s="118">
        <v>0</v>
      </c>
      <c r="H38" s="118">
        <v>0</v>
      </c>
      <c r="I38" s="118">
        <v>0</v>
      </c>
      <c r="J38" s="118">
        <v>0</v>
      </c>
      <c r="K38" s="118">
        <v>0</v>
      </c>
      <c r="L38" s="118">
        <v>0</v>
      </c>
      <c r="M38" s="118">
        <v>0</v>
      </c>
      <c r="N38" s="119">
        <f t="shared" si="1"/>
        <v>0</v>
      </c>
      <c r="R38" s="120">
        <f t="shared" ca="1" si="8"/>
        <v>0</v>
      </c>
    </row>
    <row r="39" spans="1:18" s="115" customFormat="1" outlineLevel="1">
      <c r="A39" s="126" t="s">
        <v>64</v>
      </c>
      <c r="B39" s="117">
        <v>0</v>
      </c>
      <c r="C39" s="118">
        <v>0</v>
      </c>
      <c r="D39" s="118">
        <v>0</v>
      </c>
      <c r="E39" s="118">
        <v>0</v>
      </c>
      <c r="F39" s="118">
        <v>0</v>
      </c>
      <c r="G39" s="118">
        <v>0.5</v>
      </c>
      <c r="H39" s="118">
        <v>0</v>
      </c>
      <c r="I39" s="118">
        <v>0.6</v>
      </c>
      <c r="J39" s="118">
        <v>0</v>
      </c>
      <c r="K39" s="118">
        <v>0</v>
      </c>
      <c r="L39" s="118">
        <v>0</v>
      </c>
      <c r="M39" s="118">
        <v>0</v>
      </c>
      <c r="N39" s="119">
        <f t="shared" si="1"/>
        <v>1.1000000000000001</v>
      </c>
      <c r="R39" s="120">
        <f t="shared" ca="1" si="8"/>
        <v>1.1000000000000001</v>
      </c>
    </row>
    <row r="40" spans="1:18" s="115" customFormat="1" outlineLevel="1">
      <c r="A40" s="126" t="s">
        <v>65</v>
      </c>
      <c r="B40" s="117">
        <v>14.247869999999999</v>
      </c>
      <c r="C40" s="118">
        <v>13.380632</v>
      </c>
      <c r="D40" s="118">
        <v>12.987722</v>
      </c>
      <c r="E40" s="118">
        <v>15.352831</v>
      </c>
      <c r="F40" s="118">
        <v>14.222091000000001</v>
      </c>
      <c r="G40" s="118">
        <v>13.387876</v>
      </c>
      <c r="H40" s="118">
        <v>15.475375999999999</v>
      </c>
      <c r="I40" s="118">
        <v>15.372825000000001</v>
      </c>
      <c r="J40" s="118">
        <v>15.449120000000001</v>
      </c>
      <c r="K40" s="118">
        <v>15.423305000000001</v>
      </c>
      <c r="L40" s="118">
        <v>15.434896</v>
      </c>
      <c r="M40" s="118">
        <v>25.433305000000004</v>
      </c>
      <c r="N40" s="119">
        <f t="shared" si="1"/>
        <v>186.16784900000005</v>
      </c>
      <c r="R40" s="120">
        <f t="shared" ca="1" si="8"/>
        <v>186.16784900000005</v>
      </c>
    </row>
    <row r="41" spans="1:18" s="115" customFormat="1" outlineLevel="1">
      <c r="A41" s="126" t="s">
        <v>50</v>
      </c>
      <c r="B41" s="117">
        <v>0</v>
      </c>
      <c r="C41" s="118">
        <v>0</v>
      </c>
      <c r="D41" s="118">
        <v>0</v>
      </c>
      <c r="E41" s="118">
        <v>0</v>
      </c>
      <c r="F41" s="118">
        <v>0</v>
      </c>
      <c r="G41" s="118">
        <v>0</v>
      </c>
      <c r="H41" s="118">
        <v>0</v>
      </c>
      <c r="I41" s="118">
        <v>0</v>
      </c>
      <c r="J41" s="118">
        <v>0</v>
      </c>
      <c r="K41" s="118">
        <v>0</v>
      </c>
      <c r="L41" s="118">
        <v>0</v>
      </c>
      <c r="M41" s="118">
        <v>0</v>
      </c>
      <c r="N41" s="119">
        <f t="shared" si="1"/>
        <v>0</v>
      </c>
      <c r="R41" s="120">
        <f t="shared" ca="1" si="8"/>
        <v>0</v>
      </c>
    </row>
    <row r="42" spans="1:18" s="115" customFormat="1" outlineLevel="1">
      <c r="A42" s="126" t="s">
        <v>51</v>
      </c>
      <c r="B42" s="117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9">
        <f t="shared" si="1"/>
        <v>0</v>
      </c>
      <c r="R42" s="120">
        <f t="shared" ca="1" si="8"/>
        <v>0</v>
      </c>
    </row>
    <row r="43" spans="1:18" s="115" customFormat="1" outlineLevel="1">
      <c r="A43" s="126" t="s">
        <v>52</v>
      </c>
      <c r="B43" s="117">
        <v>0</v>
      </c>
      <c r="C43" s="118">
        <v>0</v>
      </c>
      <c r="D43" s="118">
        <v>0</v>
      </c>
      <c r="E43" s="118">
        <v>0</v>
      </c>
      <c r="F43" s="118">
        <v>0</v>
      </c>
      <c r="G43" s="118">
        <v>0</v>
      </c>
      <c r="H43" s="118">
        <v>0</v>
      </c>
      <c r="I43" s="118">
        <v>0</v>
      </c>
      <c r="J43" s="118">
        <v>0</v>
      </c>
      <c r="K43" s="118">
        <v>0</v>
      </c>
      <c r="L43" s="118">
        <v>0</v>
      </c>
      <c r="M43" s="118">
        <v>0</v>
      </c>
      <c r="N43" s="119">
        <f t="shared" si="1"/>
        <v>0</v>
      </c>
      <c r="R43" s="120">
        <f t="shared" ca="1" si="8"/>
        <v>0</v>
      </c>
    </row>
    <row r="44" spans="1:18" s="115" customFormat="1" outlineLevel="1">
      <c r="A44" s="126" t="s">
        <v>53</v>
      </c>
      <c r="B44" s="117">
        <v>0</v>
      </c>
      <c r="C44" s="118">
        <v>0</v>
      </c>
      <c r="D44" s="118">
        <v>1.7</v>
      </c>
      <c r="E44" s="118">
        <v>0.05</v>
      </c>
      <c r="F44" s="118">
        <v>0.06</v>
      </c>
      <c r="G44" s="118">
        <v>7.0000000000000007E-2</v>
      </c>
      <c r="H44" s="118">
        <v>0.09</v>
      </c>
      <c r="I44" s="118">
        <v>0.3</v>
      </c>
      <c r="J44" s="118">
        <v>7.0000000000000007E-2</v>
      </c>
      <c r="K44" s="118">
        <v>0.08</v>
      </c>
      <c r="L44" s="118">
        <v>0.09</v>
      </c>
      <c r="M44" s="118">
        <v>0.05</v>
      </c>
      <c r="N44" s="119">
        <f t="shared" si="1"/>
        <v>2.5599999999999996</v>
      </c>
      <c r="R44" s="120">
        <f t="shared" ca="1" si="8"/>
        <v>2.5599999999999996</v>
      </c>
    </row>
    <row r="45" spans="1:18" s="115" customFormat="1" outlineLevel="1">
      <c r="A45" s="126" t="s">
        <v>66</v>
      </c>
      <c r="B45" s="117">
        <v>1</v>
      </c>
      <c r="C45" s="118">
        <v>0.56000000000000005</v>
      </c>
      <c r="D45" s="118">
        <v>1.56</v>
      </c>
      <c r="E45" s="118">
        <v>2.06</v>
      </c>
      <c r="F45" s="118">
        <v>1.56</v>
      </c>
      <c r="G45" s="118">
        <v>1.56</v>
      </c>
      <c r="H45" s="118">
        <v>1.56</v>
      </c>
      <c r="I45" s="118">
        <v>2.06</v>
      </c>
      <c r="J45" s="118">
        <v>1.56</v>
      </c>
      <c r="K45" s="118">
        <v>1.56</v>
      </c>
      <c r="L45" s="118">
        <v>2.06</v>
      </c>
      <c r="M45" s="118">
        <v>2.81</v>
      </c>
      <c r="N45" s="119">
        <f t="shared" si="1"/>
        <v>19.91</v>
      </c>
      <c r="R45" s="120">
        <f t="shared" ca="1" si="8"/>
        <v>19.91</v>
      </c>
    </row>
    <row r="46" spans="1:18" ht="14.25" thickBot="1">
      <c r="A46" s="128" t="s">
        <v>1</v>
      </c>
      <c r="B46" s="129">
        <f>B28-B29</f>
        <v>20.698553483154022</v>
      </c>
      <c r="C46" s="130">
        <f t="shared" ref="C46:O46" si="11">C28-C29</f>
        <v>-49.347492617256634</v>
      </c>
      <c r="D46" s="130">
        <f t="shared" si="11"/>
        <v>138.71340740914607</v>
      </c>
      <c r="E46" s="130">
        <f t="shared" si="11"/>
        <v>38.311714988249626</v>
      </c>
      <c r="F46" s="130">
        <f t="shared" si="11"/>
        <v>20.718988123183877</v>
      </c>
      <c r="G46" s="130">
        <f t="shared" si="11"/>
        <v>19.342254216969152</v>
      </c>
      <c r="H46" s="130">
        <f t="shared" si="11"/>
        <v>-44.446346450477591</v>
      </c>
      <c r="I46" s="130">
        <f t="shared" si="11"/>
        <v>49.164684106058345</v>
      </c>
      <c r="J46" s="130">
        <f t="shared" si="11"/>
        <v>32.217954489457014</v>
      </c>
      <c r="K46" s="130">
        <f t="shared" si="11"/>
        <v>44.91848604844364</v>
      </c>
      <c r="L46" s="130">
        <f t="shared" si="11"/>
        <v>-19.317895488273209</v>
      </c>
      <c r="M46" s="130">
        <f t="shared" si="11"/>
        <v>105.2263924194672</v>
      </c>
      <c r="N46" s="130">
        <f t="shared" si="1"/>
        <v>356.20070072812155</v>
      </c>
      <c r="O46" s="130">
        <f t="shared" si="11"/>
        <v>89.365914791889395</v>
      </c>
      <c r="R46" s="130">
        <f t="shared" ca="1" si="8"/>
        <v>356.20070072812155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61"/>
  <sheetViews>
    <sheetView zoomScaleNormal="100" workbookViewId="0">
      <pane xSplit="1" ySplit="10" topLeftCell="B11" activePane="bottomRight" state="frozen"/>
      <selection activeCell="A49" sqref="A49"/>
      <selection pane="topRight" activeCell="A49" sqref="A49"/>
      <selection pane="bottomLeft" activeCell="A49" sqref="A49"/>
      <selection pane="bottomRight" activeCell="A51" sqref="A51"/>
    </sheetView>
  </sheetViews>
  <sheetFormatPr defaultColWidth="8.625" defaultRowHeight="13.5" outlineLevelRow="1"/>
  <cols>
    <col min="1" max="1" width="30.25" style="131" customWidth="1"/>
    <col min="2" max="7" width="9.125" style="131" customWidth="1"/>
    <col min="8" max="14" width="8.625" style="131" customWidth="1"/>
    <col min="15" max="15" width="12.75" style="131" hidden="1" customWidth="1"/>
    <col min="16" max="16" width="11.625" style="131" bestFit="1" customWidth="1"/>
    <col min="17" max="17" width="12.75" style="131" bestFit="1" customWidth="1"/>
    <col min="18" max="18" width="16.125" style="131" bestFit="1" customWidth="1"/>
    <col min="19" max="16384" width="8.625" style="131"/>
  </cols>
  <sheetData>
    <row r="1" spans="1:21" s="110" customFormat="1" ht="21.95" customHeight="1" thickBot="1">
      <c r="A1" s="110" t="s">
        <v>553</v>
      </c>
      <c r="C1" s="111" t="s">
        <v>499</v>
      </c>
    </row>
    <row r="2" spans="1:21" s="115" customFormat="1" ht="17.45" customHeight="1">
      <c r="A2" s="112" t="s">
        <v>500</v>
      </c>
      <c r="B2" s="113" t="s">
        <v>501</v>
      </c>
      <c r="C2" s="114" t="s">
        <v>69</v>
      </c>
      <c r="D2" s="114" t="s">
        <v>70</v>
      </c>
      <c r="E2" s="114" t="s">
        <v>71</v>
      </c>
      <c r="F2" s="114" t="s">
        <v>72</v>
      </c>
      <c r="G2" s="114" t="s">
        <v>73</v>
      </c>
      <c r="H2" s="114" t="s">
        <v>74</v>
      </c>
      <c r="I2" s="114" t="s">
        <v>75</v>
      </c>
      <c r="J2" s="114" t="s">
        <v>76</v>
      </c>
      <c r="K2" s="114" t="s">
        <v>77</v>
      </c>
      <c r="L2" s="114" t="s">
        <v>78</v>
      </c>
      <c r="M2" s="114" t="s">
        <v>79</v>
      </c>
      <c r="N2" s="114" t="s">
        <v>502</v>
      </c>
    </row>
    <row r="3" spans="1:21" s="115" customFormat="1" ht="17.45" customHeight="1">
      <c r="A3" s="116" t="s">
        <v>497</v>
      </c>
      <c r="B3" s="117">
        <v>1704.3128999999999</v>
      </c>
      <c r="C3" s="118">
        <f>6464390/10000</f>
        <v>646.43899999999996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9">
        <f>SUM(B3:M3)</f>
        <v>2350.7518999999998</v>
      </c>
      <c r="O3" s="120"/>
    </row>
    <row r="4" spans="1:21" s="115" customFormat="1" ht="17.45" customHeight="1">
      <c r="A4" s="116" t="s">
        <v>0</v>
      </c>
      <c r="B4" s="117">
        <f>B5/0.35</f>
        <v>795.10105088571424</v>
      </c>
      <c r="C4" s="117">
        <f>C5/0.35</f>
        <v>270.6812073142857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9">
        <f t="shared" ref="N4:N46" si="0">SUM(B4:M4)</f>
        <v>1065.7822581999999</v>
      </c>
      <c r="O4" s="120"/>
      <c r="P4" s="158"/>
    </row>
    <row r="5" spans="1:21" s="115" customFormat="1" ht="17.45" customHeight="1">
      <c r="A5" s="116" t="s">
        <v>503</v>
      </c>
      <c r="B5" s="117">
        <f>B6*1.13</f>
        <v>278.28536780999997</v>
      </c>
      <c r="C5" s="117">
        <f>C6*1.13</f>
        <v>94.738422559999989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>
        <f t="shared" si="0"/>
        <v>373.02379036999997</v>
      </c>
      <c r="O5" s="120"/>
      <c r="P5" s="191"/>
    </row>
    <row r="6" spans="1:21" s="115" customFormat="1" ht="17.45" customHeight="1">
      <c r="A6" s="116" t="s">
        <v>504</v>
      </c>
      <c r="B6" s="117">
        <v>246.27023700000001</v>
      </c>
      <c r="C6" s="118">
        <f>838393.12/10000</f>
        <v>83.839311999999993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9">
        <f t="shared" si="0"/>
        <v>330.10954900000002</v>
      </c>
      <c r="O6" s="120"/>
      <c r="P6" s="158"/>
    </row>
    <row r="7" spans="1:21" s="115" customFormat="1" ht="17.45" customHeight="1">
      <c r="A7" s="116" t="s">
        <v>505</v>
      </c>
      <c r="B7" s="117">
        <v>64.346994999999993</v>
      </c>
      <c r="C7" s="118">
        <f>296718.06/10000</f>
        <v>29.671806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9">
        <f t="shared" si="0"/>
        <v>94.018800999999996</v>
      </c>
      <c r="P7" s="158"/>
    </row>
    <row r="8" spans="1:21" s="115" customFormat="1" ht="17.45" customHeight="1">
      <c r="A8" s="121" t="s">
        <v>506</v>
      </c>
      <c r="B8" s="122">
        <f>B6-B7</f>
        <v>181.92324200000002</v>
      </c>
      <c r="C8" s="119">
        <f t="shared" ref="C8:M8" si="1">C6-C7</f>
        <v>54.167505999999989</v>
      </c>
      <c r="D8" s="119">
        <f t="shared" si="1"/>
        <v>0</v>
      </c>
      <c r="E8" s="119">
        <f t="shared" si="1"/>
        <v>0</v>
      </c>
      <c r="F8" s="119">
        <f t="shared" si="1"/>
        <v>0</v>
      </c>
      <c r="G8" s="119">
        <f t="shared" si="1"/>
        <v>0</v>
      </c>
      <c r="H8" s="119">
        <f t="shared" si="1"/>
        <v>0</v>
      </c>
      <c r="I8" s="119">
        <f t="shared" si="1"/>
        <v>0</v>
      </c>
      <c r="J8" s="119">
        <f t="shared" si="1"/>
        <v>0</v>
      </c>
      <c r="K8" s="119">
        <f t="shared" si="1"/>
        <v>0</v>
      </c>
      <c r="L8" s="119">
        <f t="shared" si="1"/>
        <v>0</v>
      </c>
      <c r="M8" s="119">
        <f t="shared" si="1"/>
        <v>0</v>
      </c>
      <c r="N8" s="119">
        <f t="shared" si="0"/>
        <v>236.09074800000002</v>
      </c>
    </row>
    <row r="9" spans="1:21" s="115" customFormat="1" ht="17.45" customHeight="1">
      <c r="A9" s="123" t="s">
        <v>507</v>
      </c>
      <c r="B9" s="124">
        <f>IFERROR(B8/B6,0)</f>
        <v>0.73871387877049877</v>
      </c>
      <c r="C9" s="125">
        <f t="shared" ref="C9:N9" si="2">IFERROR(C8/C6,0)</f>
        <v>0.64608719594454678</v>
      </c>
      <c r="D9" s="125">
        <f t="shared" si="2"/>
        <v>0</v>
      </c>
      <c r="E9" s="125">
        <f t="shared" si="2"/>
        <v>0</v>
      </c>
      <c r="F9" s="125">
        <f t="shared" si="2"/>
        <v>0</v>
      </c>
      <c r="G9" s="125">
        <f t="shared" si="2"/>
        <v>0</v>
      </c>
      <c r="H9" s="125">
        <f t="shared" si="2"/>
        <v>0</v>
      </c>
      <c r="I9" s="125">
        <f t="shared" si="2"/>
        <v>0</v>
      </c>
      <c r="J9" s="125">
        <f t="shared" si="2"/>
        <v>0</v>
      </c>
      <c r="K9" s="125">
        <f t="shared" si="2"/>
        <v>0</v>
      </c>
      <c r="L9" s="125">
        <f t="shared" si="2"/>
        <v>0</v>
      </c>
      <c r="M9" s="125">
        <f t="shared" si="2"/>
        <v>0</v>
      </c>
      <c r="N9" s="125">
        <f t="shared" si="2"/>
        <v>0.71518909015261478</v>
      </c>
    </row>
    <row r="10" spans="1:21" s="115" customFormat="1" ht="17.45" customHeight="1">
      <c r="A10" s="121" t="s">
        <v>508</v>
      </c>
      <c r="B10" s="122">
        <f t="shared" ref="B10:M10" si="3">SUM(B11:B27)</f>
        <v>116.82257700000001</v>
      </c>
      <c r="C10" s="119">
        <f t="shared" si="3"/>
        <v>80.684702000000001</v>
      </c>
      <c r="D10" s="119">
        <f t="shared" si="3"/>
        <v>0</v>
      </c>
      <c r="E10" s="119">
        <f t="shared" si="3"/>
        <v>0</v>
      </c>
      <c r="F10" s="119">
        <f t="shared" si="3"/>
        <v>0</v>
      </c>
      <c r="G10" s="119">
        <f t="shared" si="3"/>
        <v>0</v>
      </c>
      <c r="H10" s="119">
        <f t="shared" si="3"/>
        <v>0</v>
      </c>
      <c r="I10" s="119">
        <f t="shared" si="3"/>
        <v>0</v>
      </c>
      <c r="J10" s="119">
        <f t="shared" si="3"/>
        <v>0</v>
      </c>
      <c r="K10" s="119">
        <f t="shared" si="3"/>
        <v>0</v>
      </c>
      <c r="L10" s="119">
        <f t="shared" si="3"/>
        <v>0</v>
      </c>
      <c r="M10" s="119">
        <f t="shared" si="3"/>
        <v>0</v>
      </c>
      <c r="N10" s="119">
        <f>SUM(B10:M10)</f>
        <v>197.50727900000001</v>
      </c>
      <c r="Q10" s="120"/>
      <c r="R10" s="120"/>
    </row>
    <row r="11" spans="1:21" s="115" customFormat="1" ht="17.45" customHeight="1" outlineLevel="1">
      <c r="A11" s="126" t="s">
        <v>39</v>
      </c>
      <c r="B11" s="194">
        <v>58.005161999999999</v>
      </c>
      <c r="C11" s="118">
        <v>29.692996999999998</v>
      </c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9">
        <f t="shared" si="0"/>
        <v>87.698159000000004</v>
      </c>
      <c r="P11" s="156"/>
      <c r="Q11" s="156"/>
      <c r="R11" s="156"/>
      <c r="S11" s="156"/>
      <c r="T11" s="156"/>
      <c r="U11" s="156"/>
    </row>
    <row r="12" spans="1:21" s="115" customFormat="1" ht="17.45" customHeight="1" outlineLevel="1">
      <c r="A12" s="126" t="s">
        <v>40</v>
      </c>
      <c r="B12" s="194">
        <f>6.6075+2765.37/10000</f>
        <v>6.8840370000000002</v>
      </c>
      <c r="C12" s="118">
        <f>0.723175+791.8/10000</f>
        <v>0.80235500000000004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9">
        <f t="shared" si="0"/>
        <v>7.6863920000000006</v>
      </c>
      <c r="P12" s="156"/>
      <c r="Q12" s="120"/>
    </row>
    <row r="13" spans="1:21" s="115" customFormat="1" ht="17.45" customHeight="1" outlineLevel="1">
      <c r="A13" s="126" t="s">
        <v>41</v>
      </c>
      <c r="B13" s="117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9">
        <f t="shared" si="0"/>
        <v>0</v>
      </c>
      <c r="P13" s="156"/>
    </row>
    <row r="14" spans="1:21" s="115" customFormat="1" ht="17.45" customHeight="1" outlineLevel="1">
      <c r="A14" s="126" t="s">
        <v>42</v>
      </c>
      <c r="B14" s="117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9">
        <f t="shared" si="0"/>
        <v>0</v>
      </c>
      <c r="P14" s="156"/>
      <c r="Q14" s="120"/>
    </row>
    <row r="15" spans="1:21" s="115" customFormat="1" ht="17.45" customHeight="1" outlineLevel="1">
      <c r="A15" s="126" t="s">
        <v>43</v>
      </c>
      <c r="B15" s="117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9">
        <f t="shared" si="0"/>
        <v>0</v>
      </c>
      <c r="P15" s="156"/>
    </row>
    <row r="16" spans="1:21" s="115" customFormat="1" ht="17.45" customHeight="1" outlineLevel="1">
      <c r="A16" s="126" t="s">
        <v>44</v>
      </c>
      <c r="B16" s="117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9">
        <f t="shared" si="0"/>
        <v>0</v>
      </c>
      <c r="P16" s="156"/>
    </row>
    <row r="17" spans="1:19" s="115" customFormat="1" outlineLevel="1">
      <c r="A17" s="126" t="s">
        <v>45</v>
      </c>
      <c r="B17" s="117"/>
      <c r="C17" s="118">
        <v>0.99009899999999995</v>
      </c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9">
        <f t="shared" si="0"/>
        <v>0.99009899999999995</v>
      </c>
      <c r="P17" s="156"/>
      <c r="R17" s="158"/>
    </row>
    <row r="18" spans="1:19" s="115" customFormat="1" outlineLevel="1">
      <c r="A18" s="126" t="s">
        <v>46</v>
      </c>
      <c r="B18" s="117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9">
        <f t="shared" si="0"/>
        <v>0</v>
      </c>
      <c r="P18" s="156"/>
      <c r="R18" s="158"/>
    </row>
    <row r="19" spans="1:19" s="115" customFormat="1" outlineLevel="1">
      <c r="A19" s="126" t="s">
        <v>47</v>
      </c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>
        <f t="shared" si="0"/>
        <v>0</v>
      </c>
      <c r="P19" s="156"/>
      <c r="R19" s="158"/>
    </row>
    <row r="20" spans="1:19" s="115" customFormat="1" outlineLevel="1">
      <c r="A20" s="126" t="s">
        <v>48</v>
      </c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9">
        <f t="shared" si="0"/>
        <v>0</v>
      </c>
      <c r="P20" s="156"/>
      <c r="R20" s="158"/>
    </row>
    <row r="21" spans="1:19" s="115" customFormat="1" outlineLevel="1">
      <c r="A21" s="126" t="s">
        <v>49</v>
      </c>
      <c r="B21" s="117">
        <v>29.351205</v>
      </c>
      <c r="C21" s="118">
        <v>31.522772999999997</v>
      </c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9">
        <f>SUM(B21:M21)</f>
        <v>60.873977999999994</v>
      </c>
      <c r="O21" s="115" t="s">
        <v>513</v>
      </c>
      <c r="P21" s="156"/>
      <c r="R21" s="158"/>
    </row>
    <row r="22" spans="1:19" s="115" customFormat="1" outlineLevel="1">
      <c r="A22" s="126" t="s">
        <v>50</v>
      </c>
      <c r="B22" s="117">
        <v>0.125</v>
      </c>
      <c r="C22" s="118">
        <v>0.94422600000000001</v>
      </c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9">
        <f t="shared" si="0"/>
        <v>1.069226</v>
      </c>
      <c r="O22" s="115" t="s">
        <v>15</v>
      </c>
      <c r="P22" s="156"/>
      <c r="R22" s="158"/>
    </row>
    <row r="23" spans="1:19" s="115" customFormat="1" outlineLevel="1">
      <c r="A23" s="126" t="s">
        <v>51</v>
      </c>
      <c r="B23" s="117">
        <v>5.5176350000000003</v>
      </c>
      <c r="C23" s="118">
        <v>5.3101999999999996E-2</v>
      </c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9">
        <f t="shared" si="0"/>
        <v>5.5707370000000003</v>
      </c>
      <c r="O23" s="115" t="s">
        <v>12</v>
      </c>
      <c r="P23" s="156"/>
      <c r="R23" s="158"/>
    </row>
    <row r="24" spans="1:19" s="115" customFormat="1" outlineLevel="1">
      <c r="A24" s="126" t="s">
        <v>52</v>
      </c>
      <c r="B24" s="117">
        <v>2.0220999999999999E-2</v>
      </c>
      <c r="C24" s="118">
        <v>2.0222E-2</v>
      </c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9">
        <f t="shared" si="0"/>
        <v>4.0443E-2</v>
      </c>
      <c r="O24" s="115" t="s">
        <v>295</v>
      </c>
      <c r="P24" s="156"/>
      <c r="R24" s="158"/>
    </row>
    <row r="25" spans="1:19" s="115" customFormat="1" outlineLevel="1">
      <c r="A25" s="126" t="s">
        <v>53</v>
      </c>
      <c r="B25" s="117">
        <v>0</v>
      </c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9">
        <f t="shared" si="0"/>
        <v>0</v>
      </c>
      <c r="P25" s="156"/>
      <c r="R25" s="158"/>
    </row>
    <row r="26" spans="1:19" s="115" customFormat="1" outlineLevel="1">
      <c r="A26" s="126" t="s">
        <v>54</v>
      </c>
      <c r="B26" s="117">
        <v>0</v>
      </c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9">
        <f t="shared" si="0"/>
        <v>0</v>
      </c>
      <c r="P26" s="156"/>
      <c r="R26" s="158"/>
    </row>
    <row r="27" spans="1:19" s="115" customFormat="1" outlineLevel="1">
      <c r="A27" s="126" t="s">
        <v>55</v>
      </c>
      <c r="B27" s="117">
        <v>16.919316999999996</v>
      </c>
      <c r="C27" s="118">
        <v>16.658928</v>
      </c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9">
        <f t="shared" si="0"/>
        <v>33.578244999999995</v>
      </c>
      <c r="O27" s="115" t="s">
        <v>333</v>
      </c>
      <c r="P27" s="156"/>
      <c r="R27" s="158"/>
    </row>
    <row r="28" spans="1:19" s="115" customFormat="1">
      <c r="A28" s="127" t="s">
        <v>9</v>
      </c>
      <c r="B28" s="122">
        <f t="shared" ref="B28:M28" si="4">B8-B10</f>
        <v>65.100665000000006</v>
      </c>
      <c r="C28" s="119">
        <f t="shared" si="4"/>
        <v>-26.517196000000013</v>
      </c>
      <c r="D28" s="119">
        <f t="shared" si="4"/>
        <v>0</v>
      </c>
      <c r="E28" s="119">
        <f t="shared" si="4"/>
        <v>0</v>
      </c>
      <c r="F28" s="119">
        <f t="shared" si="4"/>
        <v>0</v>
      </c>
      <c r="G28" s="119">
        <f t="shared" si="4"/>
        <v>0</v>
      </c>
      <c r="H28" s="119">
        <f t="shared" si="4"/>
        <v>0</v>
      </c>
      <c r="I28" s="119">
        <f t="shared" si="4"/>
        <v>0</v>
      </c>
      <c r="J28" s="119">
        <f t="shared" si="4"/>
        <v>0</v>
      </c>
      <c r="K28" s="119">
        <f t="shared" si="4"/>
        <v>0</v>
      </c>
      <c r="L28" s="119">
        <f t="shared" si="4"/>
        <v>0</v>
      </c>
      <c r="M28" s="119">
        <f t="shared" si="4"/>
        <v>0</v>
      </c>
      <c r="N28" s="119">
        <f t="shared" si="0"/>
        <v>38.583468999999994</v>
      </c>
      <c r="R28" s="158"/>
      <c r="S28" s="158"/>
    </row>
    <row r="29" spans="1:19" s="115" customFormat="1">
      <c r="A29" s="121" t="s">
        <v>509</v>
      </c>
      <c r="B29" s="122">
        <f>SUM(B30:B45)</f>
        <v>13.482917999999998</v>
      </c>
      <c r="C29" s="119">
        <f t="shared" ref="C29:M29" si="5">SUM(C30:C45)</f>
        <v>12.748996</v>
      </c>
      <c r="D29" s="119">
        <f t="shared" si="5"/>
        <v>0</v>
      </c>
      <c r="E29" s="119">
        <f t="shared" si="5"/>
        <v>0</v>
      </c>
      <c r="F29" s="119">
        <f t="shared" si="5"/>
        <v>0</v>
      </c>
      <c r="G29" s="119">
        <f t="shared" si="5"/>
        <v>0</v>
      </c>
      <c r="H29" s="119">
        <f t="shared" si="5"/>
        <v>0</v>
      </c>
      <c r="I29" s="119">
        <f t="shared" si="5"/>
        <v>0</v>
      </c>
      <c r="J29" s="119">
        <f t="shared" si="5"/>
        <v>0</v>
      </c>
      <c r="K29" s="119">
        <f t="shared" si="5"/>
        <v>0</v>
      </c>
      <c r="L29" s="119">
        <f t="shared" si="5"/>
        <v>0</v>
      </c>
      <c r="M29" s="119">
        <f t="shared" si="5"/>
        <v>0</v>
      </c>
      <c r="N29" s="119">
        <f t="shared" si="0"/>
        <v>26.231913999999996</v>
      </c>
      <c r="P29" s="158"/>
      <c r="Q29" s="158"/>
      <c r="R29" s="158"/>
    </row>
    <row r="30" spans="1:19" s="115" customFormat="1" outlineLevel="1">
      <c r="A30" s="126" t="s">
        <v>56</v>
      </c>
      <c r="B30" s="117">
        <v>4.9189999999999998E-3</v>
      </c>
      <c r="C30" s="118">
        <v>0.61881200000000003</v>
      </c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9">
        <f t="shared" si="0"/>
        <v>0.62373100000000004</v>
      </c>
      <c r="O30" s="115" t="s">
        <v>14</v>
      </c>
      <c r="P30" s="156"/>
      <c r="R30" s="158"/>
    </row>
    <row r="31" spans="1:19" s="115" customFormat="1" outlineLevel="1">
      <c r="A31" s="126" t="s">
        <v>57</v>
      </c>
      <c r="B31" s="117">
        <v>0</v>
      </c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9">
        <f t="shared" si="0"/>
        <v>0</v>
      </c>
      <c r="O31" s="115" t="s">
        <v>23</v>
      </c>
      <c r="P31" s="156"/>
      <c r="R31" s="158"/>
    </row>
    <row r="32" spans="1:19" s="115" customFormat="1" outlineLevel="1">
      <c r="A32" s="126" t="s">
        <v>58</v>
      </c>
      <c r="B32" s="117">
        <v>0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9">
        <f t="shared" si="0"/>
        <v>0</v>
      </c>
      <c r="P32" s="156"/>
      <c r="R32" s="158"/>
    </row>
    <row r="33" spans="1:18" s="115" customFormat="1" outlineLevel="1">
      <c r="A33" s="126" t="s">
        <v>42</v>
      </c>
      <c r="B33" s="117">
        <v>0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>
        <f t="shared" si="0"/>
        <v>0</v>
      </c>
      <c r="P33" s="156"/>
      <c r="R33" s="158"/>
    </row>
    <row r="34" spans="1:18" s="115" customFormat="1" outlineLevel="1">
      <c r="A34" s="126" t="s">
        <v>59</v>
      </c>
      <c r="B34" s="117">
        <v>0</v>
      </c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9">
        <f t="shared" si="0"/>
        <v>0</v>
      </c>
      <c r="P34" s="156"/>
      <c r="R34" s="158"/>
    </row>
    <row r="35" spans="1:18" s="115" customFormat="1" outlineLevel="1">
      <c r="A35" s="126" t="s">
        <v>60</v>
      </c>
      <c r="B35" s="117">
        <v>0</v>
      </c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9">
        <f t="shared" si="0"/>
        <v>0</v>
      </c>
      <c r="O35" s="157" t="s">
        <v>514</v>
      </c>
      <c r="P35" s="156"/>
      <c r="R35" s="158"/>
    </row>
    <row r="36" spans="1:18" s="115" customFormat="1" outlineLevel="1">
      <c r="A36" s="126" t="s">
        <v>61</v>
      </c>
      <c r="B36" s="117">
        <v>0</v>
      </c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9">
        <f t="shared" si="0"/>
        <v>0</v>
      </c>
      <c r="O36" s="115" t="s">
        <v>515</v>
      </c>
      <c r="P36" s="156"/>
      <c r="R36" s="158"/>
    </row>
    <row r="37" spans="1:18" s="115" customFormat="1" outlineLevel="1">
      <c r="A37" s="126" t="s">
        <v>62</v>
      </c>
      <c r="B37" s="117">
        <v>0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9">
        <f t="shared" si="0"/>
        <v>0</v>
      </c>
      <c r="O37" s="115" t="s">
        <v>152</v>
      </c>
      <c r="P37" s="156"/>
      <c r="R37" s="158"/>
    </row>
    <row r="38" spans="1:18" s="115" customFormat="1" outlineLevel="1">
      <c r="A38" s="126" t="s">
        <v>63</v>
      </c>
      <c r="B38" s="117">
        <v>0</v>
      </c>
      <c r="C38" s="118">
        <v>8.495599999999999E-2</v>
      </c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9">
        <f t="shared" si="0"/>
        <v>8.495599999999999E-2</v>
      </c>
      <c r="P38" s="156"/>
      <c r="R38" s="158"/>
    </row>
    <row r="39" spans="1:18" s="115" customFormat="1" outlineLevel="1">
      <c r="A39" s="126" t="s">
        <v>64</v>
      </c>
      <c r="B39" s="117">
        <v>0</v>
      </c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9">
        <f t="shared" si="0"/>
        <v>0</v>
      </c>
      <c r="O39" s="115" t="s">
        <v>17</v>
      </c>
      <c r="P39" s="156"/>
      <c r="R39" s="158"/>
    </row>
    <row r="40" spans="1:18" s="115" customFormat="1" outlineLevel="1">
      <c r="A40" s="126" t="s">
        <v>65</v>
      </c>
      <c r="B40" s="117">
        <v>12.998389999999999</v>
      </c>
      <c r="C40" s="118">
        <v>11.76568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9">
        <f t="shared" si="0"/>
        <v>24.764069999999997</v>
      </c>
      <c r="O40" s="115" t="s">
        <v>513</v>
      </c>
      <c r="P40" s="156"/>
      <c r="R40" s="158"/>
    </row>
    <row r="41" spans="1:18" s="115" customFormat="1" outlineLevel="1">
      <c r="A41" s="126" t="s">
        <v>50</v>
      </c>
      <c r="B41" s="117">
        <v>0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9">
        <f t="shared" si="0"/>
        <v>0</v>
      </c>
      <c r="O41" s="115" t="s">
        <v>15</v>
      </c>
      <c r="P41" s="156"/>
      <c r="R41" s="158"/>
    </row>
    <row r="42" spans="1:18" s="115" customFormat="1" outlineLevel="1">
      <c r="A42" s="126" t="s">
        <v>51</v>
      </c>
      <c r="B42" s="117">
        <v>0</v>
      </c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9">
        <f t="shared" si="0"/>
        <v>0</v>
      </c>
      <c r="P42" s="156"/>
      <c r="R42" s="158"/>
    </row>
    <row r="43" spans="1:18" s="115" customFormat="1" outlineLevel="1">
      <c r="A43" s="126" t="s">
        <v>52</v>
      </c>
      <c r="B43" s="117">
        <v>1.9397000000000001E-2</v>
      </c>
      <c r="C43" s="118">
        <v>1.9396E-2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9">
        <f t="shared" si="0"/>
        <v>3.8793000000000001E-2</v>
      </c>
      <c r="O43" s="115" t="s">
        <v>295</v>
      </c>
      <c r="P43" s="156"/>
      <c r="R43" s="158"/>
    </row>
    <row r="44" spans="1:18" s="115" customFormat="1" outlineLevel="1">
      <c r="A44" s="126" t="s">
        <v>53</v>
      </c>
      <c r="B44" s="117">
        <v>6.7159999999999997E-2</v>
      </c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9">
        <f t="shared" si="0"/>
        <v>6.7159999999999997E-2</v>
      </c>
      <c r="O44" s="115" t="s">
        <v>20</v>
      </c>
      <c r="P44" s="156"/>
      <c r="R44" s="158"/>
    </row>
    <row r="45" spans="1:18" s="115" customFormat="1" outlineLevel="1">
      <c r="A45" s="126" t="s">
        <v>66</v>
      </c>
      <c r="B45" s="117">
        <v>0.39305200000000007</v>
      </c>
      <c r="C45" s="118">
        <v>0.26015199999999999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9">
        <f t="shared" si="0"/>
        <v>0.65320400000000012</v>
      </c>
      <c r="O45" s="115" t="s">
        <v>333</v>
      </c>
      <c r="P45" s="156"/>
      <c r="R45" s="158"/>
    </row>
    <row r="46" spans="1:18" ht="14.25" thickBot="1">
      <c r="A46" s="128" t="s">
        <v>1</v>
      </c>
      <c r="B46" s="129">
        <f>B28-B29</f>
        <v>51.617747000000008</v>
      </c>
      <c r="C46" s="130">
        <f t="shared" ref="C46:M46" si="6">C28-C29</f>
        <v>-39.266192000000011</v>
      </c>
      <c r="D46" s="130">
        <f t="shared" si="6"/>
        <v>0</v>
      </c>
      <c r="E46" s="130">
        <f t="shared" si="6"/>
        <v>0</v>
      </c>
      <c r="F46" s="130">
        <f t="shared" si="6"/>
        <v>0</v>
      </c>
      <c r="G46" s="130">
        <f t="shared" si="6"/>
        <v>0</v>
      </c>
      <c r="H46" s="130">
        <f t="shared" si="6"/>
        <v>0</v>
      </c>
      <c r="I46" s="130">
        <f t="shared" si="6"/>
        <v>0</v>
      </c>
      <c r="J46" s="130">
        <f t="shared" si="6"/>
        <v>0</v>
      </c>
      <c r="K46" s="130">
        <f t="shared" si="6"/>
        <v>0</v>
      </c>
      <c r="L46" s="130">
        <f t="shared" si="6"/>
        <v>0</v>
      </c>
      <c r="M46" s="130">
        <f t="shared" si="6"/>
        <v>0</v>
      </c>
      <c r="N46" s="130">
        <f t="shared" si="0"/>
        <v>12.351554999999998</v>
      </c>
    </row>
    <row r="47" spans="1:18" ht="17.25">
      <c r="A47" s="147" t="s">
        <v>519</v>
      </c>
      <c r="B47" s="155"/>
      <c r="C47" s="155"/>
      <c r="D47" s="155"/>
      <c r="E47" s="155"/>
      <c r="F47" s="155"/>
      <c r="G47" s="155"/>
      <c r="H47" s="155"/>
      <c r="O47" s="154"/>
    </row>
    <row r="48" spans="1:18" ht="17.25">
      <c r="A48" s="147" t="s">
        <v>559</v>
      </c>
      <c r="I48" s="154"/>
    </row>
    <row r="49" spans="1:16">
      <c r="B49" s="155"/>
      <c r="C49" s="155"/>
      <c r="D49" s="155"/>
      <c r="E49" s="155"/>
      <c r="F49" s="155"/>
      <c r="G49" s="155"/>
      <c r="I49" s="154"/>
    </row>
    <row r="50" spans="1:16">
      <c r="B50" s="155"/>
      <c r="C50" s="155"/>
      <c r="D50" s="155"/>
      <c r="E50" s="155"/>
      <c r="F50" s="155"/>
      <c r="G50" s="154"/>
      <c r="P50" s="155"/>
    </row>
    <row r="51" spans="1:16" ht="15.75">
      <c r="A51" s="169"/>
      <c r="C51" s="155"/>
      <c r="H51" s="154"/>
    </row>
    <row r="52" spans="1:16">
      <c r="G52" s="155"/>
      <c r="H52" s="155"/>
      <c r="P52" s="155"/>
    </row>
    <row r="53" spans="1:16">
      <c r="B53" s="155"/>
      <c r="G53" s="154"/>
      <c r="H53" s="155"/>
    </row>
    <row r="54" spans="1:16">
      <c r="B54" s="155"/>
      <c r="C54" s="155"/>
      <c r="D54" s="155"/>
      <c r="E54" s="155"/>
      <c r="F54" s="155"/>
      <c r="G54" s="155"/>
      <c r="H54" s="155"/>
      <c r="I54" s="155"/>
      <c r="J54" s="155"/>
      <c r="K54" s="155"/>
    </row>
    <row r="55" spans="1:16"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P55" s="155"/>
    </row>
    <row r="56" spans="1:16">
      <c r="B56" s="154"/>
      <c r="C56" s="154"/>
      <c r="D56" s="154"/>
      <c r="E56" s="154"/>
      <c r="F56" s="154"/>
      <c r="G56" s="154"/>
      <c r="H56" s="154"/>
      <c r="I56" s="154"/>
      <c r="J56" s="154"/>
    </row>
    <row r="57" spans="1:16"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P57" s="155"/>
    </row>
    <row r="58" spans="1:16">
      <c r="B58" s="154"/>
      <c r="C58" s="154"/>
      <c r="D58" s="154"/>
      <c r="E58" s="154"/>
      <c r="F58" s="154"/>
      <c r="G58" s="154"/>
      <c r="H58" s="154"/>
      <c r="I58" s="154"/>
      <c r="J58" s="190"/>
      <c r="K58" s="190"/>
    </row>
    <row r="59" spans="1:16">
      <c r="B59" s="154"/>
      <c r="C59" s="154"/>
      <c r="D59" s="154"/>
      <c r="E59" s="154"/>
      <c r="F59" s="154"/>
      <c r="G59" s="154"/>
      <c r="H59" s="154"/>
      <c r="I59" s="154"/>
      <c r="J59" s="154"/>
    </row>
    <row r="61" spans="1:16">
      <c r="B61" s="154"/>
      <c r="C61" s="154"/>
      <c r="D61" s="154"/>
      <c r="E61" s="154"/>
      <c r="F61" s="154"/>
      <c r="G61" s="154"/>
      <c r="H61" s="154"/>
      <c r="I61" s="154"/>
    </row>
  </sheetData>
  <phoneticPr fontId="2" type="noConversion"/>
  <hyperlinks>
    <hyperlink ref="C1" location="目录!A1" display="返回首页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1" orientation="landscape" r:id="rId1"/>
  <rowBreaks count="1" manualBreakCount="1">
    <brk id="46" max="13" man="1"/>
  </rowBreaks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4</vt:i4>
      </vt:variant>
    </vt:vector>
  </HeadingPairs>
  <TitlesOfParts>
    <vt:vector size="19" baseType="lpstr">
      <vt:lpstr>渠道费用明细 (邹雨晴)</vt:lpstr>
      <vt:lpstr>市场部费用明细 (邹雨晴)</vt:lpstr>
      <vt:lpstr>序列勿动</vt:lpstr>
      <vt:lpstr>好的分析报表截图</vt:lpstr>
      <vt:lpstr>植物智慧20年最新签批全年预算</vt:lpstr>
      <vt:lpstr>植物智慧19年利润表（实际）</vt:lpstr>
      <vt:lpstr>植物智慧20年利润表（实际）</vt:lpstr>
      <vt:lpstr>植物智慧21年最新签批全年预算</vt:lpstr>
      <vt:lpstr>植物智慧21年利润表（实际）</vt:lpstr>
      <vt:lpstr>植物智慧经营分析2021-02</vt:lpstr>
      <vt:lpstr>植物智慧经营分析2020-7（老版本）</vt:lpstr>
      <vt:lpstr>渠道费用明细</vt:lpstr>
      <vt:lpstr>市场部费用明细</vt:lpstr>
      <vt:lpstr>应收账款</vt:lpstr>
      <vt:lpstr>植物智慧20年利润表 (原数据)</vt:lpstr>
      <vt:lpstr>'植物智慧19年利润表（实际）'!Print_Area</vt:lpstr>
      <vt:lpstr>'植物智慧20年利润表（实际）'!Print_Area</vt:lpstr>
      <vt:lpstr>'植物智慧21年利润表（实际）'!Print_Area</vt:lpstr>
      <vt:lpstr>月度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胡徵昱</cp:lastModifiedBy>
  <cp:lastPrinted>2020-12-25T01:39:06Z</cp:lastPrinted>
  <dcterms:created xsi:type="dcterms:W3CDTF">2015-06-05T18:19:34Z</dcterms:created>
  <dcterms:modified xsi:type="dcterms:W3CDTF">2021-03-25T07:29:34Z</dcterms:modified>
</cp:coreProperties>
</file>