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omments2.xml" ContentType="application/vnd.openxmlformats-officedocument.spreadsheetml.comments+xml"/>
  <Override PartName="/xl/customProperty3.bin" ContentType="application/vnd.openxmlformats-officedocument.spreadsheetml.customProperty"/>
  <Override PartName="/xl/comments3.xml" ContentType="application/vnd.openxmlformats-officedocument.spreadsheetml.comments+xml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2020年文件\经营快报&amp;管报&amp;业绩周报\滚动预测\12月\"/>
    </mc:Choice>
  </mc:AlternateContent>
  <bookViews>
    <workbookView xWindow="-110" yWindow="-110" windowWidth="19420" windowHeight="10420" tabRatio="802"/>
  </bookViews>
  <sheets>
    <sheet name="珀芙研" sheetId="20" r:id="rId1"/>
    <sheet name="珀芙研电商" sheetId="1" r:id="rId2"/>
    <sheet name="珀芙研药房" sheetId="19" r:id="rId3"/>
    <sheet name="Sheet1" sheetId="21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A7" i="20" l="1"/>
  <c r="BO21" i="1" l="1"/>
  <c r="BO46" i="19" l="1"/>
  <c r="BO21" i="19"/>
  <c r="BO24" i="19"/>
  <c r="BO41" i="19"/>
  <c r="BO42" i="19"/>
  <c r="BO18" i="19"/>
  <c r="BO22" i="19"/>
  <c r="BO28" i="1"/>
  <c r="BO22" i="1"/>
  <c r="BO24" i="1"/>
  <c r="BO31" i="19"/>
  <c r="BO38" i="19"/>
  <c r="BO20" i="19"/>
  <c r="BO7" i="19"/>
  <c r="BO18" i="1"/>
  <c r="BK46" i="20" l="1"/>
  <c r="BK45" i="20"/>
  <c r="BK44" i="20"/>
  <c r="BK43" i="20"/>
  <c r="BK42" i="20"/>
  <c r="BK41" i="20"/>
  <c r="BK40" i="20"/>
  <c r="BK39" i="20"/>
  <c r="BK38" i="20"/>
  <c r="BK37" i="20"/>
  <c r="BK36" i="20"/>
  <c r="BK35" i="20"/>
  <c r="BK34" i="20"/>
  <c r="BK33" i="20"/>
  <c r="BK32" i="20"/>
  <c r="BK31" i="20"/>
  <c r="BK28" i="20"/>
  <c r="BK27" i="20"/>
  <c r="BK26" i="20"/>
  <c r="BK25" i="20"/>
  <c r="BK24" i="20"/>
  <c r="BK23" i="20"/>
  <c r="BK22" i="20"/>
  <c r="BK21" i="20"/>
  <c r="BK20" i="20"/>
  <c r="BK19" i="20"/>
  <c r="BK18" i="20"/>
  <c r="BK17" i="20"/>
  <c r="BK16" i="20"/>
  <c r="BK15" i="20"/>
  <c r="BK14" i="20"/>
  <c r="BK13" i="20"/>
  <c r="BK12" i="20"/>
  <c r="BK5" i="20"/>
  <c r="BK6" i="20"/>
  <c r="BK7" i="20"/>
  <c r="BK8" i="20"/>
  <c r="BK9" i="20"/>
  <c r="BK4" i="20"/>
  <c r="BE46" i="20"/>
  <c r="BE45" i="20"/>
  <c r="BE44" i="20"/>
  <c r="BE43" i="20"/>
  <c r="BE42" i="20"/>
  <c r="BE41" i="20"/>
  <c r="BE40" i="20"/>
  <c r="BE39" i="20"/>
  <c r="BE38" i="20"/>
  <c r="BE37" i="20"/>
  <c r="BE36" i="20"/>
  <c r="BE35" i="20"/>
  <c r="BE34" i="20"/>
  <c r="BE33" i="20"/>
  <c r="BE32" i="20"/>
  <c r="BE31" i="20"/>
  <c r="BE28" i="20"/>
  <c r="BE27" i="20"/>
  <c r="BE26" i="20"/>
  <c r="BE25" i="20"/>
  <c r="BE24" i="20"/>
  <c r="BE23" i="20"/>
  <c r="BE22" i="20"/>
  <c r="BE21" i="20"/>
  <c r="BE20" i="20"/>
  <c r="BE19" i="20"/>
  <c r="BE18" i="20"/>
  <c r="BE17" i="20"/>
  <c r="BE16" i="20"/>
  <c r="BE15" i="20"/>
  <c r="BE14" i="20"/>
  <c r="BE13" i="20"/>
  <c r="BE12" i="20"/>
  <c r="BE5" i="20"/>
  <c r="BE6" i="20"/>
  <c r="BE7" i="20"/>
  <c r="BE8" i="20"/>
  <c r="BE9" i="20"/>
  <c r="BE4" i="20"/>
  <c r="AY32" i="20"/>
  <c r="AY33" i="20"/>
  <c r="AY34" i="20"/>
  <c r="AY35" i="20"/>
  <c r="AY36" i="20"/>
  <c r="AY37" i="20"/>
  <c r="AY38" i="20"/>
  <c r="AY39" i="20"/>
  <c r="AY40" i="20"/>
  <c r="AY41" i="20"/>
  <c r="AY42" i="20"/>
  <c r="AY43" i="20"/>
  <c r="AY44" i="20"/>
  <c r="AY45" i="20"/>
  <c r="AY46" i="20"/>
  <c r="AY31" i="20"/>
  <c r="AY28" i="20"/>
  <c r="AY27" i="20"/>
  <c r="AY26" i="20"/>
  <c r="AY25" i="20"/>
  <c r="AY24" i="20"/>
  <c r="AY23" i="20"/>
  <c r="AY22" i="20"/>
  <c r="AY21" i="20"/>
  <c r="AY20" i="20"/>
  <c r="AY19" i="20"/>
  <c r="AY18" i="20"/>
  <c r="AY17" i="20"/>
  <c r="AY16" i="20"/>
  <c r="AY15" i="20"/>
  <c r="AY14" i="20"/>
  <c r="AY13" i="20"/>
  <c r="AY12" i="20"/>
  <c r="AY5" i="20"/>
  <c r="AY6" i="20"/>
  <c r="AY7" i="20"/>
  <c r="AY8" i="20"/>
  <c r="AY9" i="20"/>
  <c r="AY4" i="20"/>
  <c r="AS46" i="20"/>
  <c r="AS45" i="20"/>
  <c r="AS44" i="20"/>
  <c r="AS43" i="20"/>
  <c r="AS42" i="20"/>
  <c r="AS41" i="20"/>
  <c r="AS40" i="20"/>
  <c r="AS39" i="20"/>
  <c r="AS38" i="20"/>
  <c r="AS37" i="20"/>
  <c r="AS36" i="20"/>
  <c r="AS35" i="20"/>
  <c r="AS34" i="20"/>
  <c r="AS33" i="20"/>
  <c r="AS32" i="20"/>
  <c r="AS31" i="20"/>
  <c r="AS28" i="20"/>
  <c r="AS27" i="20"/>
  <c r="AS26" i="20"/>
  <c r="AS25" i="20"/>
  <c r="AS24" i="20"/>
  <c r="AS23" i="20"/>
  <c r="AS22" i="20"/>
  <c r="AS21" i="20"/>
  <c r="AS20" i="20"/>
  <c r="AS19" i="20"/>
  <c r="AS18" i="20"/>
  <c r="AS17" i="20"/>
  <c r="AS16" i="20"/>
  <c r="AS15" i="20"/>
  <c r="AS14" i="20"/>
  <c r="AS13" i="20"/>
  <c r="AS12" i="20"/>
  <c r="AS5" i="20"/>
  <c r="AS6" i="20"/>
  <c r="AS7" i="20"/>
  <c r="AS8" i="20"/>
  <c r="AS9" i="20"/>
  <c r="AS4" i="20"/>
  <c r="AM46" i="20"/>
  <c r="AM45" i="20"/>
  <c r="AM44" i="20"/>
  <c r="AM43" i="20"/>
  <c r="AM42" i="20"/>
  <c r="AM41" i="20"/>
  <c r="AM40" i="20"/>
  <c r="AM39" i="20"/>
  <c r="AM38" i="20"/>
  <c r="AM37" i="20"/>
  <c r="AM36" i="20"/>
  <c r="AM35" i="20"/>
  <c r="AM34" i="20"/>
  <c r="AM33" i="20"/>
  <c r="AM32" i="20"/>
  <c r="AM31" i="20"/>
  <c r="AM28" i="20"/>
  <c r="AM27" i="20"/>
  <c r="AM26" i="20"/>
  <c r="AM25" i="20"/>
  <c r="AM24" i="20"/>
  <c r="AM23" i="20"/>
  <c r="AM22" i="20"/>
  <c r="AM21" i="20"/>
  <c r="AM20" i="20"/>
  <c r="AM19" i="20"/>
  <c r="AM18" i="20"/>
  <c r="AM17" i="20"/>
  <c r="AM16" i="20"/>
  <c r="AM15" i="20"/>
  <c r="AM14" i="20"/>
  <c r="AM13" i="20"/>
  <c r="AM12" i="20"/>
  <c r="AM5" i="20"/>
  <c r="AM6" i="20"/>
  <c r="AM7" i="20"/>
  <c r="AM8" i="20"/>
  <c r="AM9" i="20"/>
  <c r="AM4" i="20"/>
  <c r="AG46" i="20"/>
  <c r="AG45" i="20"/>
  <c r="AG44" i="20"/>
  <c r="AG43" i="20"/>
  <c r="AG42" i="20"/>
  <c r="AG41" i="20"/>
  <c r="AG40" i="20"/>
  <c r="AG39" i="20"/>
  <c r="AG38" i="20"/>
  <c r="AG37" i="20"/>
  <c r="AG36" i="20"/>
  <c r="AG35" i="20"/>
  <c r="AG34" i="20"/>
  <c r="AG33" i="20"/>
  <c r="AG32" i="20"/>
  <c r="AG31" i="20"/>
  <c r="AG28" i="20"/>
  <c r="AG27" i="20"/>
  <c r="AG26" i="20"/>
  <c r="AG25" i="20"/>
  <c r="AG24" i="20"/>
  <c r="AG23" i="20"/>
  <c r="AG22" i="20"/>
  <c r="AG21" i="20"/>
  <c r="AG20" i="20"/>
  <c r="AG19" i="20"/>
  <c r="AG18" i="20"/>
  <c r="AG17" i="20"/>
  <c r="AG16" i="20"/>
  <c r="AG15" i="20"/>
  <c r="AG14" i="20"/>
  <c r="AG13" i="20"/>
  <c r="AG12" i="20"/>
  <c r="AG5" i="20"/>
  <c r="AG6" i="20"/>
  <c r="AG7" i="20"/>
  <c r="AG8" i="20"/>
  <c r="AG9" i="20"/>
  <c r="AG4" i="20"/>
  <c r="AA32" i="20"/>
  <c r="AA33" i="20"/>
  <c r="AA34" i="20"/>
  <c r="AA35" i="20"/>
  <c r="AA36" i="20"/>
  <c r="AA37" i="20"/>
  <c r="AA38" i="20"/>
  <c r="AA39" i="20"/>
  <c r="AA40" i="20"/>
  <c r="AA41" i="20"/>
  <c r="AA42" i="20"/>
  <c r="AA43" i="20"/>
  <c r="AA44" i="20"/>
  <c r="AA45" i="20"/>
  <c r="AA46" i="20"/>
  <c r="AA31" i="20"/>
  <c r="AA28" i="20"/>
  <c r="AA27" i="20"/>
  <c r="AA26" i="20"/>
  <c r="AA25" i="20"/>
  <c r="AA24" i="20"/>
  <c r="AA23" i="20"/>
  <c r="AA22" i="20"/>
  <c r="AA21" i="20"/>
  <c r="AA20" i="20"/>
  <c r="AA19" i="20"/>
  <c r="AA18" i="20"/>
  <c r="AA17" i="20"/>
  <c r="AA16" i="20"/>
  <c r="AA15" i="20"/>
  <c r="AA14" i="20"/>
  <c r="AA13" i="20"/>
  <c r="AA12" i="20"/>
  <c r="AA5" i="20"/>
  <c r="AA6" i="20"/>
  <c r="AA7" i="20"/>
  <c r="AA8" i="20"/>
  <c r="AA9" i="20"/>
  <c r="AA4" i="20"/>
  <c r="U46" i="20"/>
  <c r="U45" i="20"/>
  <c r="U44" i="20"/>
  <c r="U43" i="20"/>
  <c r="U42" i="20"/>
  <c r="U41" i="20"/>
  <c r="U40" i="20"/>
  <c r="U39" i="20"/>
  <c r="U38" i="20"/>
  <c r="U37" i="20"/>
  <c r="U36" i="20"/>
  <c r="U35" i="20"/>
  <c r="U34" i="20"/>
  <c r="U33" i="20"/>
  <c r="U32" i="20"/>
  <c r="U31" i="20"/>
  <c r="U28" i="20"/>
  <c r="U27" i="20"/>
  <c r="U26" i="20"/>
  <c r="U25" i="20"/>
  <c r="U24" i="20"/>
  <c r="U23" i="20"/>
  <c r="U22" i="20"/>
  <c r="U21" i="20"/>
  <c r="U20" i="20"/>
  <c r="U19" i="20"/>
  <c r="U18" i="20"/>
  <c r="U17" i="20"/>
  <c r="U16" i="20"/>
  <c r="U15" i="20"/>
  <c r="U14" i="20"/>
  <c r="U13" i="20"/>
  <c r="U12" i="20"/>
  <c r="U9" i="20"/>
  <c r="U8" i="20"/>
  <c r="U7" i="20"/>
  <c r="U6" i="20"/>
  <c r="U5" i="20"/>
  <c r="U4" i="20"/>
  <c r="O46" i="20"/>
  <c r="O45" i="20"/>
  <c r="O44" i="20"/>
  <c r="O43" i="20"/>
  <c r="O42" i="20"/>
  <c r="O41" i="20"/>
  <c r="O40" i="20"/>
  <c r="O39" i="20"/>
  <c r="O38" i="20"/>
  <c r="O37" i="20"/>
  <c r="O36" i="20"/>
  <c r="O35" i="20"/>
  <c r="O34" i="20"/>
  <c r="O33" i="20"/>
  <c r="O32" i="20"/>
  <c r="O31" i="20"/>
  <c r="O28" i="20"/>
  <c r="O27" i="20"/>
  <c r="O26" i="20"/>
  <c r="O25" i="20"/>
  <c r="O24" i="20"/>
  <c r="O23" i="20"/>
  <c r="O22" i="20"/>
  <c r="O21" i="20"/>
  <c r="O20" i="20"/>
  <c r="O19" i="20"/>
  <c r="O18" i="20"/>
  <c r="O17" i="20"/>
  <c r="O16" i="20"/>
  <c r="O15" i="20"/>
  <c r="O14" i="20"/>
  <c r="O13" i="20"/>
  <c r="O12" i="20"/>
  <c r="O5" i="20"/>
  <c r="O6" i="20"/>
  <c r="O7" i="20"/>
  <c r="O8" i="20"/>
  <c r="O9" i="20"/>
  <c r="O4" i="20"/>
  <c r="I46" i="20"/>
  <c r="I45" i="20"/>
  <c r="I44" i="20"/>
  <c r="I43" i="20"/>
  <c r="I42" i="20"/>
  <c r="I41" i="20"/>
  <c r="I40" i="20"/>
  <c r="I39" i="20"/>
  <c r="I38" i="20"/>
  <c r="I37" i="20"/>
  <c r="I36" i="20"/>
  <c r="I35" i="20"/>
  <c r="I34" i="20"/>
  <c r="I33" i="20"/>
  <c r="I32" i="20"/>
  <c r="I31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5" i="20"/>
  <c r="I6" i="20"/>
  <c r="I7" i="20"/>
  <c r="I8" i="20"/>
  <c r="I9" i="20"/>
  <c r="I4" i="20"/>
  <c r="AG32" i="19"/>
  <c r="AG33" i="19"/>
  <c r="AG34" i="19"/>
  <c r="AG35" i="19"/>
  <c r="AG36" i="19"/>
  <c r="AG37" i="19"/>
  <c r="AG38" i="19"/>
  <c r="AG39" i="19"/>
  <c r="AG40" i="19"/>
  <c r="AG41" i="19"/>
  <c r="AG42" i="19"/>
  <c r="AG43" i="19"/>
  <c r="AG44" i="19"/>
  <c r="AG45" i="19"/>
  <c r="AG46" i="19"/>
  <c r="AG31" i="19"/>
  <c r="AG13" i="19"/>
  <c r="AG14" i="19"/>
  <c r="AG15" i="19"/>
  <c r="AG16" i="19"/>
  <c r="AG17" i="19"/>
  <c r="AG18" i="19"/>
  <c r="AG19" i="19"/>
  <c r="AG20" i="19"/>
  <c r="AG21" i="19"/>
  <c r="AG22" i="19"/>
  <c r="AG23" i="19"/>
  <c r="AG24" i="19"/>
  <c r="AG25" i="19"/>
  <c r="AG26" i="19"/>
  <c r="AG27" i="19"/>
  <c r="AG28" i="19"/>
  <c r="AG12" i="19"/>
  <c r="AA46" i="19"/>
  <c r="AA45" i="19"/>
  <c r="AA44" i="19"/>
  <c r="AA43" i="19"/>
  <c r="AA42" i="19"/>
  <c r="AA41" i="19"/>
  <c r="AA40" i="19"/>
  <c r="AA39" i="19"/>
  <c r="AA38" i="19"/>
  <c r="AA37" i="19"/>
  <c r="AA36" i="19"/>
  <c r="AA35" i="19"/>
  <c r="AA34" i="19"/>
  <c r="AA33" i="19"/>
  <c r="AA32" i="19"/>
  <c r="AA31" i="19"/>
  <c r="AA28" i="19"/>
  <c r="AA27" i="19"/>
  <c r="AA26" i="19"/>
  <c r="AA25" i="19"/>
  <c r="AA24" i="19"/>
  <c r="AA23" i="19"/>
  <c r="AA22" i="19"/>
  <c r="AA21" i="19"/>
  <c r="AA20" i="19"/>
  <c r="AA19" i="19"/>
  <c r="AA18" i="19"/>
  <c r="AA17" i="19"/>
  <c r="AA16" i="19"/>
  <c r="AA15" i="19"/>
  <c r="AA14" i="19"/>
  <c r="AA13" i="19"/>
  <c r="AA12" i="19"/>
  <c r="AA5" i="19"/>
  <c r="AA6" i="19"/>
  <c r="AA7" i="19"/>
  <c r="AA8" i="19"/>
  <c r="AA4" i="19"/>
  <c r="O46" i="19"/>
  <c r="O45" i="19"/>
  <c r="O44" i="19"/>
  <c r="O43" i="19"/>
  <c r="O42" i="19"/>
  <c r="O41" i="19"/>
  <c r="O40" i="19"/>
  <c r="O39" i="19"/>
  <c r="O38" i="19"/>
  <c r="O37" i="19"/>
  <c r="O36" i="19"/>
  <c r="O35" i="19"/>
  <c r="O34" i="19"/>
  <c r="O33" i="19"/>
  <c r="O32" i="19"/>
  <c r="O31" i="19"/>
  <c r="O28" i="19"/>
  <c r="O27" i="19"/>
  <c r="O26" i="19"/>
  <c r="O25" i="19"/>
  <c r="O24" i="19"/>
  <c r="O23" i="19"/>
  <c r="O22" i="19"/>
  <c r="O21" i="19"/>
  <c r="O20" i="19"/>
  <c r="O19" i="19"/>
  <c r="O18" i="19"/>
  <c r="O17" i="19"/>
  <c r="O16" i="19"/>
  <c r="O15" i="19"/>
  <c r="O14" i="19"/>
  <c r="O13" i="19"/>
  <c r="O12" i="19"/>
  <c r="O5" i="19"/>
  <c r="O6" i="19"/>
  <c r="O7" i="19"/>
  <c r="O8" i="19"/>
  <c r="O4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5" i="19"/>
  <c r="I6" i="19"/>
  <c r="I7" i="19"/>
  <c r="I8" i="19"/>
  <c r="I4" i="19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31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5" i="1"/>
  <c r="AG6" i="1"/>
  <c r="AG7" i="1"/>
  <c r="AG8" i="1"/>
  <c r="AG4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12" i="1"/>
  <c r="AA5" i="1"/>
  <c r="AA6" i="1"/>
  <c r="AA7" i="1"/>
  <c r="AA8" i="1"/>
  <c r="AA4" i="1"/>
  <c r="O46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31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12" i="1"/>
  <c r="O5" i="1"/>
  <c r="O6" i="1"/>
  <c r="O7" i="1"/>
  <c r="O8" i="1"/>
  <c r="O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" i="1"/>
  <c r="BS32" i="20" l="1"/>
  <c r="BS33" i="20"/>
  <c r="BS34" i="20"/>
  <c r="BS35" i="20"/>
  <c r="BS36" i="20"/>
  <c r="BS37" i="20"/>
  <c r="BS38" i="20"/>
  <c r="BS39" i="20"/>
  <c r="BS40" i="20"/>
  <c r="BS41" i="20"/>
  <c r="BS42" i="20"/>
  <c r="BS43" i="20"/>
  <c r="BS44" i="20"/>
  <c r="BS45" i="20"/>
  <c r="BS46" i="20"/>
  <c r="BS31" i="20"/>
  <c r="BS15" i="20"/>
  <c r="BS16" i="20"/>
  <c r="BS17" i="20"/>
  <c r="BS18" i="20"/>
  <c r="BS19" i="20"/>
  <c r="BS20" i="20"/>
  <c r="BS21" i="20"/>
  <c r="BS22" i="20"/>
  <c r="BS23" i="20"/>
  <c r="BS24" i="20"/>
  <c r="BS25" i="20"/>
  <c r="BS26" i="20"/>
  <c r="BS27" i="20"/>
  <c r="BS28" i="20"/>
  <c r="BS8" i="20"/>
  <c r="BS7" i="20"/>
  <c r="BI6" i="1" l="1"/>
  <c r="BI42" i="19" l="1"/>
  <c r="BI14" i="19"/>
  <c r="BI24" i="19"/>
  <c r="BI46" i="19"/>
  <c r="BI20" i="19"/>
  <c r="BI7" i="19"/>
  <c r="BI18" i="19"/>
  <c r="BI14" i="1"/>
  <c r="BI18" i="1"/>
  <c r="BI6" i="19"/>
  <c r="E5" i="21" l="1"/>
  <c r="D5" i="21"/>
  <c r="C5" i="21"/>
  <c r="B5" i="21"/>
  <c r="C50" i="19"/>
  <c r="BT47" i="19"/>
  <c r="BS47" i="19"/>
  <c r="BR47" i="19"/>
  <c r="BN47" i="19"/>
  <c r="BM47" i="19"/>
  <c r="BL47" i="19"/>
  <c r="BJ47" i="19"/>
  <c r="BH47" i="19"/>
  <c r="BG47" i="19"/>
  <c r="BF47" i="19"/>
  <c r="BE47" i="19"/>
  <c r="BD47" i="19"/>
  <c r="BC47" i="19"/>
  <c r="BB47" i="19"/>
  <c r="BA47" i="19"/>
  <c r="AZ47" i="19"/>
  <c r="AY47" i="19"/>
  <c r="AX47" i="19"/>
  <c r="AW47" i="19"/>
  <c r="AV47" i="19"/>
  <c r="AU47" i="19"/>
  <c r="AT47" i="19"/>
  <c r="AS47" i="19"/>
  <c r="AR47" i="19"/>
  <c r="AQ47" i="19"/>
  <c r="AP47" i="19"/>
  <c r="AO47" i="19"/>
  <c r="AN47" i="19"/>
  <c r="AM47" i="19"/>
  <c r="AL47" i="19"/>
  <c r="AK47" i="19"/>
  <c r="AJ47" i="19"/>
  <c r="AI47" i="19"/>
  <c r="AH47" i="19"/>
  <c r="AF47" i="19"/>
  <c r="AE47" i="19"/>
  <c r="AD47" i="19"/>
  <c r="AC47" i="19"/>
  <c r="AB47" i="19"/>
  <c r="Z47" i="19"/>
  <c r="Y47" i="19"/>
  <c r="X47" i="19"/>
  <c r="W47" i="19"/>
  <c r="V47" i="19"/>
  <c r="U47" i="19"/>
  <c r="T47" i="19"/>
  <c r="S47" i="19"/>
  <c r="R47" i="19"/>
  <c r="Q47" i="19"/>
  <c r="P47" i="19"/>
  <c r="N47" i="19"/>
  <c r="M47" i="19"/>
  <c r="L47" i="19"/>
  <c r="K47" i="19"/>
  <c r="J47" i="19"/>
  <c r="H47" i="19"/>
  <c r="G47" i="19"/>
  <c r="F47" i="19"/>
  <c r="E47" i="19"/>
  <c r="D47" i="19"/>
  <c r="C47" i="19"/>
  <c r="BZ46" i="19"/>
  <c r="BY46" i="19"/>
  <c r="BX46" i="19"/>
  <c r="BV46" i="19"/>
  <c r="BU46" i="19"/>
  <c r="BQ46" i="19"/>
  <c r="BK46" i="19"/>
  <c r="BE46" i="19"/>
  <c r="BC46" i="19"/>
  <c r="AY46" i="19"/>
  <c r="AS46" i="19"/>
  <c r="AP46" i="19"/>
  <c r="AM46" i="19"/>
  <c r="AK46" i="19"/>
  <c r="AJ46" i="19"/>
  <c r="AI46" i="19"/>
  <c r="AE46" i="19"/>
  <c r="AD46" i="19"/>
  <c r="X46" i="19"/>
  <c r="U46" i="19"/>
  <c r="S46" i="19"/>
  <c r="R46" i="19"/>
  <c r="Q46" i="19"/>
  <c r="M46" i="19"/>
  <c r="L46" i="19"/>
  <c r="K46" i="19"/>
  <c r="F46" i="19"/>
  <c r="E46" i="19"/>
  <c r="BZ45" i="19"/>
  <c r="BY45" i="19"/>
  <c r="BX45" i="19"/>
  <c r="BV45" i="19"/>
  <c r="BU45" i="19"/>
  <c r="BW45" i="19" s="1"/>
  <c r="BQ45" i="19"/>
  <c r="BK45" i="19"/>
  <c r="BE45" i="19"/>
  <c r="AY45" i="19"/>
  <c r="AS45" i="19"/>
  <c r="AP45" i="19"/>
  <c r="AM45" i="19"/>
  <c r="AJ45" i="19"/>
  <c r="AD45" i="19"/>
  <c r="X45" i="19"/>
  <c r="U45" i="19"/>
  <c r="R45" i="19"/>
  <c r="Q45" i="19"/>
  <c r="L45" i="19"/>
  <c r="K45" i="19"/>
  <c r="F45" i="19"/>
  <c r="E45" i="19"/>
  <c r="BZ44" i="19"/>
  <c r="BY44" i="19"/>
  <c r="BX44" i="19"/>
  <c r="BV44" i="19"/>
  <c r="BU44" i="19"/>
  <c r="BQ44" i="19"/>
  <c r="BK44" i="19"/>
  <c r="BE44" i="19"/>
  <c r="AY44" i="19"/>
  <c r="AS44" i="19"/>
  <c r="AP44" i="19"/>
  <c r="AM44" i="19"/>
  <c r="AJ44" i="19"/>
  <c r="AD44" i="19"/>
  <c r="X44" i="19"/>
  <c r="U44" i="19"/>
  <c r="S44" i="19"/>
  <c r="R44" i="19"/>
  <c r="Q44" i="19"/>
  <c r="L44" i="19"/>
  <c r="K44" i="19"/>
  <c r="F44" i="19"/>
  <c r="E44" i="19"/>
  <c r="BZ43" i="19"/>
  <c r="BY43" i="19"/>
  <c r="BX43" i="19"/>
  <c r="BV43" i="19"/>
  <c r="BU43" i="19"/>
  <c r="BQ43" i="19"/>
  <c r="BK43" i="19"/>
  <c r="BE43" i="19"/>
  <c r="AY43" i="19"/>
  <c r="AS43" i="19"/>
  <c r="AP43" i="19"/>
  <c r="AM43" i="19"/>
  <c r="AJ43" i="19"/>
  <c r="AD43" i="19"/>
  <c r="X43" i="19"/>
  <c r="U43" i="19"/>
  <c r="R43" i="19"/>
  <c r="Q43" i="19"/>
  <c r="L43" i="19"/>
  <c r="K43" i="19"/>
  <c r="F43" i="19"/>
  <c r="E43" i="19"/>
  <c r="BZ42" i="19"/>
  <c r="BY42" i="19"/>
  <c r="BX42" i="19"/>
  <c r="BV42" i="19"/>
  <c r="BU42" i="19"/>
  <c r="BQ42" i="19"/>
  <c r="BK42" i="19"/>
  <c r="BE42" i="19"/>
  <c r="AY42" i="19"/>
  <c r="AS42" i="19"/>
  <c r="AQ42" i="19"/>
  <c r="AP42" i="19"/>
  <c r="AM42" i="19"/>
  <c r="AK42" i="19"/>
  <c r="AJ42" i="19"/>
  <c r="AD42" i="19"/>
  <c r="X42" i="19"/>
  <c r="U42" i="19"/>
  <c r="S42" i="19"/>
  <c r="R42" i="19"/>
  <c r="Q42" i="19"/>
  <c r="L42" i="19"/>
  <c r="K42" i="19"/>
  <c r="F42" i="19"/>
  <c r="E42" i="19"/>
  <c r="BZ41" i="19"/>
  <c r="BY41" i="19"/>
  <c r="BX41" i="19"/>
  <c r="BV41" i="19"/>
  <c r="BU41" i="19"/>
  <c r="BQ41" i="19"/>
  <c r="BK41" i="19"/>
  <c r="BE41" i="19"/>
  <c r="BC41" i="19"/>
  <c r="AY41" i="19"/>
  <c r="AS41" i="19"/>
  <c r="AQ41" i="19"/>
  <c r="AP41" i="19"/>
  <c r="AM41" i="19"/>
  <c r="AK41" i="19"/>
  <c r="AJ41" i="19"/>
  <c r="AD41" i="19"/>
  <c r="Y41" i="19"/>
  <c r="X41" i="19"/>
  <c r="U41" i="19"/>
  <c r="S41" i="19"/>
  <c r="R41" i="19"/>
  <c r="Q41" i="19"/>
  <c r="L41" i="19"/>
  <c r="K41" i="19"/>
  <c r="F41" i="19"/>
  <c r="E41" i="19"/>
  <c r="BZ40" i="19"/>
  <c r="BY40" i="19"/>
  <c r="BX40" i="19"/>
  <c r="BV40" i="19"/>
  <c r="BW40" i="19" s="1"/>
  <c r="BU40" i="19"/>
  <c r="BQ40" i="19"/>
  <c r="BK40" i="19"/>
  <c r="BE40" i="19"/>
  <c r="AY40" i="19"/>
  <c r="AS40" i="19"/>
  <c r="AP40" i="19"/>
  <c r="AM40" i="19"/>
  <c r="AJ40" i="19"/>
  <c r="AD40" i="19"/>
  <c r="X40" i="19"/>
  <c r="U40" i="19"/>
  <c r="R40" i="19"/>
  <c r="Q40" i="19"/>
  <c r="L40" i="19"/>
  <c r="K40" i="19"/>
  <c r="F40" i="19"/>
  <c r="E40" i="19"/>
  <c r="BZ39" i="19"/>
  <c r="BY39" i="19"/>
  <c r="BX39" i="19"/>
  <c r="BV39" i="19"/>
  <c r="BU39" i="19"/>
  <c r="BQ39" i="19"/>
  <c r="BK39" i="19"/>
  <c r="BE39" i="19"/>
  <c r="AY39" i="19"/>
  <c r="AS39" i="19"/>
  <c r="AP39" i="19"/>
  <c r="AM39" i="19"/>
  <c r="AJ39" i="19"/>
  <c r="AD39" i="19"/>
  <c r="X39" i="19"/>
  <c r="U39" i="19"/>
  <c r="R39" i="19"/>
  <c r="Q39" i="19"/>
  <c r="L39" i="19"/>
  <c r="K39" i="19"/>
  <c r="F39" i="19"/>
  <c r="E39" i="19"/>
  <c r="BZ38" i="19"/>
  <c r="BY38" i="19"/>
  <c r="BX38" i="19"/>
  <c r="BV38" i="19"/>
  <c r="BU38" i="19"/>
  <c r="BQ38" i="19"/>
  <c r="BK38" i="19"/>
  <c r="BE38" i="19"/>
  <c r="AY38" i="19"/>
  <c r="AS38" i="19"/>
  <c r="AP38" i="19"/>
  <c r="AM38" i="19"/>
  <c r="AJ38" i="19"/>
  <c r="AD38" i="19"/>
  <c r="X38" i="19"/>
  <c r="U38" i="19"/>
  <c r="R38" i="19"/>
  <c r="Q38" i="19"/>
  <c r="L38" i="19"/>
  <c r="K38" i="19"/>
  <c r="F38" i="19"/>
  <c r="E38" i="19"/>
  <c r="BZ37" i="19"/>
  <c r="BY37" i="19"/>
  <c r="BX37" i="19"/>
  <c r="BV37" i="19"/>
  <c r="BU37" i="19"/>
  <c r="BW37" i="19" s="1"/>
  <c r="BQ37" i="19"/>
  <c r="BK37" i="19"/>
  <c r="BE37" i="19"/>
  <c r="AY37" i="19"/>
  <c r="AS37" i="19"/>
  <c r="AP37" i="19"/>
  <c r="AM37" i="19"/>
  <c r="AJ37" i="19"/>
  <c r="AD37" i="19"/>
  <c r="X37" i="19"/>
  <c r="U37" i="19"/>
  <c r="R37" i="19"/>
  <c r="Q37" i="19"/>
  <c r="L37" i="19"/>
  <c r="K37" i="19"/>
  <c r="BZ36" i="19"/>
  <c r="BY36" i="19"/>
  <c r="BX36" i="19"/>
  <c r="BV36" i="19"/>
  <c r="BU36" i="19"/>
  <c r="BW36" i="19" s="1"/>
  <c r="BQ36" i="19"/>
  <c r="BK36" i="19"/>
  <c r="BE36" i="19"/>
  <c r="AY36" i="19"/>
  <c r="AW36" i="19"/>
  <c r="AS36" i="19"/>
  <c r="AP36" i="19"/>
  <c r="AM36" i="19"/>
  <c r="AJ36" i="19"/>
  <c r="AD36" i="19"/>
  <c r="X36" i="19"/>
  <c r="U36" i="19"/>
  <c r="R36" i="19"/>
  <c r="Q36" i="19"/>
  <c r="BZ35" i="19"/>
  <c r="BY35" i="19"/>
  <c r="BX35" i="19"/>
  <c r="BV35" i="19"/>
  <c r="BU35" i="19"/>
  <c r="BQ35" i="19"/>
  <c r="BK35" i="19"/>
  <c r="BE35" i="19"/>
  <c r="AS35" i="19"/>
  <c r="AM35" i="19"/>
  <c r="AJ35" i="19"/>
  <c r="AD35" i="19"/>
  <c r="X35" i="19"/>
  <c r="U35" i="19"/>
  <c r="BZ34" i="19"/>
  <c r="BY34" i="19"/>
  <c r="BX34" i="19"/>
  <c r="BV34" i="19"/>
  <c r="BW34" i="19" s="1"/>
  <c r="BU34" i="19"/>
  <c r="BQ34" i="19"/>
  <c r="BK34" i="19"/>
  <c r="BE34" i="19"/>
  <c r="AS34" i="19"/>
  <c r="AM34" i="19"/>
  <c r="AJ34" i="19"/>
  <c r="AD34" i="19"/>
  <c r="X34" i="19"/>
  <c r="U34" i="19"/>
  <c r="BZ33" i="19"/>
  <c r="BY33" i="19"/>
  <c r="BX33" i="19"/>
  <c r="BV33" i="19"/>
  <c r="BW33" i="19" s="1"/>
  <c r="BU33" i="19"/>
  <c r="BQ33" i="19"/>
  <c r="BK33" i="19"/>
  <c r="BE33" i="19"/>
  <c r="AS33" i="19"/>
  <c r="AM33" i="19"/>
  <c r="AJ33" i="19"/>
  <c r="AD33" i="19"/>
  <c r="X33" i="19"/>
  <c r="U33" i="19"/>
  <c r="BZ32" i="19"/>
  <c r="BY32" i="19"/>
  <c r="BX32" i="19"/>
  <c r="BV32" i="19"/>
  <c r="BU32" i="19"/>
  <c r="BQ32" i="19"/>
  <c r="BK32" i="19"/>
  <c r="BE32" i="19"/>
  <c r="AS32" i="19"/>
  <c r="AM32" i="19"/>
  <c r="AD32" i="19"/>
  <c r="U32" i="19"/>
  <c r="BZ31" i="19"/>
  <c r="BY31" i="19"/>
  <c r="BX31" i="19"/>
  <c r="BV31" i="19"/>
  <c r="BU31" i="19"/>
  <c r="BQ31" i="19"/>
  <c r="BQ31" i="20" s="1"/>
  <c r="BK31" i="19"/>
  <c r="BE31" i="19"/>
  <c r="AS31" i="19"/>
  <c r="AM31" i="19"/>
  <c r="AD31" i="19"/>
  <c r="U31" i="19"/>
  <c r="BT30" i="19"/>
  <c r="BS30" i="19"/>
  <c r="BR30" i="19"/>
  <c r="BP30" i="19"/>
  <c r="BO30" i="19"/>
  <c r="BN30" i="19"/>
  <c r="BM30" i="19"/>
  <c r="BL30" i="19"/>
  <c r="BJ30" i="19"/>
  <c r="BI30" i="19"/>
  <c r="BH30" i="19"/>
  <c r="BG30" i="19"/>
  <c r="BF30" i="19"/>
  <c r="BE30" i="19"/>
  <c r="BD30" i="19"/>
  <c r="BC30" i="19"/>
  <c r="BB30" i="19"/>
  <c r="BA30" i="19"/>
  <c r="AZ30" i="19"/>
  <c r="AY30" i="19"/>
  <c r="AX30" i="19"/>
  <c r="AW30" i="19"/>
  <c r="AV30" i="19"/>
  <c r="AU30" i="19"/>
  <c r="AT30" i="19"/>
  <c r="AS30" i="19"/>
  <c r="AR30" i="19"/>
  <c r="AQ30" i="19"/>
  <c r="AP30" i="19"/>
  <c r="AO30" i="19"/>
  <c r="AN30" i="19"/>
  <c r="AM30" i="19"/>
  <c r="AL30" i="19"/>
  <c r="AK30" i="19"/>
  <c r="AJ30" i="19"/>
  <c r="AI30" i="19"/>
  <c r="AH30" i="19"/>
  <c r="AG30" i="19"/>
  <c r="AG47" i="19" s="1"/>
  <c r="AF30" i="19"/>
  <c r="AE30" i="19"/>
  <c r="AD30" i="19"/>
  <c r="AC30" i="19"/>
  <c r="AB30" i="19"/>
  <c r="AA30" i="19"/>
  <c r="Z30" i="19"/>
  <c r="Y30" i="19"/>
  <c r="X30" i="19"/>
  <c r="W30" i="19"/>
  <c r="V30" i="19"/>
  <c r="U30" i="19"/>
  <c r="T30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C30" i="19"/>
  <c r="BT29" i="19"/>
  <c r="BS29" i="19"/>
  <c r="BR29" i="19"/>
  <c r="BN29" i="19"/>
  <c r="BM29" i="19"/>
  <c r="BL29" i="19"/>
  <c r="BJ29" i="19"/>
  <c r="BH29" i="19"/>
  <c r="BG29" i="19"/>
  <c r="BF29" i="19"/>
  <c r="BE29" i="19"/>
  <c r="BD29" i="19"/>
  <c r="BC29" i="19"/>
  <c r="BB29" i="19"/>
  <c r="BA29" i="19"/>
  <c r="AZ29" i="19"/>
  <c r="AY29" i="19"/>
  <c r="AX29" i="19"/>
  <c r="AW29" i="19"/>
  <c r="AV29" i="19"/>
  <c r="AU29" i="19"/>
  <c r="AT29" i="19"/>
  <c r="AS29" i="19"/>
  <c r="AR29" i="19"/>
  <c r="AQ29" i="19"/>
  <c r="AP29" i="19"/>
  <c r="AO29" i="19"/>
  <c r="AN29" i="19"/>
  <c r="AM29" i="19"/>
  <c r="AL29" i="19"/>
  <c r="AK29" i="19"/>
  <c r="AJ29" i="19"/>
  <c r="AI29" i="19"/>
  <c r="AH29" i="19"/>
  <c r="AG29" i="19"/>
  <c r="AF29" i="19"/>
  <c r="AE29" i="19"/>
  <c r="AD29" i="19"/>
  <c r="AC29" i="19"/>
  <c r="AB29" i="19"/>
  <c r="Z29" i="19"/>
  <c r="Y29" i="19"/>
  <c r="X29" i="19"/>
  <c r="W29" i="19"/>
  <c r="V29" i="19"/>
  <c r="U29" i="19"/>
  <c r="T29" i="19"/>
  <c r="S29" i="19"/>
  <c r="R29" i="19"/>
  <c r="Q29" i="19"/>
  <c r="P29" i="19"/>
  <c r="N29" i="19"/>
  <c r="M29" i="19"/>
  <c r="L29" i="19"/>
  <c r="K29" i="19"/>
  <c r="J29" i="19"/>
  <c r="H29" i="19"/>
  <c r="G29" i="19"/>
  <c r="F29" i="19"/>
  <c r="E29" i="19"/>
  <c r="D29" i="19"/>
  <c r="C29" i="19"/>
  <c r="BZ28" i="19"/>
  <c r="BY28" i="19"/>
  <c r="BX28" i="19"/>
  <c r="BW28" i="19"/>
  <c r="BV28" i="19"/>
  <c r="BU28" i="19"/>
  <c r="BQ28" i="19"/>
  <c r="BK28" i="19"/>
  <c r="BE28" i="19"/>
  <c r="AY28" i="19"/>
  <c r="AS28" i="19"/>
  <c r="AP28" i="19"/>
  <c r="AM28" i="19"/>
  <c r="AJ28" i="19"/>
  <c r="AD28" i="19"/>
  <c r="X28" i="19"/>
  <c r="U28" i="19"/>
  <c r="N28" i="19"/>
  <c r="BZ27" i="19"/>
  <c r="BY27" i="19"/>
  <c r="BX27" i="19"/>
  <c r="BV27" i="19"/>
  <c r="BW27" i="19" s="1"/>
  <c r="BU27" i="19"/>
  <c r="BQ27" i="19"/>
  <c r="BK27" i="19"/>
  <c r="BE27" i="19"/>
  <c r="AY27" i="19"/>
  <c r="AS27" i="19"/>
  <c r="AP27" i="19"/>
  <c r="AM27" i="19"/>
  <c r="AJ27" i="19"/>
  <c r="AD27" i="19"/>
  <c r="X27" i="19"/>
  <c r="U27" i="19"/>
  <c r="N27" i="19"/>
  <c r="BZ26" i="19"/>
  <c r="BY26" i="19"/>
  <c r="BX26" i="19"/>
  <c r="BV26" i="19"/>
  <c r="BU26" i="19"/>
  <c r="BQ26" i="19"/>
  <c r="BK26" i="19"/>
  <c r="BE26" i="19"/>
  <c r="AY26" i="19"/>
  <c r="AS26" i="19"/>
  <c r="AP26" i="19"/>
  <c r="AM26" i="19"/>
  <c r="AJ26" i="19"/>
  <c r="AD26" i="19"/>
  <c r="X26" i="19"/>
  <c r="U26" i="19"/>
  <c r="R26" i="19"/>
  <c r="Q26" i="19"/>
  <c r="E26" i="19"/>
  <c r="BZ25" i="19"/>
  <c r="BY25" i="19"/>
  <c r="BX25" i="19"/>
  <c r="BV25" i="19"/>
  <c r="BU25" i="19"/>
  <c r="BQ25" i="19"/>
  <c r="BK25" i="19"/>
  <c r="BE25" i="19"/>
  <c r="AY25" i="19"/>
  <c r="AS25" i="19"/>
  <c r="AP25" i="19"/>
  <c r="AM25" i="19"/>
  <c r="AJ25" i="19"/>
  <c r="AD25" i="19"/>
  <c r="X25" i="19"/>
  <c r="U25" i="19"/>
  <c r="R25" i="19"/>
  <c r="Q25" i="19"/>
  <c r="E25" i="19"/>
  <c r="BZ24" i="19"/>
  <c r="BY24" i="19"/>
  <c r="BX24" i="19"/>
  <c r="BV24" i="19"/>
  <c r="BU24" i="19"/>
  <c r="BQ24" i="19"/>
  <c r="BK24" i="19"/>
  <c r="BE24" i="19"/>
  <c r="BC24" i="19"/>
  <c r="AY24" i="19"/>
  <c r="AW24" i="19"/>
  <c r="AS24" i="19"/>
  <c r="AQ24" i="19"/>
  <c r="AP24" i="19"/>
  <c r="AM24" i="19"/>
  <c r="AK24" i="19"/>
  <c r="AJ24" i="19"/>
  <c r="AE24" i="19"/>
  <c r="AD24" i="19"/>
  <c r="X24" i="19"/>
  <c r="U24" i="19"/>
  <c r="S24" i="19"/>
  <c r="R24" i="19"/>
  <c r="Q24" i="19"/>
  <c r="M24" i="19"/>
  <c r="L24" i="19"/>
  <c r="K24" i="19"/>
  <c r="F24" i="19"/>
  <c r="E24" i="19"/>
  <c r="BZ23" i="19"/>
  <c r="BY23" i="19"/>
  <c r="BX23" i="19"/>
  <c r="BV23" i="19"/>
  <c r="BU23" i="19"/>
  <c r="BQ23" i="19"/>
  <c r="BK23" i="19"/>
  <c r="BE23" i="19"/>
  <c r="AY23" i="19"/>
  <c r="AS23" i="19"/>
  <c r="AP23" i="19"/>
  <c r="AM23" i="19"/>
  <c r="AJ23" i="19"/>
  <c r="AD23" i="19"/>
  <c r="X23" i="19"/>
  <c r="U23" i="19"/>
  <c r="R23" i="19"/>
  <c r="Q23" i="19"/>
  <c r="K23" i="19"/>
  <c r="F23" i="19"/>
  <c r="E23" i="19"/>
  <c r="BZ22" i="19"/>
  <c r="BY22" i="19"/>
  <c r="BX22" i="19"/>
  <c r="BV22" i="19"/>
  <c r="BU22" i="19"/>
  <c r="BQ22" i="19"/>
  <c r="BK22" i="19"/>
  <c r="BE22" i="19"/>
  <c r="AY22" i="19"/>
  <c r="AS22" i="19"/>
  <c r="AP22" i="19"/>
  <c r="AM22" i="19"/>
  <c r="AJ22" i="19"/>
  <c r="AD22" i="19"/>
  <c r="X22" i="19"/>
  <c r="U22" i="19"/>
  <c r="S22" i="19"/>
  <c r="R22" i="19"/>
  <c r="Q22" i="19"/>
  <c r="M22" i="19"/>
  <c r="L22" i="19"/>
  <c r="K22" i="19"/>
  <c r="F22" i="19"/>
  <c r="E22" i="19"/>
  <c r="BZ21" i="19"/>
  <c r="BY21" i="19"/>
  <c r="BX21" i="19"/>
  <c r="BV21" i="19"/>
  <c r="BU21" i="19"/>
  <c r="BQ21" i="19"/>
  <c r="BK21" i="19"/>
  <c r="BE21" i="19"/>
  <c r="AY21" i="19"/>
  <c r="AS21" i="19"/>
  <c r="AP21" i="19"/>
  <c r="AM21" i="19"/>
  <c r="AJ21" i="19"/>
  <c r="AD21" i="19"/>
  <c r="X21" i="19"/>
  <c r="U21" i="19"/>
  <c r="S21" i="19"/>
  <c r="R21" i="19"/>
  <c r="Q21" i="19"/>
  <c r="L21" i="19"/>
  <c r="K21" i="19"/>
  <c r="F21" i="19"/>
  <c r="E21" i="19"/>
  <c r="BZ20" i="19"/>
  <c r="BY20" i="19"/>
  <c r="BX20" i="19"/>
  <c r="BV20" i="19"/>
  <c r="BU20" i="19"/>
  <c r="BT20" i="19"/>
  <c r="BQ20" i="19"/>
  <c r="BN20" i="19"/>
  <c r="BM20" i="19"/>
  <c r="BK20" i="19"/>
  <c r="BH20" i="19"/>
  <c r="BG20" i="19"/>
  <c r="BE20" i="19"/>
  <c r="BC20" i="19"/>
  <c r="BB20" i="19"/>
  <c r="BA20" i="19"/>
  <c r="AY20" i="19"/>
  <c r="AW20" i="19"/>
  <c r="AV20" i="19"/>
  <c r="AU20" i="19"/>
  <c r="AS20" i="19"/>
  <c r="AQ20" i="19"/>
  <c r="AP20" i="19"/>
  <c r="AO20" i="19"/>
  <c r="AM20" i="19"/>
  <c r="AK20" i="19"/>
  <c r="AJ20" i="19"/>
  <c r="AI20" i="19"/>
  <c r="AE20" i="19"/>
  <c r="AD20" i="19"/>
  <c r="AC20" i="19"/>
  <c r="X20" i="19"/>
  <c r="W20" i="19"/>
  <c r="U20" i="19"/>
  <c r="S20" i="19"/>
  <c r="R20" i="19"/>
  <c r="Q20" i="19"/>
  <c r="M20" i="19"/>
  <c r="L20" i="19"/>
  <c r="K20" i="19"/>
  <c r="G20" i="19"/>
  <c r="F20" i="19"/>
  <c r="E20" i="19"/>
  <c r="C20" i="19"/>
  <c r="BZ19" i="19"/>
  <c r="BY19" i="19"/>
  <c r="BX19" i="19"/>
  <c r="BV19" i="19"/>
  <c r="BU19" i="19"/>
  <c r="BQ19" i="19"/>
  <c r="BK19" i="19"/>
  <c r="BE19" i="19"/>
  <c r="BA19" i="19"/>
  <c r="AY19" i="19"/>
  <c r="AV19" i="19"/>
  <c r="AS19" i="19"/>
  <c r="AP19" i="19"/>
  <c r="AM19" i="19"/>
  <c r="AK19" i="19"/>
  <c r="AJ19" i="19"/>
  <c r="AE19" i="19"/>
  <c r="AD19" i="19"/>
  <c r="Y19" i="19"/>
  <c r="X19" i="19"/>
  <c r="U19" i="19"/>
  <c r="S19" i="19"/>
  <c r="R19" i="19"/>
  <c r="Q19" i="19"/>
  <c r="L19" i="19"/>
  <c r="K19" i="19"/>
  <c r="F19" i="19"/>
  <c r="E19" i="19"/>
  <c r="BZ18" i="19"/>
  <c r="BY18" i="19"/>
  <c r="BX18" i="19"/>
  <c r="BV18" i="19"/>
  <c r="BU18" i="19"/>
  <c r="BQ18" i="19"/>
  <c r="BK18" i="19"/>
  <c r="BE18" i="19"/>
  <c r="BC18" i="19"/>
  <c r="AY18" i="19"/>
  <c r="AW18" i="19"/>
  <c r="AS18" i="19"/>
  <c r="AQ18" i="19"/>
  <c r="AP18" i="19"/>
  <c r="AO18" i="19"/>
  <c r="AM18" i="19"/>
  <c r="AK18" i="19"/>
  <c r="AJ18" i="19"/>
  <c r="AE18" i="19"/>
  <c r="AD18" i="19"/>
  <c r="Z18" i="19"/>
  <c r="Y18" i="19"/>
  <c r="X18" i="19"/>
  <c r="U18" i="19"/>
  <c r="S18" i="19"/>
  <c r="R18" i="19"/>
  <c r="Q18" i="19"/>
  <c r="M18" i="19"/>
  <c r="L18" i="19"/>
  <c r="K18" i="19"/>
  <c r="F18" i="19"/>
  <c r="E18" i="19"/>
  <c r="BZ17" i="19"/>
  <c r="BY17" i="19"/>
  <c r="BX17" i="19"/>
  <c r="BV17" i="19"/>
  <c r="BU17" i="19"/>
  <c r="BW17" i="19" s="1"/>
  <c r="BQ17" i="19"/>
  <c r="BK17" i="19"/>
  <c r="BE17" i="19"/>
  <c r="AY17" i="19"/>
  <c r="AS17" i="19"/>
  <c r="AP17" i="19"/>
  <c r="AM17" i="19"/>
  <c r="AJ17" i="19"/>
  <c r="AD17" i="19"/>
  <c r="X17" i="19"/>
  <c r="U17" i="19"/>
  <c r="R17" i="19"/>
  <c r="Q17" i="19"/>
  <c r="L17" i="19"/>
  <c r="K17" i="19"/>
  <c r="F17" i="19"/>
  <c r="E17" i="19"/>
  <c r="BZ16" i="19"/>
  <c r="BY16" i="19"/>
  <c r="BX16" i="19"/>
  <c r="BV16" i="19"/>
  <c r="BU16" i="19"/>
  <c r="BW16" i="19" s="1"/>
  <c r="BQ16" i="19"/>
  <c r="BK16" i="19"/>
  <c r="BE16" i="19"/>
  <c r="AY16" i="19"/>
  <c r="AS16" i="19"/>
  <c r="AP16" i="19"/>
  <c r="AM16" i="19"/>
  <c r="AJ16" i="19"/>
  <c r="AD16" i="19"/>
  <c r="X16" i="19"/>
  <c r="U16" i="19"/>
  <c r="R16" i="19"/>
  <c r="Q16" i="19"/>
  <c r="L16" i="19"/>
  <c r="K16" i="19"/>
  <c r="F16" i="19"/>
  <c r="E16" i="19"/>
  <c r="BZ15" i="19"/>
  <c r="BY15" i="19"/>
  <c r="BX15" i="19"/>
  <c r="BV15" i="19"/>
  <c r="BU15" i="19"/>
  <c r="BW15" i="19" s="1"/>
  <c r="BQ15" i="19"/>
  <c r="BK15" i="19"/>
  <c r="BE15" i="19"/>
  <c r="AY15" i="19"/>
  <c r="AS15" i="19"/>
  <c r="AP15" i="19"/>
  <c r="AM15" i="19"/>
  <c r="AJ15" i="19"/>
  <c r="AD15" i="19"/>
  <c r="X15" i="19"/>
  <c r="U15" i="19"/>
  <c r="R15" i="19"/>
  <c r="Q15" i="19"/>
  <c r="L15" i="19"/>
  <c r="K15" i="19"/>
  <c r="F15" i="19"/>
  <c r="E15" i="19"/>
  <c r="BZ14" i="19"/>
  <c r="BY14" i="19"/>
  <c r="BX14" i="19"/>
  <c r="BV14" i="19"/>
  <c r="BU14" i="19"/>
  <c r="BW14" i="19" s="1"/>
  <c r="BQ14" i="19"/>
  <c r="BK14" i="19"/>
  <c r="BE14" i="19"/>
  <c r="BC14" i="19"/>
  <c r="AS14" i="19"/>
  <c r="AM14" i="19"/>
  <c r="X14" i="19"/>
  <c r="U14" i="19"/>
  <c r="R14" i="19"/>
  <c r="Q14" i="19"/>
  <c r="L14" i="19"/>
  <c r="K14" i="19"/>
  <c r="F14" i="19"/>
  <c r="E14" i="19"/>
  <c r="BZ13" i="19"/>
  <c r="BY13" i="19"/>
  <c r="BX13" i="19"/>
  <c r="BV13" i="19"/>
  <c r="BU13" i="19"/>
  <c r="BW13" i="19" s="1"/>
  <c r="BQ13" i="19"/>
  <c r="BK13" i="19"/>
  <c r="BE13" i="19"/>
  <c r="AS13" i="19"/>
  <c r="AM13" i="19"/>
  <c r="U13" i="19"/>
  <c r="BZ12" i="19"/>
  <c r="BY12" i="19"/>
  <c r="BX12" i="19"/>
  <c r="BV12" i="19"/>
  <c r="BW12" i="19" s="1"/>
  <c r="BU12" i="19"/>
  <c r="BQ12" i="19"/>
  <c r="BK12" i="19"/>
  <c r="BE12" i="19"/>
  <c r="AS12" i="19"/>
  <c r="AM12" i="19"/>
  <c r="U12" i="19"/>
  <c r="BT11" i="19"/>
  <c r="BS11" i="19"/>
  <c r="BR11" i="19"/>
  <c r="BP11" i="19"/>
  <c r="BO11" i="19"/>
  <c r="BN11" i="19"/>
  <c r="BM11" i="19"/>
  <c r="BL11" i="19"/>
  <c r="BJ11" i="19"/>
  <c r="BI11" i="19"/>
  <c r="BH11" i="19"/>
  <c r="BG11" i="19"/>
  <c r="BF11" i="19"/>
  <c r="BE11" i="19"/>
  <c r="BD11" i="19"/>
  <c r="BC11" i="19"/>
  <c r="BB11" i="19"/>
  <c r="BA11" i="19"/>
  <c r="AZ11" i="19"/>
  <c r="AY11" i="19"/>
  <c r="AX11" i="19"/>
  <c r="AW11" i="19"/>
  <c r="AV11" i="19"/>
  <c r="AU11" i="19"/>
  <c r="AT11" i="19"/>
  <c r="AS11" i="19"/>
  <c r="AR11" i="19"/>
  <c r="AQ11" i="19"/>
  <c r="AP11" i="19"/>
  <c r="AO11" i="19"/>
  <c r="AN11" i="19"/>
  <c r="AM11" i="19"/>
  <c r="AL11" i="19"/>
  <c r="AK11" i="19"/>
  <c r="AJ11" i="19"/>
  <c r="AI11" i="19"/>
  <c r="AH11" i="19"/>
  <c r="AG11" i="19"/>
  <c r="AF11" i="19"/>
  <c r="AE11" i="19"/>
  <c r="AD11" i="19"/>
  <c r="AC11" i="19"/>
  <c r="AB11" i="19"/>
  <c r="AA11" i="19"/>
  <c r="AA29" i="19" s="1"/>
  <c r="AA47" i="19" s="1"/>
  <c r="Z11" i="19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T10" i="19"/>
  <c r="BS10" i="19"/>
  <c r="BR10" i="19"/>
  <c r="BN10" i="19"/>
  <c r="BM10" i="19"/>
  <c r="BL10" i="19"/>
  <c r="BJ10" i="19"/>
  <c r="BH10" i="19"/>
  <c r="BG10" i="19"/>
  <c r="BF10" i="19"/>
  <c r="BE10" i="19"/>
  <c r="BD10" i="19"/>
  <c r="BC10" i="19"/>
  <c r="BB10" i="19"/>
  <c r="BA10" i="19"/>
  <c r="AZ10" i="19"/>
  <c r="AY10" i="19"/>
  <c r="AX10" i="19"/>
  <c r="AW10" i="19"/>
  <c r="AV10" i="19"/>
  <c r="AU10" i="19"/>
  <c r="AT10" i="19"/>
  <c r="AS10" i="19"/>
  <c r="AR10" i="19"/>
  <c r="AQ10" i="19"/>
  <c r="AP10" i="19"/>
  <c r="AO10" i="19"/>
  <c r="AN10" i="19"/>
  <c r="AM10" i="19"/>
  <c r="AL10" i="19"/>
  <c r="AK10" i="19"/>
  <c r="AJ10" i="19"/>
  <c r="AI10" i="19"/>
  <c r="AH10" i="19"/>
  <c r="AG10" i="19"/>
  <c r="AF10" i="19"/>
  <c r="AE10" i="19"/>
  <c r="AD10" i="19"/>
  <c r="AC10" i="19"/>
  <c r="AB10" i="19"/>
  <c r="Z10" i="19"/>
  <c r="Y10" i="19"/>
  <c r="X10" i="19"/>
  <c r="W10" i="19"/>
  <c r="V10" i="19"/>
  <c r="U10" i="19"/>
  <c r="T10" i="19"/>
  <c r="S10" i="19"/>
  <c r="R10" i="19"/>
  <c r="Q10" i="19"/>
  <c r="P10" i="19"/>
  <c r="N10" i="19"/>
  <c r="M10" i="19"/>
  <c r="L10" i="19"/>
  <c r="K10" i="19"/>
  <c r="J10" i="19"/>
  <c r="H10" i="19"/>
  <c r="G10" i="19"/>
  <c r="F10" i="19"/>
  <c r="E10" i="19"/>
  <c r="D10" i="19"/>
  <c r="C10" i="19"/>
  <c r="BT9" i="19"/>
  <c r="BS9" i="19"/>
  <c r="BR9" i="19"/>
  <c r="BP9" i="19"/>
  <c r="BV9" i="19" s="1"/>
  <c r="BO9" i="19"/>
  <c r="BN9" i="19"/>
  <c r="BM9" i="19"/>
  <c r="BL9" i="19"/>
  <c r="BJ9" i="19"/>
  <c r="BI9" i="19"/>
  <c r="BH9" i="19"/>
  <c r="BG9" i="19"/>
  <c r="BF9" i="19"/>
  <c r="BE9" i="19"/>
  <c r="BD9" i="19"/>
  <c r="BC9" i="19"/>
  <c r="BB9" i="19"/>
  <c r="BA9" i="19"/>
  <c r="AZ9" i="19"/>
  <c r="AY9" i="19"/>
  <c r="AX9" i="19"/>
  <c r="AW9" i="19"/>
  <c r="AV9" i="19"/>
  <c r="AU9" i="19"/>
  <c r="AT9" i="19"/>
  <c r="AS9" i="19"/>
  <c r="AR9" i="19"/>
  <c r="AQ9" i="19"/>
  <c r="AP9" i="19"/>
  <c r="AO9" i="19"/>
  <c r="AN9" i="19"/>
  <c r="AM9" i="19"/>
  <c r="AL9" i="19"/>
  <c r="AK9" i="19"/>
  <c r="AJ9" i="19"/>
  <c r="AI9" i="19"/>
  <c r="AH9" i="19"/>
  <c r="AG9" i="19"/>
  <c r="AF9" i="19"/>
  <c r="AE9" i="19"/>
  <c r="AD9" i="19"/>
  <c r="AC9" i="19"/>
  <c r="AB9" i="19"/>
  <c r="AA9" i="19"/>
  <c r="AA10" i="19" s="1"/>
  <c r="Z9" i="19"/>
  <c r="Y9" i="19"/>
  <c r="X9" i="19"/>
  <c r="W9" i="19"/>
  <c r="V9" i="19"/>
  <c r="U9" i="19"/>
  <c r="T9" i="19"/>
  <c r="S9" i="19"/>
  <c r="R9" i="19"/>
  <c r="Q9" i="19"/>
  <c r="P9" i="19"/>
  <c r="O9" i="19"/>
  <c r="O10" i="19" s="1"/>
  <c r="N9" i="19"/>
  <c r="M9" i="19"/>
  <c r="L9" i="19"/>
  <c r="K9" i="19"/>
  <c r="J9" i="19"/>
  <c r="I9" i="19"/>
  <c r="I10" i="19" s="1"/>
  <c r="H9" i="19"/>
  <c r="G9" i="19"/>
  <c r="F9" i="19"/>
  <c r="E9" i="19"/>
  <c r="C9" i="19"/>
  <c r="BZ8" i="19"/>
  <c r="BY8" i="19"/>
  <c r="BX8" i="19"/>
  <c r="BV8" i="19"/>
  <c r="BU8" i="19"/>
  <c r="BQ8" i="19"/>
  <c r="BK8" i="19"/>
  <c r="BE8" i="19"/>
  <c r="AY8" i="19"/>
  <c r="AS8" i="19"/>
  <c r="AP8" i="19"/>
  <c r="AM8" i="19"/>
  <c r="AJ8" i="19"/>
  <c r="AG8" i="19"/>
  <c r="AD8" i="19"/>
  <c r="AC8" i="19"/>
  <c r="X8" i="19"/>
  <c r="U8" i="19"/>
  <c r="S8" i="19"/>
  <c r="R8" i="19"/>
  <c r="Q8" i="19"/>
  <c r="L8" i="19"/>
  <c r="K8" i="19"/>
  <c r="F8" i="19"/>
  <c r="E8" i="19"/>
  <c r="BZ7" i="19"/>
  <c r="BY7" i="19"/>
  <c r="BX7" i="19"/>
  <c r="BV7" i="19"/>
  <c r="BU7" i="19"/>
  <c r="BT7" i="19"/>
  <c r="BS7" i="19"/>
  <c r="BQ7" i="19"/>
  <c r="BN7" i="19"/>
  <c r="BM7" i="19"/>
  <c r="BK7" i="19"/>
  <c r="BH7" i="19"/>
  <c r="BG7" i="19"/>
  <c r="BE7" i="19"/>
  <c r="BC7" i="19"/>
  <c r="BB7" i="19"/>
  <c r="BA7" i="19"/>
  <c r="AY7" i="19"/>
  <c r="AW7" i="19"/>
  <c r="AV7" i="19"/>
  <c r="AU7" i="19"/>
  <c r="AS7" i="19"/>
  <c r="AQ7" i="19"/>
  <c r="AP7" i="19"/>
  <c r="AO7" i="19"/>
  <c r="AM7" i="19"/>
  <c r="AK7" i="19"/>
  <c r="AJ7" i="19"/>
  <c r="AI7" i="19"/>
  <c r="AG7" i="19"/>
  <c r="AE7" i="19"/>
  <c r="AD7" i="19"/>
  <c r="AC7" i="19"/>
  <c r="Y7" i="19"/>
  <c r="X7" i="19"/>
  <c r="W7" i="19"/>
  <c r="U7" i="19"/>
  <c r="S7" i="19"/>
  <c r="R7" i="19"/>
  <c r="Q7" i="19"/>
  <c r="M7" i="19"/>
  <c r="L7" i="19"/>
  <c r="K7" i="19"/>
  <c r="G7" i="19"/>
  <c r="F7" i="19"/>
  <c r="E7" i="19"/>
  <c r="C7" i="19"/>
  <c r="BZ6" i="19"/>
  <c r="BY6" i="19"/>
  <c r="BX6" i="19"/>
  <c r="BV6" i="19"/>
  <c r="BU6" i="19"/>
  <c r="BQ6" i="19"/>
  <c r="BK6" i="19"/>
  <c r="BE6" i="19"/>
  <c r="BA6" i="19"/>
  <c r="AY6" i="19"/>
  <c r="AS6" i="19"/>
  <c r="AP6" i="19"/>
  <c r="AO6" i="19"/>
  <c r="AM6" i="19"/>
  <c r="AJ6" i="19"/>
  <c r="AI6" i="19"/>
  <c r="AG6" i="19"/>
  <c r="AD6" i="19"/>
  <c r="AC6" i="19"/>
  <c r="X6" i="19"/>
  <c r="U6" i="19"/>
  <c r="S6" i="19"/>
  <c r="R6" i="19"/>
  <c r="Q6" i="19"/>
  <c r="M6" i="19"/>
  <c r="L6" i="19"/>
  <c r="K6" i="19"/>
  <c r="G6" i="19"/>
  <c r="F6" i="19"/>
  <c r="E6" i="19"/>
  <c r="BZ5" i="19"/>
  <c r="BY5" i="19"/>
  <c r="BX5" i="19"/>
  <c r="BV5" i="19"/>
  <c r="BU5" i="19"/>
  <c r="BQ5" i="19"/>
  <c r="BK5" i="19"/>
  <c r="BE5" i="19"/>
  <c r="BA5" i="19"/>
  <c r="AY5" i="19"/>
  <c r="AS5" i="19"/>
  <c r="AP5" i="19"/>
  <c r="AM5" i="19"/>
  <c r="AJ5" i="19"/>
  <c r="AG5" i="19"/>
  <c r="AD5" i="19"/>
  <c r="AC5" i="19"/>
  <c r="X5" i="19"/>
  <c r="U5" i="19"/>
  <c r="S5" i="19"/>
  <c r="R5" i="19"/>
  <c r="Q5" i="19"/>
  <c r="L5" i="19"/>
  <c r="K5" i="19"/>
  <c r="F5" i="19"/>
  <c r="E5" i="19"/>
  <c r="BZ4" i="19"/>
  <c r="BY4" i="19"/>
  <c r="BX4" i="19"/>
  <c r="BV4" i="19"/>
  <c r="BU4" i="19"/>
  <c r="BQ4" i="19"/>
  <c r="BK4" i="19"/>
  <c r="BE4" i="19"/>
  <c r="AY4" i="19"/>
  <c r="AS4" i="19"/>
  <c r="AP4" i="19"/>
  <c r="AM4" i="19"/>
  <c r="AJ4" i="19"/>
  <c r="AG4" i="19"/>
  <c r="AD4" i="19"/>
  <c r="AC4" i="19"/>
  <c r="X4" i="19"/>
  <c r="U4" i="19"/>
  <c r="S4" i="19"/>
  <c r="R4" i="19"/>
  <c r="Q4" i="19"/>
  <c r="L4" i="19"/>
  <c r="K4" i="19"/>
  <c r="G4" i="19"/>
  <c r="F4" i="19"/>
  <c r="E4" i="19"/>
  <c r="BT47" i="1"/>
  <c r="BS47" i="1"/>
  <c r="BR47" i="1"/>
  <c r="BN47" i="1"/>
  <c r="BM47" i="1"/>
  <c r="BL47" i="1"/>
  <c r="BJ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F47" i="1"/>
  <c r="AE47" i="1"/>
  <c r="AD47" i="1"/>
  <c r="AC47" i="1"/>
  <c r="AB47" i="1"/>
  <c r="Z47" i="1"/>
  <c r="Y47" i="1"/>
  <c r="X47" i="1"/>
  <c r="W47" i="1"/>
  <c r="V47" i="1"/>
  <c r="U47" i="1"/>
  <c r="T47" i="1"/>
  <c r="S47" i="1"/>
  <c r="R47" i="1"/>
  <c r="Q47" i="1"/>
  <c r="P47" i="1"/>
  <c r="N47" i="1"/>
  <c r="M47" i="1"/>
  <c r="L47" i="1"/>
  <c r="K47" i="1"/>
  <c r="J47" i="1"/>
  <c r="I47" i="1"/>
  <c r="H47" i="1"/>
  <c r="G47" i="1"/>
  <c r="F47" i="1"/>
  <c r="E47" i="1"/>
  <c r="D47" i="1"/>
  <c r="C47" i="1"/>
  <c r="BZ46" i="1"/>
  <c r="BY46" i="1"/>
  <c r="BX46" i="1"/>
  <c r="BW46" i="1"/>
  <c r="BV46" i="1"/>
  <c r="BU46" i="1"/>
  <c r="BQ46" i="1"/>
  <c r="BK46" i="1"/>
  <c r="BE46" i="1"/>
  <c r="AY46" i="1"/>
  <c r="AS46" i="1"/>
  <c r="AP46" i="1"/>
  <c r="AM46" i="1"/>
  <c r="AJ46" i="1"/>
  <c r="X46" i="1"/>
  <c r="U46" i="1"/>
  <c r="S46" i="1"/>
  <c r="R46" i="1"/>
  <c r="Q46" i="1"/>
  <c r="M46" i="1"/>
  <c r="BZ45" i="1"/>
  <c r="BY45" i="1"/>
  <c r="BX45" i="1"/>
  <c r="BW45" i="1"/>
  <c r="BV45" i="1"/>
  <c r="BU45" i="1"/>
  <c r="BQ45" i="1"/>
  <c r="BK45" i="1"/>
  <c r="BE45" i="1"/>
  <c r="AY45" i="1"/>
  <c r="AS45" i="1"/>
  <c r="AM45" i="1"/>
  <c r="U45" i="1"/>
  <c r="N45" i="1"/>
  <c r="BZ44" i="1"/>
  <c r="BY44" i="1"/>
  <c r="BX44" i="1"/>
  <c r="BW44" i="1"/>
  <c r="BV44" i="1"/>
  <c r="BU44" i="1"/>
  <c r="BQ44" i="1"/>
  <c r="BK44" i="1"/>
  <c r="BE44" i="1"/>
  <c r="AY44" i="1"/>
  <c r="AS44" i="1"/>
  <c r="AM44" i="1"/>
  <c r="U44" i="1"/>
  <c r="N44" i="1"/>
  <c r="BZ43" i="1"/>
  <c r="BY43" i="1"/>
  <c r="BX43" i="1"/>
  <c r="BW43" i="1"/>
  <c r="BV43" i="1"/>
  <c r="BU43" i="1"/>
  <c r="BQ43" i="1"/>
  <c r="BK43" i="1"/>
  <c r="BE43" i="1"/>
  <c r="AY43" i="1"/>
  <c r="AS43" i="1"/>
  <c r="AM43" i="1"/>
  <c r="U43" i="1"/>
  <c r="N43" i="1"/>
  <c r="BZ42" i="1"/>
  <c r="BY42" i="1"/>
  <c r="BX42" i="1"/>
  <c r="BW42" i="1"/>
  <c r="BV42" i="1"/>
  <c r="BU42" i="1"/>
  <c r="BQ42" i="1"/>
  <c r="BK42" i="1"/>
  <c r="BE42" i="1"/>
  <c r="AY42" i="1"/>
  <c r="AS42" i="1"/>
  <c r="AM42" i="1"/>
  <c r="U42" i="1"/>
  <c r="N42" i="1"/>
  <c r="BZ41" i="1"/>
  <c r="BY41" i="1"/>
  <c r="BX41" i="1"/>
  <c r="BW41" i="1"/>
  <c r="BV41" i="1"/>
  <c r="BU41" i="1"/>
  <c r="BQ41" i="1"/>
  <c r="BK41" i="1"/>
  <c r="BE41" i="1"/>
  <c r="AY41" i="1"/>
  <c r="AS41" i="1"/>
  <c r="AM41" i="1"/>
  <c r="U41" i="1"/>
  <c r="N41" i="1"/>
  <c r="BZ40" i="1"/>
  <c r="BY40" i="1"/>
  <c r="BX40" i="1"/>
  <c r="BW40" i="1"/>
  <c r="BV40" i="1"/>
  <c r="BU40" i="1"/>
  <c r="BQ40" i="1"/>
  <c r="BK40" i="1"/>
  <c r="BE40" i="1"/>
  <c r="AY40" i="1"/>
  <c r="AS40" i="1"/>
  <c r="AM40" i="1"/>
  <c r="U40" i="1"/>
  <c r="N40" i="1"/>
  <c r="BZ39" i="1"/>
  <c r="BY39" i="1"/>
  <c r="BX39" i="1"/>
  <c r="BW39" i="1"/>
  <c r="BV39" i="1"/>
  <c r="BU39" i="1"/>
  <c r="BQ39" i="1"/>
  <c r="BK39" i="1"/>
  <c r="BE39" i="1"/>
  <c r="AY39" i="1"/>
  <c r="AS39" i="1"/>
  <c r="AM39" i="1"/>
  <c r="U39" i="1"/>
  <c r="N39" i="1"/>
  <c r="BZ38" i="1"/>
  <c r="BY38" i="1"/>
  <c r="BX38" i="1"/>
  <c r="BW38" i="1"/>
  <c r="BV38" i="1"/>
  <c r="BU38" i="1"/>
  <c r="BQ38" i="1"/>
  <c r="BK38" i="1"/>
  <c r="BE38" i="1"/>
  <c r="AY38" i="1"/>
  <c r="AS38" i="1"/>
  <c r="AM38" i="1"/>
  <c r="U38" i="1"/>
  <c r="N38" i="1"/>
  <c r="BZ37" i="1"/>
  <c r="BY37" i="1"/>
  <c r="BX37" i="1"/>
  <c r="BW37" i="1"/>
  <c r="BV37" i="1"/>
  <c r="BU37" i="1"/>
  <c r="BQ37" i="1"/>
  <c r="BK37" i="1"/>
  <c r="BE37" i="1"/>
  <c r="AY37" i="1"/>
  <c r="AS37" i="1"/>
  <c r="AM37" i="1"/>
  <c r="U37" i="1"/>
  <c r="N37" i="1"/>
  <c r="BZ36" i="1"/>
  <c r="BY36" i="1"/>
  <c r="BX36" i="1"/>
  <c r="BV36" i="1"/>
  <c r="BU36" i="1"/>
  <c r="BW36" i="1" s="1"/>
  <c r="BW30" i="1" s="1"/>
  <c r="BQ36" i="1"/>
  <c r="BK36" i="1"/>
  <c r="BE36" i="1"/>
  <c r="AY36" i="1"/>
  <c r="AS36" i="1"/>
  <c r="AM36" i="1"/>
  <c r="U36" i="1"/>
  <c r="N36" i="1"/>
  <c r="BZ35" i="1"/>
  <c r="BY35" i="1"/>
  <c r="BX35" i="1"/>
  <c r="BW35" i="1"/>
  <c r="BV35" i="1"/>
  <c r="BU35" i="1"/>
  <c r="BQ35" i="1"/>
  <c r="BK35" i="1"/>
  <c r="BE35" i="1"/>
  <c r="AY35" i="1"/>
  <c r="AS35" i="1"/>
  <c r="AM35" i="1"/>
  <c r="U35" i="1"/>
  <c r="N35" i="1"/>
  <c r="BZ34" i="1"/>
  <c r="BY34" i="1"/>
  <c r="BX34" i="1"/>
  <c r="BW34" i="1"/>
  <c r="BV34" i="1"/>
  <c r="BU34" i="1"/>
  <c r="BQ34" i="1"/>
  <c r="BK34" i="1"/>
  <c r="BE34" i="1"/>
  <c r="AY34" i="1"/>
  <c r="AS34" i="1"/>
  <c r="AM34" i="1"/>
  <c r="U34" i="1"/>
  <c r="N34" i="1"/>
  <c r="BZ33" i="1"/>
  <c r="BY33" i="1"/>
  <c r="BX33" i="1"/>
  <c r="BW33" i="1"/>
  <c r="BV33" i="1"/>
  <c r="BU33" i="1"/>
  <c r="BQ33" i="1"/>
  <c r="BK33" i="1"/>
  <c r="BE33" i="1"/>
  <c r="AY33" i="1"/>
  <c r="AS33" i="1"/>
  <c r="AM33" i="1"/>
  <c r="U33" i="1"/>
  <c r="N33" i="1"/>
  <c r="BZ32" i="1"/>
  <c r="BY32" i="1"/>
  <c r="BX32" i="1"/>
  <c r="BW32" i="1"/>
  <c r="BV32" i="1"/>
  <c r="BU32" i="1"/>
  <c r="BQ32" i="1"/>
  <c r="BK32" i="1"/>
  <c r="BE32" i="1"/>
  <c r="AY32" i="1"/>
  <c r="AS32" i="1"/>
  <c r="AM32" i="1"/>
  <c r="U32" i="1"/>
  <c r="N32" i="1"/>
  <c r="BZ31" i="1"/>
  <c r="BY31" i="1"/>
  <c r="BX31" i="1"/>
  <c r="BW31" i="1"/>
  <c r="BV31" i="1"/>
  <c r="BU31" i="1"/>
  <c r="BQ31" i="1"/>
  <c r="BK31" i="1"/>
  <c r="BE31" i="1"/>
  <c r="AY31" i="1"/>
  <c r="AS31" i="1"/>
  <c r="AM31" i="1"/>
  <c r="U31" i="1"/>
  <c r="N31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H30" i="1"/>
  <c r="G30" i="1"/>
  <c r="F30" i="1"/>
  <c r="E30" i="1"/>
  <c r="D30" i="1"/>
  <c r="C30" i="1"/>
  <c r="BT29" i="1"/>
  <c r="BS29" i="1"/>
  <c r="BR29" i="1"/>
  <c r="BN29" i="1"/>
  <c r="BM29" i="1"/>
  <c r="BL29" i="1"/>
  <c r="BJ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F29" i="1"/>
  <c r="AE29" i="1"/>
  <c r="AD29" i="1"/>
  <c r="AC29" i="1"/>
  <c r="AB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H29" i="1"/>
  <c r="G29" i="1"/>
  <c r="F29" i="1"/>
  <c r="E29" i="1"/>
  <c r="D29" i="1"/>
  <c r="C29" i="1"/>
  <c r="BZ28" i="1"/>
  <c r="BY28" i="1"/>
  <c r="BX28" i="1"/>
  <c r="BV28" i="1"/>
  <c r="BU28" i="1"/>
  <c r="BQ28" i="1"/>
  <c r="BK28" i="1"/>
  <c r="BE28" i="1"/>
  <c r="AY28" i="1"/>
  <c r="AS28" i="1"/>
  <c r="AP28" i="1"/>
  <c r="AM28" i="1"/>
  <c r="AJ28" i="1"/>
  <c r="AD28" i="1"/>
  <c r="X28" i="1"/>
  <c r="U28" i="1"/>
  <c r="E28" i="1"/>
  <c r="BZ27" i="1"/>
  <c r="BY27" i="1"/>
  <c r="BX27" i="1"/>
  <c r="BV27" i="1"/>
  <c r="BU27" i="1"/>
  <c r="BQ27" i="1"/>
  <c r="BK27" i="1"/>
  <c r="BE27" i="1"/>
  <c r="AY27" i="1"/>
  <c r="AS27" i="1"/>
  <c r="AP27" i="1"/>
  <c r="AM27" i="1"/>
  <c r="AJ27" i="1"/>
  <c r="AD27" i="1"/>
  <c r="X27" i="1"/>
  <c r="U27" i="1"/>
  <c r="E27" i="1"/>
  <c r="BZ26" i="1"/>
  <c r="BY26" i="1"/>
  <c r="BX26" i="1"/>
  <c r="BV26" i="1"/>
  <c r="BU26" i="1"/>
  <c r="BQ26" i="1"/>
  <c r="BK26" i="1"/>
  <c r="BE26" i="1"/>
  <c r="AY26" i="1"/>
  <c r="AW26" i="1"/>
  <c r="AS26" i="1"/>
  <c r="AQ26" i="1"/>
  <c r="AP26" i="1"/>
  <c r="AM26" i="1"/>
  <c r="AK26" i="1"/>
  <c r="AJ26" i="1"/>
  <c r="AD26" i="1"/>
  <c r="X26" i="1"/>
  <c r="U26" i="1"/>
  <c r="R26" i="1"/>
  <c r="Q26" i="1"/>
  <c r="K26" i="1"/>
  <c r="E26" i="1"/>
  <c r="BZ25" i="1"/>
  <c r="BY25" i="1"/>
  <c r="BX25" i="1"/>
  <c r="BV25" i="1"/>
  <c r="BU25" i="1"/>
  <c r="BQ25" i="1"/>
  <c r="BK25" i="1"/>
  <c r="BE25" i="1"/>
  <c r="AY25" i="1"/>
  <c r="AS25" i="1"/>
  <c r="AP25" i="1"/>
  <c r="AM25" i="1"/>
  <c r="AJ25" i="1"/>
  <c r="AD25" i="1"/>
  <c r="X25" i="1"/>
  <c r="U25" i="1"/>
  <c r="R25" i="1"/>
  <c r="Q25" i="1"/>
  <c r="K25" i="1"/>
  <c r="E25" i="1"/>
  <c r="BZ24" i="1"/>
  <c r="BY24" i="1"/>
  <c r="BX24" i="1"/>
  <c r="BV24" i="1"/>
  <c r="BU24" i="1"/>
  <c r="BQ24" i="1"/>
  <c r="BK24" i="1"/>
  <c r="BE24" i="1"/>
  <c r="AY24" i="1"/>
  <c r="AS24" i="1"/>
  <c r="AP24" i="1"/>
  <c r="AM24" i="1"/>
  <c r="AJ24" i="1"/>
  <c r="AD24" i="1"/>
  <c r="X24" i="1"/>
  <c r="U24" i="1"/>
  <c r="S24" i="1"/>
  <c r="R24" i="1"/>
  <c r="Q24" i="1"/>
  <c r="M24" i="1"/>
  <c r="L24" i="1"/>
  <c r="K24" i="1"/>
  <c r="F24" i="1"/>
  <c r="E24" i="1"/>
  <c r="BZ23" i="1"/>
  <c r="BY23" i="1"/>
  <c r="BX23" i="1"/>
  <c r="BV23" i="1"/>
  <c r="BU23" i="1"/>
  <c r="BQ23" i="1"/>
  <c r="BK23" i="1"/>
  <c r="BE23" i="1"/>
  <c r="AY23" i="1"/>
  <c r="AS23" i="1"/>
  <c r="AP23" i="1"/>
  <c r="AM23" i="1"/>
  <c r="AJ23" i="1"/>
  <c r="AD23" i="1"/>
  <c r="X23" i="1"/>
  <c r="U23" i="1"/>
  <c r="R23" i="1"/>
  <c r="Q23" i="1"/>
  <c r="L23" i="1"/>
  <c r="K23" i="1"/>
  <c r="F23" i="1"/>
  <c r="E23" i="1"/>
  <c r="BZ22" i="1"/>
  <c r="BY22" i="1"/>
  <c r="BX22" i="1"/>
  <c r="BV22" i="1"/>
  <c r="BU22" i="1"/>
  <c r="BQ22" i="1"/>
  <c r="BK22" i="1"/>
  <c r="BE22" i="1"/>
  <c r="AY22" i="1"/>
  <c r="AS22" i="1"/>
  <c r="AP22" i="1"/>
  <c r="AM22" i="1"/>
  <c r="AJ22" i="1"/>
  <c r="AD22" i="1"/>
  <c r="X22" i="1"/>
  <c r="U22" i="1"/>
  <c r="R22" i="1"/>
  <c r="Q22" i="1"/>
  <c r="L22" i="1"/>
  <c r="K22" i="1"/>
  <c r="F22" i="1"/>
  <c r="E22" i="1"/>
  <c r="BZ21" i="1"/>
  <c r="BY21" i="1"/>
  <c r="BX21" i="1"/>
  <c r="BV21" i="1"/>
  <c r="BU21" i="1"/>
  <c r="BQ21" i="1"/>
  <c r="BK21" i="1"/>
  <c r="BE21" i="1"/>
  <c r="AY21" i="1"/>
  <c r="AS21" i="1"/>
  <c r="AP21" i="1"/>
  <c r="AM21" i="1"/>
  <c r="AJ21" i="1"/>
  <c r="AD21" i="1"/>
  <c r="X21" i="1"/>
  <c r="U21" i="1"/>
  <c r="R21" i="1"/>
  <c r="Q21" i="1"/>
  <c r="L21" i="1"/>
  <c r="K21" i="1"/>
  <c r="F21" i="1"/>
  <c r="E21" i="1"/>
  <c r="BZ20" i="1"/>
  <c r="BY20" i="1"/>
  <c r="BX20" i="1"/>
  <c r="BV20" i="1"/>
  <c r="BW20" i="1" s="1"/>
  <c r="BU20" i="1"/>
  <c r="BQ20" i="1"/>
  <c r="BK20" i="1"/>
  <c r="BE20" i="1"/>
  <c r="AY20" i="1"/>
  <c r="AS20" i="1"/>
  <c r="AP20" i="1"/>
  <c r="AM20" i="1"/>
  <c r="AJ20" i="1"/>
  <c r="AD20" i="1"/>
  <c r="X20" i="1"/>
  <c r="U20" i="1"/>
  <c r="R20" i="1"/>
  <c r="Q20" i="1"/>
  <c r="L20" i="1"/>
  <c r="K20" i="1"/>
  <c r="F20" i="1"/>
  <c r="E20" i="1"/>
  <c r="BZ19" i="1"/>
  <c r="BY19" i="1"/>
  <c r="BX19" i="1"/>
  <c r="BV19" i="1"/>
  <c r="BU19" i="1"/>
  <c r="BQ19" i="1"/>
  <c r="BK19" i="1"/>
  <c r="BE19" i="1"/>
  <c r="BA19" i="1"/>
  <c r="AY19" i="1"/>
  <c r="AS19" i="1"/>
  <c r="AP19" i="1"/>
  <c r="AO19" i="1"/>
  <c r="AM19" i="1"/>
  <c r="AJ19" i="1"/>
  <c r="AE19" i="1"/>
  <c r="AD19" i="1"/>
  <c r="X19" i="1"/>
  <c r="U19" i="1"/>
  <c r="R19" i="1"/>
  <c r="Q19" i="1"/>
  <c r="L19" i="1"/>
  <c r="K19" i="1"/>
  <c r="F19" i="1"/>
  <c r="E19" i="1"/>
  <c r="BZ18" i="1"/>
  <c r="BY18" i="1"/>
  <c r="BX18" i="1"/>
  <c r="BV18" i="1"/>
  <c r="BU18" i="1"/>
  <c r="BT18" i="1"/>
  <c r="BQ18" i="1"/>
  <c r="BN18" i="1"/>
  <c r="BK18" i="1"/>
  <c r="BH18" i="1"/>
  <c r="BE18" i="1"/>
  <c r="AY18" i="1"/>
  <c r="AW18" i="1"/>
  <c r="AS18" i="1"/>
  <c r="AQ18" i="1"/>
  <c r="AP18" i="1"/>
  <c r="AO18" i="1"/>
  <c r="AM18" i="1"/>
  <c r="AK18" i="1"/>
  <c r="AJ18" i="1"/>
  <c r="AI18" i="1"/>
  <c r="AE18" i="1"/>
  <c r="AD18" i="1"/>
  <c r="AC18" i="1"/>
  <c r="Y18" i="1"/>
  <c r="X18" i="1"/>
  <c r="W18" i="1"/>
  <c r="U18" i="1"/>
  <c r="S18" i="1"/>
  <c r="R18" i="1"/>
  <c r="Q18" i="1"/>
  <c r="L18" i="1"/>
  <c r="K18" i="1"/>
  <c r="F18" i="1"/>
  <c r="E18" i="1"/>
  <c r="BZ17" i="1"/>
  <c r="BY17" i="1"/>
  <c r="BX17" i="1"/>
  <c r="BV17" i="1"/>
  <c r="BU17" i="1"/>
  <c r="BW17" i="1" s="1"/>
  <c r="BQ17" i="1"/>
  <c r="BK17" i="1"/>
  <c r="BE17" i="1"/>
  <c r="AY17" i="1"/>
  <c r="AS17" i="1"/>
  <c r="AP17" i="1"/>
  <c r="AM17" i="1"/>
  <c r="AJ17" i="1"/>
  <c r="AD17" i="1"/>
  <c r="X17" i="1"/>
  <c r="U17" i="1"/>
  <c r="R17" i="1"/>
  <c r="Q17" i="1"/>
  <c r="L17" i="1"/>
  <c r="K17" i="1"/>
  <c r="F17" i="1"/>
  <c r="E17" i="1"/>
  <c r="BZ16" i="1"/>
  <c r="BY16" i="1"/>
  <c r="BX16" i="1"/>
  <c r="BV16" i="1"/>
  <c r="BU16" i="1"/>
  <c r="BQ16" i="1"/>
  <c r="BK16" i="1"/>
  <c r="BE16" i="1"/>
  <c r="AY16" i="1"/>
  <c r="AS16" i="1"/>
  <c r="AP16" i="1"/>
  <c r="AM16" i="1"/>
  <c r="AJ16" i="1"/>
  <c r="AD16" i="1"/>
  <c r="X16" i="1"/>
  <c r="U16" i="1"/>
  <c r="R16" i="1"/>
  <c r="Q16" i="1"/>
  <c r="L16" i="1"/>
  <c r="K16" i="1"/>
  <c r="F16" i="1"/>
  <c r="E16" i="1"/>
  <c r="BZ15" i="1"/>
  <c r="BY15" i="1"/>
  <c r="BX15" i="1"/>
  <c r="BV15" i="1"/>
  <c r="BU15" i="1"/>
  <c r="BQ15" i="1"/>
  <c r="BK15" i="1"/>
  <c r="BE15" i="1"/>
  <c r="AY15" i="1"/>
  <c r="AS15" i="1"/>
  <c r="AP15" i="1"/>
  <c r="AM15" i="1"/>
  <c r="AJ15" i="1"/>
  <c r="AD15" i="1"/>
  <c r="X15" i="1"/>
  <c r="U15" i="1"/>
  <c r="R15" i="1"/>
  <c r="Q15" i="1"/>
  <c r="L15" i="1"/>
  <c r="K15" i="1"/>
  <c r="F15" i="1"/>
  <c r="E15" i="1"/>
  <c r="BZ14" i="1"/>
  <c r="BY14" i="1"/>
  <c r="BX14" i="1"/>
  <c r="BV14" i="1"/>
  <c r="BU14" i="1"/>
  <c r="BQ14" i="1"/>
  <c r="BK14" i="1"/>
  <c r="BE14" i="1"/>
  <c r="AY14" i="1"/>
  <c r="AW14" i="1"/>
  <c r="AS14" i="1"/>
  <c r="AQ14" i="1"/>
  <c r="AP14" i="1"/>
  <c r="AM14" i="1"/>
  <c r="AK14" i="1"/>
  <c r="AJ14" i="1"/>
  <c r="AD14" i="1"/>
  <c r="X14" i="1"/>
  <c r="U14" i="1"/>
  <c r="R14" i="1"/>
  <c r="Q14" i="1"/>
  <c r="M14" i="1"/>
  <c r="L14" i="1"/>
  <c r="K14" i="1"/>
  <c r="F14" i="1"/>
  <c r="E14" i="1"/>
  <c r="BZ13" i="1"/>
  <c r="BY13" i="1"/>
  <c r="BX13" i="1"/>
  <c r="BV13" i="1"/>
  <c r="BU13" i="1"/>
  <c r="BW13" i="1" s="1"/>
  <c r="BQ13" i="1"/>
  <c r="BK13" i="1"/>
  <c r="BE13" i="1"/>
  <c r="AY13" i="1"/>
  <c r="AS13" i="1"/>
  <c r="AM13" i="1"/>
  <c r="U13" i="1"/>
  <c r="BZ12" i="1"/>
  <c r="BY12" i="1"/>
  <c r="BX12" i="1"/>
  <c r="BV12" i="1"/>
  <c r="BU12" i="1"/>
  <c r="BW12" i="1" s="1"/>
  <c r="BQ12" i="1"/>
  <c r="BK12" i="1"/>
  <c r="BE12" i="1"/>
  <c r="AY12" i="1"/>
  <c r="AS12" i="1"/>
  <c r="AM12" i="1"/>
  <c r="U12" i="1"/>
  <c r="BT11" i="1"/>
  <c r="BS11" i="1"/>
  <c r="BR11" i="1"/>
  <c r="BP11" i="1"/>
  <c r="BO11" i="1"/>
  <c r="BN11" i="1"/>
  <c r="BM11" i="1"/>
  <c r="BL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H11" i="1"/>
  <c r="G11" i="1"/>
  <c r="F11" i="1"/>
  <c r="E11" i="1"/>
  <c r="D11" i="1"/>
  <c r="C11" i="1"/>
  <c r="BT10" i="1"/>
  <c r="BS10" i="1"/>
  <c r="BR10" i="1"/>
  <c r="BN10" i="1"/>
  <c r="BM10" i="1"/>
  <c r="BL10" i="1"/>
  <c r="BJ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N10" i="1"/>
  <c r="M10" i="1"/>
  <c r="L10" i="1"/>
  <c r="K10" i="1"/>
  <c r="J10" i="1"/>
  <c r="H10" i="1"/>
  <c r="G10" i="1"/>
  <c r="F10" i="1"/>
  <c r="E10" i="1"/>
  <c r="D10" i="1"/>
  <c r="C10" i="1"/>
  <c r="BT9" i="1"/>
  <c r="BS9" i="1"/>
  <c r="BR9" i="1"/>
  <c r="BP9" i="1"/>
  <c r="BO9" i="1"/>
  <c r="BN9" i="1"/>
  <c r="BM9" i="1"/>
  <c r="BL9" i="1"/>
  <c r="BJ9" i="1"/>
  <c r="BI9" i="1"/>
  <c r="BI10" i="1" s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G29" i="1" s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O10" i="1" s="1"/>
  <c r="N9" i="1"/>
  <c r="M9" i="1"/>
  <c r="L9" i="1"/>
  <c r="K9" i="1"/>
  <c r="J9" i="1"/>
  <c r="H9" i="1"/>
  <c r="G9" i="1"/>
  <c r="F9" i="1"/>
  <c r="E9" i="1"/>
  <c r="BZ8" i="1"/>
  <c r="BY8" i="1"/>
  <c r="BX8" i="1"/>
  <c r="BV8" i="1"/>
  <c r="BU8" i="1"/>
  <c r="BQ8" i="1"/>
  <c r="BK8" i="1"/>
  <c r="BG8" i="1"/>
  <c r="BE8" i="1"/>
  <c r="BA8" i="1"/>
  <c r="AY8" i="1"/>
  <c r="AV8" i="1"/>
  <c r="AU8" i="1"/>
  <c r="AS8" i="1"/>
  <c r="AP8" i="1"/>
  <c r="AO8" i="1"/>
  <c r="AM8" i="1"/>
  <c r="AJ8" i="1"/>
  <c r="AI8" i="1"/>
  <c r="AD8" i="1"/>
  <c r="AC8" i="1"/>
  <c r="X8" i="1"/>
  <c r="W8" i="1"/>
  <c r="U8" i="1"/>
  <c r="R8" i="1"/>
  <c r="Q8" i="1"/>
  <c r="L8" i="1"/>
  <c r="K8" i="1"/>
  <c r="F8" i="1"/>
  <c r="E8" i="1"/>
  <c r="BZ7" i="1"/>
  <c r="BY7" i="1"/>
  <c r="BX7" i="1"/>
  <c r="BV7" i="1"/>
  <c r="BU7" i="1"/>
  <c r="BS7" i="1"/>
  <c r="BQ7" i="1"/>
  <c r="BM7" i="1"/>
  <c r="BK7" i="1"/>
  <c r="BK9" i="1" s="1"/>
  <c r="BK10" i="1" s="1"/>
  <c r="BJ7" i="1"/>
  <c r="BG7" i="1"/>
  <c r="BE7" i="1"/>
  <c r="BA7" i="1"/>
  <c r="AY7" i="1"/>
  <c r="AS7" i="1"/>
  <c r="AP7" i="1"/>
  <c r="AM7" i="1"/>
  <c r="AJ7" i="1"/>
  <c r="AD7" i="1"/>
  <c r="AC7" i="1"/>
  <c r="X7" i="1"/>
  <c r="W7" i="1"/>
  <c r="U7" i="1"/>
  <c r="R7" i="1"/>
  <c r="Q7" i="1"/>
  <c r="L7" i="1"/>
  <c r="K7" i="1"/>
  <c r="F7" i="1"/>
  <c r="E7" i="1"/>
  <c r="BZ6" i="1"/>
  <c r="BY6" i="1"/>
  <c r="BX6" i="1"/>
  <c r="BV6" i="1"/>
  <c r="BU6" i="1"/>
  <c r="BQ6" i="1"/>
  <c r="BK6" i="1"/>
  <c r="BE6" i="1"/>
  <c r="AY6" i="1"/>
  <c r="AS6" i="1"/>
  <c r="AP6" i="1"/>
  <c r="AO6" i="1"/>
  <c r="AM6" i="1"/>
  <c r="AJ6" i="1"/>
  <c r="AD6" i="1"/>
  <c r="AC6" i="1"/>
  <c r="X6" i="1"/>
  <c r="W6" i="1"/>
  <c r="U6" i="1"/>
  <c r="R6" i="1"/>
  <c r="Q6" i="1"/>
  <c r="L6" i="1"/>
  <c r="K6" i="1"/>
  <c r="F6" i="1"/>
  <c r="E6" i="1"/>
  <c r="BZ5" i="1"/>
  <c r="BY5" i="1"/>
  <c r="BX5" i="1"/>
  <c r="BV5" i="1"/>
  <c r="BU5" i="1"/>
  <c r="BQ5" i="1"/>
  <c r="BK5" i="1"/>
  <c r="BE5" i="1"/>
  <c r="AY5" i="1"/>
  <c r="AS5" i="1"/>
  <c r="AP5" i="1"/>
  <c r="AM5" i="1"/>
  <c r="AJ5" i="1"/>
  <c r="AD5" i="1"/>
  <c r="AC5" i="1"/>
  <c r="X5" i="1"/>
  <c r="W5" i="1"/>
  <c r="U5" i="1"/>
  <c r="R5" i="1"/>
  <c r="Q5" i="1"/>
  <c r="L5" i="1"/>
  <c r="K5" i="1"/>
  <c r="F5" i="1"/>
  <c r="E5" i="1"/>
  <c r="BZ4" i="1"/>
  <c r="BY4" i="1"/>
  <c r="BX4" i="1"/>
  <c r="BV4" i="1"/>
  <c r="BU4" i="1"/>
  <c r="BT4" i="1"/>
  <c r="BQ4" i="1"/>
  <c r="BN4" i="1"/>
  <c r="BK4" i="1"/>
  <c r="BH4" i="1"/>
  <c r="BG4" i="1"/>
  <c r="BE4" i="1"/>
  <c r="BB4" i="1"/>
  <c r="AY4" i="1"/>
  <c r="AV4" i="1"/>
  <c r="AS4" i="1"/>
  <c r="AP4" i="1"/>
  <c r="AO4" i="1"/>
  <c r="AM4" i="1"/>
  <c r="AJ4" i="1"/>
  <c r="AI4" i="1"/>
  <c r="AD4" i="1"/>
  <c r="AC4" i="1"/>
  <c r="X4" i="1"/>
  <c r="W4" i="1"/>
  <c r="U4" i="1"/>
  <c r="R4" i="1"/>
  <c r="Q4" i="1"/>
  <c r="N4" i="1"/>
  <c r="L4" i="1"/>
  <c r="K4" i="1"/>
  <c r="F4" i="1"/>
  <c r="E4" i="1"/>
  <c r="BT47" i="20"/>
  <c r="BR47" i="20"/>
  <c r="BN47" i="20"/>
  <c r="BM47" i="20"/>
  <c r="BL47" i="20"/>
  <c r="BJ47" i="20"/>
  <c r="BH47" i="20"/>
  <c r="BG47" i="20"/>
  <c r="BF47" i="20"/>
  <c r="BD47" i="20"/>
  <c r="BC47" i="20"/>
  <c r="BB47" i="20"/>
  <c r="BA47" i="20"/>
  <c r="AZ47" i="20"/>
  <c r="AX47" i="20"/>
  <c r="AW47" i="20"/>
  <c r="AV47" i="20"/>
  <c r="AU47" i="20"/>
  <c r="AT47" i="20"/>
  <c r="AR47" i="20"/>
  <c r="AQ47" i="20"/>
  <c r="AP47" i="20"/>
  <c r="AO47" i="20"/>
  <c r="AN47" i="20"/>
  <c r="AL47" i="20"/>
  <c r="AK47" i="20"/>
  <c r="AJ47" i="20"/>
  <c r="AI47" i="20"/>
  <c r="AH47" i="20"/>
  <c r="AF47" i="20"/>
  <c r="AE47" i="20"/>
  <c r="AD47" i="20"/>
  <c r="AC47" i="20"/>
  <c r="AB47" i="20"/>
  <c r="Z47" i="20"/>
  <c r="Y47" i="20"/>
  <c r="X47" i="20"/>
  <c r="W47" i="20"/>
  <c r="V47" i="20"/>
  <c r="T47" i="20"/>
  <c r="S47" i="20"/>
  <c r="R47" i="20"/>
  <c r="Q47" i="20"/>
  <c r="P47" i="20"/>
  <c r="N47" i="20"/>
  <c r="M47" i="20"/>
  <c r="L47" i="20"/>
  <c r="K47" i="20"/>
  <c r="J47" i="20"/>
  <c r="H47" i="20"/>
  <c r="G47" i="20"/>
  <c r="F47" i="20"/>
  <c r="E47" i="20"/>
  <c r="D47" i="20"/>
  <c r="C47" i="20"/>
  <c r="BZ46" i="20"/>
  <c r="BY46" i="20"/>
  <c r="BX46" i="20"/>
  <c r="BT46" i="20"/>
  <c r="BR46" i="20"/>
  <c r="BP46" i="20"/>
  <c r="BV46" i="20" s="1"/>
  <c r="BO46" i="20"/>
  <c r="BU46" i="20" s="1"/>
  <c r="BN46" i="20"/>
  <c r="BM46" i="20"/>
  <c r="BL46" i="20"/>
  <c r="BJ46" i="20"/>
  <c r="BI46" i="20"/>
  <c r="BH46" i="20"/>
  <c r="BG46" i="20"/>
  <c r="BF46" i="20"/>
  <c r="BD46" i="20"/>
  <c r="BC46" i="20"/>
  <c r="BB46" i="20"/>
  <c r="BA46" i="20"/>
  <c r="AZ46" i="20"/>
  <c r="AX46" i="20"/>
  <c r="AW46" i="20"/>
  <c r="AV46" i="20"/>
  <c r="AU46" i="20"/>
  <c r="AT46" i="20"/>
  <c r="AR46" i="20"/>
  <c r="AQ46" i="20"/>
  <c r="AP46" i="20"/>
  <c r="AO46" i="20"/>
  <c r="AN46" i="20"/>
  <c r="AL46" i="20"/>
  <c r="AK46" i="20"/>
  <c r="AJ46" i="20"/>
  <c r="AI46" i="20"/>
  <c r="AH46" i="20"/>
  <c r="AF46" i="20"/>
  <c r="AE46" i="20"/>
  <c r="AD46" i="20"/>
  <c r="AC46" i="20"/>
  <c r="AB46" i="20"/>
  <c r="Z46" i="20"/>
  <c r="Y46" i="20"/>
  <c r="X46" i="20"/>
  <c r="W46" i="20"/>
  <c r="V46" i="20"/>
  <c r="T46" i="20"/>
  <c r="S46" i="20"/>
  <c r="R46" i="20"/>
  <c r="Q46" i="20"/>
  <c r="P46" i="20"/>
  <c r="N46" i="20"/>
  <c r="M46" i="20"/>
  <c r="L46" i="20"/>
  <c r="K46" i="20"/>
  <c r="J46" i="20"/>
  <c r="H46" i="20"/>
  <c r="G46" i="20"/>
  <c r="F46" i="20"/>
  <c r="E46" i="20"/>
  <c r="D46" i="20"/>
  <c r="C46" i="20"/>
  <c r="BZ45" i="20"/>
  <c r="BY45" i="20"/>
  <c r="BX45" i="20"/>
  <c r="BV45" i="20"/>
  <c r="BT45" i="20"/>
  <c r="BR45" i="20"/>
  <c r="BP45" i="20"/>
  <c r="BO45" i="20"/>
  <c r="BU45" i="20" s="1"/>
  <c r="BN45" i="20"/>
  <c r="BM45" i="20"/>
  <c r="BL45" i="20"/>
  <c r="BJ45" i="20"/>
  <c r="BI45" i="20"/>
  <c r="BH45" i="20"/>
  <c r="BG45" i="20"/>
  <c r="BF45" i="20"/>
  <c r="BD45" i="20"/>
  <c r="BC45" i="20"/>
  <c r="BB45" i="20"/>
  <c r="BA45" i="20"/>
  <c r="AZ45" i="20"/>
  <c r="AX45" i="20"/>
  <c r="AW45" i="20"/>
  <c r="AV45" i="20"/>
  <c r="AU45" i="20"/>
  <c r="AT45" i="20"/>
  <c r="AR45" i="20"/>
  <c r="AQ45" i="20"/>
  <c r="AP45" i="20"/>
  <c r="AO45" i="20"/>
  <c r="AN45" i="20"/>
  <c r="AL45" i="20"/>
  <c r="AK45" i="20"/>
  <c r="AJ45" i="20"/>
  <c r="AI45" i="20"/>
  <c r="AH45" i="20"/>
  <c r="AF45" i="20"/>
  <c r="AE45" i="20"/>
  <c r="AD45" i="20"/>
  <c r="AC45" i="20"/>
  <c r="AB45" i="20"/>
  <c r="Z45" i="20"/>
  <c r="Y45" i="20"/>
  <c r="X45" i="20"/>
  <c r="W45" i="20"/>
  <c r="V45" i="20"/>
  <c r="T45" i="20"/>
  <c r="S45" i="20"/>
  <c r="R45" i="20"/>
  <c r="Q45" i="20"/>
  <c r="P45" i="20"/>
  <c r="N45" i="20"/>
  <c r="M45" i="20"/>
  <c r="L45" i="20"/>
  <c r="K45" i="20"/>
  <c r="J45" i="20"/>
  <c r="H45" i="20"/>
  <c r="G45" i="20"/>
  <c r="F45" i="20"/>
  <c r="E45" i="20"/>
  <c r="D45" i="20"/>
  <c r="C45" i="20"/>
  <c r="BZ44" i="20"/>
  <c r="BY44" i="20"/>
  <c r="BX44" i="20"/>
  <c r="BT44" i="20"/>
  <c r="BR44" i="20"/>
  <c r="BP44" i="20"/>
  <c r="BV44" i="20" s="1"/>
  <c r="BO44" i="20"/>
  <c r="BU44" i="20" s="1"/>
  <c r="BN44" i="20"/>
  <c r="BM44" i="20"/>
  <c r="BL44" i="20"/>
  <c r="BJ44" i="20"/>
  <c r="BI44" i="20"/>
  <c r="BH44" i="20"/>
  <c r="BG44" i="20"/>
  <c r="BF44" i="20"/>
  <c r="BD44" i="20"/>
  <c r="BC44" i="20"/>
  <c r="BB44" i="20"/>
  <c r="BA44" i="20"/>
  <c r="AZ44" i="20"/>
  <c r="AX44" i="20"/>
  <c r="AW44" i="20"/>
  <c r="AV44" i="20"/>
  <c r="AU44" i="20"/>
  <c r="AT44" i="20"/>
  <c r="AR44" i="20"/>
  <c r="AQ44" i="20"/>
  <c r="AP44" i="20"/>
  <c r="AO44" i="20"/>
  <c r="AN44" i="20"/>
  <c r="AL44" i="20"/>
  <c r="AK44" i="20"/>
  <c r="AJ44" i="20"/>
  <c r="AI44" i="20"/>
  <c r="AH44" i="20"/>
  <c r="AF44" i="20"/>
  <c r="AE44" i="20"/>
  <c r="AD44" i="20"/>
  <c r="AC44" i="20"/>
  <c r="AB44" i="20"/>
  <c r="Z44" i="20"/>
  <c r="Y44" i="20"/>
  <c r="X44" i="20"/>
  <c r="W44" i="20"/>
  <c r="V44" i="20"/>
  <c r="T44" i="20"/>
  <c r="S44" i="20"/>
  <c r="R44" i="20"/>
  <c r="Q44" i="20"/>
  <c r="P44" i="20"/>
  <c r="N44" i="20"/>
  <c r="M44" i="20"/>
  <c r="L44" i="20"/>
  <c r="K44" i="20"/>
  <c r="J44" i="20"/>
  <c r="H44" i="20"/>
  <c r="G44" i="20"/>
  <c r="F44" i="20"/>
  <c r="E44" i="20"/>
  <c r="D44" i="20"/>
  <c r="C44" i="20"/>
  <c r="BZ43" i="20"/>
  <c r="BY43" i="20"/>
  <c r="BX43" i="20"/>
  <c r="BT43" i="20"/>
  <c r="BR43" i="20"/>
  <c r="BP43" i="20"/>
  <c r="BV43" i="20" s="1"/>
  <c r="BO43" i="20"/>
  <c r="BU43" i="20" s="1"/>
  <c r="BN43" i="20"/>
  <c r="BM43" i="20"/>
  <c r="BL43" i="20"/>
  <c r="BJ43" i="20"/>
  <c r="BI43" i="20"/>
  <c r="BH43" i="20"/>
  <c r="BG43" i="20"/>
  <c r="BF43" i="20"/>
  <c r="BD43" i="20"/>
  <c r="BC43" i="20"/>
  <c r="BB43" i="20"/>
  <c r="BA43" i="20"/>
  <c r="AZ43" i="20"/>
  <c r="AX43" i="20"/>
  <c r="AW43" i="20"/>
  <c r="AV43" i="20"/>
  <c r="AU43" i="20"/>
  <c r="AT43" i="20"/>
  <c r="AR43" i="20"/>
  <c r="AQ43" i="20"/>
  <c r="AP43" i="20"/>
  <c r="AO43" i="20"/>
  <c r="AN43" i="20"/>
  <c r="AL43" i="20"/>
  <c r="AK43" i="20"/>
  <c r="AJ43" i="20"/>
  <c r="AI43" i="20"/>
  <c r="AH43" i="20"/>
  <c r="AF43" i="20"/>
  <c r="AE43" i="20"/>
  <c r="AD43" i="20"/>
  <c r="AC43" i="20"/>
  <c r="AB43" i="20"/>
  <c r="Z43" i="20"/>
  <c r="Y43" i="20"/>
  <c r="X43" i="20"/>
  <c r="W43" i="20"/>
  <c r="V43" i="20"/>
  <c r="T43" i="20"/>
  <c r="S43" i="20"/>
  <c r="R43" i="20"/>
  <c r="Q43" i="20"/>
  <c r="P43" i="20"/>
  <c r="N43" i="20"/>
  <c r="M43" i="20"/>
  <c r="L43" i="20"/>
  <c r="K43" i="20"/>
  <c r="J43" i="20"/>
  <c r="H43" i="20"/>
  <c r="G43" i="20"/>
  <c r="F43" i="20"/>
  <c r="E43" i="20"/>
  <c r="D43" i="20"/>
  <c r="C43" i="20"/>
  <c r="BZ42" i="20"/>
  <c r="BY42" i="20"/>
  <c r="BX42" i="20"/>
  <c r="BV42" i="20"/>
  <c r="BT42" i="20"/>
  <c r="BR42" i="20"/>
  <c r="BP42" i="20"/>
  <c r="BO42" i="20"/>
  <c r="BN42" i="20"/>
  <c r="BM42" i="20"/>
  <c r="BL42" i="20"/>
  <c r="BJ42" i="20"/>
  <c r="BI42" i="20"/>
  <c r="BH42" i="20"/>
  <c r="BG42" i="20"/>
  <c r="BF42" i="20"/>
  <c r="BD42" i="20"/>
  <c r="BC42" i="20"/>
  <c r="BB42" i="20"/>
  <c r="BA42" i="20"/>
  <c r="AZ42" i="20"/>
  <c r="AX42" i="20"/>
  <c r="AW42" i="20"/>
  <c r="AV42" i="20"/>
  <c r="AU42" i="20"/>
  <c r="AT42" i="20"/>
  <c r="AR42" i="20"/>
  <c r="AQ42" i="20"/>
  <c r="AP42" i="20"/>
  <c r="AO42" i="20"/>
  <c r="AN42" i="20"/>
  <c r="AL42" i="20"/>
  <c r="AK42" i="20"/>
  <c r="AJ42" i="20"/>
  <c r="AI42" i="20"/>
  <c r="AH42" i="20"/>
  <c r="AF42" i="20"/>
  <c r="AE42" i="20"/>
  <c r="AD42" i="20"/>
  <c r="AC42" i="20"/>
  <c r="AB42" i="20"/>
  <c r="Z42" i="20"/>
  <c r="Y42" i="20"/>
  <c r="X42" i="20"/>
  <c r="W42" i="20"/>
  <c r="V42" i="20"/>
  <c r="T42" i="20"/>
  <c r="S42" i="20"/>
  <c r="R42" i="20"/>
  <c r="Q42" i="20"/>
  <c r="P42" i="20"/>
  <c r="N42" i="20"/>
  <c r="M42" i="20"/>
  <c r="L42" i="20"/>
  <c r="K42" i="20"/>
  <c r="J42" i="20"/>
  <c r="H42" i="20"/>
  <c r="G42" i="20"/>
  <c r="F42" i="20"/>
  <c r="E42" i="20"/>
  <c r="D42" i="20"/>
  <c r="C42" i="20"/>
  <c r="BZ41" i="20"/>
  <c r="BY41" i="20"/>
  <c r="BX41" i="20"/>
  <c r="BT41" i="20"/>
  <c r="BR41" i="20"/>
  <c r="BP41" i="20"/>
  <c r="BV41" i="20" s="1"/>
  <c r="BO41" i="20"/>
  <c r="BU41" i="20" s="1"/>
  <c r="BN41" i="20"/>
  <c r="BM41" i="20"/>
  <c r="BL41" i="20"/>
  <c r="BJ41" i="20"/>
  <c r="BI41" i="20"/>
  <c r="BH41" i="20"/>
  <c r="BG41" i="20"/>
  <c r="BF41" i="20"/>
  <c r="BD41" i="20"/>
  <c r="BC41" i="20"/>
  <c r="BB41" i="20"/>
  <c r="BA41" i="20"/>
  <c r="AZ41" i="20"/>
  <c r="AX41" i="20"/>
  <c r="AW41" i="20"/>
  <c r="AV41" i="20"/>
  <c r="AU41" i="20"/>
  <c r="AT41" i="20"/>
  <c r="AR41" i="20"/>
  <c r="AQ41" i="20"/>
  <c r="AP41" i="20"/>
  <c r="AO41" i="20"/>
  <c r="AN41" i="20"/>
  <c r="AL41" i="20"/>
  <c r="AK41" i="20"/>
  <c r="AJ41" i="20"/>
  <c r="AI41" i="20"/>
  <c r="AH41" i="20"/>
  <c r="AF41" i="20"/>
  <c r="AE41" i="20"/>
  <c r="AD41" i="20"/>
  <c r="AC41" i="20"/>
  <c r="AB41" i="20"/>
  <c r="Z41" i="20"/>
  <c r="Y41" i="20"/>
  <c r="X41" i="20"/>
  <c r="W41" i="20"/>
  <c r="V41" i="20"/>
  <c r="T41" i="20"/>
  <c r="S41" i="20"/>
  <c r="R41" i="20"/>
  <c r="Q41" i="20"/>
  <c r="P41" i="20"/>
  <c r="N41" i="20"/>
  <c r="M41" i="20"/>
  <c r="L41" i="20"/>
  <c r="K41" i="20"/>
  <c r="J41" i="20"/>
  <c r="H41" i="20"/>
  <c r="G41" i="20"/>
  <c r="F41" i="20"/>
  <c r="E41" i="20"/>
  <c r="D41" i="20"/>
  <c r="C41" i="20"/>
  <c r="BZ40" i="20"/>
  <c r="BY40" i="20"/>
  <c r="BX40" i="20"/>
  <c r="BV40" i="20"/>
  <c r="BT40" i="20"/>
  <c r="BR40" i="20"/>
  <c r="BP40" i="20"/>
  <c r="BO40" i="20"/>
  <c r="BU40" i="20" s="1"/>
  <c r="BN40" i="20"/>
  <c r="BM40" i="20"/>
  <c r="BL40" i="20"/>
  <c r="BJ40" i="20"/>
  <c r="BI40" i="20"/>
  <c r="BH40" i="20"/>
  <c r="BG40" i="20"/>
  <c r="BF40" i="20"/>
  <c r="BD40" i="20"/>
  <c r="BC40" i="20"/>
  <c r="BB40" i="20"/>
  <c r="BA40" i="20"/>
  <c r="AZ40" i="20"/>
  <c r="AX40" i="20"/>
  <c r="AW40" i="20"/>
  <c r="AV40" i="20"/>
  <c r="AU40" i="20"/>
  <c r="AT40" i="20"/>
  <c r="AR40" i="20"/>
  <c r="AQ40" i="20"/>
  <c r="AP40" i="20"/>
  <c r="AO40" i="20"/>
  <c r="AN40" i="20"/>
  <c r="AL40" i="20"/>
  <c r="AK40" i="20"/>
  <c r="AJ40" i="20"/>
  <c r="AI40" i="20"/>
  <c r="AH40" i="20"/>
  <c r="AF40" i="20"/>
  <c r="AE40" i="20"/>
  <c r="AD40" i="20"/>
  <c r="AC40" i="20"/>
  <c r="AB40" i="20"/>
  <c r="Z40" i="20"/>
  <c r="Y40" i="20"/>
  <c r="X40" i="20"/>
  <c r="W40" i="20"/>
  <c r="V40" i="20"/>
  <c r="T40" i="20"/>
  <c r="S40" i="20"/>
  <c r="R40" i="20"/>
  <c r="Q40" i="20"/>
  <c r="P40" i="20"/>
  <c r="N40" i="20"/>
  <c r="M40" i="20"/>
  <c r="L40" i="20"/>
  <c r="K40" i="20"/>
  <c r="J40" i="20"/>
  <c r="H40" i="20"/>
  <c r="G40" i="20"/>
  <c r="F40" i="20"/>
  <c r="E40" i="20"/>
  <c r="D40" i="20"/>
  <c r="C40" i="20"/>
  <c r="BZ39" i="20"/>
  <c r="BY39" i="20"/>
  <c r="BX39" i="20"/>
  <c r="BV39" i="20"/>
  <c r="BT39" i="20"/>
  <c r="BR39" i="20"/>
  <c r="BP39" i="20"/>
  <c r="BO39" i="20"/>
  <c r="BU39" i="20" s="1"/>
  <c r="BN39" i="20"/>
  <c r="BM39" i="20"/>
  <c r="BL39" i="20"/>
  <c r="BJ39" i="20"/>
  <c r="BI39" i="20"/>
  <c r="BH39" i="20"/>
  <c r="BG39" i="20"/>
  <c r="BF39" i="20"/>
  <c r="BD39" i="20"/>
  <c r="BC39" i="20"/>
  <c r="BB39" i="20"/>
  <c r="BA39" i="20"/>
  <c r="AZ39" i="20"/>
  <c r="AX39" i="20"/>
  <c r="AW39" i="20"/>
  <c r="AV39" i="20"/>
  <c r="AU39" i="20"/>
  <c r="AT39" i="20"/>
  <c r="AR39" i="20"/>
  <c r="AQ39" i="20"/>
  <c r="AP39" i="20"/>
  <c r="AO39" i="20"/>
  <c r="AN39" i="20"/>
  <c r="AL39" i="20"/>
  <c r="AK39" i="20"/>
  <c r="AJ39" i="20"/>
  <c r="AI39" i="20"/>
  <c r="AH39" i="20"/>
  <c r="AF39" i="20"/>
  <c r="AE39" i="20"/>
  <c r="AD39" i="20"/>
  <c r="AC39" i="20"/>
  <c r="AB39" i="20"/>
  <c r="Z39" i="20"/>
  <c r="Y39" i="20"/>
  <c r="X39" i="20"/>
  <c r="W39" i="20"/>
  <c r="V39" i="20"/>
  <c r="T39" i="20"/>
  <c r="S39" i="20"/>
  <c r="R39" i="20"/>
  <c r="Q39" i="20"/>
  <c r="P39" i="20"/>
  <c r="N39" i="20"/>
  <c r="M39" i="20"/>
  <c r="L39" i="20"/>
  <c r="K39" i="20"/>
  <c r="J39" i="20"/>
  <c r="H39" i="20"/>
  <c r="G39" i="20"/>
  <c r="F39" i="20"/>
  <c r="E39" i="20"/>
  <c r="D39" i="20"/>
  <c r="C39" i="20"/>
  <c r="BZ38" i="20"/>
  <c r="BY38" i="20"/>
  <c r="BX38" i="20"/>
  <c r="BV38" i="20"/>
  <c r="BT38" i="20"/>
  <c r="BR38" i="20"/>
  <c r="BP38" i="20"/>
  <c r="BO38" i="20"/>
  <c r="BN38" i="20"/>
  <c r="BM38" i="20"/>
  <c r="BL38" i="20"/>
  <c r="BJ38" i="20"/>
  <c r="BI38" i="20"/>
  <c r="BH38" i="20"/>
  <c r="BG38" i="20"/>
  <c r="BF38" i="20"/>
  <c r="BD38" i="20"/>
  <c r="BC38" i="20"/>
  <c r="BB38" i="20"/>
  <c r="BA38" i="20"/>
  <c r="AZ38" i="20"/>
  <c r="AX38" i="20"/>
  <c r="AW38" i="20"/>
  <c r="AV38" i="20"/>
  <c r="AU38" i="20"/>
  <c r="AT38" i="20"/>
  <c r="AR38" i="20"/>
  <c r="AQ38" i="20"/>
  <c r="AP38" i="20"/>
  <c r="AO38" i="20"/>
  <c r="AN38" i="20"/>
  <c r="AL38" i="20"/>
  <c r="AK38" i="20"/>
  <c r="AJ38" i="20"/>
  <c r="AI38" i="20"/>
  <c r="AH38" i="20"/>
  <c r="AF38" i="20"/>
  <c r="AE38" i="20"/>
  <c r="AD38" i="20"/>
  <c r="AC38" i="20"/>
  <c r="AB38" i="20"/>
  <c r="Z38" i="20"/>
  <c r="Y38" i="20"/>
  <c r="X38" i="20"/>
  <c r="W38" i="20"/>
  <c r="V38" i="20"/>
  <c r="T38" i="20"/>
  <c r="S38" i="20"/>
  <c r="R38" i="20"/>
  <c r="Q38" i="20"/>
  <c r="P38" i="20"/>
  <c r="N38" i="20"/>
  <c r="M38" i="20"/>
  <c r="L38" i="20"/>
  <c r="K38" i="20"/>
  <c r="J38" i="20"/>
  <c r="H38" i="20"/>
  <c r="G38" i="20"/>
  <c r="F38" i="20"/>
  <c r="E38" i="20"/>
  <c r="D38" i="20"/>
  <c r="C38" i="20"/>
  <c r="BZ37" i="20"/>
  <c r="BY37" i="20"/>
  <c r="BX37" i="20"/>
  <c r="BT37" i="20"/>
  <c r="BR37" i="20"/>
  <c r="BP37" i="20"/>
  <c r="BV37" i="20" s="1"/>
  <c r="BO37" i="20"/>
  <c r="BU37" i="20" s="1"/>
  <c r="BN37" i="20"/>
  <c r="BM37" i="20"/>
  <c r="BL37" i="20"/>
  <c r="BJ37" i="20"/>
  <c r="BI37" i="20"/>
  <c r="BH37" i="20"/>
  <c r="BG37" i="20"/>
  <c r="BF37" i="20"/>
  <c r="BD37" i="20"/>
  <c r="BC37" i="20"/>
  <c r="BB37" i="20"/>
  <c r="BA37" i="20"/>
  <c r="AZ37" i="20"/>
  <c r="AX37" i="20"/>
  <c r="AW37" i="20"/>
  <c r="AV37" i="20"/>
  <c r="AU37" i="20"/>
  <c r="AT37" i="20"/>
  <c r="AR37" i="20"/>
  <c r="AQ37" i="20"/>
  <c r="AP37" i="20"/>
  <c r="AO37" i="20"/>
  <c r="AN37" i="20"/>
  <c r="AL37" i="20"/>
  <c r="AK37" i="20"/>
  <c r="AJ37" i="20"/>
  <c r="AI37" i="20"/>
  <c r="AH37" i="20"/>
  <c r="AF37" i="20"/>
  <c r="AE37" i="20"/>
  <c r="AD37" i="20"/>
  <c r="AC37" i="20"/>
  <c r="AB37" i="20"/>
  <c r="Z37" i="20"/>
  <c r="Y37" i="20"/>
  <c r="X37" i="20"/>
  <c r="W37" i="20"/>
  <c r="V37" i="20"/>
  <c r="T37" i="20"/>
  <c r="S37" i="20"/>
  <c r="R37" i="20"/>
  <c r="P37" i="20"/>
  <c r="N37" i="20"/>
  <c r="M37" i="20"/>
  <c r="L37" i="20"/>
  <c r="K37" i="20"/>
  <c r="J37" i="20"/>
  <c r="H37" i="20"/>
  <c r="G37" i="20"/>
  <c r="F37" i="20"/>
  <c r="D37" i="20"/>
  <c r="C37" i="20"/>
  <c r="BZ36" i="20"/>
  <c r="BY36" i="20"/>
  <c r="BX36" i="20"/>
  <c r="BT36" i="20"/>
  <c r="BR36" i="20"/>
  <c r="BP36" i="20"/>
  <c r="BV36" i="20" s="1"/>
  <c r="BO36" i="20"/>
  <c r="BU36" i="20" s="1"/>
  <c r="BN36" i="20"/>
  <c r="BM36" i="20"/>
  <c r="BL36" i="20"/>
  <c r="BJ36" i="20"/>
  <c r="BI36" i="20"/>
  <c r="BH36" i="20"/>
  <c r="BG36" i="20"/>
  <c r="BF36" i="20"/>
  <c r="BD36" i="20"/>
  <c r="BC36" i="20"/>
  <c r="BB36" i="20"/>
  <c r="BA36" i="20"/>
  <c r="AZ36" i="20"/>
  <c r="AX36" i="20"/>
  <c r="AW36" i="20"/>
  <c r="AV36" i="20"/>
  <c r="AU36" i="20"/>
  <c r="AT36" i="20"/>
  <c r="AR36" i="20"/>
  <c r="AQ36" i="20"/>
  <c r="AP36" i="20"/>
  <c r="AO36" i="20"/>
  <c r="AN36" i="20"/>
  <c r="AL36" i="20"/>
  <c r="AK36" i="20"/>
  <c r="AJ36" i="20"/>
  <c r="AI36" i="20"/>
  <c r="AH36" i="20"/>
  <c r="AF36" i="20"/>
  <c r="AE36" i="20"/>
  <c r="AD36" i="20"/>
  <c r="AC36" i="20"/>
  <c r="AB36" i="20"/>
  <c r="Z36" i="20"/>
  <c r="Y36" i="20"/>
  <c r="X36" i="20"/>
  <c r="W36" i="20"/>
  <c r="V36" i="20"/>
  <c r="T36" i="20"/>
  <c r="S36" i="20"/>
  <c r="R36" i="20"/>
  <c r="Q36" i="20"/>
  <c r="P36" i="20"/>
  <c r="N36" i="20"/>
  <c r="M36" i="20"/>
  <c r="L36" i="20"/>
  <c r="K36" i="20"/>
  <c r="J36" i="20"/>
  <c r="H36" i="20"/>
  <c r="G36" i="20"/>
  <c r="F36" i="20"/>
  <c r="D36" i="20"/>
  <c r="C36" i="20"/>
  <c r="BZ35" i="20"/>
  <c r="BY35" i="20"/>
  <c r="BX35" i="20"/>
  <c r="BV35" i="20"/>
  <c r="BT35" i="20"/>
  <c r="BR35" i="20"/>
  <c r="BP35" i="20"/>
  <c r="BO35" i="20"/>
  <c r="BU35" i="20" s="1"/>
  <c r="BN35" i="20"/>
  <c r="BM35" i="20"/>
  <c r="BL35" i="20"/>
  <c r="BJ35" i="20"/>
  <c r="BI35" i="20"/>
  <c r="BH35" i="20"/>
  <c r="BG35" i="20"/>
  <c r="BF35" i="20"/>
  <c r="BD35" i="20"/>
  <c r="BC35" i="20"/>
  <c r="BB35" i="20"/>
  <c r="BA35" i="20"/>
  <c r="AZ35" i="20"/>
  <c r="AX35" i="20"/>
  <c r="AW35" i="20"/>
  <c r="AV35" i="20"/>
  <c r="AU35" i="20"/>
  <c r="AT35" i="20"/>
  <c r="AR35" i="20"/>
  <c r="AQ35" i="20"/>
  <c r="AP35" i="20"/>
  <c r="AO35" i="20"/>
  <c r="AN35" i="20"/>
  <c r="AL35" i="20"/>
  <c r="AK35" i="20"/>
  <c r="AJ35" i="20"/>
  <c r="AI35" i="20"/>
  <c r="AH35" i="20"/>
  <c r="AF35" i="20"/>
  <c r="AE35" i="20"/>
  <c r="AD35" i="20"/>
  <c r="AC35" i="20"/>
  <c r="AB35" i="20"/>
  <c r="Z35" i="20"/>
  <c r="Y35" i="20"/>
  <c r="X35" i="20"/>
  <c r="W35" i="20"/>
  <c r="V35" i="20"/>
  <c r="T35" i="20"/>
  <c r="S35" i="20"/>
  <c r="R35" i="20"/>
  <c r="Q35" i="20"/>
  <c r="P35" i="20"/>
  <c r="N35" i="20"/>
  <c r="M35" i="20"/>
  <c r="L35" i="20"/>
  <c r="K35" i="20"/>
  <c r="J35" i="20"/>
  <c r="H35" i="20"/>
  <c r="G35" i="20"/>
  <c r="F35" i="20"/>
  <c r="D35" i="20"/>
  <c r="C35" i="20"/>
  <c r="BZ34" i="20"/>
  <c r="BY34" i="20"/>
  <c r="BX34" i="20"/>
  <c r="BT34" i="20"/>
  <c r="BR34" i="20"/>
  <c r="BQ34" i="20"/>
  <c r="BP34" i="20"/>
  <c r="BV34" i="20" s="1"/>
  <c r="BO34" i="20"/>
  <c r="BU34" i="20" s="1"/>
  <c r="BN34" i="20"/>
  <c r="BM34" i="20"/>
  <c r="BL34" i="20"/>
  <c r="BJ34" i="20"/>
  <c r="BI34" i="20"/>
  <c r="BH34" i="20"/>
  <c r="BG34" i="20"/>
  <c r="BF34" i="20"/>
  <c r="BD34" i="20"/>
  <c r="BC34" i="20"/>
  <c r="BB34" i="20"/>
  <c r="BA34" i="20"/>
  <c r="AZ34" i="20"/>
  <c r="AX34" i="20"/>
  <c r="AW34" i="20"/>
  <c r="AV34" i="20"/>
  <c r="AU34" i="20"/>
  <c r="AT34" i="20"/>
  <c r="AR34" i="20"/>
  <c r="AQ34" i="20"/>
  <c r="AP34" i="20"/>
  <c r="AO34" i="20"/>
  <c r="AN34" i="20"/>
  <c r="AL34" i="20"/>
  <c r="AK34" i="20"/>
  <c r="AJ34" i="20"/>
  <c r="AI34" i="20"/>
  <c r="AH34" i="20"/>
  <c r="AF34" i="20"/>
  <c r="AE34" i="20"/>
  <c r="AD34" i="20"/>
  <c r="AC34" i="20"/>
  <c r="AB34" i="20"/>
  <c r="Z34" i="20"/>
  <c r="Y34" i="20"/>
  <c r="X34" i="20"/>
  <c r="W34" i="20"/>
  <c r="V34" i="20"/>
  <c r="T34" i="20"/>
  <c r="S34" i="20"/>
  <c r="R34" i="20"/>
  <c r="Q34" i="20"/>
  <c r="P34" i="20"/>
  <c r="N34" i="20"/>
  <c r="M34" i="20"/>
  <c r="L34" i="20"/>
  <c r="K34" i="20"/>
  <c r="J34" i="20"/>
  <c r="H34" i="20"/>
  <c r="G34" i="20"/>
  <c r="F34" i="20"/>
  <c r="D34" i="20"/>
  <c r="C34" i="20"/>
  <c r="BZ33" i="20"/>
  <c r="BY33" i="20"/>
  <c r="BX33" i="20"/>
  <c r="BT33" i="20"/>
  <c r="BR33" i="20"/>
  <c r="BP33" i="20"/>
  <c r="BV33" i="20" s="1"/>
  <c r="BO33" i="20"/>
  <c r="BU33" i="20" s="1"/>
  <c r="BN33" i="20"/>
  <c r="BM33" i="20"/>
  <c r="BL33" i="20"/>
  <c r="BJ33" i="20"/>
  <c r="BI33" i="20"/>
  <c r="BH33" i="20"/>
  <c r="BG33" i="20"/>
  <c r="BF33" i="20"/>
  <c r="BD33" i="20"/>
  <c r="BC33" i="20"/>
  <c r="BB33" i="20"/>
  <c r="BA33" i="20"/>
  <c r="AZ33" i="20"/>
  <c r="AX33" i="20"/>
  <c r="AW33" i="20"/>
  <c r="AV33" i="20"/>
  <c r="AU33" i="20"/>
  <c r="AT33" i="20"/>
  <c r="AR33" i="20"/>
  <c r="AQ33" i="20"/>
  <c r="AP33" i="20"/>
  <c r="AO33" i="20"/>
  <c r="AN33" i="20"/>
  <c r="AL33" i="20"/>
  <c r="AK33" i="20"/>
  <c r="AJ33" i="20"/>
  <c r="AI33" i="20"/>
  <c r="AH33" i="20"/>
  <c r="AF33" i="20"/>
  <c r="AE33" i="20"/>
  <c r="AD33" i="20"/>
  <c r="AC33" i="20"/>
  <c r="AB33" i="20"/>
  <c r="Z33" i="20"/>
  <c r="Y33" i="20"/>
  <c r="X33" i="20"/>
  <c r="W33" i="20"/>
  <c r="V33" i="20"/>
  <c r="T33" i="20"/>
  <c r="S33" i="20"/>
  <c r="R33" i="20"/>
  <c r="Q33" i="20"/>
  <c r="P33" i="20"/>
  <c r="N33" i="20"/>
  <c r="M33" i="20"/>
  <c r="L33" i="20"/>
  <c r="K33" i="20"/>
  <c r="J33" i="20"/>
  <c r="H33" i="20"/>
  <c r="G33" i="20"/>
  <c r="F33" i="20"/>
  <c r="D33" i="20"/>
  <c r="C33" i="20"/>
  <c r="BZ32" i="20"/>
  <c r="BY32" i="20"/>
  <c r="BX32" i="20"/>
  <c r="BT32" i="20"/>
  <c r="BR32" i="20"/>
  <c r="BP32" i="20"/>
  <c r="BV32" i="20" s="1"/>
  <c r="BO32" i="20"/>
  <c r="BU32" i="20" s="1"/>
  <c r="BN32" i="20"/>
  <c r="BM32" i="20"/>
  <c r="BL32" i="20"/>
  <c r="BJ32" i="20"/>
  <c r="BI32" i="20"/>
  <c r="BH32" i="20"/>
  <c r="BG32" i="20"/>
  <c r="BF32" i="20"/>
  <c r="BD32" i="20"/>
  <c r="BC32" i="20"/>
  <c r="BB32" i="20"/>
  <c r="BA32" i="20"/>
  <c r="AZ32" i="20"/>
  <c r="AX32" i="20"/>
  <c r="AW32" i="20"/>
  <c r="AV32" i="20"/>
  <c r="AU32" i="20"/>
  <c r="AT32" i="20"/>
  <c r="AR32" i="20"/>
  <c r="AQ32" i="20"/>
  <c r="AP32" i="20"/>
  <c r="AO32" i="20"/>
  <c r="AN32" i="20"/>
  <c r="AL32" i="20"/>
  <c r="AK32" i="20"/>
  <c r="AJ32" i="20"/>
  <c r="AI32" i="20"/>
  <c r="AH32" i="20"/>
  <c r="AF32" i="20"/>
  <c r="AE32" i="20"/>
  <c r="AD32" i="20"/>
  <c r="AC32" i="20"/>
  <c r="AB32" i="20"/>
  <c r="Z32" i="20"/>
  <c r="Y32" i="20"/>
  <c r="X32" i="20"/>
  <c r="W32" i="20"/>
  <c r="V32" i="20"/>
  <c r="T32" i="20"/>
  <c r="S32" i="20"/>
  <c r="R32" i="20"/>
  <c r="Q32" i="20"/>
  <c r="P32" i="20"/>
  <c r="N32" i="20"/>
  <c r="M32" i="20"/>
  <c r="L32" i="20"/>
  <c r="K32" i="20"/>
  <c r="J32" i="20"/>
  <c r="H32" i="20"/>
  <c r="G32" i="20"/>
  <c r="F32" i="20"/>
  <c r="D32" i="20"/>
  <c r="C32" i="20"/>
  <c r="BZ31" i="20"/>
  <c r="BX31" i="20"/>
  <c r="BT31" i="20"/>
  <c r="BR31" i="20"/>
  <c r="BP31" i="20"/>
  <c r="BV31" i="20" s="1"/>
  <c r="BO31" i="20"/>
  <c r="BU31" i="20" s="1"/>
  <c r="BN31" i="20"/>
  <c r="BM31" i="20"/>
  <c r="BL31" i="20"/>
  <c r="BJ31" i="20"/>
  <c r="BI31" i="20"/>
  <c r="BH31" i="20"/>
  <c r="BG31" i="20"/>
  <c r="BF31" i="20"/>
  <c r="BD31" i="20"/>
  <c r="BC31" i="20"/>
  <c r="BB31" i="20"/>
  <c r="BA31" i="20"/>
  <c r="AZ31" i="20"/>
  <c r="AX31" i="20"/>
  <c r="AW31" i="20"/>
  <c r="AV31" i="20"/>
  <c r="AU31" i="20"/>
  <c r="AT31" i="20"/>
  <c r="AR31" i="20"/>
  <c r="AQ31" i="20"/>
  <c r="AP31" i="20"/>
  <c r="AO31" i="20"/>
  <c r="AN31" i="20"/>
  <c r="AL31" i="20"/>
  <c r="AK31" i="20"/>
  <c r="AJ31" i="20"/>
  <c r="AI31" i="20"/>
  <c r="AH31" i="20"/>
  <c r="AF31" i="20"/>
  <c r="AE31" i="20"/>
  <c r="AD31" i="20"/>
  <c r="AC31" i="20"/>
  <c r="AB31" i="20"/>
  <c r="Z31" i="20"/>
  <c r="Y31" i="20"/>
  <c r="X31" i="20"/>
  <c r="W31" i="20"/>
  <c r="V31" i="20"/>
  <c r="T31" i="20"/>
  <c r="S31" i="20"/>
  <c r="R31" i="20"/>
  <c r="Q31" i="20"/>
  <c r="P31" i="20"/>
  <c r="N31" i="20"/>
  <c r="M31" i="20"/>
  <c r="L31" i="20"/>
  <c r="K31" i="20"/>
  <c r="J31" i="20"/>
  <c r="H31" i="20"/>
  <c r="G31" i="20"/>
  <c r="F31" i="20"/>
  <c r="D31" i="20"/>
  <c r="C31" i="20"/>
  <c r="BT30" i="20"/>
  <c r="BR30" i="20"/>
  <c r="BN30" i="20"/>
  <c r="BM30" i="20"/>
  <c r="BL30" i="20"/>
  <c r="BJ30" i="20"/>
  <c r="BH30" i="20"/>
  <c r="BG30" i="20"/>
  <c r="BF30" i="20"/>
  <c r="BE30" i="20"/>
  <c r="BD30" i="20"/>
  <c r="BC30" i="20"/>
  <c r="BB30" i="20"/>
  <c r="BA30" i="20"/>
  <c r="AZ30" i="20"/>
  <c r="AY30" i="20"/>
  <c r="AX30" i="20"/>
  <c r="AW30" i="20"/>
  <c r="AV30" i="20"/>
  <c r="AU30" i="20"/>
  <c r="AT30" i="20"/>
  <c r="AS30" i="20"/>
  <c r="AR30" i="20"/>
  <c r="AQ30" i="20"/>
  <c r="AP30" i="20"/>
  <c r="AO30" i="20"/>
  <c r="AN30" i="20"/>
  <c r="AM30" i="20"/>
  <c r="AL30" i="20"/>
  <c r="AK30" i="20"/>
  <c r="AJ30" i="20"/>
  <c r="AI30" i="20"/>
  <c r="AH30" i="20"/>
  <c r="AG30" i="20"/>
  <c r="AF30" i="20"/>
  <c r="AE30" i="20"/>
  <c r="AD30" i="20"/>
  <c r="AC30" i="20"/>
  <c r="AB30" i="20"/>
  <c r="AA30" i="20"/>
  <c r="Z30" i="20"/>
  <c r="Y30" i="20"/>
  <c r="X30" i="20"/>
  <c r="W30" i="20"/>
  <c r="V30" i="20"/>
  <c r="U30" i="20"/>
  <c r="T30" i="20"/>
  <c r="S30" i="20"/>
  <c r="R30" i="20"/>
  <c r="Q30" i="20"/>
  <c r="P30" i="20"/>
  <c r="O30" i="20"/>
  <c r="N30" i="20"/>
  <c r="M30" i="20"/>
  <c r="L30" i="20"/>
  <c r="K30" i="20"/>
  <c r="J30" i="20"/>
  <c r="I30" i="20"/>
  <c r="H30" i="20"/>
  <c r="G30" i="20"/>
  <c r="F30" i="20"/>
  <c r="E30" i="20"/>
  <c r="D30" i="20"/>
  <c r="C30" i="20"/>
  <c r="BT29" i="20"/>
  <c r="BR29" i="20"/>
  <c r="BN29" i="20"/>
  <c r="BM29" i="20"/>
  <c r="BL29" i="20"/>
  <c r="BJ29" i="20"/>
  <c r="BH29" i="20"/>
  <c r="BG29" i="20"/>
  <c r="BF29" i="20"/>
  <c r="BD29" i="20"/>
  <c r="BC29" i="20"/>
  <c r="BB29" i="20"/>
  <c r="BA29" i="20"/>
  <c r="AZ29" i="20"/>
  <c r="AX29" i="20"/>
  <c r="AW29" i="20"/>
  <c r="AV29" i="20"/>
  <c r="AU29" i="20"/>
  <c r="AT29" i="20"/>
  <c r="AR29" i="20"/>
  <c r="AQ29" i="20"/>
  <c r="AP29" i="20"/>
  <c r="AO29" i="20"/>
  <c r="AN29" i="20"/>
  <c r="AL29" i="20"/>
  <c r="AK29" i="20"/>
  <c r="AJ29" i="20"/>
  <c r="AI29" i="20"/>
  <c r="AH29" i="20"/>
  <c r="AF29" i="20"/>
  <c r="AE29" i="20"/>
  <c r="AD29" i="20"/>
  <c r="AC29" i="20"/>
  <c r="AB29" i="20"/>
  <c r="Z29" i="20"/>
  <c r="Y29" i="20"/>
  <c r="X29" i="20"/>
  <c r="W29" i="20"/>
  <c r="V29" i="20"/>
  <c r="T29" i="20"/>
  <c r="S29" i="20"/>
  <c r="R29" i="20"/>
  <c r="Q29" i="20"/>
  <c r="P29" i="20"/>
  <c r="N29" i="20"/>
  <c r="M29" i="20"/>
  <c r="L29" i="20"/>
  <c r="K29" i="20"/>
  <c r="J29" i="20"/>
  <c r="H29" i="20"/>
  <c r="G29" i="20"/>
  <c r="F29" i="20"/>
  <c r="E29" i="20"/>
  <c r="D29" i="20"/>
  <c r="C29" i="20"/>
  <c r="BZ28" i="20"/>
  <c r="BY28" i="20"/>
  <c r="BX28" i="20"/>
  <c r="BT28" i="20"/>
  <c r="BR28" i="20"/>
  <c r="BP28" i="20"/>
  <c r="BV28" i="20" s="1"/>
  <c r="BO28" i="20"/>
  <c r="BU28" i="20" s="1"/>
  <c r="BN28" i="20"/>
  <c r="BM28" i="20"/>
  <c r="BL28" i="20"/>
  <c r="BJ28" i="20"/>
  <c r="BI28" i="20"/>
  <c r="BH28" i="20"/>
  <c r="BG28" i="20"/>
  <c r="BF28" i="20"/>
  <c r="BD28" i="20"/>
  <c r="BC28" i="20"/>
  <c r="BB28" i="20"/>
  <c r="BA28" i="20"/>
  <c r="AZ28" i="20"/>
  <c r="AX28" i="20"/>
  <c r="AW28" i="20"/>
  <c r="AV28" i="20"/>
  <c r="AU28" i="20"/>
  <c r="AT28" i="20"/>
  <c r="AR28" i="20"/>
  <c r="AQ28" i="20"/>
  <c r="AP28" i="20"/>
  <c r="AO28" i="20"/>
  <c r="AN28" i="20"/>
  <c r="AL28" i="20"/>
  <c r="AK28" i="20"/>
  <c r="AJ28" i="20"/>
  <c r="AI28" i="20"/>
  <c r="AH28" i="20"/>
  <c r="AF28" i="20"/>
  <c r="AE28" i="20"/>
  <c r="AD28" i="20"/>
  <c r="AC28" i="20"/>
  <c r="AB28" i="20"/>
  <c r="Z28" i="20"/>
  <c r="Y28" i="20"/>
  <c r="X28" i="20"/>
  <c r="W28" i="20"/>
  <c r="V28" i="20"/>
  <c r="T28" i="20"/>
  <c r="S28" i="20"/>
  <c r="R28" i="20"/>
  <c r="Q28" i="20"/>
  <c r="P28" i="20"/>
  <c r="N28" i="20"/>
  <c r="M28" i="20"/>
  <c r="L28" i="20"/>
  <c r="K28" i="20"/>
  <c r="J28" i="20"/>
  <c r="H28" i="20"/>
  <c r="G28" i="20"/>
  <c r="F28" i="20"/>
  <c r="D28" i="20"/>
  <c r="C28" i="20"/>
  <c r="BZ27" i="20"/>
  <c r="BY27" i="20"/>
  <c r="BX27" i="20"/>
  <c r="BT27" i="20"/>
  <c r="BR27" i="20"/>
  <c r="BP27" i="20"/>
  <c r="BV27" i="20" s="1"/>
  <c r="BO27" i="20"/>
  <c r="BU27" i="20" s="1"/>
  <c r="BN27" i="20"/>
  <c r="BM27" i="20"/>
  <c r="BL27" i="20"/>
  <c r="BJ27" i="20"/>
  <c r="BI27" i="20"/>
  <c r="BH27" i="20"/>
  <c r="BG27" i="20"/>
  <c r="BF27" i="20"/>
  <c r="BD27" i="20"/>
  <c r="BC27" i="20"/>
  <c r="BB27" i="20"/>
  <c r="BA27" i="20"/>
  <c r="AZ27" i="20"/>
  <c r="AX27" i="20"/>
  <c r="AW27" i="20"/>
  <c r="AV27" i="20"/>
  <c r="AU27" i="20"/>
  <c r="AT27" i="20"/>
  <c r="AR27" i="20"/>
  <c r="AQ27" i="20"/>
  <c r="AP27" i="20"/>
  <c r="AO27" i="20"/>
  <c r="AN27" i="20"/>
  <c r="AL27" i="20"/>
  <c r="AK27" i="20"/>
  <c r="AJ27" i="20"/>
  <c r="AI27" i="20"/>
  <c r="AH27" i="20"/>
  <c r="AF27" i="20"/>
  <c r="AE27" i="20"/>
  <c r="AD27" i="20"/>
  <c r="AC27" i="20"/>
  <c r="AB27" i="20"/>
  <c r="Z27" i="20"/>
  <c r="Y27" i="20"/>
  <c r="X27" i="20"/>
  <c r="W27" i="20"/>
  <c r="V27" i="20"/>
  <c r="T27" i="20"/>
  <c r="S27" i="20"/>
  <c r="R27" i="20"/>
  <c r="Q27" i="20"/>
  <c r="P27" i="20"/>
  <c r="N27" i="20"/>
  <c r="M27" i="20"/>
  <c r="L27" i="20"/>
  <c r="K27" i="20"/>
  <c r="J27" i="20"/>
  <c r="H27" i="20"/>
  <c r="G27" i="20"/>
  <c r="F27" i="20"/>
  <c r="D27" i="20"/>
  <c r="C27" i="20"/>
  <c r="BZ26" i="20"/>
  <c r="BY26" i="20"/>
  <c r="BX26" i="20"/>
  <c r="BT26" i="20"/>
  <c r="BR26" i="20"/>
  <c r="BP26" i="20"/>
  <c r="BV26" i="20" s="1"/>
  <c r="BO26" i="20"/>
  <c r="BN26" i="20"/>
  <c r="BM26" i="20"/>
  <c r="BL26" i="20"/>
  <c r="BJ26" i="20"/>
  <c r="BI26" i="20"/>
  <c r="BH26" i="20"/>
  <c r="BG26" i="20"/>
  <c r="BF26" i="20"/>
  <c r="BD26" i="20"/>
  <c r="BC26" i="20"/>
  <c r="BB26" i="20"/>
  <c r="BA26" i="20"/>
  <c r="AZ26" i="20"/>
  <c r="AX26" i="20"/>
  <c r="AW26" i="20"/>
  <c r="AV26" i="20"/>
  <c r="AU26" i="20"/>
  <c r="AT26" i="20"/>
  <c r="AR26" i="20"/>
  <c r="AQ26" i="20"/>
  <c r="AP26" i="20"/>
  <c r="AO26" i="20"/>
  <c r="AN26" i="20"/>
  <c r="AL26" i="20"/>
  <c r="AK26" i="20"/>
  <c r="AJ26" i="20"/>
  <c r="AI26" i="20"/>
  <c r="AH26" i="20"/>
  <c r="AF26" i="20"/>
  <c r="AE26" i="20"/>
  <c r="AD26" i="20"/>
  <c r="AC26" i="20"/>
  <c r="AB26" i="20"/>
  <c r="Z26" i="20"/>
  <c r="Y26" i="20"/>
  <c r="X26" i="20"/>
  <c r="W26" i="20"/>
  <c r="V26" i="20"/>
  <c r="T26" i="20"/>
  <c r="S26" i="20"/>
  <c r="R26" i="20"/>
  <c r="Q26" i="20"/>
  <c r="P26" i="20"/>
  <c r="N26" i="20"/>
  <c r="M26" i="20"/>
  <c r="L26" i="20"/>
  <c r="K26" i="20"/>
  <c r="J26" i="20"/>
  <c r="H26" i="20"/>
  <c r="G26" i="20"/>
  <c r="F26" i="20"/>
  <c r="D26" i="20"/>
  <c r="C26" i="20"/>
  <c r="BZ25" i="20"/>
  <c r="BY25" i="20"/>
  <c r="BX25" i="20"/>
  <c r="BT25" i="20"/>
  <c r="BR25" i="20"/>
  <c r="BP25" i="20"/>
  <c r="BV25" i="20" s="1"/>
  <c r="BO25" i="20"/>
  <c r="BU25" i="20" s="1"/>
  <c r="BN25" i="20"/>
  <c r="BM25" i="20"/>
  <c r="BL25" i="20"/>
  <c r="BJ25" i="20"/>
  <c r="BI25" i="20"/>
  <c r="BH25" i="20"/>
  <c r="BG25" i="20"/>
  <c r="BF25" i="20"/>
  <c r="BD25" i="20"/>
  <c r="BC25" i="20"/>
  <c r="BB25" i="20"/>
  <c r="BA25" i="20"/>
  <c r="AZ25" i="20"/>
  <c r="AX25" i="20"/>
  <c r="AW25" i="20"/>
  <c r="AV25" i="20"/>
  <c r="AU25" i="20"/>
  <c r="AT25" i="20"/>
  <c r="AR25" i="20"/>
  <c r="AQ25" i="20"/>
  <c r="AP25" i="20"/>
  <c r="AO25" i="20"/>
  <c r="AN25" i="20"/>
  <c r="AL25" i="20"/>
  <c r="AK25" i="20"/>
  <c r="AJ25" i="20"/>
  <c r="AI25" i="20"/>
  <c r="AH25" i="20"/>
  <c r="AF25" i="20"/>
  <c r="AE25" i="20"/>
  <c r="AD25" i="20"/>
  <c r="AC25" i="20"/>
  <c r="AB25" i="20"/>
  <c r="Z25" i="20"/>
  <c r="Y25" i="20"/>
  <c r="X25" i="20"/>
  <c r="W25" i="20"/>
  <c r="V25" i="20"/>
  <c r="T25" i="20"/>
  <c r="S25" i="20"/>
  <c r="R25" i="20"/>
  <c r="Q25" i="20"/>
  <c r="P25" i="20"/>
  <c r="N25" i="20"/>
  <c r="M25" i="20"/>
  <c r="L25" i="20"/>
  <c r="K25" i="20"/>
  <c r="J25" i="20"/>
  <c r="H25" i="20"/>
  <c r="G25" i="20"/>
  <c r="F25" i="20"/>
  <c r="E25" i="20"/>
  <c r="D25" i="20"/>
  <c r="C25" i="20"/>
  <c r="BZ24" i="20"/>
  <c r="BY24" i="20"/>
  <c r="BX24" i="20"/>
  <c r="BT24" i="20"/>
  <c r="BR24" i="20"/>
  <c r="BP24" i="20"/>
  <c r="BV24" i="20" s="1"/>
  <c r="BO24" i="20"/>
  <c r="BN24" i="20"/>
  <c r="BM24" i="20"/>
  <c r="BL24" i="20"/>
  <c r="BJ24" i="20"/>
  <c r="BI24" i="20"/>
  <c r="BH24" i="20"/>
  <c r="BG24" i="20"/>
  <c r="BF24" i="20"/>
  <c r="BD24" i="20"/>
  <c r="BC24" i="20"/>
  <c r="BB24" i="20"/>
  <c r="BA24" i="20"/>
  <c r="AZ24" i="20"/>
  <c r="AX24" i="20"/>
  <c r="AW24" i="20"/>
  <c r="AV24" i="20"/>
  <c r="AU24" i="20"/>
  <c r="AT24" i="20"/>
  <c r="AR24" i="20"/>
  <c r="AQ24" i="20"/>
  <c r="AP24" i="20"/>
  <c r="AO24" i="20"/>
  <c r="AN24" i="20"/>
  <c r="AL24" i="20"/>
  <c r="AK24" i="20"/>
  <c r="AJ24" i="20"/>
  <c r="AI24" i="20"/>
  <c r="AH24" i="20"/>
  <c r="AF24" i="20"/>
  <c r="AE24" i="20"/>
  <c r="AD24" i="20"/>
  <c r="AC24" i="20"/>
  <c r="AB24" i="20"/>
  <c r="Z24" i="20"/>
  <c r="Y24" i="20"/>
  <c r="X24" i="20"/>
  <c r="W24" i="20"/>
  <c r="V24" i="20"/>
  <c r="T24" i="20"/>
  <c r="S24" i="20"/>
  <c r="R24" i="20"/>
  <c r="Q24" i="20"/>
  <c r="P24" i="20"/>
  <c r="N24" i="20"/>
  <c r="M24" i="20"/>
  <c r="L24" i="20"/>
  <c r="K24" i="20"/>
  <c r="J24" i="20"/>
  <c r="H24" i="20"/>
  <c r="G24" i="20"/>
  <c r="F24" i="20"/>
  <c r="E24" i="20"/>
  <c r="D24" i="20"/>
  <c r="C24" i="20"/>
  <c r="BZ23" i="20"/>
  <c r="BY23" i="20"/>
  <c r="BX23" i="20"/>
  <c r="BT23" i="20"/>
  <c r="BR23" i="20"/>
  <c r="BP23" i="20"/>
  <c r="BV23" i="20" s="1"/>
  <c r="BW23" i="20" s="1"/>
  <c r="BO23" i="20"/>
  <c r="BU23" i="20" s="1"/>
  <c r="BN23" i="20"/>
  <c r="BM23" i="20"/>
  <c r="BL23" i="20"/>
  <c r="BJ23" i="20"/>
  <c r="BI23" i="20"/>
  <c r="BH23" i="20"/>
  <c r="BG23" i="20"/>
  <c r="BF23" i="20"/>
  <c r="BD23" i="20"/>
  <c r="BC23" i="20"/>
  <c r="BB23" i="20"/>
  <c r="BA23" i="20"/>
  <c r="AZ23" i="20"/>
  <c r="AX23" i="20"/>
  <c r="AW23" i="20"/>
  <c r="AV23" i="20"/>
  <c r="AU23" i="20"/>
  <c r="AT23" i="20"/>
  <c r="AR23" i="20"/>
  <c r="AQ23" i="20"/>
  <c r="AP23" i="20"/>
  <c r="AO23" i="20"/>
  <c r="AN23" i="20"/>
  <c r="AL23" i="20"/>
  <c r="AK23" i="20"/>
  <c r="AJ23" i="20"/>
  <c r="AI23" i="20"/>
  <c r="AH23" i="20"/>
  <c r="AF23" i="20"/>
  <c r="AE23" i="20"/>
  <c r="AD23" i="20"/>
  <c r="AC23" i="20"/>
  <c r="AB23" i="20"/>
  <c r="Z23" i="20"/>
  <c r="Y23" i="20"/>
  <c r="X23" i="20"/>
  <c r="W23" i="20"/>
  <c r="V23" i="20"/>
  <c r="T23" i="20"/>
  <c r="S23" i="20"/>
  <c r="R23" i="20"/>
  <c r="Q23" i="20"/>
  <c r="P23" i="20"/>
  <c r="N23" i="20"/>
  <c r="M23" i="20"/>
  <c r="L23" i="20"/>
  <c r="K23" i="20"/>
  <c r="J23" i="20"/>
  <c r="H23" i="20"/>
  <c r="G23" i="20"/>
  <c r="F23" i="20"/>
  <c r="E23" i="20"/>
  <c r="D23" i="20"/>
  <c r="C23" i="20"/>
  <c r="BZ22" i="20"/>
  <c r="BY22" i="20"/>
  <c r="BX22" i="20"/>
  <c r="BT22" i="20"/>
  <c r="BR22" i="20"/>
  <c r="BP22" i="20"/>
  <c r="BV22" i="20" s="1"/>
  <c r="BO22" i="20"/>
  <c r="BN22" i="20"/>
  <c r="BM22" i="20"/>
  <c r="BL22" i="20"/>
  <c r="BJ22" i="20"/>
  <c r="BI22" i="20"/>
  <c r="BH22" i="20"/>
  <c r="BG22" i="20"/>
  <c r="BF22" i="20"/>
  <c r="BD22" i="20"/>
  <c r="BC22" i="20"/>
  <c r="BB22" i="20"/>
  <c r="BA22" i="20"/>
  <c r="AZ22" i="20"/>
  <c r="AX22" i="20"/>
  <c r="AW22" i="20"/>
  <c r="AV22" i="20"/>
  <c r="AU22" i="20"/>
  <c r="AT22" i="20"/>
  <c r="AR22" i="20"/>
  <c r="AQ22" i="20"/>
  <c r="AP22" i="20"/>
  <c r="AO22" i="20"/>
  <c r="AN22" i="20"/>
  <c r="AL22" i="20"/>
  <c r="AK22" i="20"/>
  <c r="AJ22" i="20"/>
  <c r="AI22" i="20"/>
  <c r="AH22" i="20"/>
  <c r="AF22" i="20"/>
  <c r="AE22" i="20"/>
  <c r="AD22" i="20"/>
  <c r="AC22" i="20"/>
  <c r="AB22" i="20"/>
  <c r="Z22" i="20"/>
  <c r="Y22" i="20"/>
  <c r="X22" i="20"/>
  <c r="W22" i="20"/>
  <c r="V22" i="20"/>
  <c r="T22" i="20"/>
  <c r="S22" i="20"/>
  <c r="R22" i="20"/>
  <c r="Q22" i="20"/>
  <c r="P22" i="20"/>
  <c r="N22" i="20"/>
  <c r="M22" i="20"/>
  <c r="L22" i="20"/>
  <c r="K22" i="20"/>
  <c r="J22" i="20"/>
  <c r="H22" i="20"/>
  <c r="G22" i="20"/>
  <c r="F22" i="20"/>
  <c r="E22" i="20"/>
  <c r="D22" i="20"/>
  <c r="C22" i="20"/>
  <c r="BZ21" i="20"/>
  <c r="BY21" i="20"/>
  <c r="BX21" i="20"/>
  <c r="BT21" i="20"/>
  <c r="BR21" i="20"/>
  <c r="BP21" i="20"/>
  <c r="BV21" i="20" s="1"/>
  <c r="BO21" i="20"/>
  <c r="BU21" i="20" s="1"/>
  <c r="BN21" i="20"/>
  <c r="BM21" i="20"/>
  <c r="BL21" i="20"/>
  <c r="BJ21" i="20"/>
  <c r="BI21" i="20"/>
  <c r="BH21" i="20"/>
  <c r="BG21" i="20"/>
  <c r="BF21" i="20"/>
  <c r="BD21" i="20"/>
  <c r="BC21" i="20"/>
  <c r="BB21" i="20"/>
  <c r="BA21" i="20"/>
  <c r="AZ21" i="20"/>
  <c r="AX21" i="20"/>
  <c r="AW21" i="20"/>
  <c r="AV21" i="20"/>
  <c r="AU21" i="20"/>
  <c r="AT21" i="20"/>
  <c r="AR21" i="20"/>
  <c r="AQ21" i="20"/>
  <c r="AP21" i="20"/>
  <c r="AO21" i="20"/>
  <c r="AN21" i="20"/>
  <c r="AL21" i="20"/>
  <c r="AK21" i="20"/>
  <c r="AJ21" i="20"/>
  <c r="AI21" i="20"/>
  <c r="AH21" i="20"/>
  <c r="AF21" i="20"/>
  <c r="AE21" i="20"/>
  <c r="AD21" i="20"/>
  <c r="AC21" i="20"/>
  <c r="AB21" i="20"/>
  <c r="Z21" i="20"/>
  <c r="Y21" i="20"/>
  <c r="X21" i="20"/>
  <c r="W21" i="20"/>
  <c r="V21" i="20"/>
  <c r="T21" i="20"/>
  <c r="S21" i="20"/>
  <c r="R21" i="20"/>
  <c r="Q21" i="20"/>
  <c r="P21" i="20"/>
  <c r="N21" i="20"/>
  <c r="M21" i="20"/>
  <c r="L21" i="20"/>
  <c r="K21" i="20"/>
  <c r="J21" i="20"/>
  <c r="H21" i="20"/>
  <c r="G21" i="20"/>
  <c r="F21" i="20"/>
  <c r="E21" i="20"/>
  <c r="D21" i="20"/>
  <c r="C21" i="20"/>
  <c r="BZ20" i="20"/>
  <c r="BY20" i="20"/>
  <c r="BX20" i="20"/>
  <c r="BT20" i="20"/>
  <c r="BR20" i="20"/>
  <c r="BP20" i="20"/>
  <c r="BV20" i="20" s="1"/>
  <c r="BO20" i="20"/>
  <c r="BN20" i="20"/>
  <c r="BM20" i="20"/>
  <c r="BL20" i="20"/>
  <c r="BJ20" i="20"/>
  <c r="BI20" i="20"/>
  <c r="BH20" i="20"/>
  <c r="BG20" i="20"/>
  <c r="BF20" i="20"/>
  <c r="BD20" i="20"/>
  <c r="BC20" i="20"/>
  <c r="BB20" i="20"/>
  <c r="BA20" i="20"/>
  <c r="AZ20" i="20"/>
  <c r="AX20" i="20"/>
  <c r="AW20" i="20"/>
  <c r="AV20" i="20"/>
  <c r="AU20" i="20"/>
  <c r="AT20" i="20"/>
  <c r="AR20" i="20"/>
  <c r="AQ20" i="20"/>
  <c r="AP20" i="20"/>
  <c r="AO20" i="20"/>
  <c r="AN20" i="20"/>
  <c r="AL20" i="20"/>
  <c r="AK20" i="20"/>
  <c r="AJ20" i="20"/>
  <c r="AI20" i="20"/>
  <c r="AH20" i="20"/>
  <c r="AF20" i="20"/>
  <c r="AE20" i="20"/>
  <c r="AD20" i="20"/>
  <c r="AC20" i="20"/>
  <c r="AB20" i="20"/>
  <c r="Z20" i="20"/>
  <c r="Y20" i="20"/>
  <c r="X20" i="20"/>
  <c r="W20" i="20"/>
  <c r="V20" i="20"/>
  <c r="T20" i="20"/>
  <c r="S20" i="20"/>
  <c r="R20" i="20"/>
  <c r="Q20" i="20"/>
  <c r="P20" i="20"/>
  <c r="N20" i="20"/>
  <c r="M20" i="20"/>
  <c r="L20" i="20"/>
  <c r="K20" i="20"/>
  <c r="J20" i="20"/>
  <c r="H20" i="20"/>
  <c r="G20" i="20"/>
  <c r="F20" i="20"/>
  <c r="E20" i="20"/>
  <c r="D20" i="20"/>
  <c r="C20" i="20"/>
  <c r="BZ19" i="20"/>
  <c r="BY19" i="20"/>
  <c r="BX19" i="20"/>
  <c r="BT19" i="20"/>
  <c r="BR19" i="20"/>
  <c r="BP19" i="20"/>
  <c r="BV19" i="20" s="1"/>
  <c r="BO19" i="20"/>
  <c r="BU19" i="20" s="1"/>
  <c r="BN19" i="20"/>
  <c r="BM19" i="20"/>
  <c r="BL19" i="20"/>
  <c r="BJ19" i="20"/>
  <c r="BI19" i="20"/>
  <c r="BH19" i="20"/>
  <c r="BG19" i="20"/>
  <c r="BF19" i="20"/>
  <c r="BD19" i="20"/>
  <c r="BC19" i="20"/>
  <c r="BB19" i="20"/>
  <c r="BA19" i="20"/>
  <c r="AZ19" i="20"/>
  <c r="AX19" i="20"/>
  <c r="AW19" i="20"/>
  <c r="AV19" i="20"/>
  <c r="AU19" i="20"/>
  <c r="AT19" i="20"/>
  <c r="AR19" i="20"/>
  <c r="AQ19" i="20"/>
  <c r="AP19" i="20"/>
  <c r="AO19" i="20"/>
  <c r="AN19" i="20"/>
  <c r="AL19" i="20"/>
  <c r="AK19" i="20"/>
  <c r="AJ19" i="20"/>
  <c r="AI19" i="20"/>
  <c r="AH19" i="20"/>
  <c r="AF19" i="20"/>
  <c r="AE19" i="20"/>
  <c r="AD19" i="20"/>
  <c r="AC19" i="20"/>
  <c r="AB19" i="20"/>
  <c r="Z19" i="20"/>
  <c r="Y19" i="20"/>
  <c r="X19" i="20"/>
  <c r="W19" i="20"/>
  <c r="V19" i="20"/>
  <c r="T19" i="20"/>
  <c r="S19" i="20"/>
  <c r="R19" i="20"/>
  <c r="Q19" i="20"/>
  <c r="P19" i="20"/>
  <c r="N19" i="20"/>
  <c r="M19" i="20"/>
  <c r="L19" i="20"/>
  <c r="K19" i="20"/>
  <c r="J19" i="20"/>
  <c r="H19" i="20"/>
  <c r="G19" i="20"/>
  <c r="F19" i="20"/>
  <c r="E19" i="20"/>
  <c r="D19" i="20"/>
  <c r="C19" i="20"/>
  <c r="BZ18" i="20"/>
  <c r="BY18" i="20"/>
  <c r="BX18" i="20"/>
  <c r="BT18" i="20"/>
  <c r="BR18" i="20"/>
  <c r="BP18" i="20"/>
  <c r="BV18" i="20" s="1"/>
  <c r="BO18" i="20"/>
  <c r="BU18" i="20" s="1"/>
  <c r="BN18" i="20"/>
  <c r="BM18" i="20"/>
  <c r="BL18" i="20"/>
  <c r="BJ18" i="20"/>
  <c r="BI18" i="20"/>
  <c r="BH18" i="20"/>
  <c r="BG18" i="20"/>
  <c r="BF18" i="20"/>
  <c r="BD18" i="20"/>
  <c r="BC18" i="20"/>
  <c r="BB18" i="20"/>
  <c r="BA18" i="20"/>
  <c r="AZ18" i="20"/>
  <c r="AX18" i="20"/>
  <c r="AW18" i="20"/>
  <c r="AV18" i="20"/>
  <c r="AU18" i="20"/>
  <c r="AT18" i="20"/>
  <c r="AR18" i="20"/>
  <c r="AQ18" i="20"/>
  <c r="AP18" i="20"/>
  <c r="AO18" i="20"/>
  <c r="AN18" i="20"/>
  <c r="AL18" i="20"/>
  <c r="AK18" i="20"/>
  <c r="AJ18" i="20"/>
  <c r="AI18" i="20"/>
  <c r="AH18" i="20"/>
  <c r="AF18" i="20"/>
  <c r="AE18" i="20"/>
  <c r="AD18" i="20"/>
  <c r="AC18" i="20"/>
  <c r="AB18" i="20"/>
  <c r="Z18" i="20"/>
  <c r="Y18" i="20"/>
  <c r="X18" i="20"/>
  <c r="W18" i="20"/>
  <c r="V18" i="20"/>
  <c r="T18" i="20"/>
  <c r="S18" i="20"/>
  <c r="R18" i="20"/>
  <c r="Q18" i="20"/>
  <c r="P18" i="20"/>
  <c r="N18" i="20"/>
  <c r="M18" i="20"/>
  <c r="L18" i="20"/>
  <c r="K18" i="20"/>
  <c r="J18" i="20"/>
  <c r="H18" i="20"/>
  <c r="G18" i="20"/>
  <c r="F18" i="20"/>
  <c r="E18" i="20"/>
  <c r="D18" i="20"/>
  <c r="C18" i="20"/>
  <c r="BZ17" i="20"/>
  <c r="BY17" i="20"/>
  <c r="BX17" i="20"/>
  <c r="BT17" i="20"/>
  <c r="BR17" i="20"/>
  <c r="BP17" i="20"/>
  <c r="BV17" i="20" s="1"/>
  <c r="BO17" i="20"/>
  <c r="BN17" i="20"/>
  <c r="BM17" i="20"/>
  <c r="BL17" i="20"/>
  <c r="BJ17" i="20"/>
  <c r="BI17" i="20"/>
  <c r="BH17" i="20"/>
  <c r="BG17" i="20"/>
  <c r="BF17" i="20"/>
  <c r="BD17" i="20"/>
  <c r="BC17" i="20"/>
  <c r="BB17" i="20"/>
  <c r="BA17" i="20"/>
  <c r="AZ17" i="20"/>
  <c r="AX17" i="20"/>
  <c r="AW17" i="20"/>
  <c r="AV17" i="20"/>
  <c r="AU17" i="20"/>
  <c r="AT17" i="20"/>
  <c r="AR17" i="20"/>
  <c r="AQ17" i="20"/>
  <c r="AP17" i="20"/>
  <c r="AO17" i="20"/>
  <c r="AN17" i="20"/>
  <c r="AL17" i="20"/>
  <c r="AK17" i="20"/>
  <c r="AJ17" i="20"/>
  <c r="AI17" i="20"/>
  <c r="AH17" i="20"/>
  <c r="AF17" i="20"/>
  <c r="AE17" i="20"/>
  <c r="AD17" i="20"/>
  <c r="AC17" i="20"/>
  <c r="AB17" i="20"/>
  <c r="Z17" i="20"/>
  <c r="Y17" i="20"/>
  <c r="X17" i="20"/>
  <c r="W17" i="20"/>
  <c r="V17" i="20"/>
  <c r="T17" i="20"/>
  <c r="S17" i="20"/>
  <c r="R17" i="20"/>
  <c r="Q17" i="20"/>
  <c r="P17" i="20"/>
  <c r="N17" i="20"/>
  <c r="M17" i="20"/>
  <c r="L17" i="20"/>
  <c r="K17" i="20"/>
  <c r="J17" i="20"/>
  <c r="H17" i="20"/>
  <c r="G17" i="20"/>
  <c r="F17" i="20"/>
  <c r="E17" i="20"/>
  <c r="D17" i="20"/>
  <c r="C17" i="20"/>
  <c r="BZ16" i="20"/>
  <c r="BY16" i="20"/>
  <c r="BX16" i="20"/>
  <c r="BT16" i="20"/>
  <c r="BR16" i="20"/>
  <c r="BP16" i="20"/>
  <c r="BV16" i="20" s="1"/>
  <c r="BO16" i="20"/>
  <c r="BN16" i="20"/>
  <c r="BM16" i="20"/>
  <c r="BL16" i="20"/>
  <c r="BJ16" i="20"/>
  <c r="BI16" i="20"/>
  <c r="BH16" i="20"/>
  <c r="BG16" i="20"/>
  <c r="BF16" i="20"/>
  <c r="BD16" i="20"/>
  <c r="BC16" i="20"/>
  <c r="BB16" i="20"/>
  <c r="BA16" i="20"/>
  <c r="AZ16" i="20"/>
  <c r="AX16" i="20"/>
  <c r="AW16" i="20"/>
  <c r="AV16" i="20"/>
  <c r="AU16" i="20"/>
  <c r="AT16" i="20"/>
  <c r="AR16" i="20"/>
  <c r="AQ16" i="20"/>
  <c r="AP16" i="20"/>
  <c r="AO16" i="20"/>
  <c r="AN16" i="20"/>
  <c r="AL16" i="20"/>
  <c r="AK16" i="20"/>
  <c r="AJ16" i="20"/>
  <c r="AI16" i="20"/>
  <c r="AH16" i="20"/>
  <c r="AF16" i="20"/>
  <c r="AE16" i="20"/>
  <c r="AD16" i="20"/>
  <c r="AC16" i="20"/>
  <c r="AB16" i="20"/>
  <c r="Z16" i="20"/>
  <c r="Y16" i="20"/>
  <c r="X16" i="20"/>
  <c r="W16" i="20"/>
  <c r="V16" i="20"/>
  <c r="T16" i="20"/>
  <c r="S16" i="20"/>
  <c r="R16" i="20"/>
  <c r="Q16" i="20"/>
  <c r="P16" i="20"/>
  <c r="N16" i="20"/>
  <c r="M16" i="20"/>
  <c r="L16" i="20"/>
  <c r="K16" i="20"/>
  <c r="J16" i="20"/>
  <c r="H16" i="20"/>
  <c r="G16" i="20"/>
  <c r="F16" i="20"/>
  <c r="E16" i="20"/>
  <c r="D16" i="20"/>
  <c r="C16" i="20"/>
  <c r="BZ15" i="20"/>
  <c r="BY15" i="20"/>
  <c r="BX15" i="20"/>
  <c r="BT15" i="20"/>
  <c r="BR15" i="20"/>
  <c r="BP15" i="20"/>
  <c r="BV15" i="20" s="1"/>
  <c r="BO15" i="20"/>
  <c r="BN15" i="20"/>
  <c r="BM15" i="20"/>
  <c r="BL15" i="20"/>
  <c r="BJ15" i="20"/>
  <c r="BI15" i="20"/>
  <c r="BH15" i="20"/>
  <c r="BG15" i="20"/>
  <c r="BF15" i="20"/>
  <c r="BD15" i="20"/>
  <c r="BC15" i="20"/>
  <c r="BB15" i="20"/>
  <c r="BA15" i="20"/>
  <c r="AZ15" i="20"/>
  <c r="AX15" i="20"/>
  <c r="AW15" i="20"/>
  <c r="AV15" i="20"/>
  <c r="AU15" i="20"/>
  <c r="AT15" i="20"/>
  <c r="AR15" i="20"/>
  <c r="AQ15" i="20"/>
  <c r="AP15" i="20"/>
  <c r="AO15" i="20"/>
  <c r="AN15" i="20"/>
  <c r="AL15" i="20"/>
  <c r="AK15" i="20"/>
  <c r="AJ15" i="20"/>
  <c r="AI15" i="20"/>
  <c r="AH15" i="20"/>
  <c r="AF15" i="20"/>
  <c r="AE15" i="20"/>
  <c r="AD15" i="20"/>
  <c r="AC15" i="20"/>
  <c r="AB15" i="20"/>
  <c r="Z15" i="20"/>
  <c r="Y15" i="20"/>
  <c r="X15" i="20"/>
  <c r="W15" i="20"/>
  <c r="V15" i="20"/>
  <c r="T15" i="20"/>
  <c r="S15" i="20"/>
  <c r="R15" i="20"/>
  <c r="Q15" i="20"/>
  <c r="P15" i="20"/>
  <c r="N15" i="20"/>
  <c r="M15" i="20"/>
  <c r="L15" i="20"/>
  <c r="K15" i="20"/>
  <c r="J15" i="20"/>
  <c r="H15" i="20"/>
  <c r="G15" i="20"/>
  <c r="F15" i="20"/>
  <c r="E15" i="20"/>
  <c r="D15" i="20"/>
  <c r="C15" i="20"/>
  <c r="BZ14" i="20"/>
  <c r="BY14" i="20"/>
  <c r="BX14" i="20"/>
  <c r="BT14" i="20"/>
  <c r="BS14" i="20"/>
  <c r="BR14" i="20"/>
  <c r="BP14" i="20"/>
  <c r="BV14" i="20" s="1"/>
  <c r="BO14" i="20"/>
  <c r="BU14" i="20" s="1"/>
  <c r="BN14" i="20"/>
  <c r="BM14" i="20"/>
  <c r="BL14" i="20"/>
  <c r="BJ14" i="20"/>
  <c r="BI14" i="20"/>
  <c r="BH14" i="20"/>
  <c r="BG14" i="20"/>
  <c r="BF14" i="20"/>
  <c r="BD14" i="20"/>
  <c r="BC14" i="20"/>
  <c r="BB14" i="20"/>
  <c r="BA14" i="20"/>
  <c r="AZ14" i="20"/>
  <c r="AX14" i="20"/>
  <c r="AW14" i="20"/>
  <c r="AV14" i="20"/>
  <c r="AU14" i="20"/>
  <c r="AT14" i="20"/>
  <c r="AR14" i="20"/>
  <c r="AQ14" i="20"/>
  <c r="AP14" i="20"/>
  <c r="AO14" i="20"/>
  <c r="AN14" i="20"/>
  <c r="AL14" i="20"/>
  <c r="AK14" i="20"/>
  <c r="AJ14" i="20"/>
  <c r="AI14" i="20"/>
  <c r="AH14" i="20"/>
  <c r="AF14" i="20"/>
  <c r="AE14" i="20"/>
  <c r="AD14" i="20"/>
  <c r="AC14" i="20"/>
  <c r="AB14" i="20"/>
  <c r="Z14" i="20"/>
  <c r="Y14" i="20"/>
  <c r="X14" i="20"/>
  <c r="W14" i="20"/>
  <c r="V14" i="20"/>
  <c r="T14" i="20"/>
  <c r="S14" i="20"/>
  <c r="R14" i="20"/>
  <c r="Q14" i="20"/>
  <c r="P14" i="20"/>
  <c r="N14" i="20"/>
  <c r="M14" i="20"/>
  <c r="L14" i="20"/>
  <c r="K14" i="20"/>
  <c r="J14" i="20"/>
  <c r="H14" i="20"/>
  <c r="G14" i="20"/>
  <c r="F14" i="20"/>
  <c r="E14" i="20"/>
  <c r="D14" i="20"/>
  <c r="C14" i="20"/>
  <c r="BZ13" i="20"/>
  <c r="BY13" i="20"/>
  <c r="BX13" i="20"/>
  <c r="BT13" i="20"/>
  <c r="BS13" i="20"/>
  <c r="BR13" i="20"/>
  <c r="BP13" i="20"/>
  <c r="BV13" i="20" s="1"/>
  <c r="BO13" i="20"/>
  <c r="BU13" i="20" s="1"/>
  <c r="BN13" i="20"/>
  <c r="BM13" i="20"/>
  <c r="BL13" i="20"/>
  <c r="BJ13" i="20"/>
  <c r="BI13" i="20"/>
  <c r="BH13" i="20"/>
  <c r="BG13" i="20"/>
  <c r="BF13" i="20"/>
  <c r="BD13" i="20"/>
  <c r="BC13" i="20"/>
  <c r="BB13" i="20"/>
  <c r="BA13" i="20"/>
  <c r="AZ13" i="20"/>
  <c r="AX13" i="20"/>
  <c r="AW13" i="20"/>
  <c r="AV13" i="20"/>
  <c r="AU13" i="20"/>
  <c r="AT13" i="20"/>
  <c r="AR13" i="20"/>
  <c r="AQ13" i="20"/>
  <c r="AP13" i="20"/>
  <c r="AO13" i="20"/>
  <c r="AN13" i="20"/>
  <c r="AL13" i="20"/>
  <c r="AK13" i="20"/>
  <c r="AJ13" i="20"/>
  <c r="AI13" i="20"/>
  <c r="AH13" i="20"/>
  <c r="AF13" i="20"/>
  <c r="AE13" i="20"/>
  <c r="AD13" i="20"/>
  <c r="AC13" i="20"/>
  <c r="AB13" i="20"/>
  <c r="Z13" i="20"/>
  <c r="Y13" i="20"/>
  <c r="X13" i="20"/>
  <c r="W13" i="20"/>
  <c r="V13" i="20"/>
  <c r="T13" i="20"/>
  <c r="S13" i="20"/>
  <c r="R13" i="20"/>
  <c r="Q13" i="20"/>
  <c r="P13" i="20"/>
  <c r="N13" i="20"/>
  <c r="M13" i="20"/>
  <c r="L13" i="20"/>
  <c r="K13" i="20"/>
  <c r="J13" i="20"/>
  <c r="H13" i="20"/>
  <c r="G13" i="20"/>
  <c r="F13" i="20"/>
  <c r="D13" i="20"/>
  <c r="C13" i="20"/>
  <c r="BZ12" i="20"/>
  <c r="BX12" i="20"/>
  <c r="BT12" i="20"/>
  <c r="BR12" i="20"/>
  <c r="BP12" i="20"/>
  <c r="BV12" i="20" s="1"/>
  <c r="BO12" i="20"/>
  <c r="BU12" i="20" s="1"/>
  <c r="BN12" i="20"/>
  <c r="BM12" i="20"/>
  <c r="BL12" i="20"/>
  <c r="BJ12" i="20"/>
  <c r="BI12" i="20"/>
  <c r="BH12" i="20"/>
  <c r="BG12" i="20"/>
  <c r="BF12" i="20"/>
  <c r="BD12" i="20"/>
  <c r="BC12" i="20"/>
  <c r="BB12" i="20"/>
  <c r="BA12" i="20"/>
  <c r="AZ12" i="20"/>
  <c r="AX12" i="20"/>
  <c r="AW12" i="20"/>
  <c r="AV12" i="20"/>
  <c r="AU12" i="20"/>
  <c r="AT12" i="20"/>
  <c r="AR12" i="20"/>
  <c r="AQ12" i="20"/>
  <c r="AP12" i="20"/>
  <c r="AO12" i="20"/>
  <c r="AN12" i="20"/>
  <c r="AL12" i="20"/>
  <c r="AK12" i="20"/>
  <c r="AJ12" i="20"/>
  <c r="AI12" i="20"/>
  <c r="AH12" i="20"/>
  <c r="AF12" i="20"/>
  <c r="AE12" i="20"/>
  <c r="AD12" i="20"/>
  <c r="AC12" i="20"/>
  <c r="AB12" i="20"/>
  <c r="Z12" i="20"/>
  <c r="Y12" i="20"/>
  <c r="X12" i="20"/>
  <c r="W12" i="20"/>
  <c r="V12" i="20"/>
  <c r="T12" i="20"/>
  <c r="S12" i="20"/>
  <c r="R12" i="20"/>
  <c r="Q12" i="20"/>
  <c r="P12" i="20"/>
  <c r="N12" i="20"/>
  <c r="M12" i="20"/>
  <c r="L12" i="20"/>
  <c r="K12" i="20"/>
  <c r="J12" i="20"/>
  <c r="H12" i="20"/>
  <c r="G12" i="20"/>
  <c r="F12" i="20"/>
  <c r="D12" i="20"/>
  <c r="C12" i="20"/>
  <c r="BT11" i="20"/>
  <c r="BR11" i="20"/>
  <c r="BN11" i="20"/>
  <c r="BM11" i="20"/>
  <c r="BL11" i="20"/>
  <c r="BJ11" i="20"/>
  <c r="BH11" i="20"/>
  <c r="BG11" i="20"/>
  <c r="BF11" i="20"/>
  <c r="BE11" i="20"/>
  <c r="BE29" i="20" s="1"/>
  <c r="BD11" i="20"/>
  <c r="BC11" i="20"/>
  <c r="BB11" i="20"/>
  <c r="BA11" i="20"/>
  <c r="AZ11" i="20"/>
  <c r="AY11" i="20"/>
  <c r="AY29" i="20" s="1"/>
  <c r="AX11" i="20"/>
  <c r="AW11" i="20"/>
  <c r="AV11" i="20"/>
  <c r="AU11" i="20"/>
  <c r="AT11" i="20"/>
  <c r="AS11" i="20"/>
  <c r="AS29" i="20" s="1"/>
  <c r="AS47" i="20" s="1"/>
  <c r="AR11" i="20"/>
  <c r="AQ11" i="20"/>
  <c r="AP11" i="20"/>
  <c r="AO11" i="20"/>
  <c r="AN11" i="20"/>
  <c r="AM11" i="20"/>
  <c r="AM29" i="20" s="1"/>
  <c r="AM47" i="20" s="1"/>
  <c r="AL11" i="20"/>
  <c r="AK11" i="20"/>
  <c r="AJ11" i="20"/>
  <c r="AI11" i="20"/>
  <c r="AH11" i="20"/>
  <c r="AG11" i="20"/>
  <c r="AG29" i="20" s="1"/>
  <c r="AF11" i="20"/>
  <c r="AE11" i="20"/>
  <c r="AD11" i="20"/>
  <c r="AC11" i="20"/>
  <c r="AB11" i="20"/>
  <c r="AA11" i="20"/>
  <c r="AA29" i="20" s="1"/>
  <c r="Z11" i="20"/>
  <c r="Y11" i="20"/>
  <c r="X11" i="20"/>
  <c r="W11" i="20"/>
  <c r="V11" i="20"/>
  <c r="U11" i="20"/>
  <c r="U29" i="20" s="1"/>
  <c r="T11" i="20"/>
  <c r="S11" i="20"/>
  <c r="R11" i="20"/>
  <c r="Q11" i="20"/>
  <c r="P11" i="20"/>
  <c r="O11" i="20"/>
  <c r="O29" i="20" s="1"/>
  <c r="N11" i="20"/>
  <c r="M11" i="20"/>
  <c r="L11" i="20"/>
  <c r="K11" i="20"/>
  <c r="J11" i="20"/>
  <c r="I11" i="20"/>
  <c r="I29" i="20" s="1"/>
  <c r="I47" i="20" s="1"/>
  <c r="H11" i="20"/>
  <c r="G11" i="20"/>
  <c r="F11" i="20"/>
  <c r="E11" i="20"/>
  <c r="D11" i="20"/>
  <c r="C11" i="20"/>
  <c r="BT10" i="20"/>
  <c r="BR10" i="20"/>
  <c r="BN10" i="20"/>
  <c r="BM10" i="20"/>
  <c r="BL10" i="20"/>
  <c r="BJ10" i="20"/>
  <c r="BH10" i="20"/>
  <c r="BG10" i="20"/>
  <c r="BF10" i="20"/>
  <c r="BE10" i="20"/>
  <c r="BD10" i="20"/>
  <c r="BC10" i="20"/>
  <c r="BB10" i="20"/>
  <c r="BA10" i="20"/>
  <c r="AZ10" i="20"/>
  <c r="AY10" i="20"/>
  <c r="AX10" i="20"/>
  <c r="AW10" i="20"/>
  <c r="AV10" i="20"/>
  <c r="AU10" i="20"/>
  <c r="AT10" i="20"/>
  <c r="AS10" i="20"/>
  <c r="AR10" i="20"/>
  <c r="AQ10" i="20"/>
  <c r="AP10" i="20"/>
  <c r="AO10" i="20"/>
  <c r="AN10" i="20"/>
  <c r="AM10" i="20"/>
  <c r="AL10" i="20"/>
  <c r="AK10" i="20"/>
  <c r="AJ10" i="20"/>
  <c r="AI10" i="20"/>
  <c r="AH10" i="20"/>
  <c r="AG10" i="20"/>
  <c r="AF10" i="20"/>
  <c r="AE10" i="20"/>
  <c r="AD10" i="20"/>
  <c r="AC10" i="20"/>
  <c r="AB10" i="20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T9" i="20"/>
  <c r="BR9" i="20"/>
  <c r="BN9" i="20"/>
  <c r="BM9" i="20"/>
  <c r="BL9" i="20"/>
  <c r="BJ9" i="20"/>
  <c r="BH9" i="20"/>
  <c r="BG9" i="20"/>
  <c r="BF9" i="20"/>
  <c r="BD9" i="20"/>
  <c r="BC9" i="20"/>
  <c r="BB9" i="20"/>
  <c r="BA9" i="20"/>
  <c r="AZ9" i="20"/>
  <c r="AX9" i="20"/>
  <c r="AW9" i="20"/>
  <c r="AV9" i="20"/>
  <c r="AU9" i="20"/>
  <c r="AT9" i="20"/>
  <c r="AR9" i="20"/>
  <c r="AQ9" i="20"/>
  <c r="AP9" i="20"/>
  <c r="AO9" i="20"/>
  <c r="AN9" i="20"/>
  <c r="AL9" i="20"/>
  <c r="AK9" i="20"/>
  <c r="AJ9" i="20"/>
  <c r="AI9" i="20"/>
  <c r="AH9" i="20"/>
  <c r="AF9" i="20"/>
  <c r="AE9" i="20"/>
  <c r="AD9" i="20"/>
  <c r="AC9" i="20"/>
  <c r="AB9" i="20"/>
  <c r="Z9" i="20"/>
  <c r="Y9" i="20"/>
  <c r="X9" i="20"/>
  <c r="W9" i="20"/>
  <c r="V9" i="20"/>
  <c r="T9" i="20"/>
  <c r="S9" i="20"/>
  <c r="R9" i="20"/>
  <c r="Q9" i="20"/>
  <c r="P9" i="20"/>
  <c r="N9" i="20"/>
  <c r="M9" i="20"/>
  <c r="L9" i="20"/>
  <c r="K9" i="20"/>
  <c r="J9" i="20"/>
  <c r="H9" i="20"/>
  <c r="G9" i="20"/>
  <c r="F9" i="20"/>
  <c r="E9" i="20"/>
  <c r="D9" i="20"/>
  <c r="C9" i="20"/>
  <c r="BZ8" i="20"/>
  <c r="BX8" i="20"/>
  <c r="BT8" i="20"/>
  <c r="BR8" i="20"/>
  <c r="BP8" i="20"/>
  <c r="BO8" i="20"/>
  <c r="BU8" i="20" s="1"/>
  <c r="BN8" i="20"/>
  <c r="BM8" i="20"/>
  <c r="BL8" i="20"/>
  <c r="BJ8" i="20"/>
  <c r="BI8" i="20"/>
  <c r="BH8" i="20"/>
  <c r="BG8" i="20"/>
  <c r="BF8" i="20"/>
  <c r="BD8" i="20"/>
  <c r="BC8" i="20"/>
  <c r="BB8" i="20"/>
  <c r="BA8" i="20"/>
  <c r="AZ8" i="20"/>
  <c r="AX8" i="20"/>
  <c r="AW8" i="20"/>
  <c r="AV8" i="20"/>
  <c r="AU8" i="20"/>
  <c r="AT8" i="20"/>
  <c r="AR8" i="20"/>
  <c r="AQ8" i="20"/>
  <c r="AP8" i="20"/>
  <c r="AO8" i="20"/>
  <c r="AN8" i="20"/>
  <c r="AL8" i="20"/>
  <c r="AK8" i="20"/>
  <c r="AJ8" i="20"/>
  <c r="AI8" i="20"/>
  <c r="AH8" i="20"/>
  <c r="AF8" i="20"/>
  <c r="AE8" i="20"/>
  <c r="AD8" i="20"/>
  <c r="AC8" i="20"/>
  <c r="AB8" i="20"/>
  <c r="Z8" i="20"/>
  <c r="Y8" i="20"/>
  <c r="X8" i="20"/>
  <c r="W8" i="20"/>
  <c r="V8" i="20"/>
  <c r="T8" i="20"/>
  <c r="S8" i="20"/>
  <c r="R8" i="20"/>
  <c r="Q8" i="20"/>
  <c r="P8" i="20"/>
  <c r="N8" i="20"/>
  <c r="M8" i="20"/>
  <c r="L8" i="20"/>
  <c r="K8" i="20"/>
  <c r="J8" i="20"/>
  <c r="H8" i="20"/>
  <c r="G8" i="20"/>
  <c r="F8" i="20"/>
  <c r="E8" i="20"/>
  <c r="D8" i="20"/>
  <c r="C8" i="20"/>
  <c r="BZ7" i="20"/>
  <c r="BX7" i="20"/>
  <c r="BT7" i="20"/>
  <c r="BR7" i="20"/>
  <c r="BP7" i="20"/>
  <c r="BO7" i="20"/>
  <c r="BU7" i="20" s="1"/>
  <c r="BN7" i="20"/>
  <c r="BM7" i="20"/>
  <c r="BL7" i="20"/>
  <c r="BJ7" i="20"/>
  <c r="BI7" i="20"/>
  <c r="BH7" i="20"/>
  <c r="BG7" i="20"/>
  <c r="BF7" i="20"/>
  <c r="BD7" i="20"/>
  <c r="BC7" i="20"/>
  <c r="BB7" i="20"/>
  <c r="BA7" i="20"/>
  <c r="AZ7" i="20"/>
  <c r="AX7" i="20"/>
  <c r="AW7" i="20"/>
  <c r="AV7" i="20"/>
  <c r="AU7" i="20"/>
  <c r="AT7" i="20"/>
  <c r="AR7" i="20"/>
  <c r="AQ7" i="20"/>
  <c r="AP7" i="20"/>
  <c r="AO7" i="20"/>
  <c r="AN7" i="20"/>
  <c r="AL7" i="20"/>
  <c r="AK7" i="20"/>
  <c r="AJ7" i="20"/>
  <c r="AI7" i="20"/>
  <c r="AH7" i="20"/>
  <c r="AF7" i="20"/>
  <c r="AE7" i="20"/>
  <c r="AD7" i="20"/>
  <c r="AC7" i="20"/>
  <c r="AB7" i="20"/>
  <c r="Z7" i="20"/>
  <c r="Y7" i="20"/>
  <c r="X7" i="20"/>
  <c r="W7" i="20"/>
  <c r="V7" i="20"/>
  <c r="T7" i="20"/>
  <c r="S7" i="20"/>
  <c r="R7" i="20"/>
  <c r="Q7" i="20"/>
  <c r="P7" i="20"/>
  <c r="N7" i="20"/>
  <c r="M7" i="20"/>
  <c r="L7" i="20"/>
  <c r="K7" i="20"/>
  <c r="J7" i="20"/>
  <c r="H7" i="20"/>
  <c r="G7" i="20"/>
  <c r="F7" i="20"/>
  <c r="E7" i="20"/>
  <c r="D7" i="20"/>
  <c r="C7" i="20"/>
  <c r="BZ6" i="20"/>
  <c r="BY6" i="20"/>
  <c r="BX6" i="20"/>
  <c r="BT6" i="20"/>
  <c r="BS6" i="20"/>
  <c r="BR6" i="20"/>
  <c r="BP6" i="20"/>
  <c r="BO6" i="20"/>
  <c r="BU6" i="20" s="1"/>
  <c r="BN6" i="20"/>
  <c r="BM6" i="20"/>
  <c r="BL6" i="20"/>
  <c r="BJ6" i="20"/>
  <c r="BI6" i="20"/>
  <c r="BH6" i="20"/>
  <c r="BG6" i="20"/>
  <c r="BF6" i="20"/>
  <c r="BD6" i="20"/>
  <c r="BC6" i="20"/>
  <c r="BB6" i="20"/>
  <c r="BA6" i="20"/>
  <c r="AZ6" i="20"/>
  <c r="AX6" i="20"/>
  <c r="AW6" i="20"/>
  <c r="AV6" i="20"/>
  <c r="AU6" i="20"/>
  <c r="AT6" i="20"/>
  <c r="AR6" i="20"/>
  <c r="AQ6" i="20"/>
  <c r="AP6" i="20"/>
  <c r="AO6" i="20"/>
  <c r="AN6" i="20"/>
  <c r="AL6" i="20"/>
  <c r="AK6" i="20"/>
  <c r="AJ6" i="20"/>
  <c r="AI6" i="20"/>
  <c r="AH6" i="20"/>
  <c r="AF6" i="20"/>
  <c r="AE6" i="20"/>
  <c r="AD6" i="20"/>
  <c r="AC6" i="20"/>
  <c r="AB6" i="20"/>
  <c r="Z6" i="20"/>
  <c r="Y6" i="20"/>
  <c r="X6" i="20"/>
  <c r="W6" i="20"/>
  <c r="V6" i="20"/>
  <c r="T6" i="20"/>
  <c r="S6" i="20"/>
  <c r="R6" i="20"/>
  <c r="Q6" i="20"/>
  <c r="P6" i="20"/>
  <c r="N6" i="20"/>
  <c r="M6" i="20"/>
  <c r="L6" i="20"/>
  <c r="K6" i="20"/>
  <c r="J6" i="20"/>
  <c r="H6" i="20"/>
  <c r="G6" i="20"/>
  <c r="F6" i="20"/>
  <c r="E6" i="20"/>
  <c r="D6" i="20"/>
  <c r="C6" i="20"/>
  <c r="BZ5" i="20"/>
  <c r="BY5" i="20"/>
  <c r="BX5" i="20"/>
  <c r="BT5" i="20"/>
  <c r="BS5" i="20"/>
  <c r="BR5" i="20"/>
  <c r="BP5" i="20"/>
  <c r="BO5" i="20"/>
  <c r="BU5" i="20" s="1"/>
  <c r="BN5" i="20"/>
  <c r="BM5" i="20"/>
  <c r="BL5" i="20"/>
  <c r="BJ5" i="20"/>
  <c r="BI5" i="20"/>
  <c r="BH5" i="20"/>
  <c r="BG5" i="20"/>
  <c r="BF5" i="20"/>
  <c r="BD5" i="20"/>
  <c r="BC5" i="20"/>
  <c r="BB5" i="20"/>
  <c r="BA5" i="20"/>
  <c r="AZ5" i="20"/>
  <c r="AX5" i="20"/>
  <c r="AW5" i="20"/>
  <c r="AV5" i="20"/>
  <c r="AU5" i="20"/>
  <c r="AT5" i="20"/>
  <c r="AR5" i="20"/>
  <c r="AQ5" i="20"/>
  <c r="AP5" i="20"/>
  <c r="AO5" i="20"/>
  <c r="AN5" i="20"/>
  <c r="AL5" i="20"/>
  <c r="AK5" i="20"/>
  <c r="AJ5" i="20"/>
  <c r="AI5" i="20"/>
  <c r="AH5" i="20"/>
  <c r="AF5" i="20"/>
  <c r="AE5" i="20"/>
  <c r="AD5" i="20"/>
  <c r="AC5" i="20"/>
  <c r="AB5" i="20"/>
  <c r="Z5" i="20"/>
  <c r="Y5" i="20"/>
  <c r="X5" i="20"/>
  <c r="W5" i="20"/>
  <c r="V5" i="20"/>
  <c r="T5" i="20"/>
  <c r="S5" i="20"/>
  <c r="R5" i="20"/>
  <c r="Q5" i="20"/>
  <c r="P5" i="20"/>
  <c r="N5" i="20"/>
  <c r="M5" i="20"/>
  <c r="L5" i="20"/>
  <c r="K5" i="20"/>
  <c r="J5" i="20"/>
  <c r="H5" i="20"/>
  <c r="G5" i="20"/>
  <c r="F5" i="20"/>
  <c r="E5" i="20"/>
  <c r="D5" i="20"/>
  <c r="C5" i="20"/>
  <c r="BZ4" i="20"/>
  <c r="BY4" i="20"/>
  <c r="BX4" i="20"/>
  <c r="BT4" i="20"/>
  <c r="BS4" i="20"/>
  <c r="BR4" i="20"/>
  <c r="BP4" i="20"/>
  <c r="BV4" i="20" s="1"/>
  <c r="BO4" i="20"/>
  <c r="BU4" i="20" s="1"/>
  <c r="BN4" i="20"/>
  <c r="BM4" i="20"/>
  <c r="BL4" i="20"/>
  <c r="BJ4" i="20"/>
  <c r="BI4" i="20"/>
  <c r="BH4" i="20"/>
  <c r="BG4" i="20"/>
  <c r="BF4" i="20"/>
  <c r="BD4" i="20"/>
  <c r="BC4" i="20"/>
  <c r="BB4" i="20"/>
  <c r="BA4" i="20"/>
  <c r="AZ4" i="20"/>
  <c r="AX4" i="20"/>
  <c r="AW4" i="20"/>
  <c r="AV4" i="20"/>
  <c r="AU4" i="20"/>
  <c r="AT4" i="20"/>
  <c r="AR4" i="20"/>
  <c r="AQ4" i="20"/>
  <c r="AP4" i="20"/>
  <c r="AO4" i="20"/>
  <c r="AN4" i="20"/>
  <c r="AL4" i="20"/>
  <c r="AK4" i="20"/>
  <c r="AJ4" i="20"/>
  <c r="AI4" i="20"/>
  <c r="AH4" i="20"/>
  <c r="AF4" i="20"/>
  <c r="AE4" i="20"/>
  <c r="AD4" i="20"/>
  <c r="AC4" i="20"/>
  <c r="AB4" i="20"/>
  <c r="Z4" i="20"/>
  <c r="Y4" i="20"/>
  <c r="X4" i="20"/>
  <c r="W4" i="20"/>
  <c r="V4" i="20"/>
  <c r="T4" i="20"/>
  <c r="S4" i="20"/>
  <c r="R4" i="20"/>
  <c r="Q4" i="20"/>
  <c r="P4" i="20"/>
  <c r="N4" i="20"/>
  <c r="M4" i="20"/>
  <c r="L4" i="20"/>
  <c r="K4" i="20"/>
  <c r="J4" i="20"/>
  <c r="H4" i="20"/>
  <c r="G4" i="20"/>
  <c r="F4" i="20"/>
  <c r="E4" i="20"/>
  <c r="D4" i="20"/>
  <c r="C4" i="20"/>
  <c r="BQ45" i="20" l="1"/>
  <c r="BW44" i="20"/>
  <c r="BW31" i="19"/>
  <c r="BW25" i="19"/>
  <c r="BW25" i="20"/>
  <c r="BQ13" i="20"/>
  <c r="BQ12" i="20"/>
  <c r="BS12" i="20" s="1"/>
  <c r="BS11" i="20" s="1"/>
  <c r="BW23" i="1"/>
  <c r="BW12" i="20"/>
  <c r="BW22" i="1"/>
  <c r="BE47" i="20"/>
  <c r="AY47" i="20"/>
  <c r="AG47" i="20"/>
  <c r="AA47" i="20"/>
  <c r="U47" i="20"/>
  <c r="O47" i="20"/>
  <c r="O29" i="19"/>
  <c r="O47" i="19" s="1"/>
  <c r="I29" i="19"/>
  <c r="I47" i="19" s="1"/>
  <c r="AG47" i="1"/>
  <c r="AG10" i="1"/>
  <c r="AA29" i="1"/>
  <c r="AA47" i="1" s="1"/>
  <c r="BX30" i="1"/>
  <c r="BY30" i="1"/>
  <c r="BZ30" i="1"/>
  <c r="O47" i="1"/>
  <c r="BW24" i="1"/>
  <c r="BW21" i="1"/>
  <c r="BW18" i="1"/>
  <c r="BW31" i="20"/>
  <c r="BQ44" i="20"/>
  <c r="BV30" i="19"/>
  <c r="BW33" i="20"/>
  <c r="BW40" i="20"/>
  <c r="BW35" i="20"/>
  <c r="BW32" i="19"/>
  <c r="BQ35" i="20"/>
  <c r="BW34" i="20"/>
  <c r="BW35" i="19"/>
  <c r="BW24" i="19"/>
  <c r="BW23" i="19"/>
  <c r="BW22" i="19"/>
  <c r="BW28" i="1"/>
  <c r="BW16" i="1"/>
  <c r="BW26" i="1"/>
  <c r="BW28" i="20"/>
  <c r="BW25" i="1"/>
  <c r="BW15" i="1"/>
  <c r="BW27" i="1"/>
  <c r="BQ28" i="20"/>
  <c r="BW21" i="19"/>
  <c r="BW19" i="19"/>
  <c r="BW14" i="1"/>
  <c r="BY31" i="20"/>
  <c r="BY30" i="20" s="1"/>
  <c r="BS30" i="20"/>
  <c r="BW32" i="20"/>
  <c r="BW43" i="20"/>
  <c r="BW39" i="19"/>
  <c r="BW45" i="20"/>
  <c r="BW44" i="19"/>
  <c r="BW38" i="19"/>
  <c r="BW43" i="19"/>
  <c r="BW39" i="20"/>
  <c r="BW46" i="19"/>
  <c r="BQ32" i="20"/>
  <c r="BW37" i="20"/>
  <c r="BW27" i="20"/>
  <c r="BY12" i="20"/>
  <c r="BY11" i="20" s="1"/>
  <c r="BW26" i="19"/>
  <c r="BW4" i="19"/>
  <c r="BQ30" i="19"/>
  <c r="BQ38" i="20"/>
  <c r="BU38" i="20"/>
  <c r="BW38" i="20" s="1"/>
  <c r="BQ42" i="20"/>
  <c r="BU42" i="20"/>
  <c r="BW42" i="20" s="1"/>
  <c r="BQ43" i="20"/>
  <c r="BQ37" i="20"/>
  <c r="BQ39" i="20"/>
  <c r="BQ33" i="20"/>
  <c r="BQ40" i="20"/>
  <c r="BQ22" i="20"/>
  <c r="BU22" i="20"/>
  <c r="BW22" i="20" s="1"/>
  <c r="BQ21" i="20"/>
  <c r="BQ23" i="20"/>
  <c r="BQ24" i="20"/>
  <c r="BU24" i="20"/>
  <c r="BW24" i="20" s="1"/>
  <c r="BQ26" i="20"/>
  <c r="BU26" i="20"/>
  <c r="BW26" i="20" s="1"/>
  <c r="BQ25" i="20"/>
  <c r="BQ27" i="20"/>
  <c r="BQ15" i="20"/>
  <c r="BU15" i="20"/>
  <c r="BW15" i="20" s="1"/>
  <c r="BQ20" i="20"/>
  <c r="BU20" i="20"/>
  <c r="BW20" i="20" s="1"/>
  <c r="BQ16" i="20"/>
  <c r="BU16" i="20"/>
  <c r="BW16" i="20" s="1"/>
  <c r="BQ17" i="20"/>
  <c r="BU17" i="20"/>
  <c r="BW17" i="20"/>
  <c r="BV6" i="20"/>
  <c r="BW6" i="20" s="1"/>
  <c r="BW5" i="1"/>
  <c r="BV7" i="20"/>
  <c r="BW7" i="20" s="1"/>
  <c r="BV5" i="20"/>
  <c r="BW5" i="20" s="1"/>
  <c r="BV8" i="20"/>
  <c r="BW8" i="20" s="1"/>
  <c r="BW41" i="20"/>
  <c r="BV30" i="20"/>
  <c r="BQ41" i="20"/>
  <c r="BW41" i="19"/>
  <c r="BO30" i="20"/>
  <c r="BQ46" i="20"/>
  <c r="BW8" i="1"/>
  <c r="BI29" i="1"/>
  <c r="BI47" i="1" s="1"/>
  <c r="BV11" i="19"/>
  <c r="BV29" i="19" s="1"/>
  <c r="BW20" i="19"/>
  <c r="BP9" i="20"/>
  <c r="BW18" i="19"/>
  <c r="BW8" i="19"/>
  <c r="BV10" i="19"/>
  <c r="BQ7" i="20"/>
  <c r="BP29" i="19"/>
  <c r="BP47" i="19" s="1"/>
  <c r="BW7" i="19"/>
  <c r="BQ9" i="19"/>
  <c r="BQ10" i="19" s="1"/>
  <c r="BP10" i="19"/>
  <c r="BW6" i="19"/>
  <c r="BQ5" i="20"/>
  <c r="BW5" i="19"/>
  <c r="BQ36" i="20"/>
  <c r="BW36" i="20"/>
  <c r="BP30" i="20"/>
  <c r="BQ14" i="20"/>
  <c r="BQ11" i="1"/>
  <c r="BW14" i="20"/>
  <c r="BY9" i="1"/>
  <c r="BY10" i="1" s="1"/>
  <c r="BX9" i="1"/>
  <c r="BX10" i="1" s="1"/>
  <c r="BQ6" i="20"/>
  <c r="BW7" i="1"/>
  <c r="BV11" i="1"/>
  <c r="BP11" i="20"/>
  <c r="BQ18" i="20"/>
  <c r="BO29" i="1"/>
  <c r="BO47" i="1" s="1"/>
  <c r="BP29" i="1"/>
  <c r="BP47" i="1" s="1"/>
  <c r="BW19" i="1"/>
  <c r="BQ19" i="20"/>
  <c r="BV11" i="20"/>
  <c r="BW19" i="20"/>
  <c r="BQ8" i="20"/>
  <c r="BY8" i="20" s="1"/>
  <c r="BV9" i="1"/>
  <c r="BP10" i="1"/>
  <c r="BW6" i="1"/>
  <c r="BQ4" i="20"/>
  <c r="BW4" i="20"/>
  <c r="BW4" i="1"/>
  <c r="BO29" i="19"/>
  <c r="BO47" i="19" s="1"/>
  <c r="BO11" i="20"/>
  <c r="BQ11" i="19"/>
  <c r="BZ9" i="19"/>
  <c r="BZ10" i="19" s="1"/>
  <c r="BY9" i="19"/>
  <c r="BY10" i="19" s="1"/>
  <c r="BQ9" i="1"/>
  <c r="BQ10" i="1" s="1"/>
  <c r="BZ9" i="1"/>
  <c r="BZ10" i="1" s="1"/>
  <c r="BO9" i="20"/>
  <c r="BU9" i="1"/>
  <c r="BU10" i="1" s="1"/>
  <c r="BO10" i="1"/>
  <c r="BY7" i="20"/>
  <c r="BO10" i="19"/>
  <c r="BX30" i="19"/>
  <c r="BU30" i="19"/>
  <c r="BX30" i="20"/>
  <c r="BK30" i="20"/>
  <c r="BZ30" i="20"/>
  <c r="BW42" i="19"/>
  <c r="BK11" i="19"/>
  <c r="BK29" i="19" s="1"/>
  <c r="BY30" i="19"/>
  <c r="BK30" i="19"/>
  <c r="BZ30" i="19"/>
  <c r="BU11" i="19"/>
  <c r="BI30" i="20"/>
  <c r="BX11" i="1"/>
  <c r="BW21" i="20"/>
  <c r="BK11" i="1"/>
  <c r="BK29" i="1" s="1"/>
  <c r="BK47" i="1" s="1"/>
  <c r="BY11" i="1"/>
  <c r="BZ11" i="1"/>
  <c r="BU11" i="1"/>
  <c r="BZ11" i="19"/>
  <c r="BI29" i="19"/>
  <c r="BI47" i="19" s="1"/>
  <c r="BX11" i="19"/>
  <c r="BZ11" i="20"/>
  <c r="BX11" i="20"/>
  <c r="BY11" i="19"/>
  <c r="BI9" i="20"/>
  <c r="BI10" i="20" s="1"/>
  <c r="BX9" i="20"/>
  <c r="BX10" i="20" s="1"/>
  <c r="BK9" i="19"/>
  <c r="BK10" i="19" s="1"/>
  <c r="BZ9" i="20"/>
  <c r="BZ10" i="20" s="1"/>
  <c r="BX9" i="19"/>
  <c r="BX10" i="19" s="1"/>
  <c r="BW18" i="20"/>
  <c r="BW13" i="20"/>
  <c r="BI11" i="20"/>
  <c r="BU9" i="19"/>
  <c r="BI10" i="19"/>
  <c r="BV47" i="19" l="1"/>
  <c r="BW11" i="1"/>
  <c r="BW30" i="19"/>
  <c r="BX29" i="1"/>
  <c r="BX47" i="1" s="1"/>
  <c r="BO10" i="20"/>
  <c r="BU9" i="20"/>
  <c r="BV9" i="20"/>
  <c r="BV10" i="20" s="1"/>
  <c r="BW11" i="19"/>
  <c r="BQ30" i="20"/>
  <c r="BW9" i="19"/>
  <c r="BW10" i="19" s="1"/>
  <c r="BW9" i="1"/>
  <c r="BW10" i="1" s="1"/>
  <c r="BY29" i="1"/>
  <c r="BY47" i="1" s="1"/>
  <c r="BP29" i="20"/>
  <c r="BP47" i="20" s="1"/>
  <c r="BP10" i="20"/>
  <c r="BQ29" i="19"/>
  <c r="BQ47" i="19" s="1"/>
  <c r="BY29" i="19"/>
  <c r="BY47" i="19" s="1"/>
  <c r="BQ11" i="20"/>
  <c r="BS9" i="20"/>
  <c r="BS10" i="20" s="1"/>
  <c r="BQ29" i="1"/>
  <c r="BQ47" i="1" s="1"/>
  <c r="BY9" i="20"/>
  <c r="BY10" i="20" s="1"/>
  <c r="BV29" i="1"/>
  <c r="BV47" i="1" s="1"/>
  <c r="BV10" i="1"/>
  <c r="BZ29" i="19"/>
  <c r="BZ47" i="19" s="1"/>
  <c r="BZ29" i="1"/>
  <c r="BZ47" i="1" s="1"/>
  <c r="BU29" i="1"/>
  <c r="BU47" i="1" s="1"/>
  <c r="BO29" i="20"/>
  <c r="BO47" i="20" s="1"/>
  <c r="BQ9" i="20"/>
  <c r="BQ10" i="20" s="1"/>
  <c r="BX29" i="20"/>
  <c r="BX47" i="20" s="1"/>
  <c r="BK47" i="19"/>
  <c r="BZ29" i="20"/>
  <c r="BZ47" i="20" s="1"/>
  <c r="BU30" i="20"/>
  <c r="BW46" i="20"/>
  <c r="BW30" i="20" s="1"/>
  <c r="BK11" i="20"/>
  <c r="BK29" i="20" s="1"/>
  <c r="BK47" i="20" s="1"/>
  <c r="BX29" i="19"/>
  <c r="BX47" i="19" s="1"/>
  <c r="BI29" i="20"/>
  <c r="BI47" i="20" s="1"/>
  <c r="BW11" i="20"/>
  <c r="BU11" i="20"/>
  <c r="BU29" i="19"/>
  <c r="BU47" i="19" s="1"/>
  <c r="BU10" i="19"/>
  <c r="BK10" i="20"/>
  <c r="BW9" i="20" l="1"/>
  <c r="BW29" i="20" s="1"/>
  <c r="BW47" i="20" s="1"/>
  <c r="BV29" i="20"/>
  <c r="BV47" i="20" s="1"/>
  <c r="BW29" i="19"/>
  <c r="BW47" i="19" s="1"/>
  <c r="BW29" i="1"/>
  <c r="BW47" i="1" s="1"/>
  <c r="BS29" i="20"/>
  <c r="BS47" i="20" s="1"/>
  <c r="BY29" i="20"/>
  <c r="BY47" i="20" s="1"/>
  <c r="BQ29" i="20"/>
  <c r="BQ47" i="20" s="1"/>
  <c r="BU10" i="20"/>
  <c r="BU29" i="20"/>
  <c r="BU47" i="20" s="1"/>
  <c r="BW10" i="20" l="1"/>
</calcChain>
</file>

<file path=xl/comments1.xml><?xml version="1.0" encoding="utf-8"?>
<comments xmlns="http://schemas.openxmlformats.org/spreadsheetml/2006/main">
  <authors>
    <author>李娟</author>
  </authors>
  <commentList>
    <comment ref="A12" authorId="0" shapeId="0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  <comment ref="A13" authorId="0" shapeId="0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  <comment ref="B13" authorId="0" shapeId="0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</commentList>
</comments>
</file>

<file path=xl/comments2.xml><?xml version="1.0" encoding="utf-8"?>
<comments xmlns="http://schemas.openxmlformats.org/spreadsheetml/2006/main">
  <authors>
    <author>李娟</author>
    <author>赵璇</author>
  </authors>
  <commentList>
    <comment ref="A12" authorId="0" shapeId="0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  <comment ref="A13" authorId="0" shapeId="0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  <comment ref="B13" authorId="0" shapeId="0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  <comment ref="T14" authorId="1" shapeId="0">
      <text>
        <r>
          <rPr>
            <b/>
            <sz val="9"/>
            <color indexed="81"/>
            <rFont val="宋体"/>
            <family val="3"/>
            <charset val="134"/>
          </rPr>
          <t>赵璇:</t>
        </r>
        <r>
          <rPr>
            <sz val="9"/>
            <color indexed="81"/>
            <rFont val="宋体"/>
            <family val="3"/>
            <charset val="134"/>
          </rPr>
          <t xml:space="preserve">
医生直播3.5万
</t>
        </r>
      </text>
    </comment>
    <comment ref="S16" authorId="1" shapeId="0">
      <text>
        <r>
          <rPr>
            <b/>
            <sz val="9"/>
            <color indexed="81"/>
            <rFont val="宋体"/>
            <family val="3"/>
            <charset val="134"/>
          </rPr>
          <t>赵璇:</t>
        </r>
        <r>
          <rPr>
            <sz val="9"/>
            <color indexed="81"/>
            <rFont val="宋体"/>
            <family val="3"/>
            <charset val="134"/>
          </rPr>
          <t xml:space="preserve">
官网设计费
</t>
        </r>
      </text>
    </comment>
    <comment ref="T19" authorId="1" shapeId="0">
      <text>
        <r>
          <rPr>
            <b/>
            <sz val="9"/>
            <color indexed="81"/>
            <rFont val="宋体"/>
            <family val="3"/>
            <charset val="134"/>
          </rPr>
          <t>赵璇:</t>
        </r>
        <r>
          <rPr>
            <sz val="9"/>
            <color indexed="81"/>
            <rFont val="宋体"/>
            <family val="3"/>
            <charset val="134"/>
          </rPr>
          <t xml:space="preserve">
淘宝客佣金预估8万</t>
        </r>
      </text>
    </comment>
    <comment ref="M46" authorId="1" shapeId="0">
      <text>
        <r>
          <rPr>
            <b/>
            <sz val="9"/>
            <color indexed="81"/>
            <rFont val="宋体"/>
            <family val="3"/>
            <charset val="134"/>
          </rPr>
          <t>赵璇:</t>
        </r>
        <r>
          <rPr>
            <sz val="9"/>
            <color indexed="81"/>
            <rFont val="宋体"/>
            <family val="3"/>
            <charset val="134"/>
          </rPr>
          <t xml:space="preserve">
直播物料购买&amp;线下小额赔付</t>
        </r>
      </text>
    </comment>
  </commentList>
</comments>
</file>

<file path=xl/comments3.xml><?xml version="1.0" encoding="utf-8"?>
<comments xmlns="http://schemas.openxmlformats.org/spreadsheetml/2006/main">
  <authors>
    <author>李娟</author>
    <author>赵璇</author>
  </authors>
  <commentList>
    <comment ref="A12" authorId="0" shapeId="0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  <comment ref="A13" authorId="0" shapeId="0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  <comment ref="B13" authorId="0" shapeId="0">
      <text>
        <r>
          <rPr>
            <b/>
            <sz val="9"/>
            <color indexed="81"/>
            <rFont val="宋体"/>
            <family val="3"/>
            <charset val="134"/>
          </rPr>
          <t>重分类至费用</t>
        </r>
      </text>
    </comment>
    <comment ref="BG20" authorId="1" shapeId="0">
      <text>
        <r>
          <rPr>
            <b/>
            <sz val="9"/>
            <color indexed="81"/>
            <rFont val="宋体"/>
            <family val="3"/>
            <charset val="134"/>
          </rPr>
          <t>赵璇:</t>
        </r>
        <r>
          <rPr>
            <sz val="9"/>
            <color indexed="81"/>
            <rFont val="宋体"/>
            <family val="3"/>
            <charset val="134"/>
          </rPr>
          <t xml:space="preserve">
临床32，租金8，学术20
</t>
        </r>
      </text>
    </comment>
    <comment ref="BI20" authorId="1" shapeId="0">
      <text>
        <r>
          <rPr>
            <b/>
            <sz val="9"/>
            <color indexed="81"/>
            <rFont val="宋体"/>
            <family val="3"/>
            <charset val="134"/>
          </rPr>
          <t>物料领用，学术活动4.93万元</t>
        </r>
      </text>
    </comment>
    <comment ref="BN20" authorId="1" shapeId="0">
      <text>
        <r>
          <rPr>
            <b/>
            <sz val="9"/>
            <color indexed="81"/>
            <rFont val="宋体"/>
            <family val="3"/>
            <charset val="134"/>
          </rPr>
          <t>赵璇:</t>
        </r>
        <r>
          <rPr>
            <sz val="9"/>
            <color indexed="81"/>
            <rFont val="宋体"/>
            <family val="3"/>
            <charset val="134"/>
          </rPr>
          <t xml:space="preserve">
学术40，临床75</t>
        </r>
      </text>
    </comment>
    <comment ref="BO20" authorId="1" shapeId="0">
      <text>
        <r>
          <rPr>
            <b/>
            <sz val="9"/>
            <color indexed="81"/>
            <rFont val="宋体"/>
            <family val="3"/>
            <charset val="134"/>
          </rPr>
          <t>赵璇:</t>
        </r>
        <r>
          <rPr>
            <sz val="9"/>
            <color indexed="81"/>
            <rFont val="宋体"/>
            <family val="3"/>
            <charset val="134"/>
          </rPr>
          <t xml:space="preserve">
物料领用计入学术5
。96万元</t>
        </r>
      </text>
    </comment>
    <comment ref="H37" authorId="1" shapeId="0">
      <text>
        <r>
          <rPr>
            <b/>
            <sz val="9"/>
            <color indexed="81"/>
            <rFont val="宋体"/>
            <family val="3"/>
            <charset val="134"/>
          </rPr>
          <t>赵璇:</t>
        </r>
        <r>
          <rPr>
            <sz val="9"/>
            <color indexed="81"/>
            <rFont val="宋体"/>
            <family val="3"/>
            <charset val="134"/>
          </rPr>
          <t xml:space="preserve">
捐赠支出</t>
        </r>
      </text>
    </comment>
  </commentList>
</comments>
</file>

<file path=xl/sharedStrings.xml><?xml version="1.0" encoding="utf-8"?>
<sst xmlns="http://schemas.openxmlformats.org/spreadsheetml/2006/main" count="517" uniqueCount="108">
  <si>
    <t>二、公司零售额</t>
  </si>
  <si>
    <t>销售利润</t>
  </si>
  <si>
    <t>三、回款</t>
  </si>
  <si>
    <t>六、销售毛利</t>
  </si>
  <si>
    <t>销售毛利率</t>
  </si>
  <si>
    <t>七、销售费用-渠道费用</t>
  </si>
  <si>
    <t>渠道利润</t>
  </si>
  <si>
    <t>仓储物流费</t>
  </si>
  <si>
    <t>促销费</t>
  </si>
  <si>
    <t>广告费</t>
  </si>
  <si>
    <t>培训和会议</t>
  </si>
  <si>
    <t>渠道发展费</t>
  </si>
  <si>
    <t>渠道建设费</t>
  </si>
  <si>
    <t>物料配赠费用</t>
  </si>
  <si>
    <t>CRM费用</t>
  </si>
  <si>
    <t>信息系统维护费</t>
  </si>
  <si>
    <t>公关费</t>
  </si>
  <si>
    <t>广告劳务费</t>
  </si>
  <si>
    <t>广告制作费</t>
  </si>
  <si>
    <t>长期待摊、折旧费用</t>
  </si>
  <si>
    <t>折扣折让、货补费用</t>
  </si>
  <si>
    <t>创新营销费</t>
  </si>
  <si>
    <t>创意咨询服务</t>
  </si>
  <si>
    <t>市场调研费</t>
  </si>
  <si>
    <t>人资费</t>
  </si>
  <si>
    <t>办公费</t>
  </si>
  <si>
    <t>促销费</t>
    <phoneticPr fontId="2" type="noConversion"/>
  </si>
  <si>
    <t>单位：万元</t>
    <phoneticPr fontId="2" type="noConversion"/>
  </si>
  <si>
    <t>四、营业收入</t>
    <phoneticPr fontId="2" type="noConversion"/>
  </si>
  <si>
    <t>五、营业成本</t>
    <phoneticPr fontId="2" type="noConversion"/>
  </si>
  <si>
    <t>一、零售原价金额</t>
    <phoneticPr fontId="2" type="noConversion"/>
  </si>
  <si>
    <t>BA劳务费用</t>
    <phoneticPr fontId="2" type="noConversion"/>
  </si>
  <si>
    <t>人资费（减掉BA劳务费）</t>
    <phoneticPr fontId="2" type="noConversion"/>
  </si>
  <si>
    <t>市场秩序维护费</t>
  </si>
  <si>
    <t>2、物料配赠费用</t>
  </si>
  <si>
    <t>3、广告费</t>
  </si>
  <si>
    <t>4、CRM费用</t>
  </si>
  <si>
    <t>5、创意咨询服务</t>
  </si>
  <si>
    <t>6、市场调研费</t>
  </si>
  <si>
    <t>7、促销费</t>
  </si>
  <si>
    <t>8、渠道建设费</t>
  </si>
  <si>
    <t>9、渠道发展费</t>
  </si>
  <si>
    <t>10、BA劳务费用</t>
  </si>
  <si>
    <t>11、人资费（减掉BA劳务费）</t>
  </si>
  <si>
    <t>12、培训和会议</t>
  </si>
  <si>
    <t>13、仓储物流费</t>
  </si>
  <si>
    <t>14、长期待摊、折旧费用</t>
  </si>
  <si>
    <t>15、信息系统维护费</t>
  </si>
  <si>
    <t>16、市场秩序维护费</t>
  </si>
  <si>
    <t>17、办公费</t>
  </si>
  <si>
    <t>1、广告费</t>
  </si>
  <si>
    <t>2、广告劳务费</t>
  </si>
  <si>
    <t>3、广告制作费</t>
  </si>
  <si>
    <t>5、创新营销费</t>
  </si>
  <si>
    <t>6、创意咨询服务</t>
  </si>
  <si>
    <t>7、公关费</t>
  </si>
  <si>
    <t>8、市场调研费</t>
  </si>
  <si>
    <t>9、促销费</t>
  </si>
  <si>
    <t>10、渠道建设费</t>
  </si>
  <si>
    <t>11、人资费</t>
  </si>
  <si>
    <t>16、办公费</t>
  </si>
  <si>
    <t>1、折扣折让、货补费用</t>
    <phoneticPr fontId="2" type="noConversion"/>
  </si>
  <si>
    <t>返回目录</t>
    <phoneticPr fontId="2" type="noConversion"/>
  </si>
  <si>
    <t>同期</t>
    <phoneticPr fontId="2" type="noConversion"/>
  </si>
  <si>
    <t>余日预测</t>
    <phoneticPr fontId="2" type="noConversion"/>
  </si>
  <si>
    <t>年度预算</t>
    <phoneticPr fontId="2" type="noConversion"/>
  </si>
  <si>
    <t>本月已实现</t>
    <phoneticPr fontId="2" type="noConversion"/>
  </si>
  <si>
    <t>2月</t>
    <phoneticPr fontId="2" type="noConversion"/>
  </si>
  <si>
    <t>3月</t>
    <phoneticPr fontId="2" type="noConversion"/>
  </si>
  <si>
    <t>1月</t>
    <phoneticPr fontId="2" type="noConversion"/>
  </si>
  <si>
    <t>实际</t>
    <phoneticPr fontId="2" type="noConversion"/>
  </si>
  <si>
    <t>同期</t>
    <phoneticPr fontId="2" type="noConversion"/>
  </si>
  <si>
    <t xml:space="preserve">        月度
项目</t>
    <phoneticPr fontId="2" type="noConversion"/>
  </si>
  <si>
    <t>4月</t>
    <phoneticPr fontId="2" type="noConversion"/>
  </si>
  <si>
    <t>5月</t>
    <phoneticPr fontId="2" type="noConversion"/>
  </si>
  <si>
    <t>6月</t>
    <phoneticPr fontId="2" type="noConversion"/>
  </si>
  <si>
    <t>7月</t>
    <phoneticPr fontId="2" type="noConversion"/>
  </si>
  <si>
    <t>8月</t>
    <phoneticPr fontId="2" type="noConversion"/>
  </si>
  <si>
    <t>9月</t>
    <phoneticPr fontId="2" type="noConversion"/>
  </si>
  <si>
    <t>10月</t>
    <phoneticPr fontId="2" type="noConversion"/>
  </si>
  <si>
    <t>11月</t>
    <phoneticPr fontId="2" type="noConversion"/>
  </si>
  <si>
    <t>12月</t>
    <phoneticPr fontId="2" type="noConversion"/>
  </si>
  <si>
    <t>全年</t>
    <phoneticPr fontId="2" type="noConversion"/>
  </si>
  <si>
    <t>八、销售费用-市场费用</t>
    <phoneticPr fontId="2" type="noConversion"/>
  </si>
  <si>
    <t>本年已实现</t>
    <phoneticPr fontId="2" type="noConversion"/>
  </si>
  <si>
    <t>本年预测</t>
    <phoneticPr fontId="2" type="noConversion"/>
  </si>
  <si>
    <t>本月预测</t>
  </si>
  <si>
    <t>2020年关键指标--珀芙研</t>
    <phoneticPr fontId="2" type="noConversion"/>
  </si>
  <si>
    <t>2020年关键指标--珀芙研药房</t>
    <phoneticPr fontId="2" type="noConversion"/>
  </si>
  <si>
    <t>2020年关键指标--珀芙研电商</t>
    <phoneticPr fontId="2" type="noConversion"/>
  </si>
  <si>
    <t>好大夫</t>
    <phoneticPr fontId="2" type="noConversion"/>
  </si>
  <si>
    <t>收入</t>
    <phoneticPr fontId="2" type="noConversion"/>
  </si>
  <si>
    <t>成本</t>
    <phoneticPr fontId="2" type="noConversion"/>
  </si>
  <si>
    <t>出货价</t>
    <phoneticPr fontId="2" type="noConversion"/>
  </si>
  <si>
    <t>零售原价</t>
    <phoneticPr fontId="2" type="noConversion"/>
  </si>
  <si>
    <t>微商城</t>
    <phoneticPr fontId="2" type="noConversion"/>
  </si>
  <si>
    <t>药房</t>
    <phoneticPr fontId="2" type="noConversion"/>
  </si>
  <si>
    <t>执行预算</t>
    <phoneticPr fontId="2" type="noConversion"/>
  </si>
  <si>
    <t>执行预算</t>
    <phoneticPr fontId="2" type="noConversion"/>
  </si>
  <si>
    <t>执行预算</t>
    <phoneticPr fontId="2" type="noConversion"/>
  </si>
  <si>
    <t>执行预算</t>
    <phoneticPr fontId="2" type="noConversion"/>
  </si>
  <si>
    <t>促销费</t>
    <phoneticPr fontId="2" type="noConversion"/>
  </si>
  <si>
    <t>执行预算</t>
    <phoneticPr fontId="2" type="noConversion"/>
  </si>
  <si>
    <t>执行预算</t>
    <phoneticPr fontId="2" type="noConversion"/>
  </si>
  <si>
    <t>执行预算</t>
    <phoneticPr fontId="2" type="noConversion"/>
  </si>
  <si>
    <t>执行预算</t>
    <phoneticPr fontId="2" type="noConversion"/>
  </si>
  <si>
    <t>执行预算</t>
    <phoneticPr fontId="2" type="noConversion"/>
  </si>
  <si>
    <t>执行预算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</si>
</sst>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 * #,##0_ ;_ * \-#,##0_ ;_ * &quot;-&quot;_ ;_ @_ "/>
    <numFmt numFmtId="43" formatCode="_ * #,##0.00_ ;_ * \-#,##0.00_ ;_ * &quot;-&quot;??_ ;_ @_ "/>
    <numFmt numFmtId="176" formatCode="_(* #,##0.00_);_(* \(#,##0.00\);_(* &quot;-&quot;??_);_(@_)"/>
    <numFmt numFmtId="177" formatCode="0.0%"/>
    <numFmt numFmtId="178" formatCode="_ * #,##0_ ;_ * \-#,##0_ ;_ * &quot;-&quot;??_ ;_ @_ "/>
    <numFmt numFmtId="179" formatCode="#,##0_ "/>
  </numFmts>
  <fonts count="13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10"/>
      <color rgb="FF0070C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4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</cellStyleXfs>
  <cellXfs count="143">
    <xf numFmtId="0" fontId="0" fillId="0" borderId="0" xfId="0"/>
    <xf numFmtId="0" fontId="6" fillId="0" borderId="0" xfId="0" applyFont="1" applyAlignment="1" applyProtection="1">
      <alignment horizontal="left" vertical="center"/>
    </xf>
    <xf numFmtId="0" fontId="0" fillId="0" borderId="10" xfId="0" applyBorder="1" applyAlignment="1" applyProtection="1">
      <alignment horizontal="left" vertical="center"/>
    </xf>
    <xf numFmtId="0" fontId="0" fillId="2" borderId="10" xfId="0" applyFill="1" applyBorder="1" applyAlignment="1" applyProtection="1">
      <alignment horizontal="left" vertical="center"/>
    </xf>
    <xf numFmtId="0" fontId="0" fillId="0" borderId="10" xfId="0" applyFill="1" applyBorder="1" applyAlignment="1" applyProtection="1">
      <alignment horizontal="left" vertical="center" indent="2"/>
    </xf>
    <xf numFmtId="0" fontId="0" fillId="0" borderId="10" xfId="0" applyBorder="1" applyAlignment="1" applyProtection="1">
      <alignment horizontal="left" vertical="center" indent="2"/>
    </xf>
    <xf numFmtId="0" fontId="4" fillId="0" borderId="11" xfId="0" applyFont="1" applyBorder="1" applyAlignment="1" applyProtection="1">
      <alignment horizontal="left" vertical="center" indent="1"/>
    </xf>
    <xf numFmtId="0" fontId="0" fillId="0" borderId="0" xfId="0" applyAlignment="1" applyProtection="1">
      <alignment horizontal="left" vertical="center"/>
    </xf>
    <xf numFmtId="0" fontId="0" fillId="0" borderId="0" xfId="0" applyAlignment="1" applyProtection="1">
      <alignment horizontal="center" vertical="center"/>
    </xf>
    <xf numFmtId="177" fontId="3" fillId="0" borderId="1" xfId="2" applyNumberFormat="1" applyFont="1" applyBorder="1" applyAlignment="1" applyProtection="1">
      <alignment horizontal="center" vertical="center"/>
    </xf>
    <xf numFmtId="177" fontId="3" fillId="0" borderId="6" xfId="2" applyNumberFormat="1" applyFont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177" fontId="3" fillId="0" borderId="0" xfId="2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178" fontId="0" fillId="0" borderId="0" xfId="0" applyNumberFormat="1" applyAlignment="1" applyProtection="1">
      <alignment horizontal="center" vertical="center"/>
    </xf>
    <xf numFmtId="41" fontId="4" fillId="0" borderId="8" xfId="1" applyNumberFormat="1" applyFont="1" applyBorder="1" applyAlignment="1" applyProtection="1">
      <alignment vertical="center"/>
    </xf>
    <xf numFmtId="41" fontId="0" fillId="0" borderId="5" xfId="1" applyNumberFormat="1" applyFont="1" applyBorder="1" applyAlignment="1" applyProtection="1">
      <alignment vertical="center"/>
    </xf>
    <xf numFmtId="41" fontId="0" fillId="0" borderId="1" xfId="1" applyNumberFormat="1" applyFont="1" applyBorder="1" applyAlignment="1" applyProtection="1">
      <alignment vertical="center"/>
    </xf>
    <xf numFmtId="41" fontId="0" fillId="2" borderId="5" xfId="1" applyNumberFormat="1" applyFont="1" applyFill="1" applyBorder="1" applyAlignment="1" applyProtection="1">
      <alignment vertical="center"/>
    </xf>
    <xf numFmtId="41" fontId="0" fillId="2" borderId="1" xfId="1" applyNumberFormat="1" applyFont="1" applyFill="1" applyBorder="1" applyAlignment="1" applyProtection="1">
      <alignment vertical="center"/>
    </xf>
    <xf numFmtId="41" fontId="4" fillId="0" borderId="7" xfId="1" applyNumberFormat="1" applyFont="1" applyBorder="1" applyAlignment="1" applyProtection="1">
      <alignment vertical="center"/>
    </xf>
    <xf numFmtId="41" fontId="0" fillId="0" borderId="1" xfId="1" applyNumberFormat="1" applyFont="1" applyFill="1" applyBorder="1" applyAlignment="1" applyProtection="1">
      <alignment vertical="center"/>
    </xf>
    <xf numFmtId="41" fontId="0" fillId="0" borderId="0" xfId="0" applyNumberFormat="1" applyFill="1" applyBorder="1" applyAlignment="1" applyProtection="1">
      <alignment horizontal="center" vertical="center"/>
    </xf>
    <xf numFmtId="0" fontId="7" fillId="0" borderId="0" xfId="3" applyAlignment="1" applyProtection="1">
      <alignment horizontal="center" vertical="center"/>
    </xf>
    <xf numFmtId="41" fontId="0" fillId="0" borderId="0" xfId="0" applyNumberForma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/>
    </xf>
    <xf numFmtId="0" fontId="6" fillId="0" borderId="0" xfId="0" applyFont="1" applyFill="1" applyBorder="1" applyAlignment="1" applyProtection="1">
      <alignment vertical="center"/>
    </xf>
    <xf numFmtId="41" fontId="4" fillId="0" borderId="1" xfId="1" applyNumberFormat="1" applyFont="1" applyBorder="1" applyAlignment="1" applyProtection="1">
      <alignment vertical="center"/>
    </xf>
    <xf numFmtId="41" fontId="0" fillId="3" borderId="1" xfId="1" applyNumberFormat="1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horizontal="center" vertical="center"/>
    </xf>
    <xf numFmtId="0" fontId="4" fillId="0" borderId="6" xfId="0" applyFont="1" applyFill="1" applyBorder="1" applyAlignment="1" applyProtection="1">
      <alignment horizontal="center" vertical="center"/>
    </xf>
    <xf numFmtId="41" fontId="0" fillId="3" borderId="5" xfId="1" applyNumberFormat="1" applyFont="1" applyFill="1" applyBorder="1" applyAlignment="1" applyProtection="1">
      <alignment vertical="center"/>
    </xf>
    <xf numFmtId="41" fontId="0" fillId="3" borderId="6" xfId="1" applyNumberFormat="1" applyFont="1" applyFill="1" applyBorder="1" applyAlignment="1" applyProtection="1">
      <alignment vertical="center"/>
    </xf>
    <xf numFmtId="41" fontId="0" fillId="0" borderId="6" xfId="1" applyNumberFormat="1" applyFont="1" applyBorder="1" applyAlignment="1" applyProtection="1">
      <alignment vertical="center"/>
    </xf>
    <xf numFmtId="177" fontId="3" fillId="0" borderId="5" xfId="2" applyNumberFormat="1" applyFont="1" applyBorder="1" applyAlignment="1" applyProtection="1">
      <alignment horizontal="center" vertical="center"/>
    </xf>
    <xf numFmtId="41" fontId="0" fillId="2" borderId="6" xfId="1" applyNumberFormat="1" applyFont="1" applyFill="1" applyBorder="1" applyAlignment="1" applyProtection="1">
      <alignment vertical="center"/>
    </xf>
    <xf numFmtId="41" fontId="4" fillId="0" borderId="5" xfId="1" applyNumberFormat="1" applyFont="1" applyBorder="1" applyAlignment="1" applyProtection="1">
      <alignment vertical="center"/>
    </xf>
    <xf numFmtId="41" fontId="4" fillId="0" borderId="6" xfId="1" applyNumberFormat="1" applyFont="1" applyBorder="1" applyAlignment="1" applyProtection="1">
      <alignment vertical="center"/>
    </xf>
    <xf numFmtId="41" fontId="4" fillId="0" borderId="9" xfId="1" applyNumberFormat="1" applyFont="1" applyBorder="1" applyAlignment="1" applyProtection="1">
      <alignment vertical="center"/>
    </xf>
    <xf numFmtId="41" fontId="0" fillId="0" borderId="5" xfId="1" applyNumberFormat="1" applyFont="1" applyFill="1" applyBorder="1" applyAlignment="1" applyProtection="1">
      <alignment vertical="center"/>
    </xf>
    <xf numFmtId="41" fontId="4" fillId="0" borderId="1" xfId="1" applyNumberFormat="1" applyFont="1" applyFill="1" applyBorder="1" applyAlignment="1" applyProtection="1">
      <alignment vertical="center"/>
    </xf>
    <xf numFmtId="41" fontId="0" fillId="5" borderId="1" xfId="1" applyNumberFormat="1" applyFont="1" applyFill="1" applyBorder="1" applyAlignment="1" applyProtection="1">
      <alignment vertical="center"/>
    </xf>
    <xf numFmtId="177" fontId="3" fillId="5" borderId="1" xfId="2" applyNumberFormat="1" applyFont="1" applyFill="1" applyBorder="1" applyAlignment="1" applyProtection="1">
      <alignment horizontal="center" vertical="center"/>
    </xf>
    <xf numFmtId="41" fontId="4" fillId="5" borderId="1" xfId="1" applyNumberFormat="1" applyFont="1" applyFill="1" applyBorder="1" applyAlignment="1" applyProtection="1">
      <alignment vertical="center"/>
    </xf>
    <xf numFmtId="41" fontId="4" fillId="5" borderId="8" xfId="1" applyNumberFormat="1" applyFont="1" applyFill="1" applyBorder="1" applyAlignment="1" applyProtection="1">
      <alignment vertical="center"/>
    </xf>
    <xf numFmtId="41" fontId="0" fillId="0" borderId="6" xfId="1" applyNumberFormat="1" applyFont="1" applyFill="1" applyBorder="1" applyAlignment="1" applyProtection="1">
      <alignment vertical="center"/>
    </xf>
    <xf numFmtId="41" fontId="4" fillId="0" borderId="6" xfId="1" applyNumberFormat="1" applyFont="1" applyFill="1" applyBorder="1" applyAlignment="1" applyProtection="1">
      <alignment vertical="center"/>
    </xf>
    <xf numFmtId="41" fontId="0" fillId="5" borderId="6" xfId="1" applyNumberFormat="1" applyFont="1" applyFill="1" applyBorder="1" applyAlignment="1" applyProtection="1">
      <alignment vertical="center"/>
    </xf>
    <xf numFmtId="0" fontId="4" fillId="2" borderId="12" xfId="0" applyFont="1" applyFill="1" applyBorder="1" applyAlignment="1" applyProtection="1">
      <alignment vertical="center"/>
    </xf>
    <xf numFmtId="0" fontId="4" fillId="2" borderId="12" xfId="0" applyFont="1" applyFill="1" applyBorder="1" applyAlignment="1" applyProtection="1">
      <alignment horizontal="center" vertical="center"/>
    </xf>
    <xf numFmtId="0" fontId="0" fillId="0" borderId="12" xfId="0" applyBorder="1" applyAlignment="1" applyProtection="1">
      <alignment vertical="center"/>
    </xf>
    <xf numFmtId="177" fontId="3" fillId="0" borderId="12" xfId="2" applyNumberFormat="1" applyFont="1" applyBorder="1" applyAlignment="1" applyProtection="1">
      <alignment vertical="center"/>
    </xf>
    <xf numFmtId="0" fontId="0" fillId="2" borderId="12" xfId="0" applyFill="1" applyBorder="1" applyAlignment="1" applyProtection="1">
      <alignment vertical="center"/>
    </xf>
    <xf numFmtId="0" fontId="0" fillId="4" borderId="12" xfId="0" applyFill="1" applyBorder="1" applyAlignment="1" applyProtection="1">
      <alignment vertical="center"/>
    </xf>
    <xf numFmtId="0" fontId="0" fillId="0" borderId="12" xfId="0" applyFill="1" applyBorder="1" applyAlignment="1" applyProtection="1">
      <alignment vertical="center"/>
    </xf>
    <xf numFmtId="0" fontId="4" fillId="0" borderId="12" xfId="0" applyFont="1" applyBorder="1" applyAlignment="1" applyProtection="1">
      <alignment vertical="center"/>
    </xf>
    <xf numFmtId="177" fontId="3" fillId="0" borderId="10" xfId="2" applyNumberFormat="1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left" vertical="center" indent="2"/>
    </xf>
    <xf numFmtId="0" fontId="0" fillId="2" borderId="10" xfId="0" applyFill="1" applyBorder="1" applyAlignment="1" applyProtection="1">
      <alignment vertical="center"/>
    </xf>
    <xf numFmtId="41" fontId="8" fillId="0" borderId="0" xfId="0" applyNumberFormat="1" applyFont="1" applyAlignment="1" applyProtection="1">
      <alignment horizontal="center" vertical="center"/>
    </xf>
    <xf numFmtId="179" fontId="0" fillId="3" borderId="1" xfId="1" applyNumberFormat="1" applyFont="1" applyFill="1" applyBorder="1" applyAlignment="1" applyProtection="1">
      <alignment vertical="center"/>
    </xf>
    <xf numFmtId="179" fontId="0" fillId="0" borderId="10" xfId="0" applyNumberFormat="1" applyBorder="1" applyAlignment="1" applyProtection="1">
      <alignment horizontal="left" vertical="center"/>
    </xf>
    <xf numFmtId="179" fontId="0" fillId="0" borderId="12" xfId="0" applyNumberFormat="1" applyBorder="1" applyAlignment="1" applyProtection="1">
      <alignment vertical="center"/>
    </xf>
    <xf numFmtId="179" fontId="0" fillId="0" borderId="5" xfId="1" applyNumberFormat="1" applyFont="1" applyFill="1" applyBorder="1" applyAlignment="1" applyProtection="1">
      <alignment vertical="center"/>
    </xf>
    <xf numFmtId="179" fontId="0" fillId="0" borderId="1" xfId="1" applyNumberFormat="1" applyFont="1" applyFill="1" applyBorder="1" applyAlignment="1" applyProtection="1">
      <alignment vertical="center"/>
    </xf>
    <xf numFmtId="179" fontId="0" fillId="3" borderId="5" xfId="1" applyNumberFormat="1" applyFont="1" applyFill="1" applyBorder="1" applyAlignment="1" applyProtection="1">
      <alignment vertical="center"/>
    </xf>
    <xf numFmtId="179" fontId="0" fillId="0" borderId="1" xfId="1" applyNumberFormat="1" applyFont="1" applyBorder="1" applyAlignment="1" applyProtection="1">
      <alignment vertical="center"/>
    </xf>
    <xf numFmtId="179" fontId="0" fillId="3" borderId="6" xfId="1" applyNumberFormat="1" applyFont="1" applyFill="1" applyBorder="1" applyAlignment="1" applyProtection="1">
      <alignment vertical="center"/>
    </xf>
    <xf numFmtId="179" fontId="0" fillId="5" borderId="1" xfId="1" applyNumberFormat="1" applyFont="1" applyFill="1" applyBorder="1" applyAlignment="1" applyProtection="1">
      <alignment vertical="center"/>
    </xf>
    <xf numFmtId="179" fontId="0" fillId="0" borderId="6" xfId="1" applyNumberFormat="1" applyFont="1" applyBorder="1" applyAlignment="1" applyProtection="1">
      <alignment vertical="center"/>
    </xf>
    <xf numFmtId="179" fontId="0" fillId="0" borderId="0" xfId="0" applyNumberFormat="1" applyFill="1" applyBorder="1" applyAlignment="1" applyProtection="1">
      <alignment horizontal="center" vertical="center"/>
    </xf>
    <xf numFmtId="43" fontId="0" fillId="0" borderId="0" xfId="0" applyNumberForma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horizontal="left" vertical="center"/>
    </xf>
    <xf numFmtId="0" fontId="11" fillId="0" borderId="12" xfId="0" applyFont="1" applyBorder="1" applyAlignment="1" applyProtection="1">
      <alignment vertical="center"/>
    </xf>
    <xf numFmtId="41" fontId="11" fillId="0" borderId="5" xfId="1" applyNumberFormat="1" applyFont="1" applyFill="1" applyBorder="1" applyAlignment="1" applyProtection="1">
      <alignment vertical="center"/>
    </xf>
    <xf numFmtId="41" fontId="11" fillId="0" borderId="1" xfId="1" applyNumberFormat="1" applyFont="1" applyFill="1" applyBorder="1" applyAlignment="1" applyProtection="1">
      <alignment vertical="center"/>
    </xf>
    <xf numFmtId="41" fontId="11" fillId="0" borderId="6" xfId="1" applyNumberFormat="1" applyFont="1" applyFill="1" applyBorder="1" applyAlignment="1" applyProtection="1">
      <alignment vertical="center"/>
    </xf>
    <xf numFmtId="41" fontId="11" fillId="0" borderId="1" xfId="1" applyNumberFormat="1" applyFont="1" applyBorder="1" applyAlignment="1" applyProtection="1">
      <alignment vertical="center"/>
    </xf>
    <xf numFmtId="41" fontId="11" fillId="0" borderId="5" xfId="1" applyNumberFormat="1" applyFont="1" applyBorder="1" applyAlignment="1" applyProtection="1">
      <alignment vertical="center"/>
    </xf>
    <xf numFmtId="41" fontId="11" fillId="0" borderId="6" xfId="1" applyNumberFormat="1" applyFont="1" applyBorder="1" applyAlignment="1" applyProtection="1">
      <alignment vertical="center"/>
    </xf>
    <xf numFmtId="0" fontId="11" fillId="0" borderId="0" xfId="0" applyFont="1" applyFill="1" applyBorder="1" applyAlignment="1" applyProtection="1">
      <alignment horizontal="center" vertical="center"/>
    </xf>
    <xf numFmtId="0" fontId="0" fillId="0" borderId="10" xfId="0" applyFont="1" applyBorder="1" applyAlignment="1" applyProtection="1">
      <alignment horizontal="left" vertical="center"/>
    </xf>
    <xf numFmtId="0" fontId="8" fillId="0" borderId="12" xfId="0" applyFont="1" applyBorder="1" applyAlignment="1" applyProtection="1">
      <alignment vertical="center"/>
    </xf>
    <xf numFmtId="41" fontId="8" fillId="0" borderId="5" xfId="1" applyNumberFormat="1" applyFont="1" applyFill="1" applyBorder="1" applyAlignment="1" applyProtection="1">
      <alignment vertical="center"/>
    </xf>
    <xf numFmtId="41" fontId="8" fillId="0" borderId="1" xfId="1" applyNumberFormat="1" applyFont="1" applyFill="1" applyBorder="1" applyAlignment="1" applyProtection="1">
      <alignment vertical="center"/>
    </xf>
    <xf numFmtId="41" fontId="8" fillId="0" borderId="6" xfId="1" applyNumberFormat="1" applyFont="1" applyFill="1" applyBorder="1" applyAlignment="1" applyProtection="1">
      <alignment vertical="center"/>
    </xf>
    <xf numFmtId="41" fontId="8" fillId="0" borderId="1" xfId="1" applyNumberFormat="1" applyFont="1" applyBorder="1" applyAlignment="1" applyProtection="1">
      <alignment vertical="center"/>
    </xf>
    <xf numFmtId="41" fontId="8" fillId="0" borderId="5" xfId="1" applyNumberFormat="1" applyFont="1" applyBorder="1" applyAlignment="1" applyProtection="1">
      <alignment vertical="center"/>
    </xf>
    <xf numFmtId="41" fontId="8" fillId="0" borderId="6" xfId="1" applyNumberFormat="1" applyFont="1" applyBorder="1" applyAlignment="1" applyProtection="1">
      <alignment vertical="center"/>
    </xf>
    <xf numFmtId="0" fontId="8" fillId="0" borderId="0" xfId="0" applyFont="1" applyFill="1" applyBorder="1" applyAlignment="1" applyProtection="1">
      <alignment horizontal="center" vertical="center"/>
    </xf>
    <xf numFmtId="0" fontId="12" fillId="0" borderId="10" xfId="0" applyFont="1" applyFill="1" applyBorder="1" applyAlignment="1" applyProtection="1">
      <alignment horizontal="left" vertical="center" indent="2"/>
    </xf>
    <xf numFmtId="41" fontId="11" fillId="3" borderId="5" xfId="1" applyNumberFormat="1" applyFont="1" applyFill="1" applyBorder="1" applyAlignment="1" applyProtection="1">
      <alignment vertical="center"/>
    </xf>
    <xf numFmtId="41" fontId="11" fillId="3" borderId="1" xfId="1" applyNumberFormat="1" applyFont="1" applyFill="1" applyBorder="1" applyAlignment="1" applyProtection="1">
      <alignment vertical="center"/>
    </xf>
    <xf numFmtId="41" fontId="11" fillId="3" borderId="6" xfId="1" applyNumberFormat="1" applyFont="1" applyFill="1" applyBorder="1" applyAlignment="1" applyProtection="1">
      <alignment vertical="center"/>
    </xf>
    <xf numFmtId="41" fontId="11" fillId="5" borderId="1" xfId="1" applyNumberFormat="1" applyFont="1" applyFill="1" applyBorder="1" applyAlignment="1" applyProtection="1">
      <alignment vertical="center"/>
    </xf>
    <xf numFmtId="0" fontId="0" fillId="0" borderId="10" xfId="0" applyFont="1" applyFill="1" applyBorder="1" applyAlignment="1" applyProtection="1">
      <alignment horizontal="left" vertical="center" indent="2"/>
    </xf>
    <xf numFmtId="0" fontId="8" fillId="4" borderId="12" xfId="0" applyFont="1" applyFill="1" applyBorder="1" applyAlignment="1" applyProtection="1">
      <alignment vertical="center"/>
    </xf>
    <xf numFmtId="41" fontId="8" fillId="3" borderId="5" xfId="1" applyNumberFormat="1" applyFont="1" applyFill="1" applyBorder="1" applyAlignment="1" applyProtection="1">
      <alignment vertical="center"/>
    </xf>
    <xf numFmtId="41" fontId="8" fillId="3" borderId="1" xfId="1" applyNumberFormat="1" applyFont="1" applyFill="1" applyBorder="1" applyAlignment="1" applyProtection="1">
      <alignment vertical="center"/>
    </xf>
    <xf numFmtId="41" fontId="8" fillId="3" borderId="6" xfId="1" applyNumberFormat="1" applyFont="1" applyFill="1" applyBorder="1" applyAlignment="1" applyProtection="1">
      <alignment vertical="center"/>
    </xf>
    <xf numFmtId="41" fontId="8" fillId="5" borderId="1" xfId="1" applyNumberFormat="1" applyFont="1" applyFill="1" applyBorder="1" applyAlignment="1" applyProtection="1">
      <alignment vertical="center"/>
    </xf>
    <xf numFmtId="0" fontId="0" fillId="0" borderId="10" xfId="0" applyFont="1" applyBorder="1" applyAlignment="1" applyProtection="1">
      <alignment horizontal="left" vertical="center" indent="2"/>
    </xf>
    <xf numFmtId="41" fontId="8" fillId="0" borderId="0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horizontal="left" vertical="center" indent="2"/>
    </xf>
    <xf numFmtId="0" fontId="11" fillId="0" borderId="12" xfId="0" applyFont="1" applyFill="1" applyBorder="1" applyAlignment="1" applyProtection="1">
      <alignment vertical="center"/>
    </xf>
    <xf numFmtId="0" fontId="8" fillId="0" borderId="12" xfId="0" applyFont="1" applyFill="1" applyBorder="1" applyAlignment="1" applyProtection="1">
      <alignment vertical="center"/>
    </xf>
    <xf numFmtId="179" fontId="11" fillId="3" borderId="1" xfId="1" applyNumberFormat="1" applyFont="1" applyFill="1" applyBorder="1" applyAlignment="1" applyProtection="1">
      <alignment vertical="center"/>
    </xf>
    <xf numFmtId="41" fontId="1" fillId="3" borderId="1" xfId="1" applyNumberFormat="1" applyFont="1" applyFill="1" applyBorder="1" applyAlignment="1" applyProtection="1">
      <alignment vertical="center"/>
    </xf>
    <xf numFmtId="179" fontId="1" fillId="3" borderId="1" xfId="1" applyNumberFormat="1" applyFont="1" applyFill="1" applyBorder="1" applyAlignment="1" applyProtection="1">
      <alignment vertical="center"/>
    </xf>
    <xf numFmtId="179" fontId="8" fillId="3" borderId="5" xfId="1" applyNumberFormat="1" applyFont="1" applyFill="1" applyBorder="1" applyAlignment="1" applyProtection="1">
      <alignment vertical="center"/>
    </xf>
    <xf numFmtId="41" fontId="1" fillId="3" borderId="5" xfId="1" applyNumberFormat="1" applyFont="1" applyFill="1" applyBorder="1" applyAlignment="1" applyProtection="1">
      <alignment vertical="center"/>
    </xf>
    <xf numFmtId="179" fontId="11" fillId="5" borderId="1" xfId="1" applyNumberFormat="1" applyFont="1" applyFill="1" applyBorder="1" applyAlignment="1" applyProtection="1">
      <alignment vertical="center"/>
    </xf>
    <xf numFmtId="0" fontId="4" fillId="0" borderId="16" xfId="0" applyFont="1" applyFill="1" applyBorder="1" applyAlignment="1" applyProtection="1">
      <alignment horizontal="center" vertical="center"/>
    </xf>
    <xf numFmtId="41" fontId="0" fillId="0" borderId="16" xfId="1" applyNumberFormat="1" applyFont="1" applyFill="1" applyBorder="1" applyAlignment="1" applyProtection="1">
      <alignment vertical="center"/>
    </xf>
    <xf numFmtId="41" fontId="8" fillId="0" borderId="16" xfId="1" applyNumberFormat="1" applyFont="1" applyFill="1" applyBorder="1" applyAlignment="1" applyProtection="1">
      <alignment vertical="center"/>
    </xf>
    <xf numFmtId="41" fontId="11" fillId="0" borderId="16" xfId="1" applyNumberFormat="1" applyFont="1" applyFill="1" applyBorder="1" applyAlignment="1" applyProtection="1">
      <alignment vertical="center"/>
    </xf>
    <xf numFmtId="43" fontId="0" fillId="3" borderId="1" xfId="1" applyNumberFormat="1" applyFont="1" applyFill="1" applyBorder="1" applyAlignment="1" applyProtection="1">
      <alignment vertical="center"/>
    </xf>
    <xf numFmtId="177" fontId="3" fillId="0" borderId="6" xfId="2" applyNumberFormat="1" applyFont="1" applyFill="1" applyBorder="1" applyAlignment="1" applyProtection="1">
      <alignment horizontal="center" vertical="center"/>
    </xf>
    <xf numFmtId="41" fontId="4" fillId="0" borderId="9" xfId="1" applyNumberFormat="1" applyFont="1" applyFill="1" applyBorder="1" applyAlignment="1" applyProtection="1">
      <alignment vertical="center"/>
    </xf>
    <xf numFmtId="41" fontId="11" fillId="3" borderId="17" xfId="1" applyNumberFormat="1" applyFont="1" applyFill="1" applyBorder="1" applyAlignment="1" applyProtection="1">
      <alignment vertical="center"/>
    </xf>
    <xf numFmtId="41" fontId="0" fillId="3" borderId="17" xfId="1" applyNumberFormat="1" applyFont="1" applyFill="1" applyBorder="1" applyAlignment="1" applyProtection="1">
      <alignment vertical="center"/>
    </xf>
    <xf numFmtId="179" fontId="0" fillId="3" borderId="17" xfId="1" applyNumberFormat="1" applyFont="1" applyFill="1" applyBorder="1" applyAlignment="1" applyProtection="1">
      <alignment vertical="center"/>
    </xf>
    <xf numFmtId="41" fontId="1" fillId="2" borderId="6" xfId="1" applyNumberFormat="1" applyFont="1" applyFill="1" applyBorder="1" applyAlignment="1" applyProtection="1">
      <alignment vertical="center"/>
    </xf>
    <xf numFmtId="41" fontId="1" fillId="0" borderId="6" xfId="1" applyNumberFormat="1" applyFont="1" applyFill="1" applyBorder="1" applyAlignment="1" applyProtection="1">
      <alignment vertical="center"/>
    </xf>
    <xf numFmtId="41" fontId="0" fillId="6" borderId="6" xfId="1" applyNumberFormat="1" applyFont="1" applyFill="1" applyBorder="1" applyAlignment="1" applyProtection="1">
      <alignment vertical="center"/>
    </xf>
    <xf numFmtId="41" fontId="4" fillId="0" borderId="7" xfId="1" applyNumberFormat="1" applyFont="1" applyFill="1" applyBorder="1" applyAlignment="1" applyProtection="1">
      <alignment vertical="center"/>
    </xf>
    <xf numFmtId="41" fontId="4" fillId="0" borderId="8" xfId="1" applyNumberFormat="1" applyFont="1" applyFill="1" applyBorder="1" applyAlignment="1" applyProtection="1">
      <alignment vertical="center"/>
    </xf>
    <xf numFmtId="179" fontId="0" fillId="0" borderId="0" xfId="0" applyNumberFormat="1" applyAlignment="1" applyProtection="1">
      <alignment horizontal="center" vertical="center"/>
    </xf>
    <xf numFmtId="179" fontId="8" fillId="0" borderId="0" xfId="0" applyNumberFormat="1" applyFont="1" applyAlignment="1" applyProtection="1">
      <alignment horizontal="center" vertical="center"/>
    </xf>
    <xf numFmtId="179" fontId="10" fillId="0" borderId="0" xfId="0" applyNumberFormat="1" applyFont="1" applyAlignment="1" applyProtection="1">
      <alignment horizontal="center" vertical="center"/>
    </xf>
    <xf numFmtId="179" fontId="8" fillId="0" borderId="0" xfId="0" applyNumberFormat="1" applyFont="1" applyFill="1" applyAlignment="1" applyProtection="1">
      <alignment horizontal="center" vertical="center"/>
    </xf>
    <xf numFmtId="179" fontId="8" fillId="3" borderId="1" xfId="1" applyNumberFormat="1" applyFont="1" applyFill="1" applyBorder="1" applyAlignment="1" applyProtection="1">
      <alignment vertical="center"/>
    </xf>
    <xf numFmtId="0" fontId="4" fillId="0" borderId="2" xfId="0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 applyProtection="1">
      <alignment horizontal="center" vertical="center"/>
    </xf>
    <xf numFmtId="0" fontId="4" fillId="0" borderId="4" xfId="0" applyFont="1" applyFill="1" applyBorder="1" applyAlignment="1" applyProtection="1">
      <alignment horizontal="center" vertical="center"/>
    </xf>
    <xf numFmtId="0" fontId="4" fillId="0" borderId="13" xfId="0" applyFont="1" applyFill="1" applyBorder="1" applyAlignment="1" applyProtection="1">
      <alignment horizontal="center" vertical="center" wrapText="1"/>
    </xf>
    <xf numFmtId="0" fontId="4" fillId="0" borderId="14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177" fontId="0" fillId="0" borderId="0" xfId="0" applyNumberFormat="1" applyFill="1" applyBorder="1" applyAlignment="1" applyProtection="1">
      <alignment horizontal="center" vertical="center"/>
    </xf>
  </cellXfs>
  <cellStyles count="4">
    <cellStyle name="百分比" xfId="2" builtinId="5"/>
    <cellStyle name="常规" xfId="0" builtinId="0"/>
    <cellStyle name="超链接" xfId="3" builtinId="8"/>
    <cellStyle name="千位分隔" xfId="1" builtinId="3"/>
  </cellStyles>
  <dxfs count="0"/>
  <tableStyles count="0" defaultTableStyle="TableStyleMedium2" defaultPivotStyle="PivotStyleLight16"/>
  <colors>
    <mruColors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CB56"/>
  <sheetViews>
    <sheetView showGridLines="0" tabSelected="1" zoomScale="85" zoomScaleNormal="85" workbookViewId="0">
      <pane xSplit="1" ySplit="3" topLeftCell="BN4" activePane="bottomRight" state="frozen"/>
      <selection activeCell="A3" sqref="A3:XFD3"/>
      <selection pane="topRight" activeCell="A3" sqref="A3:XFD3"/>
      <selection pane="bottomLeft" activeCell="A3" sqref="A3:XFD3"/>
      <selection pane="bottomRight" activeCell="CC9" sqref="CC9"/>
    </sheetView>
  </sheetViews>
  <sheetFormatPr defaultRowHeight="14" outlineLevelRow="1" outlineLevelCol="1"/>
  <cols>
    <col min="1" max="1" width="24.58203125" style="7" customWidth="1"/>
    <col min="2" max="2" width="19.75" style="15" hidden="1" customWidth="1"/>
    <col min="3" max="10" width="10" style="8" customWidth="1"/>
    <col min="11" max="11" width="10" style="27" customWidth="1"/>
    <col min="12" max="12" width="10" style="8" customWidth="1"/>
    <col min="13" max="14" width="10" style="11" customWidth="1" outlineLevel="1"/>
    <col min="15" max="17" width="10" style="11" customWidth="1"/>
    <col min="18" max="18" width="9.9140625" style="11" customWidth="1"/>
    <col min="19" max="20" width="10" style="11" customWidth="1" outlineLevel="1"/>
    <col min="21" max="22" width="10" style="11" customWidth="1"/>
    <col min="23" max="23" width="10" style="11" customWidth="1" outlineLevel="1"/>
    <col min="24" max="24" width="10" style="11" customWidth="1"/>
    <col min="25" max="26" width="10" style="11" customWidth="1" outlineLevel="1"/>
    <col min="27" max="28" width="10" style="11" customWidth="1"/>
    <col min="29" max="29" width="10" style="11" customWidth="1" outlineLevel="1"/>
    <col min="30" max="30" width="10" style="11" customWidth="1"/>
    <col min="31" max="32" width="10" style="11" customWidth="1" outlineLevel="1"/>
    <col min="33" max="34" width="10" style="11" customWidth="1"/>
    <col min="35" max="35" width="10" style="11" customWidth="1" outlineLevel="1"/>
    <col min="36" max="36" width="10" style="11" customWidth="1"/>
    <col min="37" max="38" width="10" style="11" customWidth="1" outlineLevel="1"/>
    <col min="39" max="40" width="10" style="11" customWidth="1"/>
    <col min="41" max="41" width="10" style="11" customWidth="1" outlineLevel="1"/>
    <col min="42" max="42" width="10" style="11" customWidth="1"/>
    <col min="43" max="44" width="10" style="11" customWidth="1" outlineLevel="1"/>
    <col min="45" max="46" width="10" style="11" customWidth="1"/>
    <col min="47" max="47" width="10" style="11" customWidth="1" outlineLevel="1"/>
    <col min="48" max="48" width="10" style="11" customWidth="1"/>
    <col min="49" max="50" width="10" style="11" customWidth="1" outlineLevel="1"/>
    <col min="51" max="52" width="10" style="11" customWidth="1"/>
    <col min="53" max="53" width="10" style="11" customWidth="1" outlineLevel="1"/>
    <col min="54" max="54" width="10" style="11" customWidth="1"/>
    <col min="55" max="56" width="10" style="11" customWidth="1" outlineLevel="1"/>
    <col min="57" max="58" width="10" style="11" customWidth="1"/>
    <col min="59" max="59" width="10" style="11" customWidth="1" outlineLevel="1"/>
    <col min="60" max="60" width="10" style="11" customWidth="1"/>
    <col min="61" max="62" width="10" style="11" customWidth="1" outlineLevel="1"/>
    <col min="63" max="64" width="10" style="11" customWidth="1"/>
    <col min="65" max="65" width="10" style="11" hidden="1" customWidth="1" outlineLevel="1"/>
    <col min="66" max="66" width="10" style="11" customWidth="1" collapsed="1"/>
    <col min="67" max="68" width="10" style="11" hidden="1" customWidth="1" outlineLevel="1"/>
    <col min="69" max="69" width="10" style="11" customWidth="1" collapsed="1"/>
    <col min="70" max="70" width="10" style="11" customWidth="1"/>
    <col min="71" max="71" width="10" style="11" hidden="1" customWidth="1" outlineLevel="1"/>
    <col min="72" max="72" width="10" style="11" customWidth="1" collapsed="1"/>
    <col min="73" max="73" width="10" style="11" customWidth="1" outlineLevel="1"/>
    <col min="74" max="74" width="10" style="11" hidden="1" customWidth="1" outlineLevel="1"/>
    <col min="75" max="75" width="10" style="11" customWidth="1" collapsed="1"/>
    <col min="76" max="78" width="10" style="11" customWidth="1"/>
    <col min="79" max="16384" width="8.6640625" style="11"/>
  </cols>
  <sheetData>
    <row r="1" spans="1:80" ht="18" thickBot="1">
      <c r="A1" s="1" t="s">
        <v>87</v>
      </c>
      <c r="B1" s="14"/>
      <c r="C1" s="29"/>
      <c r="D1" s="28" t="s">
        <v>27</v>
      </c>
      <c r="E1" s="28"/>
      <c r="F1" s="29"/>
      <c r="G1" s="29"/>
      <c r="H1" s="29"/>
      <c r="I1" s="29"/>
      <c r="J1" s="29"/>
      <c r="L1" s="25"/>
    </row>
    <row r="2" spans="1:80" s="12" customFormat="1">
      <c r="A2" s="139" t="s">
        <v>72</v>
      </c>
      <c r="B2" s="52"/>
      <c r="C2" s="136" t="s">
        <v>69</v>
      </c>
      <c r="D2" s="137"/>
      <c r="E2" s="141"/>
      <c r="F2" s="138"/>
      <c r="G2" s="136" t="s">
        <v>67</v>
      </c>
      <c r="H2" s="137"/>
      <c r="I2" s="137"/>
      <c r="J2" s="137"/>
      <c r="K2" s="137"/>
      <c r="L2" s="138"/>
      <c r="M2" s="136" t="s">
        <v>68</v>
      </c>
      <c r="N2" s="137"/>
      <c r="O2" s="137"/>
      <c r="P2" s="137"/>
      <c r="Q2" s="137"/>
      <c r="R2" s="138"/>
      <c r="S2" s="136" t="s">
        <v>73</v>
      </c>
      <c r="T2" s="137"/>
      <c r="U2" s="137"/>
      <c r="V2" s="137"/>
      <c r="W2" s="137"/>
      <c r="X2" s="138"/>
      <c r="Y2" s="136" t="s">
        <v>74</v>
      </c>
      <c r="Z2" s="137"/>
      <c r="AA2" s="137"/>
      <c r="AB2" s="137"/>
      <c r="AC2" s="137"/>
      <c r="AD2" s="138"/>
      <c r="AE2" s="136" t="s">
        <v>75</v>
      </c>
      <c r="AF2" s="137"/>
      <c r="AG2" s="137"/>
      <c r="AH2" s="137"/>
      <c r="AI2" s="137"/>
      <c r="AJ2" s="138"/>
      <c r="AK2" s="136" t="s">
        <v>76</v>
      </c>
      <c r="AL2" s="137"/>
      <c r="AM2" s="137"/>
      <c r="AN2" s="137"/>
      <c r="AO2" s="137"/>
      <c r="AP2" s="138"/>
      <c r="AQ2" s="136" t="s">
        <v>77</v>
      </c>
      <c r="AR2" s="137"/>
      <c r="AS2" s="137"/>
      <c r="AT2" s="137"/>
      <c r="AU2" s="137"/>
      <c r="AV2" s="138"/>
      <c r="AW2" s="136" t="s">
        <v>78</v>
      </c>
      <c r="AX2" s="137"/>
      <c r="AY2" s="137"/>
      <c r="AZ2" s="137"/>
      <c r="BA2" s="137"/>
      <c r="BB2" s="138"/>
      <c r="BC2" s="136" t="s">
        <v>79</v>
      </c>
      <c r="BD2" s="137"/>
      <c r="BE2" s="137"/>
      <c r="BF2" s="137"/>
      <c r="BG2" s="137"/>
      <c r="BH2" s="138"/>
      <c r="BI2" s="136" t="s">
        <v>80</v>
      </c>
      <c r="BJ2" s="137"/>
      <c r="BK2" s="137"/>
      <c r="BL2" s="137"/>
      <c r="BM2" s="137"/>
      <c r="BN2" s="138"/>
      <c r="BO2" s="136" t="s">
        <v>81</v>
      </c>
      <c r="BP2" s="137"/>
      <c r="BQ2" s="137"/>
      <c r="BR2" s="137"/>
      <c r="BS2" s="137"/>
      <c r="BT2" s="138"/>
      <c r="BU2" s="136" t="s">
        <v>82</v>
      </c>
      <c r="BV2" s="137"/>
      <c r="BW2" s="137"/>
      <c r="BX2" s="137"/>
      <c r="BY2" s="137"/>
      <c r="BZ2" s="138"/>
    </row>
    <row r="3" spans="1:80" s="12" customFormat="1">
      <c r="A3" s="140"/>
      <c r="B3" s="53"/>
      <c r="C3" s="33" t="s">
        <v>70</v>
      </c>
      <c r="D3" s="32" t="s">
        <v>71</v>
      </c>
      <c r="E3" s="116" t="s">
        <v>102</v>
      </c>
      <c r="F3" s="34" t="s">
        <v>65</v>
      </c>
      <c r="G3" s="33" t="s">
        <v>66</v>
      </c>
      <c r="H3" s="32" t="s">
        <v>64</v>
      </c>
      <c r="I3" s="32" t="s">
        <v>86</v>
      </c>
      <c r="J3" s="32" t="s">
        <v>63</v>
      </c>
      <c r="K3" s="32" t="s">
        <v>97</v>
      </c>
      <c r="L3" s="34" t="s">
        <v>65</v>
      </c>
      <c r="M3" s="33" t="s">
        <v>66</v>
      </c>
      <c r="N3" s="32" t="s">
        <v>64</v>
      </c>
      <c r="O3" s="32" t="s">
        <v>86</v>
      </c>
      <c r="P3" s="32" t="s">
        <v>63</v>
      </c>
      <c r="Q3" s="32" t="s">
        <v>107</v>
      </c>
      <c r="R3" s="34" t="s">
        <v>65</v>
      </c>
      <c r="S3" s="33" t="s">
        <v>66</v>
      </c>
      <c r="T3" s="32" t="s">
        <v>64</v>
      </c>
      <c r="U3" s="32" t="s">
        <v>86</v>
      </c>
      <c r="V3" s="32" t="s">
        <v>63</v>
      </c>
      <c r="W3" s="32" t="s">
        <v>100</v>
      </c>
      <c r="X3" s="34" t="s">
        <v>65</v>
      </c>
      <c r="Y3" s="33" t="s">
        <v>66</v>
      </c>
      <c r="Z3" s="32" t="s">
        <v>64</v>
      </c>
      <c r="AA3" s="32" t="s">
        <v>86</v>
      </c>
      <c r="AB3" s="32" t="s">
        <v>63</v>
      </c>
      <c r="AC3" s="32" t="s">
        <v>100</v>
      </c>
      <c r="AD3" s="34" t="s">
        <v>65</v>
      </c>
      <c r="AE3" s="33" t="s">
        <v>66</v>
      </c>
      <c r="AF3" s="32" t="s">
        <v>64</v>
      </c>
      <c r="AG3" s="32" t="s">
        <v>86</v>
      </c>
      <c r="AH3" s="32" t="s">
        <v>63</v>
      </c>
      <c r="AI3" s="32" t="s">
        <v>100</v>
      </c>
      <c r="AJ3" s="34" t="s">
        <v>65</v>
      </c>
      <c r="AK3" s="33" t="s">
        <v>66</v>
      </c>
      <c r="AL3" s="32" t="s">
        <v>64</v>
      </c>
      <c r="AM3" s="32" t="s">
        <v>86</v>
      </c>
      <c r="AN3" s="32" t="s">
        <v>63</v>
      </c>
      <c r="AO3" s="32" t="s">
        <v>100</v>
      </c>
      <c r="AP3" s="34" t="s">
        <v>65</v>
      </c>
      <c r="AQ3" s="33" t="s">
        <v>66</v>
      </c>
      <c r="AR3" s="32" t="s">
        <v>64</v>
      </c>
      <c r="AS3" s="32" t="s">
        <v>86</v>
      </c>
      <c r="AT3" s="32" t="s">
        <v>63</v>
      </c>
      <c r="AU3" s="32" t="s">
        <v>100</v>
      </c>
      <c r="AV3" s="34" t="s">
        <v>65</v>
      </c>
      <c r="AW3" s="33" t="s">
        <v>66</v>
      </c>
      <c r="AX3" s="32" t="s">
        <v>64</v>
      </c>
      <c r="AY3" s="32" t="s">
        <v>86</v>
      </c>
      <c r="AZ3" s="32" t="s">
        <v>63</v>
      </c>
      <c r="BA3" s="32" t="s">
        <v>100</v>
      </c>
      <c r="BB3" s="34" t="s">
        <v>65</v>
      </c>
      <c r="BC3" s="33" t="s">
        <v>66</v>
      </c>
      <c r="BD3" s="32" t="s">
        <v>64</v>
      </c>
      <c r="BE3" s="32" t="s">
        <v>86</v>
      </c>
      <c r="BF3" s="32" t="s">
        <v>63</v>
      </c>
      <c r="BG3" s="32" t="s">
        <v>100</v>
      </c>
      <c r="BH3" s="34" t="s">
        <v>65</v>
      </c>
      <c r="BI3" s="33" t="s">
        <v>66</v>
      </c>
      <c r="BJ3" s="32" t="s">
        <v>64</v>
      </c>
      <c r="BK3" s="32" t="s">
        <v>86</v>
      </c>
      <c r="BL3" s="32" t="s">
        <v>63</v>
      </c>
      <c r="BM3" s="32" t="s">
        <v>100</v>
      </c>
      <c r="BN3" s="34" t="s">
        <v>65</v>
      </c>
      <c r="BO3" s="33" t="s">
        <v>66</v>
      </c>
      <c r="BP3" s="32" t="s">
        <v>64</v>
      </c>
      <c r="BQ3" s="32" t="s">
        <v>86</v>
      </c>
      <c r="BR3" s="32" t="s">
        <v>63</v>
      </c>
      <c r="BS3" s="32" t="s">
        <v>100</v>
      </c>
      <c r="BT3" s="34" t="s">
        <v>65</v>
      </c>
      <c r="BU3" s="33" t="s">
        <v>84</v>
      </c>
      <c r="BV3" s="32" t="s">
        <v>64</v>
      </c>
      <c r="BW3" s="32" t="s">
        <v>85</v>
      </c>
      <c r="BX3" s="32" t="s">
        <v>63</v>
      </c>
      <c r="BY3" s="32" t="s">
        <v>100</v>
      </c>
      <c r="BZ3" s="34" t="s">
        <v>65</v>
      </c>
    </row>
    <row r="4" spans="1:80">
      <c r="A4" s="2" t="s">
        <v>30</v>
      </c>
      <c r="B4" s="54"/>
      <c r="C4" s="43">
        <f>珀芙研电商!C4+珀芙研药房!C4</f>
        <v>725.99</v>
      </c>
      <c r="D4" s="23">
        <f>珀芙研电商!D4+珀芙研药房!D4</f>
        <v>0</v>
      </c>
      <c r="E4" s="43">
        <f>珀芙研电商!E4+珀芙研药房!E4</f>
        <v>725.99</v>
      </c>
      <c r="F4" s="49">
        <f>珀芙研电商!F4+珀芙研药房!F4</f>
        <v>725.99</v>
      </c>
      <c r="G4" s="43">
        <f>珀芙研电商!G4+珀芙研药房!G4</f>
        <v>1361.4099999999999</v>
      </c>
      <c r="H4" s="23">
        <f>珀芙研电商!H4+珀芙研药房!H4</f>
        <v>0</v>
      </c>
      <c r="I4" s="19">
        <f>G4</f>
        <v>1361.4099999999999</v>
      </c>
      <c r="J4" s="23">
        <f>珀芙研电商!J4+珀芙研药房!J4</f>
        <v>0</v>
      </c>
      <c r="K4" s="23">
        <f>珀芙研电商!K4+珀芙研药房!K4</f>
        <v>1361.4099999999999</v>
      </c>
      <c r="L4" s="49">
        <f>珀芙研电商!L4+珀芙研药房!L4</f>
        <v>1361.4099999999999</v>
      </c>
      <c r="M4" s="43">
        <f>珀芙研电商!M4+珀芙研药房!M4</f>
        <v>2541.39</v>
      </c>
      <c r="N4" s="23">
        <f>珀芙研电商!N4+珀芙研药房!N4</f>
        <v>0</v>
      </c>
      <c r="O4" s="19">
        <f>M4</f>
        <v>2541.39</v>
      </c>
      <c r="P4" s="23">
        <f>珀芙研电商!P4+珀芙研药房!P4</f>
        <v>0</v>
      </c>
      <c r="Q4" s="23">
        <f>珀芙研电商!Q4+珀芙研药房!Q4</f>
        <v>2541.39</v>
      </c>
      <c r="R4" s="49">
        <f>珀芙研电商!R4+珀芙研药房!R4</f>
        <v>2541.39</v>
      </c>
      <c r="S4" s="43">
        <f>珀芙研电商!S4+珀芙研药房!S4</f>
        <v>1406.4</v>
      </c>
      <c r="T4" s="23">
        <f>珀芙研电商!T4+珀芙研药房!T4</f>
        <v>0</v>
      </c>
      <c r="U4" s="19">
        <f>S4</f>
        <v>1406.4</v>
      </c>
      <c r="V4" s="23">
        <f>珀芙研电商!V4+珀芙研药房!V4</f>
        <v>0</v>
      </c>
      <c r="W4" s="23">
        <f>珀芙研电商!W4+珀芙研药房!W4</f>
        <v>1406.4</v>
      </c>
      <c r="X4" s="49">
        <f>珀芙研电商!X4+珀芙研药房!X4</f>
        <v>1406.4</v>
      </c>
      <c r="Y4" s="43">
        <f>珀芙研电商!Y4+珀芙研药房!Y4</f>
        <v>1678.6699999999998</v>
      </c>
      <c r="Z4" s="23">
        <f>珀芙研电商!Z4+珀芙研药房!Z4</f>
        <v>0</v>
      </c>
      <c r="AA4" s="19">
        <f>Y4</f>
        <v>1678.6699999999998</v>
      </c>
      <c r="AB4" s="23">
        <f>珀芙研电商!AB4+珀芙研药房!AB4</f>
        <v>0</v>
      </c>
      <c r="AC4" s="23">
        <f>珀芙研电商!AC4+珀芙研药房!AC4</f>
        <v>1678.6699999999998</v>
      </c>
      <c r="AD4" s="49">
        <f>珀芙研电商!AD4+珀芙研药房!AD4</f>
        <v>1678.6699999999998</v>
      </c>
      <c r="AE4" s="43">
        <f>珀芙研电商!AE4+珀芙研药房!AE4</f>
        <v>1204.99</v>
      </c>
      <c r="AF4" s="23">
        <f>珀芙研电商!AF4+珀芙研药房!AF4</f>
        <v>0</v>
      </c>
      <c r="AG4" s="43">
        <f>珀芙研电商!AG4+珀芙研药房!AG4</f>
        <v>1204.99</v>
      </c>
      <c r="AH4" s="23">
        <f>珀芙研电商!AH4+珀芙研药房!AH4</f>
        <v>21.43</v>
      </c>
      <c r="AI4" s="23">
        <f>珀芙研电商!AI4+珀芙研药房!AI4</f>
        <v>6165</v>
      </c>
      <c r="AJ4" s="49">
        <f>珀芙研电商!AJ4+珀芙研药房!AJ4</f>
        <v>1204.99</v>
      </c>
      <c r="AK4" s="43">
        <f>珀芙研电商!AK4+珀芙研药房!AK4</f>
        <v>617.28</v>
      </c>
      <c r="AL4" s="23">
        <f>珀芙研电商!AL4+珀芙研药房!AL4</f>
        <v>0</v>
      </c>
      <c r="AM4" s="19">
        <f>AK4</f>
        <v>617.28</v>
      </c>
      <c r="AN4" s="23">
        <f>珀芙研电商!AN4+珀芙研药房!AN4</f>
        <v>25.93</v>
      </c>
      <c r="AO4" s="23">
        <f>珀芙研电商!AO4+珀芙研药房!AO4</f>
        <v>3600</v>
      </c>
      <c r="AP4" s="49">
        <f>珀芙研电商!AP4+珀芙研药房!AP4</f>
        <v>617.28</v>
      </c>
      <c r="AQ4" s="43">
        <f>珀芙研电商!AQ4+珀芙研药房!AQ4</f>
        <v>607.93000000000006</v>
      </c>
      <c r="AR4" s="23">
        <f>珀芙研电商!AR4+珀芙研药房!AR4</f>
        <v>0</v>
      </c>
      <c r="AS4" s="19">
        <f>AQ4</f>
        <v>607.93000000000006</v>
      </c>
      <c r="AT4" s="23">
        <f>珀芙研电商!AT4+珀芙研药房!AT4</f>
        <v>27.02</v>
      </c>
      <c r="AU4" s="23">
        <f>珀芙研电商!AU4+珀芙研药房!AU4</f>
        <v>2000</v>
      </c>
      <c r="AV4" s="49">
        <f>珀芙研电商!AV4+珀芙研药房!AV4</f>
        <v>1150</v>
      </c>
      <c r="AW4" s="43">
        <f>珀芙研电商!AW4+珀芙研药房!AW4</f>
        <v>932.88000000000011</v>
      </c>
      <c r="AX4" s="23">
        <f>珀芙研电商!AX4+珀芙研药房!AX4</f>
        <v>0</v>
      </c>
      <c r="AY4" s="19">
        <f>AW4</f>
        <v>932.88000000000011</v>
      </c>
      <c r="AZ4" s="23">
        <f>珀芙研电商!AZ4+珀芙研药房!AZ4</f>
        <v>278.7</v>
      </c>
      <c r="BA4" s="23">
        <f>珀芙研电商!BA4+珀芙研药房!BA4</f>
        <v>660</v>
      </c>
      <c r="BB4" s="49">
        <f>珀芙研电商!BB4+珀芙研药房!BB4</f>
        <v>1493.3333333333335</v>
      </c>
      <c r="BC4" s="43">
        <f>珀芙研电商!BC4+珀芙研药房!BC4</f>
        <v>187.85</v>
      </c>
      <c r="BD4" s="23">
        <f>珀芙研电商!BD4+珀芙研药房!BD4</f>
        <v>0</v>
      </c>
      <c r="BE4" s="19">
        <f>BC4</f>
        <v>187.85</v>
      </c>
      <c r="BF4" s="23">
        <f>珀芙研电商!BF4+珀芙研药房!BF4</f>
        <v>245.73000000000002</v>
      </c>
      <c r="BG4" s="23">
        <f>珀芙研电商!BG4+珀芙研药房!BG4</f>
        <v>920</v>
      </c>
      <c r="BH4" s="49">
        <f>珀芙研电商!BH4+珀芙研药房!BH4</f>
        <v>786.66666666666674</v>
      </c>
      <c r="BI4" s="43">
        <f>珀芙研电商!BI4+珀芙研药房!BI4</f>
        <v>1608.92</v>
      </c>
      <c r="BJ4" s="23">
        <f>珀芙研电商!BJ4+珀芙研药房!BJ4</f>
        <v>0</v>
      </c>
      <c r="BK4" s="19">
        <f>BI4</f>
        <v>1608.92</v>
      </c>
      <c r="BL4" s="23">
        <f>珀芙研电商!BL4+珀芙研药房!BL4</f>
        <v>788.87</v>
      </c>
      <c r="BM4" s="23">
        <f>珀芙研电商!BM4+珀芙研药房!BM4</f>
        <v>550</v>
      </c>
      <c r="BN4" s="49">
        <f>珀芙研电商!BN4+珀芙研药房!BN4</f>
        <v>3066.666666666667</v>
      </c>
      <c r="BO4" s="43">
        <f>珀芙研电商!BO4+珀芙研药房!BO4</f>
        <v>462.41999999999996</v>
      </c>
      <c r="BP4" s="23">
        <f>珀芙研电商!BP4+珀芙研药房!BP4</f>
        <v>0</v>
      </c>
      <c r="BQ4" s="19">
        <f t="shared" ref="BQ4:BQ9" si="0">SUM(BO4:BP4)</f>
        <v>462.41999999999996</v>
      </c>
      <c r="BR4" s="23">
        <f>珀芙研电商!BR4+珀芙研药房!BR4</f>
        <v>1272.27</v>
      </c>
      <c r="BS4" s="23">
        <f>珀芙研电商!BS4+珀芙研药房!BS4</f>
        <v>220</v>
      </c>
      <c r="BT4" s="49">
        <f>珀芙研电商!BT4+珀芙研药房!BT4</f>
        <v>1120</v>
      </c>
      <c r="BU4" s="18">
        <f>C4+G4+M4+S4+Y4+AE4+AK4+AQ4+AW4+BC4+BI4+BO4</f>
        <v>13336.13</v>
      </c>
      <c r="BV4" s="19">
        <f t="shared" ref="BV4:BV9" si="1">BJ4+BP4</f>
        <v>0</v>
      </c>
      <c r="BW4" s="19">
        <f t="shared" ref="BW4:BW9" si="2">BV4+BU4</f>
        <v>13336.13</v>
      </c>
      <c r="BX4" s="19">
        <f>SUMIF($C$3:$BT$3,BX$3,$C4:$BT4)</f>
        <v>2659.95</v>
      </c>
      <c r="BY4" s="19">
        <f>SUMIF($C$3:$BT$3,BY$3,$C4:$BT4)</f>
        <v>21828.86</v>
      </c>
      <c r="BZ4" s="49">
        <f>SUMIF($C$3:$BT$3,BZ$3,$C4:$BT4)</f>
        <v>17152.796666666665</v>
      </c>
      <c r="CA4" s="24"/>
    </row>
    <row r="5" spans="1:80" s="93" customFormat="1">
      <c r="A5" s="85" t="s">
        <v>0</v>
      </c>
      <c r="B5" s="86"/>
      <c r="C5" s="87">
        <f>珀芙研电商!C5+珀芙研药房!C5</f>
        <v>170.11</v>
      </c>
      <c r="D5" s="88">
        <f>珀芙研电商!D5+珀芙研药房!D5</f>
        <v>0</v>
      </c>
      <c r="E5" s="87">
        <f>珀芙研电商!E5+珀芙研药房!E5</f>
        <v>170.11</v>
      </c>
      <c r="F5" s="89">
        <f>珀芙研电商!F5+珀芙研药房!F5</f>
        <v>170.11</v>
      </c>
      <c r="G5" s="87">
        <f>珀芙研电商!G5+珀芙研药房!G5</f>
        <v>237.22000000000003</v>
      </c>
      <c r="H5" s="88">
        <f>珀芙研电商!H5+珀芙研药房!H5</f>
        <v>0</v>
      </c>
      <c r="I5" s="19">
        <f t="shared" ref="I5:I9" si="3">G5</f>
        <v>237.22000000000003</v>
      </c>
      <c r="J5" s="88">
        <f>珀芙研电商!J5+珀芙研药房!J5</f>
        <v>0</v>
      </c>
      <c r="K5" s="88">
        <f>珀芙研电商!K5+珀芙研药房!K5</f>
        <v>237.22000000000003</v>
      </c>
      <c r="L5" s="89">
        <f>珀芙研电商!L5+珀芙研药房!L5</f>
        <v>237.22000000000003</v>
      </c>
      <c r="M5" s="87">
        <f>珀芙研电商!M5+珀芙研药房!M5</f>
        <v>448.85</v>
      </c>
      <c r="N5" s="88">
        <f>珀芙研电商!N5+珀芙研药房!N5</f>
        <v>0</v>
      </c>
      <c r="O5" s="19">
        <f t="shared" ref="O5:O9" si="4">M5</f>
        <v>448.85</v>
      </c>
      <c r="P5" s="88">
        <f>珀芙研电商!P5+珀芙研药房!P5</f>
        <v>0</v>
      </c>
      <c r="Q5" s="88">
        <f>珀芙研电商!Q5+珀芙研药房!Q5</f>
        <v>448.85</v>
      </c>
      <c r="R5" s="89">
        <f>珀芙研电商!R5+珀芙研药房!R5</f>
        <v>448.85</v>
      </c>
      <c r="S5" s="87">
        <f>珀芙研电商!S5+珀芙研药房!S5</f>
        <v>294.88</v>
      </c>
      <c r="T5" s="88">
        <f>珀芙研电商!T5+珀芙研药房!T5</f>
        <v>0</v>
      </c>
      <c r="U5" s="19">
        <f t="shared" ref="U5:U9" si="5">S5</f>
        <v>294.88</v>
      </c>
      <c r="V5" s="88">
        <f>珀芙研电商!V5+珀芙研药房!V5</f>
        <v>0</v>
      </c>
      <c r="W5" s="88">
        <f>珀芙研电商!W5+珀芙研药房!W5</f>
        <v>294.88</v>
      </c>
      <c r="X5" s="89">
        <f>珀芙研电商!X5+珀芙研药房!X5</f>
        <v>294.88</v>
      </c>
      <c r="Y5" s="87">
        <f>珀芙研电商!Y5+珀芙研药房!Y5</f>
        <v>462.15000000000003</v>
      </c>
      <c r="Z5" s="88">
        <f>珀芙研电商!Z5+珀芙研药房!Z5</f>
        <v>0</v>
      </c>
      <c r="AA5" s="19">
        <f t="shared" ref="AA5:AA9" si="6">Y5</f>
        <v>462.15000000000003</v>
      </c>
      <c r="AB5" s="88">
        <f>珀芙研电商!AB5+珀芙研药房!AB5</f>
        <v>0</v>
      </c>
      <c r="AC5" s="88">
        <f>珀芙研电商!AC5+珀芙研药房!AC5</f>
        <v>462.15000000000003</v>
      </c>
      <c r="AD5" s="89">
        <f>珀芙研电商!AD5+珀芙研药房!AD5</f>
        <v>462.15000000000003</v>
      </c>
      <c r="AE5" s="87">
        <f>珀芙研电商!AE5+珀芙研药房!AE5</f>
        <v>362.76</v>
      </c>
      <c r="AF5" s="88">
        <f>珀芙研电商!AF5+珀芙研药房!AF5</f>
        <v>0</v>
      </c>
      <c r="AG5" s="43">
        <f>珀芙研电商!AG5+珀芙研药房!AG5</f>
        <v>362.76</v>
      </c>
      <c r="AH5" s="88">
        <f>珀芙研电商!AH5+珀芙研药房!AH5</f>
        <v>17.28</v>
      </c>
      <c r="AI5" s="88">
        <f>珀芙研电商!AI5+珀芙研药房!AI5</f>
        <v>765</v>
      </c>
      <c r="AJ5" s="89">
        <f>珀芙研电商!AJ5+珀芙研药房!AJ5</f>
        <v>362.76</v>
      </c>
      <c r="AK5" s="87">
        <f>珀芙研电商!AK5+珀芙研药房!AK5</f>
        <v>186.03</v>
      </c>
      <c r="AL5" s="88">
        <f>珀芙研电商!AL5+珀芙研药房!AL5</f>
        <v>0</v>
      </c>
      <c r="AM5" s="19">
        <f t="shared" ref="AM5:AM9" si="7">AK5</f>
        <v>186.03</v>
      </c>
      <c r="AN5" s="88">
        <f>珀芙研电商!AN5+珀芙研药房!AN5</f>
        <v>18.38</v>
      </c>
      <c r="AO5" s="88">
        <f>珀芙研电商!AO5+珀芙研药房!AO5</f>
        <v>495.02</v>
      </c>
      <c r="AP5" s="89">
        <f>珀芙研电商!AP5+珀芙研药房!AP5</f>
        <v>186.03</v>
      </c>
      <c r="AQ5" s="87">
        <f>珀芙研电商!AQ5+珀芙研药房!AQ5</f>
        <v>200.95</v>
      </c>
      <c r="AR5" s="88">
        <f>珀芙研电商!AR5+珀芙研药房!AR5</f>
        <v>0</v>
      </c>
      <c r="AS5" s="19">
        <f t="shared" ref="AS5:AS9" si="8">AQ5</f>
        <v>200.95</v>
      </c>
      <c r="AT5" s="88">
        <f>珀芙研电商!AT5+珀芙研药房!AT5</f>
        <v>21.36</v>
      </c>
      <c r="AU5" s="88">
        <f>珀芙研电商!AU5+珀芙研药房!AU5</f>
        <v>533</v>
      </c>
      <c r="AV5" s="89">
        <f>珀芙研电商!AV5+珀芙研药房!AV5</f>
        <v>300</v>
      </c>
      <c r="AW5" s="87">
        <f>珀芙研电商!AW5+珀芙研药房!AW5</f>
        <v>296.51</v>
      </c>
      <c r="AX5" s="88">
        <f>珀芙研电商!AX5+珀芙研药房!AX5</f>
        <v>0</v>
      </c>
      <c r="AY5" s="19">
        <f t="shared" ref="AY5:AY9" si="9">AW5</f>
        <v>296.51</v>
      </c>
      <c r="AZ5" s="88">
        <f>珀芙研电商!AZ5+珀芙研药房!AZ5</f>
        <v>57.620000000000005</v>
      </c>
      <c r="BA5" s="88">
        <f>珀芙研电商!BA5+珀芙研药房!BA5</f>
        <v>260</v>
      </c>
      <c r="BB5" s="89">
        <f>珀芙研电商!BB5+珀芙研药房!BB5</f>
        <v>360</v>
      </c>
      <c r="BC5" s="87">
        <f>珀芙研电商!BC5+珀芙研药房!BC5</f>
        <v>158.97999999999999</v>
      </c>
      <c r="BD5" s="88">
        <f>珀芙研电商!BD5+珀芙研药房!BD5</f>
        <v>0</v>
      </c>
      <c r="BE5" s="19">
        <f t="shared" ref="BE5:BE9" si="10">BC5</f>
        <v>158.97999999999999</v>
      </c>
      <c r="BF5" s="88">
        <f>珀芙研电商!BF5+珀芙研药房!BF5</f>
        <v>68.8</v>
      </c>
      <c r="BG5" s="88">
        <f>珀芙研电商!BG5+珀芙研药房!BG5</f>
        <v>200</v>
      </c>
      <c r="BH5" s="89">
        <f>珀芙研电商!BH5+珀芙研药房!BH5</f>
        <v>220</v>
      </c>
      <c r="BI5" s="87">
        <f>珀芙研电商!BI5+珀芙研药房!BI5</f>
        <v>582.67000000000007</v>
      </c>
      <c r="BJ5" s="88">
        <f>珀芙研电商!BJ5+珀芙研药房!BJ5</f>
        <v>0</v>
      </c>
      <c r="BK5" s="19">
        <f t="shared" ref="BK5:BK9" si="11">BI5</f>
        <v>582.67000000000007</v>
      </c>
      <c r="BL5" s="88">
        <f>珀芙研电商!BL5+珀芙研药房!BL5</f>
        <v>241.45</v>
      </c>
      <c r="BM5" s="88">
        <f>珀芙研电商!BM5+珀芙研药房!BM5</f>
        <v>550</v>
      </c>
      <c r="BN5" s="89">
        <f>珀芙研电商!BN5+珀芙研药房!BN5</f>
        <v>800</v>
      </c>
      <c r="BO5" s="87">
        <f>珀芙研电商!BO5+珀芙研药房!BO5</f>
        <v>200.51</v>
      </c>
      <c r="BP5" s="88">
        <f>珀芙研电商!BP5+珀芙研药房!BP5</f>
        <v>0</v>
      </c>
      <c r="BQ5" s="90">
        <f t="shared" si="0"/>
        <v>200.51</v>
      </c>
      <c r="BR5" s="88">
        <f>珀芙研电商!BR5+珀芙研药房!BR5</f>
        <v>380.6</v>
      </c>
      <c r="BS5" s="88">
        <f>珀芙研电商!BS5+珀芙研药房!BS5</f>
        <v>220</v>
      </c>
      <c r="BT5" s="89">
        <f>珀芙研电商!BT5+珀芙研药房!BT5</f>
        <v>270</v>
      </c>
      <c r="BU5" s="18">
        <f t="shared" ref="BU5:BU8" si="12">C5+G5+M5+S5+Y5+AE5+AK5+AQ5+AW5+BC5+BI5+BO5</f>
        <v>3601.62</v>
      </c>
      <c r="BV5" s="19">
        <f t="shared" si="1"/>
        <v>0</v>
      </c>
      <c r="BW5" s="19">
        <f t="shared" si="2"/>
        <v>3601.62</v>
      </c>
      <c r="BX5" s="90">
        <f>SUMIF($C$3:$BT$3,BX$3,$C5:$BT5)</f>
        <v>805.49</v>
      </c>
      <c r="BY5" s="90">
        <f t="shared" ref="BY5:BZ8" si="13">SUMIF($C$3:$BT$3,BY$3,$C5:$BT5)</f>
        <v>4636.2299999999996</v>
      </c>
      <c r="BZ5" s="89">
        <f t="shared" si="13"/>
        <v>4112</v>
      </c>
      <c r="CA5" s="24"/>
      <c r="CB5" s="106"/>
    </row>
    <row r="6" spans="1:80">
      <c r="A6" s="2" t="s">
        <v>2</v>
      </c>
      <c r="B6" s="54"/>
      <c r="C6" s="43">
        <f>珀芙研电商!C6+珀芙研药房!C6</f>
        <v>168.89</v>
      </c>
      <c r="D6" s="23">
        <f>珀芙研电商!D6+珀芙研药房!D6</f>
        <v>0</v>
      </c>
      <c r="E6" s="43">
        <f>珀芙研电商!E6+珀芙研药房!E6</f>
        <v>168.89</v>
      </c>
      <c r="F6" s="49">
        <f>珀芙研电商!F6+珀芙研药房!F6</f>
        <v>168.89</v>
      </c>
      <c r="G6" s="43">
        <f>珀芙研电商!G6+珀芙研药房!G6</f>
        <v>180.07999999999998</v>
      </c>
      <c r="H6" s="23">
        <f>珀芙研电商!H6+珀芙研药房!H6</f>
        <v>0</v>
      </c>
      <c r="I6" s="19">
        <f t="shared" si="3"/>
        <v>180.07999999999998</v>
      </c>
      <c r="J6" s="23">
        <f>珀芙研电商!J6+珀芙研药房!J6</f>
        <v>0</v>
      </c>
      <c r="K6" s="23">
        <f>珀芙研电商!K6+珀芙研药房!K6</f>
        <v>180.07999999999998</v>
      </c>
      <c r="L6" s="49">
        <f>珀芙研电商!L6+珀芙研药房!L6</f>
        <v>180.07999999999998</v>
      </c>
      <c r="M6" s="43">
        <f>珀芙研电商!M6+珀芙研药房!M6</f>
        <v>441.05</v>
      </c>
      <c r="N6" s="23">
        <f>珀芙研电商!N6+珀芙研药房!N6</f>
        <v>0</v>
      </c>
      <c r="O6" s="19">
        <f t="shared" si="4"/>
        <v>441.05</v>
      </c>
      <c r="P6" s="23">
        <f>珀芙研电商!P6+珀芙研药房!P6</f>
        <v>0</v>
      </c>
      <c r="Q6" s="23">
        <f>珀芙研电商!Q6+珀芙研药房!Q6</f>
        <v>441.05</v>
      </c>
      <c r="R6" s="49">
        <f>珀芙研电商!R6+珀芙研药房!R6</f>
        <v>441.05</v>
      </c>
      <c r="S6" s="43">
        <f>珀芙研电商!S6+珀芙研药房!S6</f>
        <v>319.2</v>
      </c>
      <c r="T6" s="23">
        <f>珀芙研电商!T6+珀芙研药房!T6</f>
        <v>0</v>
      </c>
      <c r="U6" s="19">
        <f t="shared" si="5"/>
        <v>319.2</v>
      </c>
      <c r="V6" s="23">
        <f>珀芙研电商!V6+珀芙研药房!V6</f>
        <v>0</v>
      </c>
      <c r="W6" s="23">
        <f>珀芙研电商!W6+珀芙研药房!W6</f>
        <v>319.2</v>
      </c>
      <c r="X6" s="49">
        <f>珀芙研电商!X6+珀芙研药房!X6</f>
        <v>319.2</v>
      </c>
      <c r="Y6" s="43">
        <f>珀芙研电商!Y6+珀芙研药房!Y6</f>
        <v>436.65</v>
      </c>
      <c r="Z6" s="23">
        <f>珀芙研电商!Z6+珀芙研药房!Z6</f>
        <v>0</v>
      </c>
      <c r="AA6" s="19">
        <f t="shared" si="6"/>
        <v>436.65</v>
      </c>
      <c r="AB6" s="23">
        <f>珀芙研电商!AB6+珀芙研药房!AB6</f>
        <v>0</v>
      </c>
      <c r="AC6" s="23">
        <f>珀芙研电商!AC6+珀芙研药房!AC6</f>
        <v>436.65</v>
      </c>
      <c r="AD6" s="49">
        <f>珀芙研电商!AD6+珀芙研药房!AD6</f>
        <v>436.65</v>
      </c>
      <c r="AE6" s="43">
        <f>珀芙研电商!AE6+珀芙研药房!AE6</f>
        <v>232.93</v>
      </c>
      <c r="AF6" s="23">
        <f>珀芙研电商!AF6+珀芙研药房!AF6</f>
        <v>0</v>
      </c>
      <c r="AG6" s="43">
        <f>珀芙研电商!AG6+珀芙研药房!AG6</f>
        <v>232.93</v>
      </c>
      <c r="AH6" s="23">
        <f>珀芙研电商!AH6+珀芙研药房!AH6</f>
        <v>0</v>
      </c>
      <c r="AI6" s="23">
        <f>珀芙研电商!AI6+珀芙研药房!AI6</f>
        <v>666.26469999999995</v>
      </c>
      <c r="AJ6" s="49">
        <f>珀芙研电商!AJ6+珀芙研药房!AJ6</f>
        <v>232.93</v>
      </c>
      <c r="AK6" s="43">
        <f>珀芙研电商!AK6+珀芙研药房!AK6</f>
        <v>206.16000000000003</v>
      </c>
      <c r="AL6" s="23">
        <f>珀芙研电商!AL6+珀芙研药房!AL6</f>
        <v>0</v>
      </c>
      <c r="AM6" s="19">
        <f t="shared" si="7"/>
        <v>206.16000000000003</v>
      </c>
      <c r="AN6" s="23">
        <f>珀芙研电商!AN6+珀芙研药房!AN6</f>
        <v>0</v>
      </c>
      <c r="AO6" s="23">
        <f>珀芙研电商!AO6+珀芙研药房!AO6</f>
        <v>420.69900000000001</v>
      </c>
      <c r="AP6" s="49">
        <f>珀芙研电商!AP6+珀芙研药房!AP6</f>
        <v>206.16000000000003</v>
      </c>
      <c r="AQ6" s="43">
        <f>珀芙研电商!AQ6+珀芙研药房!AQ6</f>
        <v>177.66</v>
      </c>
      <c r="AR6" s="23">
        <f>珀芙研电商!AR6+珀芙研药房!AR6</f>
        <v>0</v>
      </c>
      <c r="AS6" s="19">
        <f t="shared" si="8"/>
        <v>177.66</v>
      </c>
      <c r="AT6" s="23">
        <f>珀芙研电商!AT6+珀芙研药房!AT6</f>
        <v>11.87</v>
      </c>
      <c r="AU6" s="23">
        <f>珀芙研电商!AU6+珀芙研药房!AU6</f>
        <v>495.4</v>
      </c>
      <c r="AV6" s="49">
        <f>珀芙研电商!AV6+珀芙研药房!AV6</f>
        <v>293.18</v>
      </c>
      <c r="AW6" s="43">
        <f>珀芙研电商!AW6+珀芙研药房!AW6</f>
        <v>162.88999999999999</v>
      </c>
      <c r="AX6" s="23">
        <f>珀芙研电商!AX6+珀芙研药房!AX6</f>
        <v>0</v>
      </c>
      <c r="AY6" s="19">
        <f t="shared" si="9"/>
        <v>162.88999999999999</v>
      </c>
      <c r="AZ6" s="23">
        <f>珀芙研电商!AZ6+珀芙研药房!AZ6</f>
        <v>56.33</v>
      </c>
      <c r="BA6" s="23">
        <f>珀芙研电商!BA6+珀芙研药房!BA6</f>
        <v>253</v>
      </c>
      <c r="BB6" s="49">
        <f>珀芙研电商!BB6+珀芙研药房!BB6</f>
        <v>353</v>
      </c>
      <c r="BC6" s="43">
        <f>珀芙研电商!BC6+珀芙研药房!BC6</f>
        <v>188.97</v>
      </c>
      <c r="BD6" s="23">
        <f>珀芙研电商!BD6+珀芙研药房!BD6</f>
        <v>0</v>
      </c>
      <c r="BE6" s="19">
        <f t="shared" si="10"/>
        <v>188.97</v>
      </c>
      <c r="BF6" s="23">
        <f>珀芙研电商!BF6+珀芙研药房!BF6</f>
        <v>55.62</v>
      </c>
      <c r="BG6" s="23">
        <f>珀芙研电商!BG6+珀芙研药房!BG6</f>
        <v>195</v>
      </c>
      <c r="BH6" s="49">
        <f>珀芙研电商!BH6+珀芙研药房!BH6</f>
        <v>214.9</v>
      </c>
      <c r="BI6" s="43">
        <f>珀芙研电商!BI6+珀芙研药房!BI6</f>
        <v>511.13</v>
      </c>
      <c r="BJ6" s="23">
        <f>珀芙研电商!BJ6+珀芙研药房!BJ6</f>
        <v>0</v>
      </c>
      <c r="BK6" s="19">
        <f t="shared" si="11"/>
        <v>511.13</v>
      </c>
      <c r="BL6" s="23">
        <f>珀芙研电商!BL6+珀芙研药房!BL6</f>
        <v>153.09</v>
      </c>
      <c r="BM6" s="23">
        <f>珀芙研电商!BM6+珀芙研药房!BM6</f>
        <v>548</v>
      </c>
      <c r="BN6" s="49">
        <f>珀芙研电商!BN6+珀芙研药房!BN6</f>
        <v>778.6</v>
      </c>
      <c r="BO6" s="43">
        <f>珀芙研电商!BO6+珀芙研药房!BO6</f>
        <v>206.97</v>
      </c>
      <c r="BP6" s="23">
        <f>珀芙研电商!BP6+珀芙研药房!BP6</f>
        <v>0</v>
      </c>
      <c r="BQ6" s="19">
        <f t="shared" si="0"/>
        <v>206.97</v>
      </c>
      <c r="BR6" s="23">
        <f>珀芙研电商!BR6+珀芙研药房!BR6</f>
        <v>195.76999999999998</v>
      </c>
      <c r="BS6" s="23">
        <f>珀芙研电商!BS6+珀芙研药房!BS6</f>
        <v>220</v>
      </c>
      <c r="BT6" s="49">
        <f>珀芙研电商!BT6+珀芙研药房!BT6</f>
        <v>264.89999999999998</v>
      </c>
      <c r="BU6" s="18">
        <f t="shared" si="12"/>
        <v>3232.5799999999995</v>
      </c>
      <c r="BV6" s="19">
        <f t="shared" si="1"/>
        <v>0</v>
      </c>
      <c r="BW6" s="19">
        <f t="shared" si="2"/>
        <v>3232.5799999999995</v>
      </c>
      <c r="BX6" s="19">
        <f>SUMIF($C$3:$BT$3,BX$3,$C6:$BT6)</f>
        <v>472.67999999999995</v>
      </c>
      <c r="BY6" s="19">
        <f t="shared" si="13"/>
        <v>4344.2336999999998</v>
      </c>
      <c r="BZ6" s="49">
        <f t="shared" si="13"/>
        <v>3889.54</v>
      </c>
      <c r="CA6" s="24"/>
      <c r="CB6" s="106"/>
    </row>
    <row r="7" spans="1:80" s="93" customFormat="1">
      <c r="A7" s="85" t="s">
        <v>28</v>
      </c>
      <c r="B7" s="86"/>
      <c r="C7" s="87">
        <f>珀芙研电商!C7+珀芙研药房!C7</f>
        <v>110.14999999999999</v>
      </c>
      <c r="D7" s="88">
        <f>珀芙研电商!D7+珀芙研药房!D7</f>
        <v>0</v>
      </c>
      <c r="E7" s="87">
        <f>珀芙研电商!E7+珀芙研药房!E7</f>
        <v>110.14999999999999</v>
      </c>
      <c r="F7" s="89">
        <f>珀芙研电商!F7+珀芙研药房!F7</f>
        <v>110.14999999999999</v>
      </c>
      <c r="G7" s="87">
        <f>珀芙研电商!G7+珀芙研药房!G7</f>
        <v>161.71</v>
      </c>
      <c r="H7" s="88">
        <f>珀芙研电商!H7+珀芙研药房!H7</f>
        <v>0</v>
      </c>
      <c r="I7" s="19">
        <f t="shared" si="3"/>
        <v>161.71</v>
      </c>
      <c r="J7" s="88">
        <f>珀芙研电商!J7+珀芙研药房!J7</f>
        <v>0</v>
      </c>
      <c r="K7" s="88">
        <f>珀芙研电商!K7+珀芙研药房!K7</f>
        <v>161.71</v>
      </c>
      <c r="L7" s="89">
        <f>珀芙研电商!L7+珀芙研药房!L7</f>
        <v>161.71</v>
      </c>
      <c r="M7" s="87">
        <f>珀芙研电商!M7+珀芙研药房!M7</f>
        <v>380.16</v>
      </c>
      <c r="N7" s="88">
        <f>珀芙研电商!N7+珀芙研药房!N7</f>
        <v>0</v>
      </c>
      <c r="O7" s="19">
        <f t="shared" si="4"/>
        <v>380.16</v>
      </c>
      <c r="P7" s="88">
        <f>珀芙研电商!P7+珀芙研药房!P7</f>
        <v>0</v>
      </c>
      <c r="Q7" s="88">
        <f>珀芙研电商!Q7+珀芙研药房!Q7</f>
        <v>380.16</v>
      </c>
      <c r="R7" s="89">
        <f>珀芙研电商!R7+珀芙研药房!R7</f>
        <v>380.16</v>
      </c>
      <c r="S7" s="87">
        <f>珀芙研电商!S7+珀芙研药房!S7</f>
        <v>171</v>
      </c>
      <c r="T7" s="88">
        <f>珀芙研电商!T7+珀芙研药房!T7</f>
        <v>0</v>
      </c>
      <c r="U7" s="19">
        <f t="shared" si="5"/>
        <v>171</v>
      </c>
      <c r="V7" s="88">
        <f>珀芙研电商!V7+珀芙研药房!V7</f>
        <v>0</v>
      </c>
      <c r="W7" s="88">
        <f>珀芙研电商!W7+珀芙研药房!W7</f>
        <v>171</v>
      </c>
      <c r="X7" s="89">
        <f>珀芙研电商!X7+珀芙研药房!X7</f>
        <v>171</v>
      </c>
      <c r="Y7" s="87">
        <f>珀芙研电商!Y7+珀芙研药房!Y7</f>
        <v>374.98</v>
      </c>
      <c r="Z7" s="88">
        <f>珀芙研电商!Z7+珀芙研药房!Z7</f>
        <v>0</v>
      </c>
      <c r="AA7" s="19">
        <f t="shared" si="6"/>
        <v>374.98</v>
      </c>
      <c r="AB7" s="88">
        <f>珀芙研电商!AB7+珀芙研药房!AB7</f>
        <v>0</v>
      </c>
      <c r="AC7" s="88">
        <f>珀芙研电商!AC7+珀芙研药房!AC7</f>
        <v>374.98</v>
      </c>
      <c r="AD7" s="89">
        <f>珀芙研电商!AD7+珀芙研药房!AD7</f>
        <v>374.98</v>
      </c>
      <c r="AE7" s="87">
        <f>珀芙研电商!AE7+珀芙研药房!AE7</f>
        <v>260.27</v>
      </c>
      <c r="AF7" s="88">
        <f>珀芙研电商!AF7+珀芙研药房!AF7</f>
        <v>0</v>
      </c>
      <c r="AG7" s="43">
        <f>珀芙研电商!AG7+珀芙研药房!AG7</f>
        <v>260.27</v>
      </c>
      <c r="AH7" s="88">
        <f>珀芙研电商!AH7+珀芙研药房!AH7</f>
        <v>15.27</v>
      </c>
      <c r="AI7" s="88">
        <f>珀芙研电商!AI7+珀芙研药房!AI7</f>
        <v>589.58999999999992</v>
      </c>
      <c r="AJ7" s="89">
        <f>珀芙研电商!AJ7+珀芙研药房!AJ7</f>
        <v>260.27</v>
      </c>
      <c r="AK7" s="87">
        <f>珀芙研电商!AK7+珀芙研药房!AK7</f>
        <v>131.38</v>
      </c>
      <c r="AL7" s="88">
        <f>珀芙研电商!AL7+珀芙研药房!AL7</f>
        <v>0</v>
      </c>
      <c r="AM7" s="19">
        <f t="shared" si="7"/>
        <v>131.38</v>
      </c>
      <c r="AN7" s="88">
        <f>珀芙研电商!AN7+珀芙研药房!AN7</f>
        <v>16.079999999999998</v>
      </c>
      <c r="AO7" s="88">
        <f>珀芙研电商!AO7+珀芙研药房!AO7</f>
        <v>372.3</v>
      </c>
      <c r="AP7" s="89">
        <f>珀芙研电商!AP7+珀芙研药房!AP7</f>
        <v>131.38</v>
      </c>
      <c r="AQ7" s="87">
        <f>珀芙研电商!AQ7+珀芙研药房!AQ7</f>
        <v>130.97000000000003</v>
      </c>
      <c r="AR7" s="88">
        <f>珀芙研电商!AR7+珀芙研药房!AR7</f>
        <v>0</v>
      </c>
      <c r="AS7" s="19">
        <f t="shared" si="8"/>
        <v>130.97000000000003</v>
      </c>
      <c r="AT7" s="88">
        <f>珀芙研电商!AT7+珀芙研药房!AT7</f>
        <v>18.119999999999997</v>
      </c>
      <c r="AU7" s="88">
        <f>珀芙研电商!AU7+珀芙研药房!AU7</f>
        <v>403.3</v>
      </c>
      <c r="AV7" s="89">
        <f>珀芙研电商!AV7+珀芙研药房!AV7</f>
        <v>223.15</v>
      </c>
      <c r="AW7" s="87">
        <f>珀芙研电商!AW7+珀芙研药房!AW7</f>
        <v>215.46</v>
      </c>
      <c r="AX7" s="88">
        <f>珀芙研电商!AX7+珀芙研药房!AX7</f>
        <v>0</v>
      </c>
      <c r="AY7" s="19">
        <f t="shared" si="9"/>
        <v>215.46</v>
      </c>
      <c r="AZ7" s="88">
        <f>珀芙研电商!AZ7+珀芙研药房!AZ7</f>
        <v>49.59</v>
      </c>
      <c r="BA7" s="88">
        <f>珀芙研电商!BA7+珀芙研药房!BA7</f>
        <v>193.89380530973455</v>
      </c>
      <c r="BB7" s="89">
        <f>珀芙研电商!BB7+珀芙研药房!BB7</f>
        <v>282.15999999999997</v>
      </c>
      <c r="BC7" s="87">
        <f>珀芙研电商!BC7+珀芙研药房!BC7</f>
        <v>93.97</v>
      </c>
      <c r="BD7" s="88">
        <f>珀芙研电商!BD7+珀芙研药房!BD7</f>
        <v>0</v>
      </c>
      <c r="BE7" s="19">
        <f t="shared" si="10"/>
        <v>93.97</v>
      </c>
      <c r="BF7" s="88">
        <f>珀芙研电商!BF7+珀芙研药房!BF7</f>
        <v>58.89</v>
      </c>
      <c r="BG7" s="88">
        <f>珀芙研电商!BG7+珀芙研药房!BG7</f>
        <v>140.49646017699115</v>
      </c>
      <c r="BH7" s="89">
        <f>珀芙研电商!BH7+珀芙研药房!BH7</f>
        <v>167.8</v>
      </c>
      <c r="BI7" s="87">
        <f>珀芙研电商!BI7+珀芙研药房!BI7</f>
        <v>413.34000000000003</v>
      </c>
      <c r="BJ7" s="88">
        <f>珀芙研电商!BJ7+珀芙研药房!BJ7</f>
        <v>0</v>
      </c>
      <c r="BK7" s="19">
        <f t="shared" si="11"/>
        <v>413.34000000000003</v>
      </c>
      <c r="BL7" s="88">
        <f>珀芙研电商!BL7+珀芙研药房!BL7</f>
        <v>171.05</v>
      </c>
      <c r="BM7" s="88">
        <f>珀芙研电商!BM7+珀芙研药房!BM7</f>
        <v>433.99115044247787</v>
      </c>
      <c r="BN7" s="89">
        <f>珀芙研电商!BN7+珀芙研药房!BN7</f>
        <v>614</v>
      </c>
      <c r="BO7" s="87">
        <f>珀芙研电商!BO7+珀芙研药房!BO7</f>
        <v>191.8</v>
      </c>
      <c r="BP7" s="23">
        <f>珀芙研电商!BP7+珀芙研药房!BP7</f>
        <v>0</v>
      </c>
      <c r="BQ7" s="19">
        <f t="shared" si="0"/>
        <v>191.8</v>
      </c>
      <c r="BR7" s="88">
        <f>珀芙研电商!BR7+珀芙研药房!BR7</f>
        <v>250.79</v>
      </c>
      <c r="BS7" s="23">
        <f>珀芙研电商!BS7+珀芙研药房!BS7</f>
        <v>161.15646017699117</v>
      </c>
      <c r="BT7" s="89">
        <f>珀芙研电商!BT7+珀芙研药房!BT7</f>
        <v>227.05</v>
      </c>
      <c r="BU7" s="18">
        <f t="shared" si="12"/>
        <v>2635.1900000000005</v>
      </c>
      <c r="BV7" s="19">
        <f t="shared" si="1"/>
        <v>0</v>
      </c>
      <c r="BW7" s="19">
        <f t="shared" si="2"/>
        <v>2635.1900000000005</v>
      </c>
      <c r="BX7" s="90">
        <f>SUMIF($C$3:$BT$3,BX$3,$C7:$BT7)</f>
        <v>579.79</v>
      </c>
      <c r="BY7" s="90">
        <f t="shared" si="13"/>
        <v>3492.7278761061948</v>
      </c>
      <c r="BZ7" s="89">
        <f>SUMIF($C$3:$BT$3,BZ$3,$C7:$BT7)</f>
        <v>3103.8100000000004</v>
      </c>
      <c r="CA7" s="142">
        <f>BU7/BZ7</f>
        <v>0.84901782003408721</v>
      </c>
      <c r="CB7" s="106"/>
    </row>
    <row r="8" spans="1:80">
      <c r="A8" s="2" t="s">
        <v>29</v>
      </c>
      <c r="B8" s="54"/>
      <c r="C8" s="43">
        <f>珀芙研电商!C8+珀芙研药房!C8</f>
        <v>43.660000000000004</v>
      </c>
      <c r="D8" s="23">
        <f>珀芙研电商!D8+珀芙研药房!D8</f>
        <v>0</v>
      </c>
      <c r="E8" s="43">
        <f>珀芙研电商!E8+珀芙研药房!E8</f>
        <v>43.660000000000004</v>
      </c>
      <c r="F8" s="49">
        <f>珀芙研电商!F8+珀芙研药房!F8</f>
        <v>43.660000000000004</v>
      </c>
      <c r="G8" s="43">
        <f>珀芙研电商!G8+珀芙研药房!G8</f>
        <v>76.25</v>
      </c>
      <c r="H8" s="23">
        <f>珀芙研电商!H8+珀芙研药房!H8</f>
        <v>0</v>
      </c>
      <c r="I8" s="19">
        <f t="shared" si="3"/>
        <v>76.25</v>
      </c>
      <c r="J8" s="23">
        <f>珀芙研电商!J8+珀芙研药房!J8</f>
        <v>0</v>
      </c>
      <c r="K8" s="23">
        <f>珀芙研电商!K8+珀芙研药房!K8</f>
        <v>76.25</v>
      </c>
      <c r="L8" s="49">
        <f>珀芙研电商!L8+珀芙研药房!L8</f>
        <v>76.25</v>
      </c>
      <c r="M8" s="43">
        <f>珀芙研电商!M8+珀芙研药房!M8</f>
        <v>156.72999999999999</v>
      </c>
      <c r="N8" s="23">
        <f>珀芙研电商!N8+珀芙研药房!N8</f>
        <v>0</v>
      </c>
      <c r="O8" s="19">
        <f t="shared" si="4"/>
        <v>156.72999999999999</v>
      </c>
      <c r="P8" s="23">
        <f>珀芙研电商!P8+珀芙研药房!P8</f>
        <v>0</v>
      </c>
      <c r="Q8" s="23">
        <f>珀芙研电商!Q8+珀芙研药房!Q8</f>
        <v>156.72999999999999</v>
      </c>
      <c r="R8" s="49">
        <f>珀芙研电商!R8+珀芙研药房!R8</f>
        <v>156.72999999999999</v>
      </c>
      <c r="S8" s="43">
        <f>珀芙研电商!S8+珀芙研药房!S8</f>
        <v>85.6</v>
      </c>
      <c r="T8" s="23">
        <f>珀芙研电商!T8+珀芙研药房!T8</f>
        <v>0</v>
      </c>
      <c r="U8" s="19">
        <f t="shared" si="5"/>
        <v>85.6</v>
      </c>
      <c r="V8" s="23">
        <f>珀芙研电商!V8+珀芙研药房!V8</f>
        <v>0</v>
      </c>
      <c r="W8" s="23">
        <f>珀芙研电商!W8+珀芙研药房!W8</f>
        <v>85.6</v>
      </c>
      <c r="X8" s="49">
        <f>珀芙研电商!X8+珀芙研药房!X8</f>
        <v>85.6</v>
      </c>
      <c r="Y8" s="43">
        <f>珀芙研电商!Y8+珀芙研药房!Y8</f>
        <v>98.1</v>
      </c>
      <c r="Z8" s="23">
        <f>珀芙研电商!Z8+珀芙研药房!Z8</f>
        <v>0</v>
      </c>
      <c r="AA8" s="19">
        <f t="shared" si="6"/>
        <v>98.1</v>
      </c>
      <c r="AB8" s="23">
        <f>珀芙研电商!AB8+珀芙研药房!AB8</f>
        <v>0</v>
      </c>
      <c r="AC8" s="23">
        <f>珀芙研电商!AC8+珀芙研药房!AC8</f>
        <v>98.1</v>
      </c>
      <c r="AD8" s="49">
        <f>珀芙研电商!AD8+珀芙研药房!AD8</f>
        <v>98.1</v>
      </c>
      <c r="AE8" s="43">
        <f>珀芙研电商!AE8+珀芙研药房!AE8</f>
        <v>64.88</v>
      </c>
      <c r="AF8" s="23">
        <f>珀芙研电商!AF8+珀芙研药房!AF8</f>
        <v>0</v>
      </c>
      <c r="AG8" s="43">
        <f>珀芙研电商!AG8+珀芙研药房!AG8</f>
        <v>64.88</v>
      </c>
      <c r="AH8" s="23">
        <f>珀芙研电商!AH8+珀芙研药房!AH8</f>
        <v>0.76</v>
      </c>
      <c r="AI8" s="23">
        <f>珀芙研电商!AI8+珀芙研药房!AI8</f>
        <v>209.76</v>
      </c>
      <c r="AJ8" s="49">
        <f>珀芙研电商!AJ8+珀芙研药房!AJ8</f>
        <v>64.88</v>
      </c>
      <c r="AK8" s="43">
        <f>珀芙研电商!AK8+珀芙研药房!AK8</f>
        <v>11</v>
      </c>
      <c r="AL8" s="23">
        <f>珀芙研电商!AL8+珀芙研药房!AL8</f>
        <v>0</v>
      </c>
      <c r="AM8" s="19">
        <f t="shared" si="7"/>
        <v>11</v>
      </c>
      <c r="AN8" s="23">
        <f>珀芙研电商!AN8+珀芙研药房!AN8</f>
        <v>0.8</v>
      </c>
      <c r="AO8" s="23">
        <f>珀芙研电商!AO8+珀芙研药房!AO8</f>
        <v>87.012</v>
      </c>
      <c r="AP8" s="49">
        <f>珀芙研电商!AP8+珀芙研药房!AP8</f>
        <v>11</v>
      </c>
      <c r="AQ8" s="43">
        <f>珀芙研电商!AQ8+珀芙研药房!AQ8</f>
        <v>27.34</v>
      </c>
      <c r="AR8" s="23">
        <f>珀芙研电商!AR8+珀芙研药房!AR8</f>
        <v>0</v>
      </c>
      <c r="AS8" s="19">
        <f t="shared" si="8"/>
        <v>27.34</v>
      </c>
      <c r="AT8" s="23">
        <f>珀芙研电商!AT8+珀芙研药房!AT8</f>
        <v>1.03</v>
      </c>
      <c r="AU8" s="23">
        <f>珀芙研电商!AU8+珀芙研药房!AU8</f>
        <v>123.73</v>
      </c>
      <c r="AV8" s="49">
        <f>珀芙研电商!AV8+珀芙研药房!AV8</f>
        <v>59.1</v>
      </c>
      <c r="AW8" s="43">
        <f>珀芙研电商!AW8+珀芙研药房!AW8</f>
        <v>90.7</v>
      </c>
      <c r="AX8" s="23">
        <f>珀芙研电商!AX8+珀芙研药房!AX8</f>
        <v>0</v>
      </c>
      <c r="AY8" s="19">
        <f t="shared" si="9"/>
        <v>90.7</v>
      </c>
      <c r="AZ8" s="23">
        <f>珀芙研电商!AZ8+珀芙研药房!AZ8</f>
        <v>6.25</v>
      </c>
      <c r="BA8" s="23">
        <f>珀芙研电商!BA8+珀芙研药房!BA8</f>
        <v>37.548672566371685</v>
      </c>
      <c r="BB8" s="49">
        <f>珀芙研电商!BB8+珀芙研药房!BB8</f>
        <v>67.95</v>
      </c>
      <c r="BC8" s="43">
        <f>珀芙研电商!BC8+珀芙研药房!BC8</f>
        <v>17.97</v>
      </c>
      <c r="BD8" s="23">
        <f>珀芙研电商!BD8+珀芙研药房!BD8</f>
        <v>0</v>
      </c>
      <c r="BE8" s="19">
        <f t="shared" si="10"/>
        <v>17.97</v>
      </c>
      <c r="BF8" s="23">
        <f>珀芙研电商!BF8+珀芙研药房!BF8</f>
        <v>6.97</v>
      </c>
      <c r="BG8" s="23">
        <f>珀芙研电商!BG8+珀芙研药房!BG8</f>
        <v>34.778761061946909</v>
      </c>
      <c r="BH8" s="49">
        <f>珀芙研电商!BH8+珀芙研药房!BH8</f>
        <v>40.849999999999994</v>
      </c>
      <c r="BI8" s="43">
        <f>珀芙研电商!BI8+珀芙研药房!BI8</f>
        <v>61.22</v>
      </c>
      <c r="BJ8" s="23">
        <f>珀芙研电商!BJ8+珀芙研药房!BJ8</f>
        <v>0</v>
      </c>
      <c r="BK8" s="19">
        <f t="shared" si="11"/>
        <v>61.22</v>
      </c>
      <c r="BL8" s="23">
        <f>珀芙研电商!BL8+珀芙研药房!BL8</f>
        <v>48.71</v>
      </c>
      <c r="BM8" s="23">
        <f>珀芙研电商!BM8+珀芙研药房!BM8</f>
        <v>65.36</v>
      </c>
      <c r="BN8" s="49">
        <f>珀芙研电商!BN8+珀芙研药房!BN8</f>
        <v>134.54</v>
      </c>
      <c r="BO8" s="43">
        <f>珀芙研电商!BO8+珀芙研药房!BO8</f>
        <v>21.990000000000002</v>
      </c>
      <c r="BP8" s="23">
        <f>珀芙研电商!BP8+珀芙研药房!BP8</f>
        <v>0</v>
      </c>
      <c r="BQ8" s="19">
        <f t="shared" si="0"/>
        <v>21.990000000000002</v>
      </c>
      <c r="BR8" s="23">
        <f>珀芙研电商!BR8+珀芙研药房!BR8</f>
        <v>69.150000000000006</v>
      </c>
      <c r="BS8" s="88">
        <f>珀芙研电商!BS8+珀芙研药房!BS8</f>
        <v>23.89</v>
      </c>
      <c r="BT8" s="49">
        <f>珀芙研电商!BT8+珀芙研药房!BT8</f>
        <v>64.900000000000006</v>
      </c>
      <c r="BU8" s="18">
        <f t="shared" si="12"/>
        <v>755.44000000000017</v>
      </c>
      <c r="BV8" s="19">
        <f t="shared" si="1"/>
        <v>0</v>
      </c>
      <c r="BW8" s="19">
        <f t="shared" si="2"/>
        <v>755.44000000000017</v>
      </c>
      <c r="BX8" s="19">
        <f>SUMIF($C$3:$BT$3,BX$3,$C8:$BT8)</f>
        <v>133.67000000000002</v>
      </c>
      <c r="BY8" s="19">
        <f t="shared" si="13"/>
        <v>1042.4194336283188</v>
      </c>
      <c r="BZ8" s="49">
        <f t="shared" si="13"/>
        <v>903.56000000000006</v>
      </c>
      <c r="CA8" s="24"/>
      <c r="CB8" s="106"/>
    </row>
    <row r="9" spans="1:80" s="93" customFormat="1">
      <c r="A9" s="85" t="s">
        <v>3</v>
      </c>
      <c r="B9" s="86"/>
      <c r="C9" s="91">
        <f>C7-C8</f>
        <v>66.489999999999981</v>
      </c>
      <c r="D9" s="90">
        <f t="shared" ref="D9:L9" si="14">D7-D8</f>
        <v>0</v>
      </c>
      <c r="E9" s="91">
        <f>E7-E8</f>
        <v>66.489999999999981</v>
      </c>
      <c r="F9" s="92">
        <f t="shared" si="14"/>
        <v>66.489999999999981</v>
      </c>
      <c r="G9" s="91">
        <f t="shared" si="14"/>
        <v>85.460000000000008</v>
      </c>
      <c r="H9" s="90">
        <f t="shared" si="14"/>
        <v>0</v>
      </c>
      <c r="I9" s="19">
        <f t="shared" si="3"/>
        <v>85.460000000000008</v>
      </c>
      <c r="J9" s="90">
        <f t="shared" si="14"/>
        <v>0</v>
      </c>
      <c r="K9" s="90">
        <f t="shared" si="14"/>
        <v>85.460000000000008</v>
      </c>
      <c r="L9" s="92">
        <f t="shared" si="14"/>
        <v>85.460000000000008</v>
      </c>
      <c r="M9" s="91">
        <f>M7-M8</f>
        <v>223.43000000000004</v>
      </c>
      <c r="N9" s="90">
        <f>N7-N8</f>
        <v>0</v>
      </c>
      <c r="O9" s="19">
        <f t="shared" si="4"/>
        <v>223.43000000000004</v>
      </c>
      <c r="P9" s="90">
        <f>P7-P8</f>
        <v>0</v>
      </c>
      <c r="Q9" s="90">
        <f>Q7-Q8</f>
        <v>223.43000000000004</v>
      </c>
      <c r="R9" s="92">
        <f>R7-R8</f>
        <v>223.43000000000004</v>
      </c>
      <c r="S9" s="91">
        <f>S7-S8</f>
        <v>85.4</v>
      </c>
      <c r="T9" s="90">
        <f>T7-T8</f>
        <v>0</v>
      </c>
      <c r="U9" s="19">
        <f t="shared" si="5"/>
        <v>85.4</v>
      </c>
      <c r="V9" s="90">
        <f>V7-V8</f>
        <v>0</v>
      </c>
      <c r="W9" s="90">
        <f>W7-W8</f>
        <v>85.4</v>
      </c>
      <c r="X9" s="92">
        <f>X7-X8</f>
        <v>85.4</v>
      </c>
      <c r="Y9" s="91">
        <f>Y7-Y8</f>
        <v>276.88</v>
      </c>
      <c r="Z9" s="90">
        <f>Z7-Z8</f>
        <v>0</v>
      </c>
      <c r="AA9" s="19">
        <f t="shared" si="6"/>
        <v>276.88</v>
      </c>
      <c r="AB9" s="90">
        <f>AB7-AB8</f>
        <v>0</v>
      </c>
      <c r="AC9" s="90">
        <f>AC7-AC8</f>
        <v>276.88</v>
      </c>
      <c r="AD9" s="92">
        <f>AD7-AD8</f>
        <v>276.88</v>
      </c>
      <c r="AE9" s="91">
        <f>AE7-AE8</f>
        <v>195.39</v>
      </c>
      <c r="AF9" s="90">
        <f>AF7-AF8</f>
        <v>0</v>
      </c>
      <c r="AG9" s="43">
        <f>珀芙研电商!AG9+珀芙研药房!AG9</f>
        <v>195.39</v>
      </c>
      <c r="AH9" s="90">
        <f>AH7-AH8</f>
        <v>14.51</v>
      </c>
      <c r="AI9" s="90">
        <f>AI7-AI8</f>
        <v>379.82999999999993</v>
      </c>
      <c r="AJ9" s="92">
        <f>AJ7-AJ8</f>
        <v>195.39</v>
      </c>
      <c r="AK9" s="91">
        <f>AK7-AK8</f>
        <v>120.38</v>
      </c>
      <c r="AL9" s="90">
        <f>AL7-AL8</f>
        <v>0</v>
      </c>
      <c r="AM9" s="19">
        <f t="shared" si="7"/>
        <v>120.38</v>
      </c>
      <c r="AN9" s="90">
        <f>AN7-AN8</f>
        <v>15.279999999999998</v>
      </c>
      <c r="AO9" s="90">
        <f>AO7-AO8</f>
        <v>285.28800000000001</v>
      </c>
      <c r="AP9" s="92">
        <f>AP7-AP8</f>
        <v>120.38</v>
      </c>
      <c r="AQ9" s="91">
        <f>AQ7-AQ8</f>
        <v>103.63000000000002</v>
      </c>
      <c r="AR9" s="90">
        <f>AR7-AR8</f>
        <v>0</v>
      </c>
      <c r="AS9" s="19">
        <f t="shared" si="8"/>
        <v>103.63000000000002</v>
      </c>
      <c r="AT9" s="90">
        <f>AT7-AT8</f>
        <v>17.089999999999996</v>
      </c>
      <c r="AU9" s="90">
        <f>AU7-AU8</f>
        <v>279.57</v>
      </c>
      <c r="AV9" s="89">
        <f>AV7-AV8</f>
        <v>164.05</v>
      </c>
      <c r="AW9" s="91">
        <f>AW7-AW8</f>
        <v>124.76</v>
      </c>
      <c r="AX9" s="90">
        <f>AX7-AX8</f>
        <v>0</v>
      </c>
      <c r="AY9" s="19">
        <f t="shared" si="9"/>
        <v>124.76</v>
      </c>
      <c r="AZ9" s="90">
        <f>AZ7-AZ8</f>
        <v>43.34</v>
      </c>
      <c r="BA9" s="90">
        <f>BA7-BA8</f>
        <v>156.34513274336285</v>
      </c>
      <c r="BB9" s="89">
        <f>BB7-BB8</f>
        <v>214.20999999999998</v>
      </c>
      <c r="BC9" s="91">
        <f>BC7-BC8</f>
        <v>76</v>
      </c>
      <c r="BD9" s="90">
        <f>BD7-BD8</f>
        <v>0</v>
      </c>
      <c r="BE9" s="19">
        <f t="shared" si="10"/>
        <v>76</v>
      </c>
      <c r="BF9" s="90">
        <f t="shared" ref="BF9:BO9" si="15">BF7-BF8</f>
        <v>51.92</v>
      </c>
      <c r="BG9" s="90">
        <f t="shared" si="15"/>
        <v>105.71769911504424</v>
      </c>
      <c r="BH9" s="92">
        <f t="shared" si="15"/>
        <v>126.95000000000002</v>
      </c>
      <c r="BI9" s="91">
        <f t="shared" si="15"/>
        <v>352.12</v>
      </c>
      <c r="BJ9" s="90">
        <f t="shared" si="15"/>
        <v>0</v>
      </c>
      <c r="BK9" s="19">
        <f t="shared" si="11"/>
        <v>352.12</v>
      </c>
      <c r="BL9" s="90">
        <f t="shared" si="15"/>
        <v>122.34</v>
      </c>
      <c r="BM9" s="90">
        <f t="shared" si="15"/>
        <v>368.63115044247786</v>
      </c>
      <c r="BN9" s="92">
        <f t="shared" si="15"/>
        <v>479.46000000000004</v>
      </c>
      <c r="BO9" s="91">
        <f t="shared" si="15"/>
        <v>169.81</v>
      </c>
      <c r="BP9" s="23">
        <f>珀芙研电商!BP9+珀芙研药房!BP9</f>
        <v>0</v>
      </c>
      <c r="BQ9" s="19">
        <f t="shared" si="0"/>
        <v>169.81</v>
      </c>
      <c r="BR9" s="90">
        <f>BR7-BR8</f>
        <v>181.64</v>
      </c>
      <c r="BS9" s="90">
        <f>BS7-BS8</f>
        <v>137.26646017699119</v>
      </c>
      <c r="BT9" s="92">
        <f>BT7-BT8</f>
        <v>162.15</v>
      </c>
      <c r="BU9" s="18">
        <f>C9+G9+M9+S9+Y9+AE9+AK9+AQ9+AW9+BC9+BI9+BO9</f>
        <v>1879.75</v>
      </c>
      <c r="BV9" s="19">
        <f t="shared" si="1"/>
        <v>0</v>
      </c>
      <c r="BW9" s="19">
        <f t="shared" si="2"/>
        <v>1879.75</v>
      </c>
      <c r="BX9" s="90">
        <f>BX7-BX8</f>
        <v>446.11999999999995</v>
      </c>
      <c r="BY9" s="90">
        <f>BY7-BY8</f>
        <v>2450.3084424778763</v>
      </c>
      <c r="BZ9" s="89">
        <f>BZ7-BZ8</f>
        <v>2200.2500000000005</v>
      </c>
      <c r="CA9" s="24"/>
      <c r="CB9" s="106"/>
    </row>
    <row r="10" spans="1:80" s="13" customFormat="1">
      <c r="A10" s="60" t="s">
        <v>4</v>
      </c>
      <c r="B10" s="55"/>
      <c r="C10" s="38">
        <f>IFERROR(C9/C7,"/")</f>
        <v>0.60363141171130263</v>
      </c>
      <c r="D10" s="9" t="str">
        <f t="shared" ref="D10:L10" si="16">IFERROR(D9/D7,"/")</f>
        <v>/</v>
      </c>
      <c r="E10" s="9">
        <f t="shared" si="16"/>
        <v>0.60363141171130263</v>
      </c>
      <c r="F10" s="10">
        <f t="shared" si="16"/>
        <v>0.60363141171130263</v>
      </c>
      <c r="G10" s="38">
        <f t="shared" si="16"/>
        <v>0.52847690309813866</v>
      </c>
      <c r="H10" s="9" t="str">
        <f t="shared" si="16"/>
        <v>/</v>
      </c>
      <c r="I10" s="9">
        <f t="shared" si="16"/>
        <v>0.52847690309813866</v>
      </c>
      <c r="J10" s="9" t="str">
        <f t="shared" si="16"/>
        <v>/</v>
      </c>
      <c r="K10" s="9">
        <f t="shared" si="16"/>
        <v>0.52847690309813866</v>
      </c>
      <c r="L10" s="10">
        <f t="shared" si="16"/>
        <v>0.52847690309813866</v>
      </c>
      <c r="M10" s="38">
        <f t="shared" ref="M10:AR10" si="17">IFERROR(M9/M7,"/")</f>
        <v>0.58772622053872059</v>
      </c>
      <c r="N10" s="9" t="str">
        <f t="shared" si="17"/>
        <v>/</v>
      </c>
      <c r="O10" s="9">
        <f t="shared" si="17"/>
        <v>0.58772622053872059</v>
      </c>
      <c r="P10" s="9" t="str">
        <f t="shared" si="17"/>
        <v>/</v>
      </c>
      <c r="Q10" s="9">
        <f t="shared" si="17"/>
        <v>0.58772622053872059</v>
      </c>
      <c r="R10" s="10">
        <f t="shared" si="17"/>
        <v>0.58772622053872059</v>
      </c>
      <c r="S10" s="38">
        <f t="shared" si="17"/>
        <v>0.49941520467836259</v>
      </c>
      <c r="T10" s="9" t="str">
        <f t="shared" si="17"/>
        <v>/</v>
      </c>
      <c r="U10" s="9">
        <f t="shared" si="17"/>
        <v>0.49941520467836259</v>
      </c>
      <c r="V10" s="9" t="str">
        <f t="shared" si="17"/>
        <v>/</v>
      </c>
      <c r="W10" s="9">
        <f t="shared" si="17"/>
        <v>0.49941520467836259</v>
      </c>
      <c r="X10" s="10">
        <f t="shared" si="17"/>
        <v>0.49941520467836259</v>
      </c>
      <c r="Y10" s="38">
        <f t="shared" si="17"/>
        <v>0.73838604725585355</v>
      </c>
      <c r="Z10" s="9" t="str">
        <f t="shared" si="17"/>
        <v>/</v>
      </c>
      <c r="AA10" s="9">
        <f t="shared" si="17"/>
        <v>0.73838604725585355</v>
      </c>
      <c r="AB10" s="9" t="str">
        <f t="shared" si="17"/>
        <v>/</v>
      </c>
      <c r="AC10" s="9">
        <f t="shared" si="17"/>
        <v>0.73838604725585355</v>
      </c>
      <c r="AD10" s="10">
        <f t="shared" si="17"/>
        <v>0.73838604725585355</v>
      </c>
      <c r="AE10" s="38">
        <f t="shared" si="17"/>
        <v>0.75072040573250853</v>
      </c>
      <c r="AF10" s="9" t="str">
        <f t="shared" si="17"/>
        <v>/</v>
      </c>
      <c r="AG10" s="9">
        <f t="shared" si="17"/>
        <v>0.75072040573250853</v>
      </c>
      <c r="AH10" s="9">
        <f t="shared" si="17"/>
        <v>0.95022920759659468</v>
      </c>
      <c r="AI10" s="9">
        <f t="shared" si="17"/>
        <v>0.64422734442578733</v>
      </c>
      <c r="AJ10" s="10">
        <f t="shared" si="17"/>
        <v>0.75072040573250853</v>
      </c>
      <c r="AK10" s="38">
        <f t="shared" si="17"/>
        <v>0.91627340538894808</v>
      </c>
      <c r="AL10" s="9" t="str">
        <f t="shared" si="17"/>
        <v>/</v>
      </c>
      <c r="AM10" s="9">
        <f t="shared" si="17"/>
        <v>0.91627340538894808</v>
      </c>
      <c r="AN10" s="9">
        <f t="shared" si="17"/>
        <v>0.95024875621890548</v>
      </c>
      <c r="AO10" s="9">
        <f t="shared" si="17"/>
        <v>0.76628525382755841</v>
      </c>
      <c r="AP10" s="10">
        <f t="shared" si="17"/>
        <v>0.91627340538894808</v>
      </c>
      <c r="AQ10" s="38">
        <f t="shared" si="17"/>
        <v>0.7912499045582958</v>
      </c>
      <c r="AR10" s="9" t="str">
        <f t="shared" si="17"/>
        <v>/</v>
      </c>
      <c r="AS10" s="9">
        <f t="shared" ref="AS10:BT10" si="18">IFERROR(AS9/AS7,"/")</f>
        <v>0.7912499045582958</v>
      </c>
      <c r="AT10" s="9">
        <f t="shared" si="18"/>
        <v>0.94315673289183211</v>
      </c>
      <c r="AU10" s="9">
        <f t="shared" si="18"/>
        <v>0.69320605008678404</v>
      </c>
      <c r="AV10" s="121">
        <f t="shared" si="18"/>
        <v>0.73515572484875646</v>
      </c>
      <c r="AW10" s="38">
        <f t="shared" si="18"/>
        <v>0.57904019307528076</v>
      </c>
      <c r="AX10" s="9" t="str">
        <f t="shared" si="18"/>
        <v>/</v>
      </c>
      <c r="AY10" s="9">
        <f t="shared" si="18"/>
        <v>0.57904019307528076</v>
      </c>
      <c r="AZ10" s="9">
        <f t="shared" si="18"/>
        <v>0.8739665255091752</v>
      </c>
      <c r="BA10" s="9">
        <f t="shared" si="18"/>
        <v>0.80634413509812863</v>
      </c>
      <c r="BB10" s="121">
        <f t="shared" si="18"/>
        <v>0.75917918911256022</v>
      </c>
      <c r="BC10" s="38">
        <f t="shared" si="18"/>
        <v>0.80876875598595299</v>
      </c>
      <c r="BD10" s="9" t="str">
        <f t="shared" si="18"/>
        <v>/</v>
      </c>
      <c r="BE10" s="9">
        <f t="shared" si="18"/>
        <v>0.80876875598595299</v>
      </c>
      <c r="BF10" s="9">
        <f t="shared" si="18"/>
        <v>0.88164374257089495</v>
      </c>
      <c r="BG10" s="9">
        <f t="shared" si="18"/>
        <v>0.75245809739167679</v>
      </c>
      <c r="BH10" s="10">
        <f t="shared" si="18"/>
        <v>0.75655542312276525</v>
      </c>
      <c r="BI10" s="38">
        <f t="shared" si="18"/>
        <v>0.85188948565345712</v>
      </c>
      <c r="BJ10" s="9" t="str">
        <f t="shared" si="18"/>
        <v>/</v>
      </c>
      <c r="BK10" s="9">
        <f t="shared" si="18"/>
        <v>0.85188948565345712</v>
      </c>
      <c r="BL10" s="9">
        <f t="shared" si="18"/>
        <v>0.71522946506869334</v>
      </c>
      <c r="BM10" s="9">
        <f t="shared" si="18"/>
        <v>0.84939785077792052</v>
      </c>
      <c r="BN10" s="10">
        <f t="shared" si="18"/>
        <v>0.78087947882736164</v>
      </c>
      <c r="BO10" s="38">
        <f t="shared" si="18"/>
        <v>0.885349322210636</v>
      </c>
      <c r="BP10" s="9" t="str">
        <f t="shared" si="18"/>
        <v>/</v>
      </c>
      <c r="BQ10" s="9">
        <f t="shared" si="18"/>
        <v>0.885349322210636</v>
      </c>
      <c r="BR10" s="9">
        <f t="shared" si="18"/>
        <v>0.72427130268352002</v>
      </c>
      <c r="BS10" s="9">
        <f t="shared" si="18"/>
        <v>0.85175896781449134</v>
      </c>
      <c r="BT10" s="10">
        <f t="shared" si="18"/>
        <v>0.7141598766791456</v>
      </c>
      <c r="BU10" s="38">
        <f t="shared" ref="BU10:BZ10" si="19">IFERROR(BU9/BU7,"/")</f>
        <v>0.71332617382427821</v>
      </c>
      <c r="BV10" s="9" t="str">
        <f t="shared" si="19"/>
        <v>/</v>
      </c>
      <c r="BW10" s="9">
        <f t="shared" si="19"/>
        <v>0.71332617382427821</v>
      </c>
      <c r="BX10" s="9">
        <f t="shared" si="19"/>
        <v>0.76945100812363088</v>
      </c>
      <c r="BY10" s="9">
        <f t="shared" si="19"/>
        <v>0.70154576290940784</v>
      </c>
      <c r="BZ10" s="121">
        <f t="shared" si="19"/>
        <v>0.7088868197473428</v>
      </c>
      <c r="CA10" s="24"/>
      <c r="CB10" s="106"/>
    </row>
    <row r="11" spans="1:80">
      <c r="A11" s="3" t="s">
        <v>5</v>
      </c>
      <c r="B11" s="56"/>
      <c r="C11" s="20">
        <f>SUM(C12:C28)</f>
        <v>241.22000000000003</v>
      </c>
      <c r="D11" s="21">
        <f t="shared" ref="D11:L11" si="20">SUM(D12:D28)</f>
        <v>0</v>
      </c>
      <c r="E11" s="20">
        <f>SUM(E12:E28)</f>
        <v>241.22000000000003</v>
      </c>
      <c r="F11" s="39">
        <f t="shared" si="20"/>
        <v>241.22000000000003</v>
      </c>
      <c r="G11" s="20">
        <f t="shared" si="20"/>
        <v>427.54</v>
      </c>
      <c r="H11" s="21">
        <f t="shared" si="20"/>
        <v>0</v>
      </c>
      <c r="I11" s="21">
        <f t="shared" si="20"/>
        <v>427.54</v>
      </c>
      <c r="J11" s="21">
        <f t="shared" si="20"/>
        <v>0</v>
      </c>
      <c r="K11" s="21">
        <f t="shared" si="20"/>
        <v>427.54</v>
      </c>
      <c r="L11" s="39">
        <f t="shared" si="20"/>
        <v>427.54</v>
      </c>
      <c r="M11" s="20">
        <f t="shared" ref="M11:AR11" si="21">SUM(M12:M28)</f>
        <v>558.82999999999993</v>
      </c>
      <c r="N11" s="21">
        <f t="shared" si="21"/>
        <v>0</v>
      </c>
      <c r="O11" s="21">
        <f t="shared" si="21"/>
        <v>558.82999999999993</v>
      </c>
      <c r="P11" s="21">
        <f t="shared" si="21"/>
        <v>0</v>
      </c>
      <c r="Q11" s="21">
        <f t="shared" si="21"/>
        <v>558.82999999999993</v>
      </c>
      <c r="R11" s="39">
        <f t="shared" si="21"/>
        <v>558.82999999999993</v>
      </c>
      <c r="S11" s="20">
        <f t="shared" si="21"/>
        <v>340.21000000000004</v>
      </c>
      <c r="T11" s="21">
        <f t="shared" si="21"/>
        <v>0</v>
      </c>
      <c r="U11" s="21">
        <f t="shared" si="21"/>
        <v>340.21000000000004</v>
      </c>
      <c r="V11" s="21">
        <f t="shared" si="21"/>
        <v>0</v>
      </c>
      <c r="W11" s="21">
        <f t="shared" si="21"/>
        <v>351.25799999999998</v>
      </c>
      <c r="X11" s="39">
        <f t="shared" si="21"/>
        <v>340.21000000000004</v>
      </c>
      <c r="Y11" s="20">
        <f t="shared" si="21"/>
        <v>445.1</v>
      </c>
      <c r="Z11" s="21">
        <f t="shared" si="21"/>
        <v>0</v>
      </c>
      <c r="AA11" s="21">
        <f t="shared" si="21"/>
        <v>445.1</v>
      </c>
      <c r="AB11" s="21">
        <f t="shared" si="21"/>
        <v>0</v>
      </c>
      <c r="AC11" s="21">
        <f t="shared" si="21"/>
        <v>509.43800000000005</v>
      </c>
      <c r="AD11" s="39">
        <f t="shared" si="21"/>
        <v>445.1</v>
      </c>
      <c r="AE11" s="20">
        <f t="shared" si="21"/>
        <v>471.36999999999995</v>
      </c>
      <c r="AF11" s="21">
        <f t="shared" si="21"/>
        <v>0</v>
      </c>
      <c r="AG11" s="21">
        <f t="shared" si="21"/>
        <v>471.36999999999995</v>
      </c>
      <c r="AH11" s="21">
        <f t="shared" si="21"/>
        <v>10.36</v>
      </c>
      <c r="AI11" s="21">
        <f t="shared" si="21"/>
        <v>513.69800000000009</v>
      </c>
      <c r="AJ11" s="39">
        <f t="shared" si="21"/>
        <v>471.36999999999995</v>
      </c>
      <c r="AK11" s="20">
        <f t="shared" si="21"/>
        <v>235.45000000000007</v>
      </c>
      <c r="AL11" s="21">
        <f t="shared" si="21"/>
        <v>0</v>
      </c>
      <c r="AM11" s="21">
        <f t="shared" si="21"/>
        <v>235.45000000000007</v>
      </c>
      <c r="AN11" s="21">
        <f t="shared" si="21"/>
        <v>38.42</v>
      </c>
      <c r="AO11" s="21">
        <f t="shared" si="21"/>
        <v>402.96000000000004</v>
      </c>
      <c r="AP11" s="39">
        <f t="shared" si="21"/>
        <v>235.45000000000007</v>
      </c>
      <c r="AQ11" s="20">
        <f t="shared" si="21"/>
        <v>380.00000000000006</v>
      </c>
      <c r="AR11" s="21">
        <f t="shared" si="21"/>
        <v>0</v>
      </c>
      <c r="AS11" s="21">
        <f t="shared" ref="AS11:BT11" si="22">SUM(AS12:AS28)</f>
        <v>380.00000000000006</v>
      </c>
      <c r="AT11" s="21">
        <f t="shared" si="22"/>
        <v>33.440000000000005</v>
      </c>
      <c r="AU11" s="21">
        <f t="shared" si="22"/>
        <v>402</v>
      </c>
      <c r="AV11" s="49">
        <f t="shared" si="22"/>
        <v>321.2</v>
      </c>
      <c r="AW11" s="20">
        <f t="shared" si="22"/>
        <v>343.05</v>
      </c>
      <c r="AX11" s="21">
        <f t="shared" si="22"/>
        <v>0</v>
      </c>
      <c r="AY11" s="21">
        <f t="shared" si="22"/>
        <v>343.05</v>
      </c>
      <c r="AZ11" s="21">
        <f t="shared" si="22"/>
        <v>124.1</v>
      </c>
      <c r="BA11" s="21">
        <f t="shared" si="22"/>
        <v>256.21698113207549</v>
      </c>
      <c r="BB11" s="49">
        <f t="shared" si="22"/>
        <v>299.12</v>
      </c>
      <c r="BC11" s="20">
        <f t="shared" si="22"/>
        <v>330.29999999999995</v>
      </c>
      <c r="BD11" s="21">
        <f t="shared" si="22"/>
        <v>0</v>
      </c>
      <c r="BE11" s="21">
        <f t="shared" si="22"/>
        <v>330.29999999999995</v>
      </c>
      <c r="BF11" s="21">
        <f t="shared" si="22"/>
        <v>162.64000000000004</v>
      </c>
      <c r="BG11" s="21">
        <f t="shared" si="22"/>
        <v>258</v>
      </c>
      <c r="BH11" s="39">
        <f t="shared" si="22"/>
        <v>264.88</v>
      </c>
      <c r="BI11" s="20">
        <f t="shared" si="22"/>
        <v>254.6</v>
      </c>
      <c r="BJ11" s="21">
        <f t="shared" si="22"/>
        <v>0</v>
      </c>
      <c r="BK11" s="21">
        <f t="shared" si="22"/>
        <v>254.6</v>
      </c>
      <c r="BL11" s="21">
        <f t="shared" si="22"/>
        <v>230.25</v>
      </c>
      <c r="BM11" s="21">
        <f t="shared" si="22"/>
        <v>344</v>
      </c>
      <c r="BN11" s="51">
        <f t="shared" si="22"/>
        <v>432.52</v>
      </c>
      <c r="BO11" s="20">
        <f t="shared" si="22"/>
        <v>343.57999999999993</v>
      </c>
      <c r="BP11" s="21">
        <f t="shared" si="22"/>
        <v>0</v>
      </c>
      <c r="BQ11" s="21">
        <f t="shared" si="22"/>
        <v>343.57999999999993</v>
      </c>
      <c r="BR11" s="21">
        <f t="shared" si="22"/>
        <v>313.58999999999997</v>
      </c>
      <c r="BS11" s="21">
        <f t="shared" si="22"/>
        <v>365.6</v>
      </c>
      <c r="BT11" s="39">
        <f t="shared" si="22"/>
        <v>427.22</v>
      </c>
      <c r="BU11" s="20">
        <f t="shared" ref="BU11:BZ11" si="23">SUM(BU12:BU28)</f>
        <v>4371.25</v>
      </c>
      <c r="BV11" s="21">
        <f t="shared" si="23"/>
        <v>0</v>
      </c>
      <c r="BW11" s="21">
        <f t="shared" si="23"/>
        <v>4371.25</v>
      </c>
      <c r="BX11" s="21">
        <f t="shared" si="23"/>
        <v>912.8</v>
      </c>
      <c r="BY11" s="21">
        <f t="shared" si="23"/>
        <v>4630.7609811320763</v>
      </c>
      <c r="BZ11" s="126">
        <f t="shared" si="23"/>
        <v>4464.66</v>
      </c>
      <c r="CA11" s="24"/>
      <c r="CB11" s="106"/>
    </row>
    <row r="12" spans="1:80" outlineLevel="1">
      <c r="A12" s="4" t="s">
        <v>61</v>
      </c>
      <c r="B12" s="57" t="s">
        <v>20</v>
      </c>
      <c r="C12" s="43">
        <f>珀芙研电商!C12+珀芙研药房!C12</f>
        <v>0</v>
      </c>
      <c r="D12" s="23">
        <f>珀芙研电商!D12+珀芙研药房!D12</f>
        <v>0</v>
      </c>
      <c r="E12" s="117"/>
      <c r="F12" s="49">
        <f>珀芙研电商!F12+珀芙研药房!F12</f>
        <v>0</v>
      </c>
      <c r="G12" s="43">
        <f>珀芙研电商!G12+珀芙研药房!G12</f>
        <v>0</v>
      </c>
      <c r="H12" s="23">
        <f>珀芙研电商!H12+珀芙研药房!H12</f>
        <v>0</v>
      </c>
      <c r="I12" s="19">
        <f t="shared" ref="I12:I28" si="24">G12</f>
        <v>0</v>
      </c>
      <c r="J12" s="23">
        <f>珀芙研电商!J12+珀芙研药房!J12</f>
        <v>0</v>
      </c>
      <c r="K12" s="23">
        <f>珀芙研电商!K12+珀芙研药房!K12</f>
        <v>0</v>
      </c>
      <c r="L12" s="49">
        <f>珀芙研电商!L12+珀芙研药房!L12</f>
        <v>0</v>
      </c>
      <c r="M12" s="43">
        <f>珀芙研电商!M12+珀芙研药房!M12</f>
        <v>0</v>
      </c>
      <c r="N12" s="23">
        <f>珀芙研电商!N12+珀芙研药房!N12</f>
        <v>0</v>
      </c>
      <c r="O12" s="19">
        <f t="shared" ref="O12:O28" si="25">M12</f>
        <v>0</v>
      </c>
      <c r="P12" s="23">
        <f>珀芙研电商!P12+珀芙研药房!P12</f>
        <v>0</v>
      </c>
      <c r="Q12" s="23">
        <f>珀芙研电商!Q12+珀芙研药房!Q12</f>
        <v>0</v>
      </c>
      <c r="R12" s="49">
        <f>珀芙研电商!R12+珀芙研药房!R12</f>
        <v>0</v>
      </c>
      <c r="S12" s="43">
        <f>珀芙研电商!S12+珀芙研药房!S12</f>
        <v>0</v>
      </c>
      <c r="T12" s="23">
        <f>珀芙研电商!T12+珀芙研药房!T12</f>
        <v>0</v>
      </c>
      <c r="U12" s="19">
        <f t="shared" ref="U12:U28" si="26">S12</f>
        <v>0</v>
      </c>
      <c r="V12" s="23">
        <f>珀芙研电商!V12+珀芙研药房!V12</f>
        <v>0</v>
      </c>
      <c r="W12" s="23">
        <f>珀芙研电商!W12+珀芙研药房!W12</f>
        <v>0</v>
      </c>
      <c r="X12" s="49">
        <f>珀芙研电商!X12+珀芙研药房!X12</f>
        <v>0</v>
      </c>
      <c r="Y12" s="43">
        <f>珀芙研电商!Y12+珀芙研药房!Y12</f>
        <v>0</v>
      </c>
      <c r="Z12" s="23">
        <f>珀芙研电商!Z12+珀芙研药房!Z12</f>
        <v>0</v>
      </c>
      <c r="AA12" s="19">
        <f t="shared" ref="AA12:AA28" si="27">Y12</f>
        <v>0</v>
      </c>
      <c r="AB12" s="23">
        <f>珀芙研电商!AB12+珀芙研药房!AB12</f>
        <v>0</v>
      </c>
      <c r="AC12" s="23">
        <f>珀芙研电商!AC12+珀芙研药房!AC12</f>
        <v>0</v>
      </c>
      <c r="AD12" s="49">
        <f>珀芙研电商!AD12+珀芙研药房!AD12</f>
        <v>0</v>
      </c>
      <c r="AE12" s="43">
        <f>珀芙研电商!AE12+珀芙研药房!AE12</f>
        <v>0</v>
      </c>
      <c r="AF12" s="23">
        <f>珀芙研电商!AF12+珀芙研药房!AF12</f>
        <v>0</v>
      </c>
      <c r="AG12" s="43">
        <f>珀芙研电商!AG12+珀芙研药房!AG12</f>
        <v>0</v>
      </c>
      <c r="AH12" s="23">
        <f>珀芙研电商!AH12+珀芙研药房!AH12</f>
        <v>0</v>
      </c>
      <c r="AI12" s="23">
        <f>珀芙研电商!AI12+珀芙研药房!AI12</f>
        <v>0</v>
      </c>
      <c r="AJ12" s="49">
        <f>珀芙研电商!AJ12+珀芙研药房!AJ12</f>
        <v>0</v>
      </c>
      <c r="AK12" s="43">
        <f>珀芙研电商!AK12+珀芙研药房!AK12</f>
        <v>0</v>
      </c>
      <c r="AL12" s="23">
        <f>珀芙研电商!AL12+珀芙研药房!AL12</f>
        <v>0</v>
      </c>
      <c r="AM12" s="19">
        <f t="shared" ref="AM12:AM28" si="28">AK12</f>
        <v>0</v>
      </c>
      <c r="AN12" s="23">
        <f>珀芙研电商!AN12+珀芙研药房!AN12</f>
        <v>0</v>
      </c>
      <c r="AO12" s="23">
        <f>珀芙研电商!AO12+珀芙研药房!AO12</f>
        <v>0</v>
      </c>
      <c r="AP12" s="49">
        <f>珀芙研电商!AP12+珀芙研药房!AP12</f>
        <v>0</v>
      </c>
      <c r="AQ12" s="43">
        <f>珀芙研电商!AQ12+珀芙研药房!AQ12</f>
        <v>0</v>
      </c>
      <c r="AR12" s="23">
        <f>珀芙研电商!AR12+珀芙研药房!AR12</f>
        <v>0</v>
      </c>
      <c r="AS12" s="19">
        <f t="shared" ref="AS12:AS28" si="29">AQ12</f>
        <v>0</v>
      </c>
      <c r="AT12" s="23">
        <f>珀芙研电商!AT12+珀芙研药房!AT12</f>
        <v>0</v>
      </c>
      <c r="AU12" s="23">
        <f>珀芙研电商!AU12+珀芙研药房!AU12</f>
        <v>0</v>
      </c>
      <c r="AV12" s="49">
        <f>珀芙研电商!AV12+珀芙研药房!AV12</f>
        <v>0</v>
      </c>
      <c r="AW12" s="43">
        <f>珀芙研电商!AW12+珀芙研药房!AW12</f>
        <v>0</v>
      </c>
      <c r="AX12" s="23">
        <f>珀芙研电商!AX12+珀芙研药房!AX12</f>
        <v>0</v>
      </c>
      <c r="AY12" s="19">
        <f t="shared" ref="AY12:AY28" si="30">AW12</f>
        <v>0</v>
      </c>
      <c r="AZ12" s="23">
        <f>珀芙研电商!AZ12+珀芙研药房!AZ12</f>
        <v>0</v>
      </c>
      <c r="BA12" s="23">
        <f>珀芙研电商!BA12+珀芙研药房!BA12</f>
        <v>0</v>
      </c>
      <c r="BB12" s="49">
        <f>珀芙研电商!BB12+珀芙研药房!BB12</f>
        <v>0</v>
      </c>
      <c r="BC12" s="43">
        <f>珀芙研电商!BC12+珀芙研药房!BC12</f>
        <v>0</v>
      </c>
      <c r="BD12" s="23">
        <f>珀芙研电商!BD12+珀芙研药房!BD12</f>
        <v>0</v>
      </c>
      <c r="BE12" s="19">
        <f t="shared" ref="BE12:BE28" si="31">BC12</f>
        <v>0</v>
      </c>
      <c r="BF12" s="23">
        <f>珀芙研电商!BF12+珀芙研药房!BF12</f>
        <v>0</v>
      </c>
      <c r="BG12" s="23">
        <f>珀芙研电商!BG12+珀芙研药房!BG12</f>
        <v>0</v>
      </c>
      <c r="BH12" s="49">
        <f>珀芙研电商!BH12+珀芙研药房!BH12</f>
        <v>0</v>
      </c>
      <c r="BI12" s="43">
        <f>珀芙研电商!BI12+珀芙研药房!BI12</f>
        <v>0</v>
      </c>
      <c r="BJ12" s="23">
        <f>珀芙研电商!BJ12+珀芙研药房!BJ12</f>
        <v>0</v>
      </c>
      <c r="BK12" s="19">
        <f t="shared" ref="BK12:BK28" si="32">BI12</f>
        <v>0</v>
      </c>
      <c r="BL12" s="23">
        <f>珀芙研电商!BL12+珀芙研药房!BL12</f>
        <v>0</v>
      </c>
      <c r="BM12" s="23">
        <f>珀芙研电商!BM12+珀芙研药房!BM12</f>
        <v>0</v>
      </c>
      <c r="BN12" s="49">
        <f>珀芙研电商!BN12+珀芙研药房!BN12</f>
        <v>0</v>
      </c>
      <c r="BO12" s="43">
        <f>珀芙研电商!BO12+珀芙研药房!BO12</f>
        <v>0</v>
      </c>
      <c r="BP12" s="23">
        <f>珀芙研电商!BP12+珀芙研药房!BP12</f>
        <v>0</v>
      </c>
      <c r="BQ12" s="19">
        <f t="shared" ref="BQ12:BQ28" si="33">SUM(BO12:BP12)</f>
        <v>0</v>
      </c>
      <c r="BR12" s="23">
        <f>珀芙研电商!BR12+珀芙研药房!BR12</f>
        <v>0</v>
      </c>
      <c r="BS12" s="23">
        <f>BQ12</f>
        <v>0</v>
      </c>
      <c r="BT12" s="49">
        <f>珀芙研电商!BT12+珀芙研药房!BT12</f>
        <v>0</v>
      </c>
      <c r="BU12" s="18">
        <f>C12+G12+M12+S12+Y12+AE12+AK12+AQ12+AW12+BC12+BI12+BO12</f>
        <v>0</v>
      </c>
      <c r="BV12" s="19">
        <f>BJ12+BP12</f>
        <v>0</v>
      </c>
      <c r="BW12" s="19">
        <f t="shared" ref="BW12:BW28" si="34">BV12+BU12</f>
        <v>0</v>
      </c>
      <c r="BX12" s="19">
        <f t="shared" ref="BX12:BZ28" si="35">SUMIF($C$3:$BT$3,BX$3,$C12:$BT12)</f>
        <v>0</v>
      </c>
      <c r="BY12" s="19">
        <f t="shared" si="35"/>
        <v>0</v>
      </c>
      <c r="BZ12" s="49">
        <f t="shared" si="35"/>
        <v>0</v>
      </c>
      <c r="CA12" s="24"/>
      <c r="CB12" s="106"/>
    </row>
    <row r="13" spans="1:80" outlineLevel="1">
      <c r="A13" s="4" t="s">
        <v>34</v>
      </c>
      <c r="B13" s="57" t="s">
        <v>13</v>
      </c>
      <c r="C13" s="43">
        <f>珀芙研电商!C13+珀芙研药房!C13</f>
        <v>0</v>
      </c>
      <c r="D13" s="23">
        <f>珀芙研电商!D13+珀芙研药房!D13</f>
        <v>0</v>
      </c>
      <c r="E13" s="117"/>
      <c r="F13" s="49">
        <f>珀芙研电商!F13+珀芙研药房!F13</f>
        <v>0</v>
      </c>
      <c r="G13" s="43">
        <f>珀芙研电商!G13+珀芙研药房!G13</f>
        <v>0</v>
      </c>
      <c r="H13" s="23">
        <f>珀芙研电商!H13+珀芙研药房!H13</f>
        <v>0</v>
      </c>
      <c r="I13" s="19">
        <f t="shared" si="24"/>
        <v>0</v>
      </c>
      <c r="J13" s="23">
        <f>珀芙研电商!J13+珀芙研药房!J13</f>
        <v>0</v>
      </c>
      <c r="K13" s="23">
        <f>珀芙研电商!K13+珀芙研药房!K13</f>
        <v>0</v>
      </c>
      <c r="L13" s="49">
        <f>珀芙研电商!L13+珀芙研药房!L13</f>
        <v>0</v>
      </c>
      <c r="M13" s="43">
        <f>珀芙研电商!M13+珀芙研药房!M13</f>
        <v>0</v>
      </c>
      <c r="N13" s="23">
        <f>珀芙研电商!N13+珀芙研药房!N13</f>
        <v>0</v>
      </c>
      <c r="O13" s="19">
        <f t="shared" si="25"/>
        <v>0</v>
      </c>
      <c r="P13" s="23">
        <f>珀芙研电商!P13+珀芙研药房!P13</f>
        <v>0</v>
      </c>
      <c r="Q13" s="23">
        <f>珀芙研电商!Q13+珀芙研药房!Q13</f>
        <v>0</v>
      </c>
      <c r="R13" s="49">
        <f>珀芙研电商!R13+珀芙研药房!R13</f>
        <v>0</v>
      </c>
      <c r="S13" s="43">
        <f>珀芙研电商!S13+珀芙研药房!S13</f>
        <v>0</v>
      </c>
      <c r="T13" s="23">
        <f>珀芙研电商!T13+珀芙研药房!T13</f>
        <v>0</v>
      </c>
      <c r="U13" s="19">
        <f t="shared" si="26"/>
        <v>0</v>
      </c>
      <c r="V13" s="23">
        <f>珀芙研电商!V13+珀芙研药房!V13</f>
        <v>0</v>
      </c>
      <c r="W13" s="23">
        <f>珀芙研电商!W13+珀芙研药房!W13</f>
        <v>0</v>
      </c>
      <c r="X13" s="49">
        <f>珀芙研电商!X13+珀芙研药房!X13</f>
        <v>0</v>
      </c>
      <c r="Y13" s="43">
        <f>珀芙研电商!Y13+珀芙研药房!Y13</f>
        <v>0</v>
      </c>
      <c r="Z13" s="23">
        <f>珀芙研电商!Z13+珀芙研药房!Z13</f>
        <v>0</v>
      </c>
      <c r="AA13" s="19">
        <f t="shared" si="27"/>
        <v>0</v>
      </c>
      <c r="AB13" s="23">
        <f>珀芙研电商!AB13+珀芙研药房!AB13</f>
        <v>0</v>
      </c>
      <c r="AC13" s="23">
        <f>珀芙研电商!AC13+珀芙研药房!AC13</f>
        <v>0</v>
      </c>
      <c r="AD13" s="49">
        <f>珀芙研电商!AD13+珀芙研药房!AD13</f>
        <v>0</v>
      </c>
      <c r="AE13" s="43">
        <f>珀芙研电商!AE13+珀芙研药房!AE13</f>
        <v>0</v>
      </c>
      <c r="AF13" s="23">
        <f>珀芙研电商!AF13+珀芙研药房!AF13</f>
        <v>0</v>
      </c>
      <c r="AG13" s="43">
        <f>珀芙研电商!AG13+珀芙研药房!AG13</f>
        <v>0</v>
      </c>
      <c r="AH13" s="23">
        <f>珀芙研电商!AH13+珀芙研药房!AH13</f>
        <v>0</v>
      </c>
      <c r="AI13" s="23">
        <f>珀芙研电商!AI13+珀芙研药房!AI13</f>
        <v>0</v>
      </c>
      <c r="AJ13" s="49">
        <f>珀芙研电商!AJ13+珀芙研药房!AJ13</f>
        <v>0</v>
      </c>
      <c r="AK13" s="43">
        <f>珀芙研电商!AK13+珀芙研药房!AK13</f>
        <v>0</v>
      </c>
      <c r="AL13" s="23">
        <f>珀芙研电商!AL13+珀芙研药房!AL13</f>
        <v>0</v>
      </c>
      <c r="AM13" s="19">
        <f t="shared" si="28"/>
        <v>0</v>
      </c>
      <c r="AN13" s="23">
        <f>珀芙研电商!AN13+珀芙研药房!AN13</f>
        <v>0</v>
      </c>
      <c r="AO13" s="23">
        <f>珀芙研电商!AO13+珀芙研药房!AO13</f>
        <v>0</v>
      </c>
      <c r="AP13" s="49">
        <f>珀芙研电商!AP13+珀芙研药房!AP13</f>
        <v>0</v>
      </c>
      <c r="AQ13" s="43">
        <f>珀芙研电商!AQ13+珀芙研药房!AQ13</f>
        <v>0</v>
      </c>
      <c r="AR13" s="23">
        <f>珀芙研电商!AR13+珀芙研药房!AR13</f>
        <v>0</v>
      </c>
      <c r="AS13" s="19">
        <f t="shared" si="29"/>
        <v>0</v>
      </c>
      <c r="AT13" s="23">
        <f>珀芙研电商!AT13+珀芙研药房!AT13</f>
        <v>0</v>
      </c>
      <c r="AU13" s="23">
        <f>珀芙研电商!AU13+珀芙研药房!AU13</f>
        <v>0</v>
      </c>
      <c r="AV13" s="49">
        <f>珀芙研电商!AV13+珀芙研药房!AV13</f>
        <v>0</v>
      </c>
      <c r="AW13" s="43">
        <f>珀芙研电商!AW13+珀芙研药房!AW13</f>
        <v>0</v>
      </c>
      <c r="AX13" s="23">
        <f>珀芙研电商!AX13+珀芙研药房!AX13</f>
        <v>0</v>
      </c>
      <c r="AY13" s="19">
        <f t="shared" si="30"/>
        <v>0</v>
      </c>
      <c r="AZ13" s="23">
        <f>珀芙研电商!AZ13+珀芙研药房!AZ13</f>
        <v>0</v>
      </c>
      <c r="BA13" s="23">
        <f>珀芙研电商!BA13+珀芙研药房!BA13</f>
        <v>0</v>
      </c>
      <c r="BB13" s="49">
        <f>珀芙研电商!BB13+珀芙研药房!BB13</f>
        <v>0</v>
      </c>
      <c r="BC13" s="43">
        <f>珀芙研电商!BC13+珀芙研药房!BC13</f>
        <v>0</v>
      </c>
      <c r="BD13" s="23">
        <f>珀芙研电商!BD13+珀芙研药房!BD13</f>
        <v>0</v>
      </c>
      <c r="BE13" s="19">
        <f t="shared" si="31"/>
        <v>0</v>
      </c>
      <c r="BF13" s="23">
        <f>珀芙研电商!BF13+珀芙研药房!BF13</f>
        <v>0</v>
      </c>
      <c r="BG13" s="23">
        <f>珀芙研电商!BG13+珀芙研药房!BG13</f>
        <v>0</v>
      </c>
      <c r="BH13" s="49">
        <f>珀芙研电商!BH13+珀芙研药房!BH13</f>
        <v>0</v>
      </c>
      <c r="BI13" s="43">
        <f>珀芙研电商!BI13+珀芙研药房!BI13</f>
        <v>0</v>
      </c>
      <c r="BJ13" s="23">
        <f>珀芙研电商!BJ13+珀芙研药房!BJ13</f>
        <v>0</v>
      </c>
      <c r="BK13" s="19">
        <f t="shared" si="32"/>
        <v>0</v>
      </c>
      <c r="BL13" s="23">
        <f>珀芙研电商!BL13+珀芙研药房!BL13</f>
        <v>0</v>
      </c>
      <c r="BM13" s="23">
        <f>珀芙研电商!BM13+珀芙研药房!BM13</f>
        <v>0</v>
      </c>
      <c r="BN13" s="49">
        <f>珀芙研电商!BN13+珀芙研药房!BN13</f>
        <v>0</v>
      </c>
      <c r="BO13" s="43">
        <f>珀芙研电商!BO13+珀芙研药房!BO13</f>
        <v>0</v>
      </c>
      <c r="BP13" s="23">
        <f>珀芙研电商!BP13+珀芙研药房!BP13</f>
        <v>0</v>
      </c>
      <c r="BQ13" s="19">
        <f t="shared" si="33"/>
        <v>0</v>
      </c>
      <c r="BR13" s="23">
        <f>珀芙研电商!BR13+珀芙研药房!BR13</f>
        <v>0</v>
      </c>
      <c r="BS13" s="23">
        <f>珀芙研电商!BS13+珀芙研药房!BS13</f>
        <v>0</v>
      </c>
      <c r="BT13" s="49">
        <f>珀芙研电商!BT13+珀芙研药房!BT13</f>
        <v>0</v>
      </c>
      <c r="BU13" s="18">
        <f t="shared" ref="BU13:BU28" si="36">C13+G13+M13+S13+Y13+AE13+AK13+AQ13+AW13+BC13+BI13+BO13</f>
        <v>0</v>
      </c>
      <c r="BV13" s="19">
        <f t="shared" ref="BV13:BV28" si="37">BJ13+BP13</f>
        <v>0</v>
      </c>
      <c r="BW13" s="19">
        <f t="shared" si="34"/>
        <v>0</v>
      </c>
      <c r="BX13" s="19">
        <f t="shared" si="35"/>
        <v>0</v>
      </c>
      <c r="BY13" s="19">
        <f t="shared" si="35"/>
        <v>0</v>
      </c>
      <c r="BZ13" s="49">
        <f t="shared" si="35"/>
        <v>0</v>
      </c>
      <c r="CA13" s="24"/>
      <c r="CB13" s="106"/>
    </row>
    <row r="14" spans="1:80" outlineLevel="1">
      <c r="A14" s="4" t="s">
        <v>35</v>
      </c>
      <c r="B14" s="58" t="s">
        <v>9</v>
      </c>
      <c r="C14" s="43">
        <f>珀芙研电商!C14+珀芙研药房!C14</f>
        <v>58.43</v>
      </c>
      <c r="D14" s="23">
        <f>珀芙研电商!D14+珀芙研药房!D14</f>
        <v>0</v>
      </c>
      <c r="E14" s="43">
        <f>珀芙研电商!E14+珀芙研药房!E14</f>
        <v>58.43</v>
      </c>
      <c r="F14" s="49">
        <f>珀芙研电商!F14+珀芙研药房!F14</f>
        <v>58.43</v>
      </c>
      <c r="G14" s="43">
        <f>珀芙研电商!G14+珀芙研药房!G14</f>
        <v>69.72</v>
      </c>
      <c r="H14" s="23">
        <f>珀芙研电商!H14+珀芙研药房!H14</f>
        <v>0</v>
      </c>
      <c r="I14" s="19">
        <f t="shared" si="24"/>
        <v>69.72</v>
      </c>
      <c r="J14" s="23">
        <f>珀芙研电商!J14+珀芙研药房!J14</f>
        <v>0</v>
      </c>
      <c r="K14" s="23">
        <f>珀芙研电商!K14+珀芙研药房!K14</f>
        <v>69.72</v>
      </c>
      <c r="L14" s="49">
        <f>珀芙研电商!L14+珀芙研药房!L14</f>
        <v>69.72</v>
      </c>
      <c r="M14" s="43">
        <f>珀芙研电商!M14+珀芙研药房!M14</f>
        <v>58.37</v>
      </c>
      <c r="N14" s="23">
        <f>珀芙研电商!N14+珀芙研药房!N14</f>
        <v>0</v>
      </c>
      <c r="O14" s="19">
        <f t="shared" si="25"/>
        <v>58.37</v>
      </c>
      <c r="P14" s="23">
        <f>珀芙研电商!P14+珀芙研药房!P14</f>
        <v>0</v>
      </c>
      <c r="Q14" s="23">
        <f>珀芙研电商!Q14+珀芙研药房!Q14</f>
        <v>58.37</v>
      </c>
      <c r="R14" s="49">
        <f>珀芙研电商!R14+珀芙研药房!R14</f>
        <v>58.37</v>
      </c>
      <c r="S14" s="43">
        <f>珀芙研电商!S14+珀芙研药房!S14</f>
        <v>31.29</v>
      </c>
      <c r="T14" s="23">
        <f>珀芙研电商!T14+珀芙研药房!T14</f>
        <v>0</v>
      </c>
      <c r="U14" s="19">
        <f t="shared" si="26"/>
        <v>31.29</v>
      </c>
      <c r="V14" s="23">
        <f>珀芙研电商!V14+珀芙研药房!V14</f>
        <v>0</v>
      </c>
      <c r="W14" s="23">
        <f>珀芙研电商!W14+珀芙研药房!W14</f>
        <v>95</v>
      </c>
      <c r="X14" s="49">
        <f>珀芙研电商!X14+珀芙研药房!X14</f>
        <v>31.29</v>
      </c>
      <c r="Y14" s="43">
        <f>珀芙研电商!Y14+珀芙研药房!Y14</f>
        <v>128.22999999999999</v>
      </c>
      <c r="Z14" s="23">
        <f>珀芙研电商!Z14+珀芙研药房!Z14</f>
        <v>0</v>
      </c>
      <c r="AA14" s="19">
        <f t="shared" si="27"/>
        <v>128.22999999999999</v>
      </c>
      <c r="AB14" s="23">
        <f>珀芙研电商!AB14+珀芙研药房!AB14</f>
        <v>0</v>
      </c>
      <c r="AC14" s="23">
        <f>珀芙研电商!AC14+珀芙研药房!AC14</f>
        <v>80</v>
      </c>
      <c r="AD14" s="49">
        <f>珀芙研电商!AD14+珀芙研药房!AD14</f>
        <v>128.22999999999999</v>
      </c>
      <c r="AE14" s="43">
        <f>珀芙研电商!AE14+珀芙研药房!AE14</f>
        <v>159.69</v>
      </c>
      <c r="AF14" s="23">
        <f>珀芙研电商!AF14+珀芙研药房!AF14</f>
        <v>0</v>
      </c>
      <c r="AG14" s="43">
        <f>珀芙研电商!AG14+珀芙研药房!AG14</f>
        <v>159.69</v>
      </c>
      <c r="AH14" s="23">
        <f>珀芙研电商!AH14+珀芙研药房!AH14</f>
        <v>0</v>
      </c>
      <c r="AI14" s="23">
        <f>珀芙研电商!AI14+珀芙研药房!AI14</f>
        <v>80</v>
      </c>
      <c r="AJ14" s="49">
        <f>珀芙研电商!AJ14+珀芙研药房!AJ14</f>
        <v>159.69</v>
      </c>
      <c r="AK14" s="43">
        <f>珀芙研电商!AK14+珀芙研药房!AK14</f>
        <v>63.36</v>
      </c>
      <c r="AL14" s="23">
        <f>珀芙研电商!AL14+珀芙研药房!AL14</f>
        <v>0</v>
      </c>
      <c r="AM14" s="19">
        <f t="shared" si="28"/>
        <v>63.36</v>
      </c>
      <c r="AN14" s="23">
        <f>珀芙研电商!AN14+珀芙研药房!AN14</f>
        <v>0</v>
      </c>
      <c r="AO14" s="23">
        <f>珀芙研电商!AO14+珀芙研药房!AO14</f>
        <v>60</v>
      </c>
      <c r="AP14" s="49">
        <f>珀芙研电商!AP14+珀芙研药房!AP14</f>
        <v>63.36</v>
      </c>
      <c r="AQ14" s="43">
        <f>珀芙研电商!AQ14+珀芙研药房!AQ14</f>
        <v>46.75</v>
      </c>
      <c r="AR14" s="23">
        <f>珀芙研电商!AR14+珀芙研药房!AR14</f>
        <v>0</v>
      </c>
      <c r="AS14" s="19">
        <f t="shared" si="29"/>
        <v>46.75</v>
      </c>
      <c r="AT14" s="23">
        <f>珀芙研电商!AT14+珀芙研药房!AT14</f>
        <v>0</v>
      </c>
      <c r="AU14" s="23">
        <f>珀芙研电商!AU14+珀芙研药房!AU14</f>
        <v>80</v>
      </c>
      <c r="AV14" s="49">
        <f>珀芙研电商!AV14+珀芙研药房!AV14</f>
        <v>30</v>
      </c>
      <c r="AW14" s="43">
        <f>珀芙研电商!AW14+珀芙研药房!AW14</f>
        <v>34.64</v>
      </c>
      <c r="AX14" s="23">
        <f>珀芙研电商!AX14+珀芙研药房!AX14</f>
        <v>0</v>
      </c>
      <c r="AY14" s="19">
        <f t="shared" si="30"/>
        <v>34.64</v>
      </c>
      <c r="AZ14" s="23">
        <f>珀芙研电商!AZ14+珀芙研药房!AZ14</f>
        <v>0</v>
      </c>
      <c r="BA14" s="23">
        <f>珀芙研电商!BA14+珀芙研药房!BA14</f>
        <v>30</v>
      </c>
      <c r="BB14" s="49">
        <f>珀芙研电商!BB14+珀芙研药房!BB14</f>
        <v>30</v>
      </c>
      <c r="BC14" s="43">
        <f>珀芙研电商!BC14+珀芙研药房!BC14</f>
        <v>85.78</v>
      </c>
      <c r="BD14" s="23">
        <f>珀芙研电商!BD14+珀芙研药房!BD14</f>
        <v>0</v>
      </c>
      <c r="BE14" s="19">
        <f t="shared" si="31"/>
        <v>85.78</v>
      </c>
      <c r="BF14" s="23">
        <f>珀芙研电商!BF14+珀芙研药房!BF14</f>
        <v>2.0499999999999998</v>
      </c>
      <c r="BG14" s="23">
        <f>珀芙研电商!BG14+珀芙研药房!BG14</f>
        <v>30</v>
      </c>
      <c r="BH14" s="49">
        <f>珀芙研电商!BH14+珀芙研药房!BH14</f>
        <v>30</v>
      </c>
      <c r="BI14" s="43">
        <f>珀芙研电商!BI14+珀芙研药房!BI14</f>
        <v>-12.1</v>
      </c>
      <c r="BJ14" s="23">
        <f>珀芙研电商!BJ14+珀芙研药房!BJ14</f>
        <v>0</v>
      </c>
      <c r="BK14" s="19">
        <f t="shared" si="32"/>
        <v>-12.1</v>
      </c>
      <c r="BL14" s="23">
        <f>珀芙研电商!BL14+珀芙研药房!BL14</f>
        <v>86.9</v>
      </c>
      <c r="BM14" s="23">
        <f>珀芙研电商!BM14+珀芙研药房!BM14</f>
        <v>50</v>
      </c>
      <c r="BN14" s="127">
        <f>珀芙研电商!BN14+珀芙研药房!BN14</f>
        <v>50</v>
      </c>
      <c r="BO14" s="43">
        <f>珀芙研电商!BO14+珀芙研药房!BO14</f>
        <v>47.87</v>
      </c>
      <c r="BP14" s="23">
        <f>珀芙研电商!BP14+珀芙研药房!BP14</f>
        <v>0</v>
      </c>
      <c r="BQ14" s="19">
        <f t="shared" si="33"/>
        <v>47.87</v>
      </c>
      <c r="BR14" s="23">
        <f>珀芙研电商!BR14+珀芙研药房!BR14</f>
        <v>78.180000000000007</v>
      </c>
      <c r="BS14" s="23">
        <f>珀芙研电商!BS14+珀芙研药房!BS14</f>
        <v>30</v>
      </c>
      <c r="BT14" s="49">
        <f>珀芙研电商!BT14+珀芙研药房!BT14</f>
        <v>30</v>
      </c>
      <c r="BU14" s="18">
        <f t="shared" si="36"/>
        <v>772.02999999999986</v>
      </c>
      <c r="BV14" s="19">
        <f t="shared" si="37"/>
        <v>0</v>
      </c>
      <c r="BW14" s="19">
        <f t="shared" si="34"/>
        <v>772.02999999999986</v>
      </c>
      <c r="BX14" s="19">
        <f t="shared" si="35"/>
        <v>167.13</v>
      </c>
      <c r="BY14" s="19">
        <f t="shared" si="35"/>
        <v>721.52</v>
      </c>
      <c r="BZ14" s="49">
        <f t="shared" si="35"/>
        <v>739.08999999999992</v>
      </c>
      <c r="CA14" s="24"/>
      <c r="CB14" s="106"/>
    </row>
    <row r="15" spans="1:80" outlineLevel="1">
      <c r="A15" s="4" t="s">
        <v>36</v>
      </c>
      <c r="B15" s="58" t="s">
        <v>14</v>
      </c>
      <c r="C15" s="43">
        <f>珀芙研电商!C15+珀芙研药房!C15</f>
        <v>2.41</v>
      </c>
      <c r="D15" s="23">
        <f>珀芙研电商!D15+珀芙研药房!D15</f>
        <v>0</v>
      </c>
      <c r="E15" s="43">
        <f>珀芙研电商!E15+珀芙研药房!E15</f>
        <v>2.41</v>
      </c>
      <c r="F15" s="49">
        <f>珀芙研电商!F15+珀芙研药房!F15</f>
        <v>2.41</v>
      </c>
      <c r="G15" s="43">
        <f>珀芙研电商!G15+珀芙研药房!G15</f>
        <v>0</v>
      </c>
      <c r="H15" s="23">
        <f>珀芙研电商!H15+珀芙研药房!H15</f>
        <v>0</v>
      </c>
      <c r="I15" s="19">
        <f t="shared" si="24"/>
        <v>0</v>
      </c>
      <c r="J15" s="23">
        <f>珀芙研电商!J15+珀芙研药房!J15</f>
        <v>0</v>
      </c>
      <c r="K15" s="23">
        <f>珀芙研电商!K15+珀芙研药房!K15</f>
        <v>0</v>
      </c>
      <c r="L15" s="49">
        <f>珀芙研电商!L15+珀芙研药房!L15</f>
        <v>0</v>
      </c>
      <c r="M15" s="43">
        <f>珀芙研电商!M15+珀芙研药房!M15</f>
        <v>2.16</v>
      </c>
      <c r="N15" s="23">
        <f>珀芙研电商!N15+珀芙研药房!N15</f>
        <v>0</v>
      </c>
      <c r="O15" s="19">
        <f t="shared" si="25"/>
        <v>2.16</v>
      </c>
      <c r="P15" s="23">
        <f>珀芙研电商!P15+珀芙研药房!P15</f>
        <v>0</v>
      </c>
      <c r="Q15" s="23">
        <f>珀芙研电商!Q15+珀芙研药房!Q15</f>
        <v>2.16</v>
      </c>
      <c r="R15" s="49">
        <f>珀芙研电商!R15+珀芙研药房!R15</f>
        <v>2.16</v>
      </c>
      <c r="S15" s="43">
        <f>珀芙研电商!S15+珀芙研药房!S15</f>
        <v>2</v>
      </c>
      <c r="T15" s="23">
        <f>珀芙研电商!T15+珀芙研药房!T15</f>
        <v>0</v>
      </c>
      <c r="U15" s="19">
        <f t="shared" si="26"/>
        <v>2</v>
      </c>
      <c r="V15" s="23">
        <f>珀芙研电商!V15+珀芙研药房!V15</f>
        <v>0</v>
      </c>
      <c r="W15" s="23">
        <f>珀芙研电商!W15+珀芙研药房!W15</f>
        <v>2</v>
      </c>
      <c r="X15" s="49">
        <f>珀芙研电商!X15+珀芙研药房!X15</f>
        <v>2</v>
      </c>
      <c r="Y15" s="43">
        <f>珀芙研电商!Y15+珀芙研药房!Y15</f>
        <v>4</v>
      </c>
      <c r="Z15" s="23">
        <f>珀芙研电商!Z15+珀芙研药房!Z15</f>
        <v>0</v>
      </c>
      <c r="AA15" s="19">
        <f t="shared" si="27"/>
        <v>4</v>
      </c>
      <c r="AB15" s="23">
        <f>珀芙研电商!AB15+珀芙研药房!AB15</f>
        <v>0</v>
      </c>
      <c r="AC15" s="23">
        <f>珀芙研电商!AC15+珀芙研药房!AC15</f>
        <v>2</v>
      </c>
      <c r="AD15" s="49">
        <f>珀芙研电商!AD15+珀芙研药房!AD15</f>
        <v>4</v>
      </c>
      <c r="AE15" s="43">
        <f>珀芙研电商!AE15+珀芙研药房!AE15</f>
        <v>1.52</v>
      </c>
      <c r="AF15" s="23">
        <f>珀芙研电商!AF15+珀芙研药房!AF15</f>
        <v>0</v>
      </c>
      <c r="AG15" s="43">
        <f>珀芙研电商!AG15+珀芙研药房!AG15</f>
        <v>1.52</v>
      </c>
      <c r="AH15" s="23">
        <f>珀芙研电商!AH15+珀芙研药房!AH15</f>
        <v>0.39</v>
      </c>
      <c r="AI15" s="23">
        <f>珀芙研电商!AI15+珀芙研药房!AI15</f>
        <v>2</v>
      </c>
      <c r="AJ15" s="49">
        <f>珀芙研电商!AJ15+珀芙研药房!AJ15</f>
        <v>1.52</v>
      </c>
      <c r="AK15" s="43">
        <f>珀芙研电商!AK15+珀芙研药房!AK15</f>
        <v>1.42</v>
      </c>
      <c r="AL15" s="23">
        <f>珀芙研电商!AL15+珀芙研药房!AL15</f>
        <v>0</v>
      </c>
      <c r="AM15" s="19">
        <f t="shared" si="28"/>
        <v>1.42</v>
      </c>
      <c r="AN15" s="23">
        <f>珀芙研电商!AN15+珀芙研药房!AN15</f>
        <v>0.02</v>
      </c>
      <c r="AO15" s="23">
        <f>珀芙研电商!AO15+珀芙研药房!AO15</f>
        <v>2</v>
      </c>
      <c r="AP15" s="49">
        <f>珀芙研电商!AP15+珀芙研药房!AP15</f>
        <v>1.42</v>
      </c>
      <c r="AQ15" s="43">
        <f>珀芙研电商!AQ15+珀芙研药房!AQ15</f>
        <v>1.35</v>
      </c>
      <c r="AR15" s="23">
        <f>珀芙研电商!AR15+珀芙研药房!AR15</f>
        <v>0</v>
      </c>
      <c r="AS15" s="19">
        <f t="shared" si="29"/>
        <v>1.35</v>
      </c>
      <c r="AT15" s="23">
        <f>珀芙研电商!AT15+珀芙研药房!AT15</f>
        <v>0.4</v>
      </c>
      <c r="AU15" s="23">
        <f>珀芙研电商!AU15+珀芙研药房!AU15</f>
        <v>2</v>
      </c>
      <c r="AV15" s="49">
        <f>珀芙研电商!AV15+珀芙研药房!AV15</f>
        <v>1.5</v>
      </c>
      <c r="AW15" s="43">
        <f>珀芙研电商!AW15+珀芙研药房!AW15</f>
        <v>1.21</v>
      </c>
      <c r="AX15" s="23">
        <f>珀芙研电商!AX15+珀芙研药房!AX15</f>
        <v>0</v>
      </c>
      <c r="AY15" s="19">
        <f t="shared" si="30"/>
        <v>1.21</v>
      </c>
      <c r="AZ15" s="23">
        <f>珀芙研电商!AZ15+珀芙研药房!AZ15</f>
        <v>9.0399999999999991</v>
      </c>
      <c r="BA15" s="23">
        <f>珀芙研电商!BA15+珀芙研药房!BA15</f>
        <v>2</v>
      </c>
      <c r="BB15" s="49">
        <f>珀芙研电商!BB15+珀芙研药房!BB15</f>
        <v>1.5</v>
      </c>
      <c r="BC15" s="43">
        <f>珀芙研电商!BC15+珀芙研药房!BC15</f>
        <v>0</v>
      </c>
      <c r="BD15" s="23">
        <f>珀芙研电商!BD15+珀芙研药房!BD15</f>
        <v>0</v>
      </c>
      <c r="BE15" s="19">
        <f t="shared" si="31"/>
        <v>0</v>
      </c>
      <c r="BF15" s="23">
        <f>珀芙研电商!BF15+珀芙研药房!BF15</f>
        <v>0</v>
      </c>
      <c r="BG15" s="23">
        <f>珀芙研电商!BG15+珀芙研药房!BG15</f>
        <v>2</v>
      </c>
      <c r="BH15" s="49">
        <f>珀芙研电商!BH15+珀芙研药房!BH15</f>
        <v>1.5</v>
      </c>
      <c r="BI15" s="43">
        <f>珀芙研电商!BI15+珀芙研药房!BI15</f>
        <v>0.55000000000000004</v>
      </c>
      <c r="BJ15" s="23">
        <f>珀芙研电商!BJ15+珀芙研药房!BJ15</f>
        <v>0</v>
      </c>
      <c r="BK15" s="19">
        <f t="shared" si="32"/>
        <v>0.55000000000000004</v>
      </c>
      <c r="BL15" s="23">
        <f>珀芙研电商!BL15+珀芙研药房!BL15</f>
        <v>0.77</v>
      </c>
      <c r="BM15" s="23">
        <f>珀芙研电商!BM15+珀芙研药房!BM15</f>
        <v>2</v>
      </c>
      <c r="BN15" s="127">
        <f>珀芙研电商!BN15+珀芙研药房!BN15</f>
        <v>1.5</v>
      </c>
      <c r="BO15" s="43">
        <f>珀芙研电商!BO15+珀芙研药房!BO15</f>
        <v>1.1299999999999999</v>
      </c>
      <c r="BP15" s="23">
        <f>珀芙研电商!BP15+珀芙研药房!BP15</f>
        <v>0</v>
      </c>
      <c r="BQ15" s="19">
        <f t="shared" si="33"/>
        <v>1.1299999999999999</v>
      </c>
      <c r="BR15" s="23">
        <f>珀芙研电商!BR15+珀芙研药房!BR15</f>
        <v>0.35</v>
      </c>
      <c r="BS15" s="23">
        <f>珀芙研电商!BS15+珀芙研药房!BS15</f>
        <v>1</v>
      </c>
      <c r="BT15" s="49">
        <f>珀芙研电商!BT15+珀芙研药房!BT15</f>
        <v>1.5</v>
      </c>
      <c r="BU15" s="18">
        <f t="shared" si="36"/>
        <v>17.75</v>
      </c>
      <c r="BV15" s="19">
        <f t="shared" si="37"/>
        <v>0</v>
      </c>
      <c r="BW15" s="19">
        <f t="shared" si="34"/>
        <v>17.75</v>
      </c>
      <c r="BX15" s="19">
        <f t="shared" si="35"/>
        <v>10.969999999999999</v>
      </c>
      <c r="BY15" s="19">
        <f t="shared" si="35"/>
        <v>21.57</v>
      </c>
      <c r="BZ15" s="49">
        <f t="shared" si="35"/>
        <v>21.009999999999998</v>
      </c>
      <c r="CA15" s="24"/>
      <c r="CB15" s="106"/>
    </row>
    <row r="16" spans="1:80" outlineLevel="1">
      <c r="A16" s="4" t="s">
        <v>37</v>
      </c>
      <c r="B16" s="58" t="s">
        <v>22</v>
      </c>
      <c r="C16" s="43">
        <f>珀芙研电商!C16+珀芙研药房!C16</f>
        <v>0</v>
      </c>
      <c r="D16" s="23">
        <f>珀芙研电商!D16+珀芙研药房!D16</f>
        <v>0</v>
      </c>
      <c r="E16" s="43">
        <f>珀芙研电商!E16+珀芙研药房!E16</f>
        <v>0</v>
      </c>
      <c r="F16" s="49">
        <f>珀芙研电商!F16+珀芙研药房!F16</f>
        <v>0</v>
      </c>
      <c r="G16" s="43">
        <f>珀芙研电商!G16+珀芙研药房!G16</f>
        <v>0</v>
      </c>
      <c r="H16" s="23">
        <f>珀芙研电商!H16+珀芙研药房!H16</f>
        <v>0</v>
      </c>
      <c r="I16" s="19">
        <f t="shared" si="24"/>
        <v>0</v>
      </c>
      <c r="J16" s="23">
        <f>珀芙研电商!J16+珀芙研药房!J16</f>
        <v>0</v>
      </c>
      <c r="K16" s="23">
        <f>珀芙研电商!K16+珀芙研药房!K16</f>
        <v>0</v>
      </c>
      <c r="L16" s="49">
        <f>珀芙研电商!L16+珀芙研药房!L16</f>
        <v>0</v>
      </c>
      <c r="M16" s="43">
        <f>珀芙研电商!M16+珀芙研药房!M16</f>
        <v>0</v>
      </c>
      <c r="N16" s="23">
        <f>珀芙研电商!N16+珀芙研药房!N16</f>
        <v>0</v>
      </c>
      <c r="O16" s="19">
        <f t="shared" si="25"/>
        <v>0</v>
      </c>
      <c r="P16" s="23">
        <f>珀芙研电商!P16+珀芙研药房!P16</f>
        <v>0</v>
      </c>
      <c r="Q16" s="23">
        <f>珀芙研电商!Q16+珀芙研药房!Q16</f>
        <v>0</v>
      </c>
      <c r="R16" s="49">
        <f>珀芙研电商!R16+珀芙研药房!R16</f>
        <v>0</v>
      </c>
      <c r="S16" s="43">
        <f>珀芙研电商!S16+珀芙研药房!S16</f>
        <v>23.1</v>
      </c>
      <c r="T16" s="23">
        <f>珀芙研电商!T16+珀芙研药房!T16</f>
        <v>0</v>
      </c>
      <c r="U16" s="19">
        <f t="shared" si="26"/>
        <v>23.1</v>
      </c>
      <c r="V16" s="23">
        <f>珀芙研电商!V16+珀芙研药房!V16</f>
        <v>0</v>
      </c>
      <c r="W16" s="23">
        <f>珀芙研电商!W16+珀芙研药房!W16</f>
        <v>0</v>
      </c>
      <c r="X16" s="49">
        <f>珀芙研电商!X16+珀芙研药房!X16</f>
        <v>23.1</v>
      </c>
      <c r="Y16" s="43">
        <f>珀芙研电商!Y16+珀芙研药房!Y16</f>
        <v>0</v>
      </c>
      <c r="Z16" s="23">
        <f>珀芙研电商!Z16+珀芙研药房!Z16</f>
        <v>0</v>
      </c>
      <c r="AA16" s="19">
        <f t="shared" si="27"/>
        <v>0</v>
      </c>
      <c r="AB16" s="23">
        <f>珀芙研电商!AB16+珀芙研药房!AB16</f>
        <v>0</v>
      </c>
      <c r="AC16" s="23">
        <f>珀芙研电商!AC16+珀芙研药房!AC16</f>
        <v>0</v>
      </c>
      <c r="AD16" s="49">
        <f>珀芙研电商!AD16+珀芙研药房!AD16</f>
        <v>0</v>
      </c>
      <c r="AE16" s="43">
        <f>珀芙研电商!AE16+珀芙研药房!AE16</f>
        <v>0</v>
      </c>
      <c r="AF16" s="23">
        <f>珀芙研电商!AF16+珀芙研药房!AF16</f>
        <v>0</v>
      </c>
      <c r="AG16" s="43">
        <f>珀芙研电商!AG16+珀芙研药房!AG16</f>
        <v>0</v>
      </c>
      <c r="AH16" s="23">
        <f>珀芙研电商!AH16+珀芙研药房!AH16</f>
        <v>0</v>
      </c>
      <c r="AI16" s="23">
        <f>珀芙研电商!AI16+珀芙研药房!AI16</f>
        <v>0</v>
      </c>
      <c r="AJ16" s="49">
        <f>珀芙研电商!AJ16+珀芙研药房!AJ16</f>
        <v>0</v>
      </c>
      <c r="AK16" s="43">
        <f>珀芙研电商!AK16+珀芙研药房!AK16</f>
        <v>0</v>
      </c>
      <c r="AL16" s="23">
        <f>珀芙研电商!AL16+珀芙研药房!AL16</f>
        <v>0</v>
      </c>
      <c r="AM16" s="19">
        <f t="shared" si="28"/>
        <v>0</v>
      </c>
      <c r="AN16" s="23">
        <f>珀芙研电商!AN16+珀芙研药房!AN16</f>
        <v>0</v>
      </c>
      <c r="AO16" s="23">
        <f>珀芙研电商!AO16+珀芙研药房!AO16</f>
        <v>0</v>
      </c>
      <c r="AP16" s="49">
        <f>珀芙研电商!AP16+珀芙研药房!AP16</f>
        <v>0</v>
      </c>
      <c r="AQ16" s="43">
        <f>珀芙研电商!AQ16+珀芙研药房!AQ16</f>
        <v>5.67</v>
      </c>
      <c r="AR16" s="23">
        <f>珀芙研电商!AR16+珀芙研药房!AR16</f>
        <v>0</v>
      </c>
      <c r="AS16" s="19">
        <f t="shared" si="29"/>
        <v>5.67</v>
      </c>
      <c r="AT16" s="23">
        <f>珀芙研电商!AT16+珀芙研药房!AT16</f>
        <v>0</v>
      </c>
      <c r="AU16" s="23">
        <f>珀芙研电商!AU16+珀芙研药房!AU16</f>
        <v>0</v>
      </c>
      <c r="AV16" s="49">
        <f>珀芙研电商!AV16+珀芙研药房!AV16</f>
        <v>0</v>
      </c>
      <c r="AW16" s="43">
        <f>珀芙研电商!AW16+珀芙研药房!AW16</f>
        <v>0</v>
      </c>
      <c r="AX16" s="23">
        <f>珀芙研电商!AX16+珀芙研药房!AX16</f>
        <v>0</v>
      </c>
      <c r="AY16" s="19">
        <f t="shared" si="30"/>
        <v>0</v>
      </c>
      <c r="AZ16" s="23">
        <f>珀芙研电商!AZ16+珀芙研药房!AZ16</f>
        <v>0</v>
      </c>
      <c r="BA16" s="23">
        <f>珀芙研电商!BA16+珀芙研药房!BA16</f>
        <v>0</v>
      </c>
      <c r="BB16" s="49">
        <f>珀芙研电商!BB16+珀芙研药房!BB16</f>
        <v>0</v>
      </c>
      <c r="BC16" s="43">
        <f>珀芙研电商!BC16+珀芙研药房!BC16</f>
        <v>0</v>
      </c>
      <c r="BD16" s="23">
        <f>珀芙研电商!BD16+珀芙研药房!BD16</f>
        <v>0</v>
      </c>
      <c r="BE16" s="19">
        <f t="shared" si="31"/>
        <v>0</v>
      </c>
      <c r="BF16" s="23">
        <f>珀芙研电商!BF16+珀芙研药房!BF16</f>
        <v>0</v>
      </c>
      <c r="BG16" s="23">
        <f>珀芙研电商!BG16+珀芙研药房!BG16</f>
        <v>0</v>
      </c>
      <c r="BH16" s="49">
        <f>珀芙研电商!BH16+珀芙研药房!BH16</f>
        <v>0</v>
      </c>
      <c r="BI16" s="43">
        <f>珀芙研电商!BI16+珀芙研药房!BI16</f>
        <v>0</v>
      </c>
      <c r="BJ16" s="23">
        <f>珀芙研电商!BJ16+珀芙研药房!BJ16</f>
        <v>0</v>
      </c>
      <c r="BK16" s="19">
        <f t="shared" si="32"/>
        <v>0</v>
      </c>
      <c r="BL16" s="23">
        <f>珀芙研电商!BL16+珀芙研药房!BL16</f>
        <v>0</v>
      </c>
      <c r="BM16" s="23">
        <f>珀芙研电商!BM16+珀芙研药房!BM16</f>
        <v>0</v>
      </c>
      <c r="BN16" s="127">
        <f>珀芙研电商!BN16+珀芙研药房!BN16</f>
        <v>0</v>
      </c>
      <c r="BO16" s="43">
        <f>珀芙研电商!BO16+珀芙研药房!BO16</f>
        <v>0</v>
      </c>
      <c r="BP16" s="23">
        <f>珀芙研电商!BP16+珀芙研药房!BP16</f>
        <v>0</v>
      </c>
      <c r="BQ16" s="19">
        <f t="shared" si="33"/>
        <v>0</v>
      </c>
      <c r="BR16" s="23">
        <f>珀芙研电商!BR16+珀芙研药房!BR16</f>
        <v>0</v>
      </c>
      <c r="BS16" s="23">
        <f>珀芙研电商!BS16+珀芙研药房!BS16</f>
        <v>0</v>
      </c>
      <c r="BT16" s="49">
        <f>珀芙研电商!BT16+珀芙研药房!BT16</f>
        <v>0</v>
      </c>
      <c r="BU16" s="18">
        <f t="shared" si="36"/>
        <v>28.770000000000003</v>
      </c>
      <c r="BV16" s="19">
        <f t="shared" si="37"/>
        <v>0</v>
      </c>
      <c r="BW16" s="19">
        <f t="shared" si="34"/>
        <v>28.770000000000003</v>
      </c>
      <c r="BX16" s="19">
        <f t="shared" si="35"/>
        <v>0</v>
      </c>
      <c r="BY16" s="19">
        <f t="shared" si="35"/>
        <v>0</v>
      </c>
      <c r="BZ16" s="49">
        <f t="shared" si="35"/>
        <v>23.1</v>
      </c>
      <c r="CA16" s="24"/>
      <c r="CB16" s="106"/>
    </row>
    <row r="17" spans="1:80" outlineLevel="1">
      <c r="A17" s="4" t="s">
        <v>38</v>
      </c>
      <c r="B17" s="58" t="s">
        <v>23</v>
      </c>
      <c r="C17" s="43">
        <f>珀芙研电商!C17+珀芙研药房!C17</f>
        <v>0</v>
      </c>
      <c r="D17" s="23">
        <f>珀芙研电商!D17+珀芙研药房!D17</f>
        <v>0</v>
      </c>
      <c r="E17" s="43">
        <f>珀芙研电商!E17+珀芙研药房!E17</f>
        <v>0</v>
      </c>
      <c r="F17" s="49">
        <f>珀芙研电商!F17+珀芙研药房!F17</f>
        <v>0</v>
      </c>
      <c r="G17" s="43">
        <f>珀芙研电商!G17+珀芙研药房!G17</f>
        <v>0.04</v>
      </c>
      <c r="H17" s="23">
        <f>珀芙研电商!H17+珀芙研药房!H17</f>
        <v>0</v>
      </c>
      <c r="I17" s="19">
        <f t="shared" si="24"/>
        <v>0.04</v>
      </c>
      <c r="J17" s="23">
        <f>珀芙研电商!J17+珀芙研药房!J17</f>
        <v>0</v>
      </c>
      <c r="K17" s="23">
        <f>珀芙研电商!K17+珀芙研药房!K17</f>
        <v>0.04</v>
      </c>
      <c r="L17" s="49">
        <f>珀芙研电商!L17+珀芙研药房!L17</f>
        <v>0.04</v>
      </c>
      <c r="M17" s="43">
        <f>珀芙研电商!M17+珀芙研药房!M17</f>
        <v>0</v>
      </c>
      <c r="N17" s="23">
        <f>珀芙研电商!N17+珀芙研药房!N17</f>
        <v>0</v>
      </c>
      <c r="O17" s="19">
        <f t="shared" si="25"/>
        <v>0</v>
      </c>
      <c r="P17" s="23">
        <f>珀芙研电商!P17+珀芙研药房!P17</f>
        <v>0</v>
      </c>
      <c r="Q17" s="23">
        <f>珀芙研电商!Q17+珀芙研药房!Q17</f>
        <v>0</v>
      </c>
      <c r="R17" s="49">
        <f>珀芙研电商!R17+珀芙研药房!R17</f>
        <v>0</v>
      </c>
      <c r="S17" s="43">
        <f>珀芙研电商!S17+珀芙研药房!S17</f>
        <v>0</v>
      </c>
      <c r="T17" s="23">
        <f>珀芙研电商!T17+珀芙研药房!T17</f>
        <v>0</v>
      </c>
      <c r="U17" s="19">
        <f t="shared" si="26"/>
        <v>0</v>
      </c>
      <c r="V17" s="23">
        <f>珀芙研电商!V17+珀芙研药房!V17</f>
        <v>0</v>
      </c>
      <c r="W17" s="23">
        <f>珀芙研电商!W17+珀芙研药房!W17</f>
        <v>0</v>
      </c>
      <c r="X17" s="49">
        <f>珀芙研电商!X17+珀芙研药房!X17</f>
        <v>0</v>
      </c>
      <c r="Y17" s="43">
        <f>珀芙研电商!Y17+珀芙研药房!Y17</f>
        <v>0</v>
      </c>
      <c r="Z17" s="23">
        <f>珀芙研电商!Z17+珀芙研药房!Z17</f>
        <v>0</v>
      </c>
      <c r="AA17" s="19">
        <f t="shared" si="27"/>
        <v>0</v>
      </c>
      <c r="AB17" s="23">
        <f>珀芙研电商!AB17+珀芙研药房!AB17</f>
        <v>0</v>
      </c>
      <c r="AC17" s="23">
        <f>珀芙研电商!AC17+珀芙研药房!AC17</f>
        <v>0</v>
      </c>
      <c r="AD17" s="49">
        <f>珀芙研电商!AD17+珀芙研药房!AD17</f>
        <v>0</v>
      </c>
      <c r="AE17" s="43">
        <f>珀芙研电商!AE17+珀芙研药房!AE17</f>
        <v>14.98</v>
      </c>
      <c r="AF17" s="23">
        <f>珀芙研电商!AF17+珀芙研药房!AF17</f>
        <v>0</v>
      </c>
      <c r="AG17" s="43">
        <f>珀芙研电商!AG17+珀芙研药房!AG17</f>
        <v>14.98</v>
      </c>
      <c r="AH17" s="23">
        <f>珀芙研电商!AH17+珀芙研药房!AH17</f>
        <v>0</v>
      </c>
      <c r="AI17" s="23">
        <f>珀芙研电商!AI17+珀芙研药房!AI17</f>
        <v>0</v>
      </c>
      <c r="AJ17" s="49">
        <f>珀芙研电商!AJ17+珀芙研药房!AJ17</f>
        <v>14.98</v>
      </c>
      <c r="AK17" s="43">
        <f>珀芙研电商!AK17+珀芙研药房!AK17</f>
        <v>0</v>
      </c>
      <c r="AL17" s="23">
        <f>珀芙研电商!AL17+珀芙研药房!AL17</f>
        <v>0</v>
      </c>
      <c r="AM17" s="19">
        <f t="shared" si="28"/>
        <v>0</v>
      </c>
      <c r="AN17" s="23">
        <f>珀芙研电商!AN17+珀芙研药房!AN17</f>
        <v>0</v>
      </c>
      <c r="AO17" s="23">
        <f>珀芙研电商!AO17+珀芙研药房!AO17</f>
        <v>0</v>
      </c>
      <c r="AP17" s="49">
        <f>珀芙研电商!AP17+珀芙研药房!AP17</f>
        <v>0</v>
      </c>
      <c r="AQ17" s="43">
        <f>珀芙研电商!AQ17+珀芙研药房!AQ17</f>
        <v>7.47</v>
      </c>
      <c r="AR17" s="23">
        <f>珀芙研电商!AR17+珀芙研药房!AR17</f>
        <v>0</v>
      </c>
      <c r="AS17" s="19">
        <f t="shared" si="29"/>
        <v>7.47</v>
      </c>
      <c r="AT17" s="23">
        <f>珀芙研电商!AT17+珀芙研药房!AT17</f>
        <v>0</v>
      </c>
      <c r="AU17" s="23">
        <f>珀芙研电商!AU17+珀芙研药房!AU17</f>
        <v>0</v>
      </c>
      <c r="AV17" s="49">
        <f>珀芙研电商!AV17+珀芙研药房!AV17</f>
        <v>0</v>
      </c>
      <c r="AW17" s="43">
        <f>珀芙研电商!AW17+珀芙研药房!AW17</f>
        <v>7.0000000000000007E-2</v>
      </c>
      <c r="AX17" s="23">
        <f>珀芙研电商!AX17+珀芙研药房!AX17</f>
        <v>0</v>
      </c>
      <c r="AY17" s="19">
        <f t="shared" si="30"/>
        <v>7.0000000000000007E-2</v>
      </c>
      <c r="AZ17" s="23">
        <f>珀芙研电商!AZ17+珀芙研药房!AZ17</f>
        <v>0</v>
      </c>
      <c r="BA17" s="23">
        <f>珀芙研电商!BA17+珀芙研药房!BA17</f>
        <v>0</v>
      </c>
      <c r="BB17" s="49">
        <f>珀芙研电商!BB17+珀芙研药房!BB17</f>
        <v>0</v>
      </c>
      <c r="BC17" s="43">
        <f>珀芙研电商!BC17+珀芙研药房!BC17</f>
        <v>0</v>
      </c>
      <c r="BD17" s="23">
        <f>珀芙研电商!BD17+珀芙研药房!BD17</f>
        <v>0</v>
      </c>
      <c r="BE17" s="19">
        <f t="shared" si="31"/>
        <v>0</v>
      </c>
      <c r="BF17" s="23">
        <f>珀芙研电商!BF17+珀芙研药房!BF17</f>
        <v>0</v>
      </c>
      <c r="BG17" s="23">
        <f>珀芙研电商!BG17+珀芙研药房!BG17</f>
        <v>0</v>
      </c>
      <c r="BH17" s="49">
        <f>珀芙研电商!BH17+珀芙研药房!BH17</f>
        <v>0</v>
      </c>
      <c r="BI17" s="43">
        <f>珀芙研电商!BI17+珀芙研药房!BI17</f>
        <v>0</v>
      </c>
      <c r="BJ17" s="23">
        <f>珀芙研电商!BJ17+珀芙研药房!BJ17</f>
        <v>0</v>
      </c>
      <c r="BK17" s="19">
        <f t="shared" si="32"/>
        <v>0</v>
      </c>
      <c r="BL17" s="23">
        <f>珀芙研电商!BL17+珀芙研药房!BL17</f>
        <v>0</v>
      </c>
      <c r="BM17" s="23">
        <f>珀芙研电商!BM17+珀芙研药房!BM17</f>
        <v>0</v>
      </c>
      <c r="BN17" s="127">
        <f>珀芙研电商!BN17+珀芙研药房!BN17</f>
        <v>0</v>
      </c>
      <c r="BO17" s="43">
        <f>珀芙研电商!BO17+珀芙研药房!BO17</f>
        <v>0</v>
      </c>
      <c r="BP17" s="23">
        <f>珀芙研电商!BP17+珀芙研药房!BP17</f>
        <v>0</v>
      </c>
      <c r="BQ17" s="19">
        <f t="shared" si="33"/>
        <v>0</v>
      </c>
      <c r="BR17" s="23">
        <f>珀芙研电商!BR17+珀芙研药房!BR17</f>
        <v>0</v>
      </c>
      <c r="BS17" s="23">
        <f>珀芙研电商!BS17+珀芙研药房!BS17</f>
        <v>0</v>
      </c>
      <c r="BT17" s="49">
        <f>珀芙研电商!BT17+珀芙研药房!BT17</f>
        <v>0</v>
      </c>
      <c r="BU17" s="18">
        <f t="shared" si="36"/>
        <v>22.56</v>
      </c>
      <c r="BV17" s="19">
        <f t="shared" si="37"/>
        <v>0</v>
      </c>
      <c r="BW17" s="19">
        <f t="shared" si="34"/>
        <v>22.56</v>
      </c>
      <c r="BX17" s="19">
        <f t="shared" si="35"/>
        <v>0</v>
      </c>
      <c r="BY17" s="19">
        <f t="shared" si="35"/>
        <v>0.04</v>
      </c>
      <c r="BZ17" s="49">
        <f t="shared" si="35"/>
        <v>15.02</v>
      </c>
      <c r="CA17" s="24"/>
      <c r="CB17" s="106"/>
    </row>
    <row r="18" spans="1:80" outlineLevel="1">
      <c r="A18" s="4" t="s">
        <v>39</v>
      </c>
      <c r="B18" s="58" t="s">
        <v>26</v>
      </c>
      <c r="C18" s="43">
        <f>珀芙研电商!C18+珀芙研药房!C18</f>
        <v>16</v>
      </c>
      <c r="D18" s="23">
        <f>珀芙研电商!D18+珀芙研药房!D18</f>
        <v>0</v>
      </c>
      <c r="E18" s="43">
        <f>珀芙研电商!E18+珀芙研药房!E18</f>
        <v>16</v>
      </c>
      <c r="F18" s="49">
        <f>珀芙研电商!F18+珀芙研药房!F18</f>
        <v>16</v>
      </c>
      <c r="G18" s="43">
        <f>珀芙研电商!G18+珀芙研药房!G18</f>
        <v>16.57</v>
      </c>
      <c r="H18" s="23">
        <f>珀芙研电商!H18+珀芙研药房!H18</f>
        <v>0</v>
      </c>
      <c r="I18" s="19">
        <f t="shared" si="24"/>
        <v>16.57</v>
      </c>
      <c r="J18" s="23">
        <f>珀芙研电商!J18+珀芙研药房!J18</f>
        <v>0</v>
      </c>
      <c r="K18" s="23">
        <f>珀芙研电商!K18+珀芙研药房!K18</f>
        <v>16.57</v>
      </c>
      <c r="L18" s="49">
        <f>珀芙研电商!L18+珀芙研药房!L18</f>
        <v>16.57</v>
      </c>
      <c r="M18" s="43">
        <f>珀芙研电商!M18+珀芙研药房!M18</f>
        <v>28.080000000000002</v>
      </c>
      <c r="N18" s="23">
        <f>珀芙研电商!N18+珀芙研药房!N18</f>
        <v>0</v>
      </c>
      <c r="O18" s="19">
        <f t="shared" si="25"/>
        <v>28.080000000000002</v>
      </c>
      <c r="P18" s="23">
        <f>珀芙研电商!P18+珀芙研药房!P18</f>
        <v>0</v>
      </c>
      <c r="Q18" s="23">
        <f>珀芙研电商!Q18+珀芙研药房!Q18</f>
        <v>28.080000000000002</v>
      </c>
      <c r="R18" s="49">
        <f>珀芙研电商!R18+珀芙研药房!R18</f>
        <v>28.080000000000002</v>
      </c>
      <c r="S18" s="43">
        <f>珀芙研电商!S18+珀芙研药房!S18</f>
        <v>5.48</v>
      </c>
      <c r="T18" s="23">
        <f>珀芙研电商!T18+珀芙研药房!T18</f>
        <v>0</v>
      </c>
      <c r="U18" s="19">
        <f t="shared" si="26"/>
        <v>5.48</v>
      </c>
      <c r="V18" s="23">
        <f>珀芙研电商!V18+珀芙研药房!V18</f>
        <v>0</v>
      </c>
      <c r="W18" s="23">
        <f>珀芙研电商!W18+珀芙研药房!W18</f>
        <v>29.488</v>
      </c>
      <c r="X18" s="49">
        <f>珀芙研电商!X18+珀芙研药房!X18</f>
        <v>5.48</v>
      </c>
      <c r="Y18" s="43">
        <f>珀芙研电商!Y18+珀芙研药房!Y18</f>
        <v>27.55</v>
      </c>
      <c r="Z18" s="23">
        <f>珀芙研电商!Z18+珀芙研药房!Z18</f>
        <v>0</v>
      </c>
      <c r="AA18" s="19">
        <f t="shared" si="27"/>
        <v>27.55</v>
      </c>
      <c r="AB18" s="23">
        <f>珀芙研电商!AB18+珀芙研药房!AB18</f>
        <v>0</v>
      </c>
      <c r="AC18" s="23">
        <f>珀芙研电商!AC18+珀芙研药房!AC18</f>
        <v>40.898000000000003</v>
      </c>
      <c r="AD18" s="49">
        <f>珀芙研电商!AD18+珀芙研药房!AD18</f>
        <v>27.55</v>
      </c>
      <c r="AE18" s="43">
        <f>珀芙研电商!AE18+珀芙研药房!AE18</f>
        <v>24.49</v>
      </c>
      <c r="AF18" s="23">
        <f>珀芙研电商!AF18+珀芙研药房!AF18</f>
        <v>0</v>
      </c>
      <c r="AG18" s="43">
        <f>珀芙研电商!AG18+珀芙研药房!AG18</f>
        <v>24.49</v>
      </c>
      <c r="AH18" s="23">
        <f>珀芙研电商!AH18+珀芙研药房!AH18</f>
        <v>2.27</v>
      </c>
      <c r="AI18" s="23">
        <f>珀芙研电商!AI18+珀芙研药房!AI18</f>
        <v>77.527999999999992</v>
      </c>
      <c r="AJ18" s="49">
        <f>珀芙研电商!AJ18+珀芙研药房!AJ18</f>
        <v>24.49</v>
      </c>
      <c r="AK18" s="43">
        <f>珀芙研电商!AK18+珀芙研药房!AK18</f>
        <v>48.5</v>
      </c>
      <c r="AL18" s="23">
        <f>珀芙研电商!AL18+珀芙研药房!AL18</f>
        <v>0</v>
      </c>
      <c r="AM18" s="19">
        <f t="shared" si="28"/>
        <v>48.5</v>
      </c>
      <c r="AN18" s="23">
        <f>珀芙研电商!AN18+珀芙研药房!AN18</f>
        <v>5.24</v>
      </c>
      <c r="AO18" s="23">
        <f>珀芙研电商!AO18+珀芙研药房!AO18</f>
        <v>37.230000000000004</v>
      </c>
      <c r="AP18" s="49">
        <f>珀芙研电商!AP18+珀芙研药房!AP18</f>
        <v>48.5</v>
      </c>
      <c r="AQ18" s="43">
        <f>珀芙研电商!AQ18+珀芙研药房!AQ18</f>
        <v>26.74</v>
      </c>
      <c r="AR18" s="23">
        <f>珀芙研电商!AR18+珀芙研药房!AR18</f>
        <v>0</v>
      </c>
      <c r="AS18" s="19">
        <f t="shared" si="29"/>
        <v>26.74</v>
      </c>
      <c r="AT18" s="23">
        <f>珀芙研电商!AT18+珀芙研药房!AT18</f>
        <v>4.72</v>
      </c>
      <c r="AU18" s="23">
        <f>珀芙研电商!AU18+珀芙研药房!AU18</f>
        <v>43.8</v>
      </c>
      <c r="AV18" s="49">
        <f>珀芙研电商!AV18+珀芙研药房!AV18</f>
        <v>23.8</v>
      </c>
      <c r="AW18" s="43">
        <f>珀芙研电商!AW18+珀芙研药房!AW18</f>
        <v>26.990000000000002</v>
      </c>
      <c r="AX18" s="23">
        <f>珀芙研电商!AX18+珀芙研药房!AX18</f>
        <v>0</v>
      </c>
      <c r="AY18" s="19">
        <f t="shared" si="30"/>
        <v>26.990000000000002</v>
      </c>
      <c r="AZ18" s="23">
        <f>珀芙研电商!AZ18+珀芙研药房!AZ18</f>
        <v>8.27</v>
      </c>
      <c r="BA18" s="23">
        <f>珀芙研电商!BA18+珀芙研药房!BA18</f>
        <v>21</v>
      </c>
      <c r="BB18" s="49">
        <f>珀芙研电商!BB18+珀芙研药房!BB18</f>
        <v>28</v>
      </c>
      <c r="BC18" s="43">
        <f>珀芙研电商!BC18+珀芙研药房!BC18</f>
        <v>15.010000000000002</v>
      </c>
      <c r="BD18" s="23">
        <f>珀芙研电商!BD18+珀芙研药房!BD18</f>
        <v>0</v>
      </c>
      <c r="BE18" s="19">
        <f t="shared" si="31"/>
        <v>15.010000000000002</v>
      </c>
      <c r="BF18" s="23">
        <f>珀芙研电商!BF18+珀芙研药房!BF18</f>
        <v>9.81</v>
      </c>
      <c r="BG18" s="23">
        <f>珀芙研电商!BG18+珀芙研药房!BG18</f>
        <v>17</v>
      </c>
      <c r="BH18" s="49">
        <f>珀芙研电商!BH18+珀芙研药房!BH18</f>
        <v>18.079999999999998</v>
      </c>
      <c r="BI18" s="43">
        <f>珀芙研电商!BI18+珀芙研药房!BI18</f>
        <v>54.570000000000007</v>
      </c>
      <c r="BJ18" s="23">
        <f>珀芙研电商!BJ18+珀芙研药房!BJ18</f>
        <v>0</v>
      </c>
      <c r="BK18" s="19">
        <f t="shared" si="32"/>
        <v>54.570000000000007</v>
      </c>
      <c r="BL18" s="23">
        <f>珀芙研电商!BL18+珀芙研药房!BL18</f>
        <v>15.11</v>
      </c>
      <c r="BM18" s="23">
        <f>珀芙研电商!BM18+珀芙研药房!BM18</f>
        <v>45</v>
      </c>
      <c r="BN18" s="127">
        <f>珀芙研电商!BN18+珀芙研药房!BN18</f>
        <v>60.32</v>
      </c>
      <c r="BO18" s="43">
        <f>珀芙研电商!BO18+珀芙研药房!BO18</f>
        <v>23.57</v>
      </c>
      <c r="BP18" s="23">
        <f>珀芙研电商!BP18+珀芙研药房!BP18</f>
        <v>0</v>
      </c>
      <c r="BQ18" s="19">
        <f t="shared" si="33"/>
        <v>23.57</v>
      </c>
      <c r="BR18" s="23">
        <f>珀芙研电商!BR18+珀芙研药房!BR18</f>
        <v>11.32</v>
      </c>
      <c r="BS18" s="23">
        <f>珀芙研电商!BS18+珀芙研药房!BS18</f>
        <v>17.600000000000001</v>
      </c>
      <c r="BT18" s="49">
        <f>珀芙研电商!BT18+珀芙研药房!BT18</f>
        <v>21.62</v>
      </c>
      <c r="BU18" s="18">
        <f t="shared" si="36"/>
        <v>313.55</v>
      </c>
      <c r="BV18" s="19">
        <f t="shared" si="37"/>
        <v>0</v>
      </c>
      <c r="BW18" s="19">
        <f t="shared" si="34"/>
        <v>313.55</v>
      </c>
      <c r="BX18" s="19">
        <f t="shared" si="35"/>
        <v>56.74</v>
      </c>
      <c r="BY18" s="19">
        <f t="shared" si="35"/>
        <v>390.19400000000002</v>
      </c>
      <c r="BZ18" s="49">
        <f t="shared" si="35"/>
        <v>318.49</v>
      </c>
      <c r="CA18" s="24"/>
      <c r="CB18" s="106"/>
    </row>
    <row r="19" spans="1:80" outlineLevel="1">
      <c r="A19" s="4" t="s">
        <v>40</v>
      </c>
      <c r="B19" s="58" t="s">
        <v>12</v>
      </c>
      <c r="C19" s="43">
        <f>珀芙研电商!C19+珀芙研药房!C19</f>
        <v>53.959999999999994</v>
      </c>
      <c r="D19" s="23">
        <f>珀芙研电商!D19+珀芙研药房!D19</f>
        <v>0</v>
      </c>
      <c r="E19" s="43">
        <f>珀芙研电商!E19+珀芙研药房!E19</f>
        <v>53.959999999999994</v>
      </c>
      <c r="F19" s="49">
        <f>珀芙研电商!F19+珀芙研药房!F19</f>
        <v>53.959999999999994</v>
      </c>
      <c r="G19" s="43">
        <f>珀芙研电商!G19+珀芙研药房!G19</f>
        <v>16.02</v>
      </c>
      <c r="H19" s="23">
        <f>珀芙研电商!H19+珀芙研药房!H19</f>
        <v>0</v>
      </c>
      <c r="I19" s="19">
        <f t="shared" si="24"/>
        <v>16.02</v>
      </c>
      <c r="J19" s="23">
        <f>珀芙研电商!J19+珀芙研药房!J19</f>
        <v>0</v>
      </c>
      <c r="K19" s="23">
        <f>珀芙研电商!K19+珀芙研药房!K19</f>
        <v>16.02</v>
      </c>
      <c r="L19" s="49">
        <f>珀芙研电商!L19+珀芙研药房!L19</f>
        <v>16.02</v>
      </c>
      <c r="M19" s="43">
        <f>珀芙研电商!M19+珀芙研药房!M19</f>
        <v>87.7</v>
      </c>
      <c r="N19" s="23">
        <f>珀芙研电商!N19+珀芙研药房!N19</f>
        <v>0</v>
      </c>
      <c r="O19" s="19">
        <f t="shared" si="25"/>
        <v>87.7</v>
      </c>
      <c r="P19" s="23">
        <f>珀芙研电商!P19+珀芙研药房!P19</f>
        <v>0</v>
      </c>
      <c r="Q19" s="23">
        <f>珀芙研电商!Q19+珀芙研药房!Q19</f>
        <v>87.7</v>
      </c>
      <c r="R19" s="49">
        <f>珀芙研电商!R19+珀芙研药房!R19</f>
        <v>87.7</v>
      </c>
      <c r="S19" s="43">
        <f>珀芙研电商!S19+珀芙研药房!S19</f>
        <v>26.75</v>
      </c>
      <c r="T19" s="23">
        <f>珀芙研电商!T19+珀芙研药房!T19</f>
        <v>0</v>
      </c>
      <c r="U19" s="19">
        <f t="shared" si="26"/>
        <v>26.75</v>
      </c>
      <c r="V19" s="23">
        <f>珀芙研电商!V19+珀芙研药房!V19</f>
        <v>0</v>
      </c>
      <c r="W19" s="23">
        <f>珀芙研电商!W19+珀芙研药房!W19</f>
        <v>10.7</v>
      </c>
      <c r="X19" s="49">
        <f>珀芙研电商!X19+珀芙研药房!X19</f>
        <v>26.75</v>
      </c>
      <c r="Y19" s="43">
        <f>珀芙研电商!Y19+珀芙研药房!Y19</f>
        <v>57.51</v>
      </c>
      <c r="Z19" s="23">
        <f>珀芙研电商!Z19+珀芙研药房!Z19</f>
        <v>0</v>
      </c>
      <c r="AA19" s="19">
        <f t="shared" si="27"/>
        <v>57.51</v>
      </c>
      <c r="AB19" s="23">
        <f>珀芙研电商!AB19+珀芙研药房!AB19</f>
        <v>0</v>
      </c>
      <c r="AC19" s="23">
        <f>珀芙研电商!AC19+珀芙研药房!AC19</f>
        <v>74.7</v>
      </c>
      <c r="AD19" s="49">
        <f>珀芙研电商!AD19+珀芙研药房!AD19</f>
        <v>57.51</v>
      </c>
      <c r="AE19" s="43">
        <f>珀芙研电商!AE19+珀芙研药房!AE19</f>
        <v>57.089999999999996</v>
      </c>
      <c r="AF19" s="23">
        <f>珀芙研电商!AF19+珀芙研药房!AF19</f>
        <v>0</v>
      </c>
      <c r="AG19" s="43">
        <f>珀芙研电商!AG19+珀芙研药房!AG19</f>
        <v>57.089999999999996</v>
      </c>
      <c r="AH19" s="23">
        <f>珀芙研电商!AH19+珀芙研药房!AH19</f>
        <v>6.82</v>
      </c>
      <c r="AI19" s="23">
        <f>珀芙研电商!AI19+珀芙研药房!AI19</f>
        <v>68.599999999999994</v>
      </c>
      <c r="AJ19" s="49">
        <f>珀芙研电商!AJ19+珀芙研药房!AJ19</f>
        <v>57.089999999999996</v>
      </c>
      <c r="AK19" s="43">
        <f>珀芙研电商!AK19+珀芙研药房!AK19</f>
        <v>26.46</v>
      </c>
      <c r="AL19" s="23">
        <f>珀芙研电商!AL19+珀芙研药房!AL19</f>
        <v>0</v>
      </c>
      <c r="AM19" s="19">
        <f t="shared" si="28"/>
        <v>26.46</v>
      </c>
      <c r="AN19" s="23">
        <f>珀芙研电商!AN19+珀芙研药房!AN19</f>
        <v>0.12</v>
      </c>
      <c r="AO19" s="23">
        <f>珀芙研电商!AO19+珀芙研药房!AO19</f>
        <v>20.73</v>
      </c>
      <c r="AP19" s="49">
        <f>珀芙研电商!AP19+珀芙研药房!AP19</f>
        <v>26.46</v>
      </c>
      <c r="AQ19" s="43">
        <f>珀芙研电商!AQ19+珀芙研药房!AQ19</f>
        <v>49.190000000000005</v>
      </c>
      <c r="AR19" s="23">
        <f>珀芙研电商!AR19+珀芙研药房!AR19</f>
        <v>0</v>
      </c>
      <c r="AS19" s="19">
        <f t="shared" si="29"/>
        <v>49.190000000000005</v>
      </c>
      <c r="AT19" s="23">
        <f>珀芙研电商!AT19+珀芙研药房!AT19</f>
        <v>16.05</v>
      </c>
      <c r="AU19" s="23">
        <f>珀芙研电商!AU19+珀芙研药房!AU19</f>
        <v>45.7</v>
      </c>
      <c r="AV19" s="49">
        <f>珀芙研电商!AV19+珀芙研药房!AV19</f>
        <v>64.400000000000006</v>
      </c>
      <c r="AW19" s="43">
        <f>珀芙研电商!AW19+珀芙研药房!AW19</f>
        <v>42.919999999999995</v>
      </c>
      <c r="AX19" s="23">
        <f>珀芙研电商!AX19+珀芙研药房!AX19</f>
        <v>0</v>
      </c>
      <c r="AY19" s="19">
        <f t="shared" si="30"/>
        <v>42.919999999999995</v>
      </c>
      <c r="AZ19" s="23">
        <f>珀芙研电商!AZ19+珀芙研药房!AZ19</f>
        <v>19.62</v>
      </c>
      <c r="BA19" s="23">
        <f>珀芙研电商!BA19+珀芙研药房!BA19</f>
        <v>37.216981132075475</v>
      </c>
      <c r="BB19" s="49">
        <f>珀芙研电商!BB19+珀芙研药房!BB19</f>
        <v>64.5</v>
      </c>
      <c r="BC19" s="43">
        <f>珀芙研电商!BC19+珀芙研药房!BC19</f>
        <v>7.8199999999999994</v>
      </c>
      <c r="BD19" s="23">
        <f>珀芙研电商!BD19+珀芙研药房!BD19</f>
        <v>0</v>
      </c>
      <c r="BE19" s="19">
        <f t="shared" si="31"/>
        <v>7.8199999999999994</v>
      </c>
      <c r="BF19" s="23">
        <f>珀芙研电商!BF19+珀芙研药房!BF19</f>
        <v>47.77000000000001</v>
      </c>
      <c r="BG19" s="23">
        <f>珀芙研电商!BG19+珀芙研药房!BG19</f>
        <v>16</v>
      </c>
      <c r="BH19" s="49">
        <f>珀芙研电商!BH19+珀芙研药房!BH19</f>
        <v>40</v>
      </c>
      <c r="BI19" s="43">
        <f>珀芙研电商!BI19+珀芙研药房!BI19</f>
        <v>14.86</v>
      </c>
      <c r="BJ19" s="23">
        <f>珀芙研电商!BJ19+珀芙研药房!BJ19</f>
        <v>0</v>
      </c>
      <c r="BK19" s="19">
        <f t="shared" si="32"/>
        <v>14.86</v>
      </c>
      <c r="BL19" s="23">
        <f>珀芙研电商!BL19+珀芙研药房!BL19</f>
        <v>34.409999999999997</v>
      </c>
      <c r="BM19" s="23">
        <f>珀芙研电商!BM19+珀芙研药房!BM19</f>
        <v>10</v>
      </c>
      <c r="BN19" s="127">
        <f>珀芙研电商!BN19+珀芙研药房!BN19</f>
        <v>65</v>
      </c>
      <c r="BO19" s="43">
        <f>珀芙研电商!BO19+珀芙研药房!BO19</f>
        <v>7.03</v>
      </c>
      <c r="BP19" s="23">
        <f>珀芙研电商!BP19+珀芙研药房!BP19</f>
        <v>0</v>
      </c>
      <c r="BQ19" s="19">
        <f t="shared" si="33"/>
        <v>7.03</v>
      </c>
      <c r="BR19" s="23">
        <f>珀芙研电商!BR19+珀芙研药房!BR19</f>
        <v>137.79</v>
      </c>
      <c r="BS19" s="23">
        <f>珀芙研电商!BS19+珀芙研药房!BS19</f>
        <v>5</v>
      </c>
      <c r="BT19" s="49">
        <f>珀芙研电商!BT19+珀芙研药房!BT19</f>
        <v>55</v>
      </c>
      <c r="BU19" s="18">
        <f t="shared" si="36"/>
        <v>447.30999999999995</v>
      </c>
      <c r="BV19" s="19">
        <f t="shared" si="37"/>
        <v>0</v>
      </c>
      <c r="BW19" s="19">
        <f t="shared" si="34"/>
        <v>447.30999999999995</v>
      </c>
      <c r="BX19" s="19">
        <f t="shared" si="35"/>
        <v>262.58</v>
      </c>
      <c r="BY19" s="19">
        <f t="shared" si="35"/>
        <v>446.32698113207545</v>
      </c>
      <c r="BZ19" s="49">
        <f t="shared" si="35"/>
        <v>614.39</v>
      </c>
      <c r="CA19" s="24"/>
      <c r="CB19" s="106"/>
    </row>
    <row r="20" spans="1:80" outlineLevel="1">
      <c r="A20" s="4" t="s">
        <v>41</v>
      </c>
      <c r="B20" s="58" t="s">
        <v>11</v>
      </c>
      <c r="C20" s="43">
        <f>珀芙研电商!C20+珀芙研药房!C20</f>
        <v>7.2999999999999972</v>
      </c>
      <c r="D20" s="23">
        <f>珀芙研电商!D20+珀芙研药房!D20</f>
        <v>0</v>
      </c>
      <c r="E20" s="43">
        <f>珀芙研电商!E20+珀芙研药房!E20</f>
        <v>7.2999999999999972</v>
      </c>
      <c r="F20" s="49">
        <f>珀芙研电商!F20+珀芙研药房!F20</f>
        <v>7.2999999999999972</v>
      </c>
      <c r="G20" s="43">
        <f>珀芙研电商!G20+珀芙研药房!G20</f>
        <v>5.1500000000000057</v>
      </c>
      <c r="H20" s="23">
        <f>珀芙研电商!H20+珀芙研药房!H20</f>
        <v>0</v>
      </c>
      <c r="I20" s="19">
        <f t="shared" si="24"/>
        <v>5.1500000000000057</v>
      </c>
      <c r="J20" s="23">
        <f>珀芙研电商!J20+珀芙研药房!J20</f>
        <v>0</v>
      </c>
      <c r="K20" s="23">
        <f>珀芙研电商!K20+珀芙研药房!K20</f>
        <v>5.1500000000000057</v>
      </c>
      <c r="L20" s="49">
        <f>珀芙研电商!L20+珀芙研药房!L20</f>
        <v>5.1500000000000057</v>
      </c>
      <c r="M20" s="43">
        <f>珀芙研电商!M20+珀芙研药房!M20</f>
        <v>7.1999999999999993</v>
      </c>
      <c r="N20" s="23">
        <f>珀芙研电商!N20+珀芙研药房!N20</f>
        <v>0</v>
      </c>
      <c r="O20" s="19">
        <f t="shared" si="25"/>
        <v>7.1999999999999993</v>
      </c>
      <c r="P20" s="23">
        <f>珀芙研电商!P20+珀芙研药房!P20</f>
        <v>0</v>
      </c>
      <c r="Q20" s="23">
        <f>珀芙研电商!Q20+珀芙研药房!Q20</f>
        <v>7.1999999999999993</v>
      </c>
      <c r="R20" s="49">
        <f>珀芙研电商!R20+珀芙研药房!R20</f>
        <v>7.1999999999999993</v>
      </c>
      <c r="S20" s="43">
        <f>珀芙研电商!S20+珀芙研药房!S20</f>
        <v>5.0300000000000011</v>
      </c>
      <c r="T20" s="23">
        <f>珀芙研电商!T20+珀芙研药房!T20</f>
        <v>0</v>
      </c>
      <c r="U20" s="19">
        <f t="shared" si="26"/>
        <v>5.0300000000000011</v>
      </c>
      <c r="V20" s="23">
        <f>珀芙研电商!V20+珀芙研药房!V20</f>
        <v>0</v>
      </c>
      <c r="W20" s="23">
        <f>珀芙研电商!W20+珀芙研药房!W20</f>
        <v>38.119999999999997</v>
      </c>
      <c r="X20" s="49">
        <f>珀芙研电商!X20+珀芙研药房!X20</f>
        <v>5.0300000000000011</v>
      </c>
      <c r="Y20" s="43">
        <f>珀芙研电商!Y20+珀芙研药房!Y20</f>
        <v>12.59</v>
      </c>
      <c r="Z20" s="23">
        <f>珀芙研电商!Z20+珀芙研药房!Z20</f>
        <v>0</v>
      </c>
      <c r="AA20" s="19">
        <f t="shared" si="27"/>
        <v>12.59</v>
      </c>
      <c r="AB20" s="23">
        <f>珀芙研电商!AB20+珀芙研药房!AB20</f>
        <v>0</v>
      </c>
      <c r="AC20" s="23">
        <f>珀芙研电商!AC20+珀芙研药房!AC20</f>
        <v>69.400000000000006</v>
      </c>
      <c r="AD20" s="49">
        <f>珀芙研电商!AD20+珀芙研药房!AD20</f>
        <v>12.59</v>
      </c>
      <c r="AE20" s="43">
        <f>珀芙研电商!AE20+珀芙研药房!AE20</f>
        <v>10.199999999999996</v>
      </c>
      <c r="AF20" s="23">
        <f>珀芙研电商!AF20+珀芙研药房!AF20</f>
        <v>0</v>
      </c>
      <c r="AG20" s="43">
        <f>珀芙研电商!AG20+珀芙研药房!AG20</f>
        <v>10.199999999999996</v>
      </c>
      <c r="AH20" s="23">
        <f>珀芙研电商!AH20+珀芙研药房!AH20</f>
        <v>0.04</v>
      </c>
      <c r="AI20" s="23">
        <f>珀芙研电商!AI20+珀芙研药房!AI20</f>
        <v>5.3999999999999986</v>
      </c>
      <c r="AJ20" s="49">
        <f>珀芙研电商!AJ20+珀芙研药房!AJ20</f>
        <v>10.199999999999996</v>
      </c>
      <c r="AK20" s="43">
        <f>珀芙研电商!AK20+珀芙研药房!AK20</f>
        <v>5.8300000000000054</v>
      </c>
      <c r="AL20" s="23">
        <f>珀芙研电商!AL20+珀芙研药房!AL20</f>
        <v>0</v>
      </c>
      <c r="AM20" s="19">
        <f t="shared" si="28"/>
        <v>5.8300000000000054</v>
      </c>
      <c r="AN20" s="23">
        <f>珀芙研电商!AN20+珀芙研药房!AN20</f>
        <v>30.95</v>
      </c>
      <c r="AO20" s="23">
        <f>珀芙研电商!AO20+珀芙研药房!AO20</f>
        <v>25</v>
      </c>
      <c r="AP20" s="49">
        <f>珀芙研电商!AP20+珀芙研药房!AP20</f>
        <v>5.8300000000000054</v>
      </c>
      <c r="AQ20" s="43">
        <f>珀芙研电商!AQ20+珀芙研药房!AQ20</f>
        <v>7.6300000000000026</v>
      </c>
      <c r="AR20" s="23">
        <f>珀芙研电商!AR20+珀芙研药房!AR20</f>
        <v>0</v>
      </c>
      <c r="AS20" s="19">
        <f t="shared" si="29"/>
        <v>7.6300000000000026</v>
      </c>
      <c r="AT20" s="23">
        <f>珀芙研电商!AT20+珀芙研药房!AT20</f>
        <v>6.09</v>
      </c>
      <c r="AU20" s="23">
        <f>珀芙研电商!AU20+珀芙研药房!AU20</f>
        <v>8</v>
      </c>
      <c r="AV20" s="49">
        <f>珀芙研电商!AV20+珀芙研药房!AV20</f>
        <v>-0.29999999999999716</v>
      </c>
      <c r="AW20" s="43">
        <f>珀芙研电商!AW20+珀芙研药房!AW20</f>
        <v>19.03</v>
      </c>
      <c r="AX20" s="23">
        <f>珀芙研电商!AX20+珀芙研药房!AX20</f>
        <v>0</v>
      </c>
      <c r="AY20" s="19">
        <f t="shared" si="30"/>
        <v>19.03</v>
      </c>
      <c r="AZ20" s="23">
        <f>珀芙研电商!AZ20+珀芙研药房!AZ20</f>
        <v>29.56</v>
      </c>
      <c r="BA20" s="23">
        <f>珀芙研电商!BA20+珀芙研药房!BA20</f>
        <v>3</v>
      </c>
      <c r="BB20" s="49">
        <f>珀芙研电商!BB20+珀芙研药房!BB20</f>
        <v>3.120000000000001</v>
      </c>
      <c r="BC20" s="43">
        <f>珀芙研电商!BC20+珀芙研药房!BC20</f>
        <v>34.92</v>
      </c>
      <c r="BD20" s="23">
        <f>珀芙研电商!BD20+珀芙研药房!BD20</f>
        <v>0</v>
      </c>
      <c r="BE20" s="19">
        <f t="shared" si="31"/>
        <v>34.92</v>
      </c>
      <c r="BF20" s="23">
        <f>珀芙研电商!BF20+珀芙研药房!BF20</f>
        <v>41.57</v>
      </c>
      <c r="BG20" s="23">
        <f>珀芙研电商!BG20+珀芙研药房!BG20</f>
        <v>30</v>
      </c>
      <c r="BH20" s="49">
        <f>珀芙研电商!BH20+珀芙研药房!BH20</f>
        <v>7.6000000000000014</v>
      </c>
      <c r="BI20" s="43">
        <f>珀芙研电商!BI20+珀芙研药房!BI20</f>
        <v>30.75</v>
      </c>
      <c r="BJ20" s="23">
        <f>珀芙研电商!BJ20+珀芙研药房!BJ20</f>
        <v>0</v>
      </c>
      <c r="BK20" s="19">
        <f t="shared" si="32"/>
        <v>30.75</v>
      </c>
      <c r="BL20" s="23">
        <f>珀芙研电商!BL20+珀芙研药房!BL20</f>
        <v>25.83</v>
      </c>
      <c r="BM20" s="23">
        <f>珀芙研电商!BM20+珀芙研药房!BM20</f>
        <v>36</v>
      </c>
      <c r="BN20" s="127">
        <f>珀芙研电商!BN20+珀芙研药房!BN20</f>
        <v>40</v>
      </c>
      <c r="BO20" s="43">
        <f>珀芙研电商!BO20+珀芙研药房!BO20</f>
        <v>38.830000000000005</v>
      </c>
      <c r="BP20" s="23">
        <f>珀芙研电商!BP20+珀芙研药房!BP20</f>
        <v>0</v>
      </c>
      <c r="BQ20" s="19">
        <f t="shared" si="33"/>
        <v>38.830000000000005</v>
      </c>
      <c r="BR20" s="23">
        <f>珀芙研电商!BR20+珀芙研药房!BR20</f>
        <v>38.909999999999997</v>
      </c>
      <c r="BS20" s="23">
        <f>珀芙研电商!BS20+珀芙研药房!BS20</f>
        <v>27</v>
      </c>
      <c r="BT20" s="49">
        <f>珀芙研电商!BT20+珀芙研药房!BT20</f>
        <v>12.100000000000001</v>
      </c>
      <c r="BU20" s="18">
        <f t="shared" si="36"/>
        <v>184.46</v>
      </c>
      <c r="BV20" s="19">
        <f t="shared" si="37"/>
        <v>0</v>
      </c>
      <c r="BW20" s="19">
        <f t="shared" si="34"/>
        <v>184.46</v>
      </c>
      <c r="BX20" s="19">
        <f t="shared" si="35"/>
        <v>172.95000000000002</v>
      </c>
      <c r="BY20" s="19">
        <f t="shared" si="35"/>
        <v>261.57</v>
      </c>
      <c r="BZ20" s="49">
        <f t="shared" si="35"/>
        <v>115.82</v>
      </c>
      <c r="CA20" s="24"/>
      <c r="CB20" s="106"/>
    </row>
    <row r="21" spans="1:80" outlineLevel="1">
      <c r="A21" s="4" t="s">
        <v>42</v>
      </c>
      <c r="B21" s="57" t="s">
        <v>31</v>
      </c>
      <c r="C21" s="43">
        <f>珀芙研电商!C21+珀芙研药房!C21</f>
        <v>0</v>
      </c>
      <c r="D21" s="23">
        <f>珀芙研电商!D21+珀芙研药房!D21</f>
        <v>0</v>
      </c>
      <c r="E21" s="43">
        <f>珀芙研电商!E21+珀芙研药房!E21</f>
        <v>0</v>
      </c>
      <c r="F21" s="49">
        <f>珀芙研电商!F21+珀芙研药房!F21</f>
        <v>0</v>
      </c>
      <c r="G21" s="43">
        <f>珀芙研电商!G21+珀芙研药房!G21</f>
        <v>32.29</v>
      </c>
      <c r="H21" s="23">
        <f>珀芙研电商!H21+珀芙研药房!H21</f>
        <v>0</v>
      </c>
      <c r="I21" s="19">
        <f t="shared" si="24"/>
        <v>32.29</v>
      </c>
      <c r="J21" s="23">
        <f>珀芙研电商!J21+珀芙研药房!J21</f>
        <v>0</v>
      </c>
      <c r="K21" s="23">
        <f>珀芙研电商!K21+珀芙研药房!K21</f>
        <v>32.29</v>
      </c>
      <c r="L21" s="49">
        <f>珀芙研电商!L21+珀芙研药房!L21</f>
        <v>32.29</v>
      </c>
      <c r="M21" s="43">
        <f>珀芙研电商!M21+珀芙研药房!M21</f>
        <v>94.949999999999989</v>
      </c>
      <c r="N21" s="23">
        <f>珀芙研电商!N21+珀芙研药房!N21</f>
        <v>0</v>
      </c>
      <c r="O21" s="19">
        <f t="shared" si="25"/>
        <v>94.949999999999989</v>
      </c>
      <c r="P21" s="23">
        <f>珀芙研电商!P21+珀芙研药房!P21</f>
        <v>0</v>
      </c>
      <c r="Q21" s="23">
        <f>珀芙研电商!Q21+珀芙研药房!Q21</f>
        <v>94.949999999999989</v>
      </c>
      <c r="R21" s="49">
        <f>珀芙研电商!R21+珀芙研药房!R21</f>
        <v>94.949999999999989</v>
      </c>
      <c r="S21" s="43">
        <f>珀芙研电商!S21+珀芙研药房!S21</f>
        <v>35.21</v>
      </c>
      <c r="T21" s="23">
        <f>珀芙研电商!T21+珀芙研药房!T21</f>
        <v>0</v>
      </c>
      <c r="U21" s="19">
        <f t="shared" si="26"/>
        <v>35.21</v>
      </c>
      <c r="V21" s="23">
        <f>珀芙研电商!V21+珀芙研药房!V21</f>
        <v>0</v>
      </c>
      <c r="W21" s="23">
        <f>珀芙研电商!W21+珀芙研药房!W21</f>
        <v>26.2</v>
      </c>
      <c r="X21" s="49">
        <f>珀芙研电商!X21+珀芙研药房!X21</f>
        <v>35.21</v>
      </c>
      <c r="Y21" s="43">
        <f>珀芙研电商!Y21+珀芙研药房!Y21</f>
        <v>32.76</v>
      </c>
      <c r="Z21" s="23">
        <f>珀芙研电商!Z21+珀芙研药房!Z21</f>
        <v>0</v>
      </c>
      <c r="AA21" s="19">
        <f t="shared" si="27"/>
        <v>32.76</v>
      </c>
      <c r="AB21" s="23">
        <f>珀芙研电商!AB21+珀芙研药房!AB21</f>
        <v>0</v>
      </c>
      <c r="AC21" s="23">
        <f>珀芙研电商!AC21+珀芙研药房!AC21</f>
        <v>34.6</v>
      </c>
      <c r="AD21" s="49">
        <f>珀芙研电商!AD21+珀芙研药房!AD21</f>
        <v>32.76</v>
      </c>
      <c r="AE21" s="43">
        <f>珀芙研电商!AE21+珀芙研药房!AE21</f>
        <v>28.38</v>
      </c>
      <c r="AF21" s="23">
        <f>珀芙研电商!AF21+珀芙研药房!AF21</f>
        <v>0</v>
      </c>
      <c r="AG21" s="43">
        <f>珀芙研电商!AG21+珀芙研药房!AG21</f>
        <v>28.38</v>
      </c>
      <c r="AH21" s="23">
        <f>珀芙研电商!AH21+珀芙研药房!AH21</f>
        <v>0</v>
      </c>
      <c r="AI21" s="23">
        <f>珀芙研电商!AI21+珀芙研药房!AI21</f>
        <v>44</v>
      </c>
      <c r="AJ21" s="49">
        <f>珀芙研电商!AJ21+珀芙研药房!AJ21</f>
        <v>28.38</v>
      </c>
      <c r="AK21" s="43">
        <f>珀芙研电商!AK21+珀芙研药房!AK21</f>
        <v>28.58</v>
      </c>
      <c r="AL21" s="23">
        <f>珀芙研电商!AL21+珀芙研药房!AL21</f>
        <v>0</v>
      </c>
      <c r="AM21" s="19">
        <f t="shared" si="28"/>
        <v>28.58</v>
      </c>
      <c r="AN21" s="23">
        <f>珀芙研电商!AN21+珀芙研药房!AN21</f>
        <v>0</v>
      </c>
      <c r="AO21" s="23">
        <f>珀芙研电商!AO21+珀芙研药房!AO21</f>
        <v>40</v>
      </c>
      <c r="AP21" s="49">
        <f>珀芙研电商!AP21+珀芙研药房!AP21</f>
        <v>28.58</v>
      </c>
      <c r="AQ21" s="43">
        <f>珀芙研电商!AQ21+珀芙研药房!AQ21</f>
        <v>37.94</v>
      </c>
      <c r="AR21" s="23">
        <f>珀芙研电商!AR21+珀芙研药房!AR21</f>
        <v>0</v>
      </c>
      <c r="AS21" s="19">
        <f t="shared" si="29"/>
        <v>37.94</v>
      </c>
      <c r="AT21" s="23">
        <f>珀芙研电商!AT21+珀芙研药房!AT21</f>
        <v>0</v>
      </c>
      <c r="AU21" s="23">
        <f>珀芙研电商!AU21+珀芙研药房!AU21</f>
        <v>40</v>
      </c>
      <c r="AV21" s="49">
        <f>珀芙研电商!AV21+珀芙研药房!AV21</f>
        <v>37.799999999999997</v>
      </c>
      <c r="AW21" s="43">
        <f>珀芙研电商!AW21+珀芙研药房!AW21</f>
        <v>43.760000000000005</v>
      </c>
      <c r="AX21" s="23">
        <f>珀芙研电商!AX21+珀芙研药房!AX21</f>
        <v>0</v>
      </c>
      <c r="AY21" s="19">
        <f t="shared" si="30"/>
        <v>43.760000000000005</v>
      </c>
      <c r="AZ21" s="23">
        <f>珀芙研电商!AZ21+珀芙研药房!AZ21</f>
        <v>42.75</v>
      </c>
      <c r="BA21" s="23">
        <f>珀芙研电商!BA21+珀芙研药房!BA21</f>
        <v>40</v>
      </c>
      <c r="BB21" s="49">
        <f>珀芙研电商!BB21+珀芙研药房!BB21</f>
        <v>40</v>
      </c>
      <c r="BC21" s="43">
        <f>珀芙研电商!BC21+珀芙研药房!BC21</f>
        <v>39.299999999999997</v>
      </c>
      <c r="BD21" s="23">
        <f>珀芙研电商!BD21+珀芙研药房!BD21</f>
        <v>0</v>
      </c>
      <c r="BE21" s="19">
        <f t="shared" si="31"/>
        <v>39.299999999999997</v>
      </c>
      <c r="BF21" s="23">
        <f>珀芙研电商!BF21+珀芙研药房!BF21</f>
        <v>34.75</v>
      </c>
      <c r="BG21" s="23">
        <f>珀芙研电商!BG21+珀芙研药房!BG21</f>
        <v>37</v>
      </c>
      <c r="BH21" s="49">
        <f>珀芙研电商!BH21+珀芙研药房!BH21</f>
        <v>43</v>
      </c>
      <c r="BI21" s="43">
        <f>珀芙研电商!BI21+珀芙研药房!BI21</f>
        <v>34.839999999999996</v>
      </c>
      <c r="BJ21" s="23">
        <f>珀芙研电商!BJ21+珀芙研药房!BJ21</f>
        <v>0</v>
      </c>
      <c r="BK21" s="19">
        <f t="shared" si="32"/>
        <v>34.839999999999996</v>
      </c>
      <c r="BL21" s="23">
        <f>珀芙研电商!BL21+珀芙研药房!BL21</f>
        <v>39.56</v>
      </c>
      <c r="BM21" s="23">
        <f>珀芙研电商!BM21+珀芙研药房!BM21</f>
        <v>37</v>
      </c>
      <c r="BN21" s="49">
        <f>珀芙研电商!BN21+珀芙研药房!BN21</f>
        <v>45</v>
      </c>
      <c r="BO21" s="43">
        <f>珀芙研电商!BO21+珀芙研药房!BO21</f>
        <v>48.89</v>
      </c>
      <c r="BP21" s="23">
        <f>珀芙研电商!BP21+珀芙研药房!BP21</f>
        <v>0</v>
      </c>
      <c r="BQ21" s="19">
        <f t="shared" si="33"/>
        <v>48.89</v>
      </c>
      <c r="BR21" s="23">
        <f>珀芙研电商!BR21+珀芙研药房!BR21</f>
        <v>0</v>
      </c>
      <c r="BS21" s="23">
        <f>珀芙研电商!BS21+珀芙研药房!BS21</f>
        <v>77</v>
      </c>
      <c r="BT21" s="49">
        <f>珀芙研电商!BT21+珀芙研药房!BT21</f>
        <v>69</v>
      </c>
      <c r="BU21" s="18">
        <f t="shared" si="36"/>
        <v>456.89999999999992</v>
      </c>
      <c r="BV21" s="19">
        <f t="shared" si="37"/>
        <v>0</v>
      </c>
      <c r="BW21" s="19">
        <f t="shared" si="34"/>
        <v>456.89999999999992</v>
      </c>
      <c r="BX21" s="19">
        <f t="shared" si="35"/>
        <v>117.06</v>
      </c>
      <c r="BY21" s="19">
        <f t="shared" si="35"/>
        <v>503.03999999999996</v>
      </c>
      <c r="BZ21" s="49">
        <f t="shared" si="35"/>
        <v>486.96999999999997</v>
      </c>
      <c r="CA21" s="24"/>
      <c r="CB21" s="106"/>
    </row>
    <row r="22" spans="1:80" outlineLevel="1">
      <c r="A22" s="4" t="s">
        <v>43</v>
      </c>
      <c r="B22" s="57" t="s">
        <v>32</v>
      </c>
      <c r="C22" s="43">
        <f>珀芙研电商!C22+珀芙研药房!C22</f>
        <v>60.230000000000004</v>
      </c>
      <c r="D22" s="23">
        <f>珀芙研电商!D22+珀芙研药房!D22</f>
        <v>0</v>
      </c>
      <c r="E22" s="43">
        <f>珀芙研电商!E22+珀芙研药房!E22</f>
        <v>60.230000000000004</v>
      </c>
      <c r="F22" s="49">
        <f>珀芙研电商!F22+珀芙研药房!F22</f>
        <v>60.230000000000004</v>
      </c>
      <c r="G22" s="43">
        <f>珀芙研电商!G22+珀芙研药房!G22</f>
        <v>163.76</v>
      </c>
      <c r="H22" s="23">
        <f>珀芙研电商!H22+珀芙研药房!H22</f>
        <v>0</v>
      </c>
      <c r="I22" s="19">
        <f t="shared" si="24"/>
        <v>163.76</v>
      </c>
      <c r="J22" s="23">
        <f>珀芙研电商!J22+珀芙研药房!J22</f>
        <v>0</v>
      </c>
      <c r="K22" s="23">
        <f>珀芙研电商!K22+珀芙研药房!K22</f>
        <v>163.76</v>
      </c>
      <c r="L22" s="49">
        <f>珀芙研电商!L22+珀芙研药房!L22</f>
        <v>163.76</v>
      </c>
      <c r="M22" s="43">
        <f>珀芙研电商!M22+珀芙研药房!M22</f>
        <v>154.77000000000001</v>
      </c>
      <c r="N22" s="23">
        <f>珀芙研电商!N22+珀芙研药房!N22</f>
        <v>0</v>
      </c>
      <c r="O22" s="19">
        <f t="shared" si="25"/>
        <v>154.77000000000001</v>
      </c>
      <c r="P22" s="23">
        <f>珀芙研电商!P22+珀芙研药房!P22</f>
        <v>0</v>
      </c>
      <c r="Q22" s="23">
        <f>珀芙研电商!Q22+珀芙研药房!Q22</f>
        <v>154.77000000000001</v>
      </c>
      <c r="R22" s="49">
        <f>珀芙研电商!R22+珀芙研药房!R22</f>
        <v>154.77000000000001</v>
      </c>
      <c r="S22" s="43">
        <f>珀芙研电商!S22+珀芙研药房!S22</f>
        <v>135.21</v>
      </c>
      <c r="T22" s="23">
        <f>珀芙研电商!T22+珀芙研药房!T22</f>
        <v>0</v>
      </c>
      <c r="U22" s="19">
        <f t="shared" si="26"/>
        <v>135.21</v>
      </c>
      <c r="V22" s="23">
        <f>珀芙研电商!V22+珀芙研药房!V22</f>
        <v>0</v>
      </c>
      <c r="W22" s="23">
        <f>珀芙研电商!W22+珀芙研药房!W22</f>
        <v>132.55000000000001</v>
      </c>
      <c r="X22" s="49">
        <f>珀芙研电商!X22+珀芙研药房!X22</f>
        <v>135.21</v>
      </c>
      <c r="Y22" s="43">
        <f>珀芙研电商!Y22+珀芙研药房!Y22</f>
        <v>149.76</v>
      </c>
      <c r="Z22" s="23">
        <f>珀芙研电商!Z22+珀芙研药房!Z22</f>
        <v>0</v>
      </c>
      <c r="AA22" s="19">
        <f t="shared" si="27"/>
        <v>149.76</v>
      </c>
      <c r="AB22" s="23">
        <f>珀芙研电商!AB22+珀芙研药房!AB22</f>
        <v>0</v>
      </c>
      <c r="AC22" s="23">
        <f>珀芙研电商!AC22+珀芙研药房!AC22</f>
        <v>190.44</v>
      </c>
      <c r="AD22" s="49">
        <f>珀芙研电商!AD22+珀芙研药房!AD22</f>
        <v>149.76</v>
      </c>
      <c r="AE22" s="43">
        <f>珀芙研电商!AE22+珀芙研药房!AE22</f>
        <v>193.73</v>
      </c>
      <c r="AF22" s="23">
        <f>珀芙研电商!AF22+珀芙研药房!AF22</f>
        <v>0</v>
      </c>
      <c r="AG22" s="43">
        <f>珀芙研电商!AG22+珀芙研药房!AG22</f>
        <v>193.73</v>
      </c>
      <c r="AH22" s="23">
        <f>珀芙研电商!AH22+珀芙研药房!AH22</f>
        <v>0</v>
      </c>
      <c r="AI22" s="23">
        <f>珀芙研电商!AI22+珀芙研药房!AI22</f>
        <v>136.17000000000002</v>
      </c>
      <c r="AJ22" s="49">
        <f>珀芙研电商!AJ22+珀芙研药房!AJ22</f>
        <v>193.73</v>
      </c>
      <c r="AK22" s="43">
        <f>珀芙研电商!AK22+珀芙研药房!AK22</f>
        <v>72.11</v>
      </c>
      <c r="AL22" s="23">
        <f>珀芙研电商!AL22+珀芙研药房!AL22</f>
        <v>0</v>
      </c>
      <c r="AM22" s="19">
        <f t="shared" si="28"/>
        <v>72.11</v>
      </c>
      <c r="AN22" s="23">
        <f>珀芙研电商!AN22+珀芙研药房!AN22</f>
        <v>0</v>
      </c>
      <c r="AO22" s="23">
        <f>珀芙研电商!AO22+珀芙研药房!AO22</f>
        <v>162</v>
      </c>
      <c r="AP22" s="49">
        <f>珀芙研电商!AP22+珀芙研药房!AP22</f>
        <v>72.11</v>
      </c>
      <c r="AQ22" s="43">
        <f>珀芙研电商!AQ22+珀芙研药房!AQ22</f>
        <v>135.84</v>
      </c>
      <c r="AR22" s="23">
        <f>珀芙研电商!AR22+珀芙研药房!AR22</f>
        <v>0</v>
      </c>
      <c r="AS22" s="19">
        <f t="shared" si="29"/>
        <v>135.84</v>
      </c>
      <c r="AT22" s="23">
        <f>珀芙研电商!AT22+珀芙研药房!AT22</f>
        <v>3.89</v>
      </c>
      <c r="AU22" s="23">
        <f>珀芙研电商!AU22+珀芙研药房!AU22</f>
        <v>142.30000000000001</v>
      </c>
      <c r="AV22" s="49">
        <f>珀芙研电商!AV22+珀芙研药房!AV22</f>
        <v>132.5</v>
      </c>
      <c r="AW22" s="43">
        <f>珀芙研电商!AW22+珀芙研药房!AW22</f>
        <v>97.339999999999989</v>
      </c>
      <c r="AX22" s="23">
        <f>珀芙研电商!AX22+珀芙研药房!AX22</f>
        <v>0</v>
      </c>
      <c r="AY22" s="19">
        <f t="shared" si="30"/>
        <v>97.339999999999989</v>
      </c>
      <c r="AZ22" s="23">
        <f>珀芙研电商!AZ22+珀芙研药房!AZ22</f>
        <v>4.21</v>
      </c>
      <c r="BA22" s="23">
        <f>珀芙研电商!BA22+珀芙研药房!BA22</f>
        <v>96</v>
      </c>
      <c r="BB22" s="49">
        <f>珀芙研电商!BB22+珀芙研药房!BB22</f>
        <v>96</v>
      </c>
      <c r="BC22" s="43">
        <f>珀芙研电商!BC22+珀芙研药房!BC22</f>
        <v>105.5</v>
      </c>
      <c r="BD22" s="23">
        <f>珀芙研电商!BD22+珀芙研药房!BD22</f>
        <v>0</v>
      </c>
      <c r="BE22" s="19">
        <f t="shared" si="31"/>
        <v>105.5</v>
      </c>
      <c r="BF22" s="23">
        <f>珀芙研电商!BF22+珀芙研药房!BF22</f>
        <v>3.99</v>
      </c>
      <c r="BG22" s="23">
        <f>珀芙研电商!BG22+珀芙研药房!BG22</f>
        <v>99</v>
      </c>
      <c r="BH22" s="49">
        <f>珀芙研电商!BH22+珀芙研药房!BH22</f>
        <v>97.7</v>
      </c>
      <c r="BI22" s="43">
        <f>珀芙研电商!BI22+珀芙研药房!BI22</f>
        <v>92.42</v>
      </c>
      <c r="BJ22" s="23">
        <f>珀芙研电商!BJ22+珀芙研药房!BJ22</f>
        <v>0</v>
      </c>
      <c r="BK22" s="19">
        <f t="shared" si="32"/>
        <v>92.42</v>
      </c>
      <c r="BL22" s="23">
        <f>珀芙研电商!BL22+珀芙研药房!BL22</f>
        <v>4.6500000000000004</v>
      </c>
      <c r="BM22" s="23">
        <f>珀芙研电商!BM22+珀芙研药房!BM22</f>
        <v>141</v>
      </c>
      <c r="BN22" s="49">
        <f>珀芙研电商!BN22+珀芙研药房!BN22</f>
        <v>116.7</v>
      </c>
      <c r="BO22" s="43">
        <f>珀芙研电商!BO22+珀芙研药房!BO22</f>
        <v>168.13</v>
      </c>
      <c r="BP22" s="23">
        <f>珀芙研电商!BP22+珀芙研药房!BP22</f>
        <v>0</v>
      </c>
      <c r="BQ22" s="19">
        <f t="shared" si="33"/>
        <v>168.13</v>
      </c>
      <c r="BR22" s="23">
        <f>珀芙研电商!BR22+珀芙研药房!BR22</f>
        <v>3.92</v>
      </c>
      <c r="BS22" s="23">
        <f>珀芙研电商!BS22+珀芙研药房!BS22</f>
        <v>191</v>
      </c>
      <c r="BT22" s="49">
        <f>珀芙研电商!BT22+珀芙研药房!BT22</f>
        <v>206</v>
      </c>
      <c r="BU22" s="18">
        <f t="shared" si="36"/>
        <v>1528.8000000000002</v>
      </c>
      <c r="BV22" s="19">
        <f t="shared" si="37"/>
        <v>0</v>
      </c>
      <c r="BW22" s="19">
        <f t="shared" si="34"/>
        <v>1528.8000000000002</v>
      </c>
      <c r="BX22" s="19">
        <f t="shared" si="35"/>
        <v>20.660000000000004</v>
      </c>
      <c r="BY22" s="19">
        <f t="shared" si="35"/>
        <v>1669.22</v>
      </c>
      <c r="BZ22" s="49">
        <f t="shared" si="35"/>
        <v>1578.4700000000003</v>
      </c>
      <c r="CA22" s="24"/>
      <c r="CB22" s="106"/>
    </row>
    <row r="23" spans="1:80" outlineLevel="1">
      <c r="A23" s="4" t="s">
        <v>44</v>
      </c>
      <c r="B23" s="58" t="s">
        <v>10</v>
      </c>
      <c r="C23" s="43">
        <f>珀芙研电商!C23+珀芙研药房!C23</f>
        <v>0</v>
      </c>
      <c r="D23" s="23">
        <f>珀芙研电商!D23+珀芙研药房!D23</f>
        <v>0</v>
      </c>
      <c r="E23" s="43">
        <f>珀芙研电商!E23+珀芙研药房!E23</f>
        <v>0</v>
      </c>
      <c r="F23" s="49">
        <f>珀芙研电商!F23+珀芙研药房!F23</f>
        <v>0</v>
      </c>
      <c r="G23" s="43">
        <f>珀芙研电商!G23+珀芙研药房!G23</f>
        <v>0</v>
      </c>
      <c r="H23" s="23">
        <f>珀芙研电商!H23+珀芙研药房!H23</f>
        <v>0</v>
      </c>
      <c r="I23" s="19">
        <f t="shared" si="24"/>
        <v>0</v>
      </c>
      <c r="J23" s="23">
        <f>珀芙研电商!J23+珀芙研药房!J23</f>
        <v>0</v>
      </c>
      <c r="K23" s="23">
        <f>珀芙研电商!K23+珀芙研药房!K23</f>
        <v>0</v>
      </c>
      <c r="L23" s="49">
        <f>珀芙研电商!L23+珀芙研药房!L23</f>
        <v>0</v>
      </c>
      <c r="M23" s="43">
        <f>珀芙研电商!M23+珀芙研药房!M23</f>
        <v>1.52</v>
      </c>
      <c r="N23" s="23">
        <f>珀芙研电商!N23+珀芙研药房!N23</f>
        <v>0</v>
      </c>
      <c r="O23" s="19">
        <f t="shared" si="25"/>
        <v>1.52</v>
      </c>
      <c r="P23" s="23">
        <f>珀芙研电商!P23+珀芙研药房!P23</f>
        <v>0</v>
      </c>
      <c r="Q23" s="23">
        <f>珀芙研电商!Q23+珀芙研药房!Q23</f>
        <v>1.52</v>
      </c>
      <c r="R23" s="49">
        <f>珀芙研电商!R23+珀芙研药房!R23</f>
        <v>1.52</v>
      </c>
      <c r="S23" s="43">
        <f>珀芙研电商!S23+珀芙研药房!S23</f>
        <v>0</v>
      </c>
      <c r="T23" s="23">
        <f>珀芙研电商!T23+珀芙研药房!T23</f>
        <v>0</v>
      </c>
      <c r="U23" s="19">
        <f t="shared" si="26"/>
        <v>0</v>
      </c>
      <c r="V23" s="23">
        <f>珀芙研电商!V23+珀芙研药房!V23</f>
        <v>0</v>
      </c>
      <c r="W23" s="23">
        <f>珀芙研电商!W23+珀芙研药房!W23</f>
        <v>0</v>
      </c>
      <c r="X23" s="49">
        <f>珀芙研电商!X23+珀芙研药房!X23</f>
        <v>0</v>
      </c>
      <c r="Y23" s="43">
        <f>珀芙研电商!Y23+珀芙研药房!Y23</f>
        <v>0</v>
      </c>
      <c r="Z23" s="23">
        <f>珀芙研电商!Z23+珀芙研药房!Z23</f>
        <v>0</v>
      </c>
      <c r="AA23" s="19">
        <f t="shared" si="27"/>
        <v>0</v>
      </c>
      <c r="AB23" s="23">
        <f>珀芙研电商!AB23+珀芙研药房!AB23</f>
        <v>0</v>
      </c>
      <c r="AC23" s="23">
        <f>珀芙研电商!AC23+珀芙研药房!AC23</f>
        <v>0</v>
      </c>
      <c r="AD23" s="49">
        <f>珀芙研电商!AD23+珀芙研药房!AD23</f>
        <v>0</v>
      </c>
      <c r="AE23" s="43">
        <f>珀芙研电商!AE23+珀芙研药房!AE23</f>
        <v>2.68</v>
      </c>
      <c r="AF23" s="23">
        <f>珀芙研电商!AF23+珀芙研药房!AF23</f>
        <v>0</v>
      </c>
      <c r="AG23" s="43">
        <f>珀芙研电商!AG23+珀芙研药房!AG23</f>
        <v>2.68</v>
      </c>
      <c r="AH23" s="23">
        <f>珀芙研电商!AH23+珀芙研药房!AH23</f>
        <v>0</v>
      </c>
      <c r="AI23" s="23">
        <f>珀芙研电商!AI23+珀芙研药房!AI23</f>
        <v>0</v>
      </c>
      <c r="AJ23" s="49">
        <f>珀芙研电商!AJ23+珀芙研药房!AJ23</f>
        <v>2.68</v>
      </c>
      <c r="AK23" s="43">
        <f>珀芙研电商!AK23+珀芙研药房!AK23</f>
        <v>0</v>
      </c>
      <c r="AL23" s="23">
        <f>珀芙研电商!AL23+珀芙研药房!AL23</f>
        <v>0</v>
      </c>
      <c r="AM23" s="19">
        <f t="shared" si="28"/>
        <v>0</v>
      </c>
      <c r="AN23" s="23">
        <f>珀芙研电商!AN23+珀芙研药房!AN23</f>
        <v>0</v>
      </c>
      <c r="AO23" s="23">
        <f>珀芙研电商!AO23+珀芙研药房!AO23</f>
        <v>0</v>
      </c>
      <c r="AP23" s="49">
        <f>珀芙研电商!AP23+珀芙研药房!AP23</f>
        <v>0</v>
      </c>
      <c r="AQ23" s="43">
        <f>珀芙研电商!AQ23+珀芙研药房!AQ23</f>
        <v>0</v>
      </c>
      <c r="AR23" s="23">
        <f>珀芙研电商!AR23+珀芙研药房!AR23</f>
        <v>0</v>
      </c>
      <c r="AS23" s="19">
        <f t="shared" si="29"/>
        <v>0</v>
      </c>
      <c r="AT23" s="23">
        <f>珀芙研电商!AT23+珀芙研药房!AT23</f>
        <v>0</v>
      </c>
      <c r="AU23" s="23">
        <f>珀芙研电商!AU23+珀芙研药房!AU23</f>
        <v>0</v>
      </c>
      <c r="AV23" s="49">
        <f>珀芙研电商!AV23+珀芙研药房!AV23</f>
        <v>0</v>
      </c>
      <c r="AW23" s="43">
        <f>珀芙研电商!AW23+珀芙研药房!AW23</f>
        <v>6.93</v>
      </c>
      <c r="AX23" s="23">
        <f>珀芙研电商!AX23+珀芙研药房!AX23</f>
        <v>0</v>
      </c>
      <c r="AY23" s="19">
        <f t="shared" si="30"/>
        <v>6.93</v>
      </c>
      <c r="AZ23" s="23">
        <f>珀芙研电商!AZ23+珀芙研药房!AZ23</f>
        <v>0</v>
      </c>
      <c r="BA23" s="23">
        <f>珀芙研电商!BA23+珀芙研药房!BA23</f>
        <v>0</v>
      </c>
      <c r="BB23" s="49">
        <f>珀芙研电商!BB23+珀芙研药房!BB23</f>
        <v>0</v>
      </c>
      <c r="BC23" s="43">
        <f>珀芙研电商!BC23+珀芙研药房!BC23</f>
        <v>7.5</v>
      </c>
      <c r="BD23" s="23">
        <f>珀芙研电商!BD23+珀芙研药房!BD23</f>
        <v>0</v>
      </c>
      <c r="BE23" s="19">
        <f t="shared" si="31"/>
        <v>7.5</v>
      </c>
      <c r="BF23" s="23">
        <f>珀芙研电商!BF23+珀芙研药房!BF23</f>
        <v>0</v>
      </c>
      <c r="BG23" s="23">
        <f>珀芙研电商!BG23+珀芙研药房!BG23</f>
        <v>0</v>
      </c>
      <c r="BH23" s="49">
        <f>珀芙研电商!BH23+珀芙研药房!BH23</f>
        <v>0</v>
      </c>
      <c r="BI23" s="43">
        <f>珀芙研电商!BI23+珀芙研药房!BI23</f>
        <v>0</v>
      </c>
      <c r="BJ23" s="23">
        <f>珀芙研电商!BJ23+珀芙研药房!BJ23</f>
        <v>0</v>
      </c>
      <c r="BK23" s="19">
        <f t="shared" si="32"/>
        <v>0</v>
      </c>
      <c r="BL23" s="23">
        <f>珀芙研电商!BL23+珀芙研药房!BL23</f>
        <v>0</v>
      </c>
      <c r="BM23" s="23">
        <f>珀芙研电商!BM23+珀芙研药房!BM23</f>
        <v>0</v>
      </c>
      <c r="BN23" s="49">
        <f>珀芙研电商!BN23+珀芙研药房!BN23</f>
        <v>0</v>
      </c>
      <c r="BO23" s="43">
        <f>珀芙研电商!BO23+珀芙研药房!BO23</f>
        <v>6.9</v>
      </c>
      <c r="BP23" s="23">
        <f>珀芙研电商!BP23+珀芙研药房!BP23</f>
        <v>0</v>
      </c>
      <c r="BQ23" s="19">
        <f t="shared" si="33"/>
        <v>6.9</v>
      </c>
      <c r="BR23" s="23">
        <f>珀芙研电商!BR23+珀芙研药房!BR23</f>
        <v>0</v>
      </c>
      <c r="BS23" s="23">
        <f>珀芙研电商!BS23+珀芙研药房!BS23</f>
        <v>0</v>
      </c>
      <c r="BT23" s="49">
        <f>珀芙研电商!BT23+珀芙研药房!BT23</f>
        <v>0</v>
      </c>
      <c r="BU23" s="18">
        <f t="shared" si="36"/>
        <v>25.53</v>
      </c>
      <c r="BV23" s="19">
        <f t="shared" si="37"/>
        <v>0</v>
      </c>
      <c r="BW23" s="19">
        <f t="shared" si="34"/>
        <v>25.53</v>
      </c>
      <c r="BX23" s="19">
        <f t="shared" si="35"/>
        <v>0</v>
      </c>
      <c r="BY23" s="19">
        <f t="shared" si="35"/>
        <v>1.52</v>
      </c>
      <c r="BZ23" s="49">
        <f t="shared" si="35"/>
        <v>4.2</v>
      </c>
      <c r="CA23" s="24"/>
      <c r="CB23" s="106"/>
    </row>
    <row r="24" spans="1:80" outlineLevel="1">
      <c r="A24" s="5" t="s">
        <v>45</v>
      </c>
      <c r="B24" s="54" t="s">
        <v>7</v>
      </c>
      <c r="C24" s="43">
        <f>珀芙研电商!C24+珀芙研药房!C24</f>
        <v>42.89</v>
      </c>
      <c r="D24" s="23">
        <f>珀芙研电商!D24+珀芙研药房!D24</f>
        <v>0</v>
      </c>
      <c r="E24" s="43">
        <f>珀芙研电商!E24+珀芙研药房!E24</f>
        <v>42.89</v>
      </c>
      <c r="F24" s="49">
        <f>珀芙研电商!F24+珀芙研药房!F24</f>
        <v>42.89</v>
      </c>
      <c r="G24" s="43">
        <f>珀芙研电商!G24+珀芙研药房!G24</f>
        <v>123.99</v>
      </c>
      <c r="H24" s="23">
        <f>珀芙研电商!H24+珀芙研药房!H24</f>
        <v>0</v>
      </c>
      <c r="I24" s="19">
        <f t="shared" si="24"/>
        <v>123.99</v>
      </c>
      <c r="J24" s="23">
        <f>珀芙研电商!J24+珀芙研药房!J24</f>
        <v>0</v>
      </c>
      <c r="K24" s="23">
        <f>珀芙研电商!K24+珀芙研药房!K24</f>
        <v>123.99</v>
      </c>
      <c r="L24" s="49">
        <f>珀芙研电商!L24+珀芙研药房!L24</f>
        <v>123.99</v>
      </c>
      <c r="M24" s="43">
        <f>珀芙研电商!M24+珀芙研药房!M24</f>
        <v>90.02</v>
      </c>
      <c r="N24" s="23">
        <f>珀芙研电商!N24+珀芙研药房!N24</f>
        <v>0</v>
      </c>
      <c r="O24" s="19">
        <f t="shared" si="25"/>
        <v>90.02</v>
      </c>
      <c r="P24" s="23">
        <f>珀芙研电商!P24+珀芙研药房!P24</f>
        <v>0</v>
      </c>
      <c r="Q24" s="23">
        <f>珀芙研电商!Q24+珀芙研药房!Q24</f>
        <v>90.02</v>
      </c>
      <c r="R24" s="49">
        <f>珀芙研电商!R24+珀芙研药房!R24</f>
        <v>90.02</v>
      </c>
      <c r="S24" s="43">
        <f>珀芙研电商!S24+珀芙研药房!S24</f>
        <v>72.36999999999999</v>
      </c>
      <c r="T24" s="23">
        <f>珀芙研电商!T24+珀芙研药房!T24</f>
        <v>0</v>
      </c>
      <c r="U24" s="19">
        <f t="shared" si="26"/>
        <v>72.36999999999999</v>
      </c>
      <c r="V24" s="23">
        <f>珀芙研电商!V24+珀芙研药房!V24</f>
        <v>0</v>
      </c>
      <c r="W24" s="23">
        <f>珀芙研电商!W24+珀芙研药房!W24</f>
        <v>17.2</v>
      </c>
      <c r="X24" s="49">
        <f>珀芙研电商!X24+珀芙研药房!X24</f>
        <v>72.36999999999999</v>
      </c>
      <c r="Y24" s="43">
        <f>珀芙研电商!Y24+珀芙研药房!Y24</f>
        <v>20.91</v>
      </c>
      <c r="Z24" s="23">
        <f>珀芙研电商!Z24+珀芙研药房!Z24</f>
        <v>0</v>
      </c>
      <c r="AA24" s="19">
        <f t="shared" si="27"/>
        <v>20.91</v>
      </c>
      <c r="AB24" s="23">
        <f>珀芙研电商!AB24+珀芙研药房!AB24</f>
        <v>0</v>
      </c>
      <c r="AC24" s="23">
        <f>珀芙研电商!AC24+珀芙研药房!AC24</f>
        <v>17.399999999999999</v>
      </c>
      <c r="AD24" s="49">
        <f>珀芙研电商!AD24+珀芙研药房!AD24</f>
        <v>20.91</v>
      </c>
      <c r="AE24" s="43">
        <f>珀芙研电商!AE24+珀芙研药房!AE24</f>
        <v>-21.39</v>
      </c>
      <c r="AF24" s="23">
        <f>珀芙研电商!AF24+珀芙研药房!AF24</f>
        <v>0</v>
      </c>
      <c r="AG24" s="43">
        <f>珀芙研电商!AG24+珀芙研药房!AG24</f>
        <v>-21.39</v>
      </c>
      <c r="AH24" s="23">
        <f>珀芙研电商!AH24+珀芙研药房!AH24</f>
        <v>0.84</v>
      </c>
      <c r="AI24" s="23">
        <f>珀芙研电商!AI24+珀芙研药房!AI24</f>
        <v>100</v>
      </c>
      <c r="AJ24" s="49">
        <f>珀芙研电商!AJ24+珀芙研药房!AJ24</f>
        <v>-21.39</v>
      </c>
      <c r="AK24" s="43">
        <f>珀芙研电商!AK24+珀芙研药房!AK24</f>
        <v>-12.17</v>
      </c>
      <c r="AL24" s="23">
        <f>珀芙研电商!AL24+珀芙研药房!AL24</f>
        <v>0</v>
      </c>
      <c r="AM24" s="19">
        <f t="shared" si="28"/>
        <v>-12.17</v>
      </c>
      <c r="AN24" s="23">
        <f>珀芙研电商!AN24+珀芙研药房!AN24</f>
        <v>2.0900000000000003</v>
      </c>
      <c r="AO24" s="23">
        <f>珀芙研电商!AO24+珀芙研药房!AO24</f>
        <v>56</v>
      </c>
      <c r="AP24" s="49">
        <f>珀芙研电商!AP24+珀芙研药房!AP24</f>
        <v>-12.17</v>
      </c>
      <c r="AQ24" s="43">
        <f>珀芙研电商!AQ24+珀芙研药房!AQ24</f>
        <v>9.6100000000000012</v>
      </c>
      <c r="AR24" s="23">
        <f>珀芙研电商!AR24+珀芙研药房!AR24</f>
        <v>0</v>
      </c>
      <c r="AS24" s="19">
        <f t="shared" si="29"/>
        <v>9.6100000000000012</v>
      </c>
      <c r="AT24" s="23">
        <f>珀芙研电商!AT24+珀芙研药房!AT24</f>
        <v>2.29</v>
      </c>
      <c r="AU24" s="23">
        <f>珀芙研电商!AU24+珀芙研药房!AU24</f>
        <v>40.200000000000003</v>
      </c>
      <c r="AV24" s="49">
        <f>珀芙研电商!AV24+珀芙研药房!AV24</f>
        <v>27.5</v>
      </c>
      <c r="AW24" s="43">
        <f>珀芙研电商!AW24+珀芙研药房!AW24</f>
        <v>25.43</v>
      </c>
      <c r="AX24" s="23">
        <f>珀芙研电商!AX24+珀芙研药房!AX24</f>
        <v>0</v>
      </c>
      <c r="AY24" s="19">
        <f t="shared" si="30"/>
        <v>25.43</v>
      </c>
      <c r="AZ24" s="23">
        <f>珀芙研电商!AZ24+珀芙研药房!AZ24</f>
        <v>10.65</v>
      </c>
      <c r="BA24" s="23">
        <f>珀芙研电商!BA24+珀芙研药房!BA24</f>
        <v>23</v>
      </c>
      <c r="BB24" s="49">
        <f>珀芙研电商!BB24+珀芙研药房!BB24</f>
        <v>32</v>
      </c>
      <c r="BC24" s="43">
        <f>珀芙研电商!BC24+珀芙研药房!BC24</f>
        <v>33.22</v>
      </c>
      <c r="BD24" s="23">
        <f>珀芙研电商!BD24+珀芙研药房!BD24</f>
        <v>0</v>
      </c>
      <c r="BE24" s="19">
        <f t="shared" si="31"/>
        <v>33.22</v>
      </c>
      <c r="BF24" s="23">
        <f>珀芙研电商!BF24+珀芙研药房!BF24</f>
        <v>22.700000000000003</v>
      </c>
      <c r="BG24" s="23">
        <f>珀芙研电商!BG24+珀芙研药房!BG24</f>
        <v>23</v>
      </c>
      <c r="BH24" s="49">
        <f>珀芙研电商!BH24+珀芙研药房!BH24</f>
        <v>23</v>
      </c>
      <c r="BI24" s="43">
        <f>珀芙研电商!BI24+珀芙研药房!BI24</f>
        <v>36.839999999999996</v>
      </c>
      <c r="BJ24" s="23">
        <f>珀芙研电商!BJ24+珀芙研药房!BJ24</f>
        <v>0</v>
      </c>
      <c r="BK24" s="19">
        <f t="shared" si="32"/>
        <v>36.839999999999996</v>
      </c>
      <c r="BL24" s="23">
        <f>珀芙研电商!BL24+珀芙研药房!BL24</f>
        <v>23.02</v>
      </c>
      <c r="BM24" s="23">
        <f>珀芙研电商!BM24+珀芙研药房!BM24</f>
        <v>23</v>
      </c>
      <c r="BN24" s="49">
        <f>珀芙研电商!BN24+珀芙研药房!BN24</f>
        <v>50</v>
      </c>
      <c r="BO24" s="43">
        <f>珀芙研电商!BO24+珀芙研药房!BO24</f>
        <v>-0.65999999999999837</v>
      </c>
      <c r="BP24" s="23">
        <f>珀芙研电商!BP24+珀芙研药房!BP24</f>
        <v>0</v>
      </c>
      <c r="BQ24" s="19">
        <f t="shared" si="33"/>
        <v>-0.65999999999999837</v>
      </c>
      <c r="BR24" s="23">
        <f>珀芙研电商!BR24+珀芙研药房!BR24</f>
        <v>33.690000000000012</v>
      </c>
      <c r="BS24" s="23">
        <f>珀芙研电商!BS24+珀芙研药房!BS24</f>
        <v>17</v>
      </c>
      <c r="BT24" s="49">
        <f>珀芙研电商!BT24+珀芙研药房!BT24</f>
        <v>28</v>
      </c>
      <c r="BU24" s="18">
        <f t="shared" si="36"/>
        <v>421.05999999999995</v>
      </c>
      <c r="BV24" s="19">
        <f t="shared" si="37"/>
        <v>0</v>
      </c>
      <c r="BW24" s="19">
        <f t="shared" si="34"/>
        <v>421.05999999999995</v>
      </c>
      <c r="BX24" s="19">
        <f t="shared" si="35"/>
        <v>95.280000000000015</v>
      </c>
      <c r="BY24" s="19">
        <f t="shared" si="35"/>
        <v>573.69999999999993</v>
      </c>
      <c r="BZ24" s="49">
        <f t="shared" si="35"/>
        <v>477.12</v>
      </c>
      <c r="CA24" s="24"/>
      <c r="CB24" s="106"/>
    </row>
    <row r="25" spans="1:80" outlineLevel="1">
      <c r="A25" s="5" t="s">
        <v>46</v>
      </c>
      <c r="B25" s="54" t="s">
        <v>19</v>
      </c>
      <c r="C25" s="43">
        <f>珀芙研电商!C25+珀芙研药房!C25</f>
        <v>0</v>
      </c>
      <c r="D25" s="23">
        <f>珀芙研电商!D25+珀芙研药房!D25</f>
        <v>0</v>
      </c>
      <c r="E25" s="43">
        <f>珀芙研电商!E25+珀芙研药房!E25</f>
        <v>0</v>
      </c>
      <c r="F25" s="49">
        <f>珀芙研电商!F25+珀芙研药房!F25</f>
        <v>0</v>
      </c>
      <c r="G25" s="43">
        <f>珀芙研电商!G25+珀芙研药房!G25</f>
        <v>0</v>
      </c>
      <c r="H25" s="23">
        <f>珀芙研电商!H25+珀芙研药房!H25</f>
        <v>0</v>
      </c>
      <c r="I25" s="19">
        <f t="shared" si="24"/>
        <v>0</v>
      </c>
      <c r="J25" s="23">
        <f>珀芙研电商!J25+珀芙研药房!J25</f>
        <v>0</v>
      </c>
      <c r="K25" s="23">
        <f>珀芙研电商!K25+珀芙研药房!K25</f>
        <v>0</v>
      </c>
      <c r="L25" s="49">
        <f>珀芙研电商!L25+珀芙研药房!L25</f>
        <v>0</v>
      </c>
      <c r="M25" s="43">
        <f>珀芙研电商!M25+珀芙研药房!M25</f>
        <v>0</v>
      </c>
      <c r="N25" s="23">
        <f>珀芙研电商!N25+珀芙研药房!N25</f>
        <v>0</v>
      </c>
      <c r="O25" s="19">
        <f t="shared" si="25"/>
        <v>0</v>
      </c>
      <c r="P25" s="23">
        <f>珀芙研电商!P25+珀芙研药房!P25</f>
        <v>0</v>
      </c>
      <c r="Q25" s="23">
        <f>珀芙研电商!Q25+珀芙研药房!Q25</f>
        <v>0</v>
      </c>
      <c r="R25" s="49">
        <f>珀芙研电商!R25+珀芙研药房!R25</f>
        <v>0</v>
      </c>
      <c r="S25" s="43">
        <f>珀芙研电商!S25+珀芙研药房!S25</f>
        <v>0</v>
      </c>
      <c r="T25" s="23">
        <f>珀芙研电商!T25+珀芙研药房!T25</f>
        <v>0</v>
      </c>
      <c r="U25" s="19">
        <f t="shared" si="26"/>
        <v>0</v>
      </c>
      <c r="V25" s="23">
        <f>珀芙研电商!V25+珀芙研药房!V25</f>
        <v>0</v>
      </c>
      <c r="W25" s="23">
        <f>珀芙研电商!W25+珀芙研药房!W25</f>
        <v>0</v>
      </c>
      <c r="X25" s="49">
        <f>珀芙研电商!X25+珀芙研药房!X25</f>
        <v>0</v>
      </c>
      <c r="Y25" s="43">
        <f>珀芙研电商!Y25+珀芙研药房!Y25</f>
        <v>0</v>
      </c>
      <c r="Z25" s="23">
        <f>珀芙研电商!Z25+珀芙研药房!Z25</f>
        <v>0</v>
      </c>
      <c r="AA25" s="19">
        <f t="shared" si="27"/>
        <v>0</v>
      </c>
      <c r="AB25" s="23">
        <f>珀芙研电商!AB25+珀芙研药房!AB25</f>
        <v>0</v>
      </c>
      <c r="AC25" s="23">
        <f>珀芙研电商!AC25+珀芙研药房!AC25</f>
        <v>0</v>
      </c>
      <c r="AD25" s="49">
        <f>珀芙研电商!AD25+珀芙研药房!AD25</f>
        <v>0</v>
      </c>
      <c r="AE25" s="43">
        <f>珀芙研电商!AE25+珀芙研药房!AE25</f>
        <v>0</v>
      </c>
      <c r="AF25" s="23">
        <f>珀芙研电商!AF25+珀芙研药房!AF25</f>
        <v>0</v>
      </c>
      <c r="AG25" s="43">
        <f>珀芙研电商!AG25+珀芙研药房!AG25</f>
        <v>0</v>
      </c>
      <c r="AH25" s="23">
        <f>珀芙研电商!AH25+珀芙研药房!AH25</f>
        <v>0</v>
      </c>
      <c r="AI25" s="23">
        <f>珀芙研电商!AI25+珀芙研药房!AI25</f>
        <v>0</v>
      </c>
      <c r="AJ25" s="49">
        <f>珀芙研电商!AJ25+珀芙研药房!AJ25</f>
        <v>0</v>
      </c>
      <c r="AK25" s="43">
        <f>珀芙研电商!AK25+珀芙研药房!AK25</f>
        <v>0</v>
      </c>
      <c r="AL25" s="23">
        <f>珀芙研电商!AL25+珀芙研药房!AL25</f>
        <v>0</v>
      </c>
      <c r="AM25" s="19">
        <f t="shared" si="28"/>
        <v>0</v>
      </c>
      <c r="AN25" s="23">
        <f>珀芙研电商!AN25+珀芙研药房!AN25</f>
        <v>0</v>
      </c>
      <c r="AO25" s="23">
        <f>珀芙研电商!AO25+珀芙研药房!AO25</f>
        <v>0</v>
      </c>
      <c r="AP25" s="49">
        <f>珀芙研电商!AP25+珀芙研药房!AP25</f>
        <v>0</v>
      </c>
      <c r="AQ25" s="43">
        <f>珀芙研电商!AQ25+珀芙研药房!AQ25</f>
        <v>0</v>
      </c>
      <c r="AR25" s="23">
        <f>珀芙研电商!AR25+珀芙研药房!AR25</f>
        <v>0</v>
      </c>
      <c r="AS25" s="19">
        <f t="shared" si="29"/>
        <v>0</v>
      </c>
      <c r="AT25" s="23">
        <f>珀芙研电商!AT25+珀芙研药房!AT25</f>
        <v>0</v>
      </c>
      <c r="AU25" s="23">
        <f>珀芙研电商!AU25+珀芙研药房!AU25</f>
        <v>0</v>
      </c>
      <c r="AV25" s="49">
        <f>珀芙研电商!AV25+珀芙研药房!AV25</f>
        <v>0</v>
      </c>
      <c r="AW25" s="43">
        <f>珀芙研电商!AW25+珀芙研药房!AW25</f>
        <v>0</v>
      </c>
      <c r="AX25" s="23">
        <f>珀芙研电商!AX25+珀芙研药房!AX25</f>
        <v>0</v>
      </c>
      <c r="AY25" s="19">
        <f t="shared" si="30"/>
        <v>0</v>
      </c>
      <c r="AZ25" s="23">
        <f>珀芙研电商!AZ25+珀芙研药房!AZ25</f>
        <v>0</v>
      </c>
      <c r="BA25" s="23">
        <f>珀芙研电商!BA25+珀芙研药房!BA25</f>
        <v>0</v>
      </c>
      <c r="BB25" s="49">
        <f>珀芙研电商!BB25+珀芙研药房!BB25</f>
        <v>0</v>
      </c>
      <c r="BC25" s="43">
        <f>珀芙研电商!BC25+珀芙研药房!BC25</f>
        <v>0</v>
      </c>
      <c r="BD25" s="23">
        <f>珀芙研电商!BD25+珀芙研药房!BD25</f>
        <v>0</v>
      </c>
      <c r="BE25" s="19">
        <f t="shared" si="31"/>
        <v>0</v>
      </c>
      <c r="BF25" s="23">
        <f>珀芙研电商!BF25+珀芙研药房!BF25</f>
        <v>0</v>
      </c>
      <c r="BG25" s="23">
        <f>珀芙研电商!BG25+珀芙研药房!BG25</f>
        <v>0</v>
      </c>
      <c r="BH25" s="49">
        <f>珀芙研电商!BH25+珀芙研药房!BH25</f>
        <v>0</v>
      </c>
      <c r="BI25" s="43">
        <f>珀芙研电商!BI25+珀芙研药房!BI25</f>
        <v>0</v>
      </c>
      <c r="BJ25" s="23">
        <f>珀芙研电商!BJ25+珀芙研药房!BJ25</f>
        <v>0</v>
      </c>
      <c r="BK25" s="19">
        <f t="shared" si="32"/>
        <v>0</v>
      </c>
      <c r="BL25" s="23">
        <f>珀芙研电商!BL25+珀芙研药房!BL25</f>
        <v>0</v>
      </c>
      <c r="BM25" s="23">
        <f>珀芙研电商!BM25+珀芙研药房!BM25</f>
        <v>0</v>
      </c>
      <c r="BN25" s="49">
        <f>珀芙研电商!BN25+珀芙研药房!BN25</f>
        <v>0</v>
      </c>
      <c r="BO25" s="43">
        <f>珀芙研电商!BO25+珀芙研药房!BO25</f>
        <v>0</v>
      </c>
      <c r="BP25" s="23">
        <f>珀芙研电商!BP25+珀芙研药房!BP25</f>
        <v>0</v>
      </c>
      <c r="BQ25" s="19">
        <f t="shared" si="33"/>
        <v>0</v>
      </c>
      <c r="BR25" s="23">
        <f>珀芙研电商!BR25+珀芙研药房!BR25</f>
        <v>0</v>
      </c>
      <c r="BS25" s="23">
        <f>珀芙研电商!BS25+珀芙研药房!BS25</f>
        <v>0</v>
      </c>
      <c r="BT25" s="49">
        <f>珀芙研电商!BT25+珀芙研药房!BT25</f>
        <v>0</v>
      </c>
      <c r="BU25" s="18">
        <f t="shared" si="36"/>
        <v>0</v>
      </c>
      <c r="BV25" s="19">
        <f t="shared" si="37"/>
        <v>0</v>
      </c>
      <c r="BW25" s="19">
        <f t="shared" si="34"/>
        <v>0</v>
      </c>
      <c r="BX25" s="19">
        <f t="shared" si="35"/>
        <v>0</v>
      </c>
      <c r="BY25" s="19">
        <f t="shared" si="35"/>
        <v>0</v>
      </c>
      <c r="BZ25" s="49">
        <f t="shared" si="35"/>
        <v>0</v>
      </c>
      <c r="CA25" s="24"/>
      <c r="CB25" s="106"/>
    </row>
    <row r="26" spans="1:80" outlineLevel="1">
      <c r="A26" s="5" t="s">
        <v>47</v>
      </c>
      <c r="B26" s="54" t="s">
        <v>15</v>
      </c>
      <c r="C26" s="43">
        <f>珀芙研电商!C26+珀芙研药房!C26</f>
        <v>0</v>
      </c>
      <c r="D26" s="23">
        <f>珀芙研电商!D26+珀芙研药房!D26</f>
        <v>0</v>
      </c>
      <c r="E26" s="117"/>
      <c r="F26" s="49">
        <f>珀芙研电商!F26+珀芙研药房!F26</f>
        <v>0</v>
      </c>
      <c r="G26" s="43">
        <f>珀芙研电商!G26+珀芙研药房!G26</f>
        <v>0</v>
      </c>
      <c r="H26" s="23">
        <f>珀芙研电商!H26+珀芙研药房!H26</f>
        <v>0</v>
      </c>
      <c r="I26" s="19">
        <f t="shared" si="24"/>
        <v>0</v>
      </c>
      <c r="J26" s="23">
        <f>珀芙研电商!J26+珀芙研药房!J26</f>
        <v>0</v>
      </c>
      <c r="K26" s="23">
        <f>珀芙研电商!K26+珀芙研药房!K26</f>
        <v>0</v>
      </c>
      <c r="L26" s="49">
        <f>珀芙研电商!L26+珀芙研药房!L26</f>
        <v>0</v>
      </c>
      <c r="M26" s="43">
        <f>珀芙研电商!M26+珀芙研药房!M26</f>
        <v>34.06</v>
      </c>
      <c r="N26" s="23">
        <f>珀芙研电商!N26+珀芙研药房!N26</f>
        <v>0</v>
      </c>
      <c r="O26" s="19">
        <f t="shared" si="25"/>
        <v>34.06</v>
      </c>
      <c r="P26" s="23">
        <f>珀芙研电商!P26+珀芙研药房!P26</f>
        <v>0</v>
      </c>
      <c r="Q26" s="23">
        <f>珀芙研电商!Q26+珀芙研药房!Q26</f>
        <v>34.06</v>
      </c>
      <c r="R26" s="49">
        <f>珀芙研电商!R26+珀芙研药房!R26</f>
        <v>34.06</v>
      </c>
      <c r="S26" s="43">
        <f>珀芙研电商!S26+珀芙研药房!S26</f>
        <v>3.77</v>
      </c>
      <c r="T26" s="23">
        <f>珀芙研电商!T26+珀芙研药房!T26</f>
        <v>0</v>
      </c>
      <c r="U26" s="19">
        <f t="shared" si="26"/>
        <v>3.77</v>
      </c>
      <c r="V26" s="23">
        <f>珀芙研电商!V26+珀芙研药房!V26</f>
        <v>0</v>
      </c>
      <c r="W26" s="23">
        <f>珀芙研电商!W26+珀芙研药房!W26</f>
        <v>0</v>
      </c>
      <c r="X26" s="49">
        <f>珀芙研电商!X26+珀芙研药房!X26</f>
        <v>3.77</v>
      </c>
      <c r="Y26" s="43">
        <f>珀芙研电商!Y26+珀芙研药房!Y26</f>
        <v>11.79</v>
      </c>
      <c r="Z26" s="23">
        <f>珀芙研电商!Z26+珀芙研药房!Z26</f>
        <v>0</v>
      </c>
      <c r="AA26" s="19">
        <f t="shared" si="27"/>
        <v>11.79</v>
      </c>
      <c r="AB26" s="23">
        <f>珀芙研电商!AB26+珀芙研药房!AB26</f>
        <v>0</v>
      </c>
      <c r="AC26" s="23">
        <f>珀芙研电商!AC26+珀芙研药房!AC26</f>
        <v>0</v>
      </c>
      <c r="AD26" s="49">
        <f>珀芙研电商!AD26+珀芙研药房!AD26</f>
        <v>11.79</v>
      </c>
      <c r="AE26" s="43">
        <f>珀芙研电商!AE26+珀芙研药房!AE26</f>
        <v>0</v>
      </c>
      <c r="AF26" s="23">
        <f>珀芙研电商!AF26+珀芙研药房!AF26</f>
        <v>0</v>
      </c>
      <c r="AG26" s="43">
        <f>珀芙研电商!AG26+珀芙研药房!AG26</f>
        <v>0</v>
      </c>
      <c r="AH26" s="23">
        <f>珀芙研电商!AH26+珀芙研药房!AH26</f>
        <v>0</v>
      </c>
      <c r="AI26" s="23">
        <f>珀芙研电商!AI26+珀芙研药房!AI26</f>
        <v>0</v>
      </c>
      <c r="AJ26" s="49">
        <f>珀芙研电商!AJ26+珀芙研药房!AJ26</f>
        <v>0</v>
      </c>
      <c r="AK26" s="43">
        <f>珀芙研电商!AK26+珀芙研药房!AK26</f>
        <v>1.3599999999999999</v>
      </c>
      <c r="AL26" s="23">
        <f>珀芙研电商!AL26+珀芙研药房!AL26</f>
        <v>0</v>
      </c>
      <c r="AM26" s="19">
        <f t="shared" si="28"/>
        <v>1.3599999999999999</v>
      </c>
      <c r="AN26" s="23">
        <f>珀芙研电商!AN26+珀芙研药房!AN26</f>
        <v>0</v>
      </c>
      <c r="AO26" s="23">
        <f>珀芙研电商!AO26+珀芙研药房!AO26</f>
        <v>0</v>
      </c>
      <c r="AP26" s="49">
        <f>珀芙研电商!AP26+珀芙研药房!AP26</f>
        <v>1.3599999999999999</v>
      </c>
      <c r="AQ26" s="43">
        <f>珀芙研电商!AQ26+珀芙研药房!AQ26</f>
        <v>0.98</v>
      </c>
      <c r="AR26" s="23">
        <f>珀芙研电商!AR26+珀芙研药房!AR26</f>
        <v>0</v>
      </c>
      <c r="AS26" s="19">
        <f t="shared" si="29"/>
        <v>0.98</v>
      </c>
      <c r="AT26" s="23">
        <f>珀芙研电商!AT26+珀芙研药房!AT26</f>
        <v>0</v>
      </c>
      <c r="AU26" s="23">
        <f>珀芙研电商!AU26+珀芙研药房!AU26</f>
        <v>0</v>
      </c>
      <c r="AV26" s="49">
        <f>珀芙研电商!AV26+珀芙研药房!AV26</f>
        <v>4</v>
      </c>
      <c r="AW26" s="43">
        <f>珀芙研电商!AW26+珀芙研药房!AW26</f>
        <v>1.06</v>
      </c>
      <c r="AX26" s="23">
        <f>珀芙研电商!AX26+珀芙研药房!AX26</f>
        <v>0</v>
      </c>
      <c r="AY26" s="19">
        <f t="shared" si="30"/>
        <v>1.06</v>
      </c>
      <c r="AZ26" s="23">
        <f>珀芙研电商!AZ26+珀芙研药房!AZ26</f>
        <v>0</v>
      </c>
      <c r="BA26" s="23">
        <f>珀芙研电商!BA26+珀芙研药房!BA26</f>
        <v>4</v>
      </c>
      <c r="BB26" s="49">
        <f>珀芙研电商!BB26+珀芙研药房!BB26</f>
        <v>4</v>
      </c>
      <c r="BC26" s="43">
        <f>珀芙研电商!BC26+珀芙研药房!BC26</f>
        <v>0.95</v>
      </c>
      <c r="BD26" s="23">
        <f>珀芙研电商!BD26+珀芙研药房!BD26</f>
        <v>0</v>
      </c>
      <c r="BE26" s="19">
        <f t="shared" si="31"/>
        <v>0.95</v>
      </c>
      <c r="BF26" s="23">
        <f>珀芙研电商!BF26+珀芙研药房!BF26</f>
        <v>0</v>
      </c>
      <c r="BG26" s="23">
        <f>珀芙研电商!BG26+珀芙研药房!BG26</f>
        <v>4</v>
      </c>
      <c r="BH26" s="49">
        <f>珀芙研电商!BH26+珀芙研药房!BH26</f>
        <v>4</v>
      </c>
      <c r="BI26" s="43">
        <f>珀芙研电商!BI26+珀芙研药房!BI26</f>
        <v>0.43</v>
      </c>
      <c r="BJ26" s="23">
        <f>珀芙研电商!BJ26+珀芙研药房!BJ26</f>
        <v>0</v>
      </c>
      <c r="BK26" s="19">
        <f t="shared" si="32"/>
        <v>0.43</v>
      </c>
      <c r="BL26" s="23">
        <f>珀芙研电商!BL26+珀芙研药房!BL26</f>
        <v>0</v>
      </c>
      <c r="BM26" s="23">
        <f>珀芙研电商!BM26+珀芙研药房!BM26</f>
        <v>0</v>
      </c>
      <c r="BN26" s="49">
        <f>珀芙研电商!BN26+珀芙研药房!BN26</f>
        <v>4</v>
      </c>
      <c r="BO26" s="43">
        <f>珀芙研电商!BO26+珀芙研药房!BO26</f>
        <v>1.01</v>
      </c>
      <c r="BP26" s="23">
        <f>珀芙研电商!BP26+珀芙研药房!BP26</f>
        <v>0</v>
      </c>
      <c r="BQ26" s="19">
        <f t="shared" si="33"/>
        <v>1.01</v>
      </c>
      <c r="BR26" s="23">
        <f>珀芙研电商!BR26+珀芙研药房!BR26</f>
        <v>9.43</v>
      </c>
      <c r="BS26" s="23">
        <f>珀芙研电商!BS26+珀芙研药房!BS26</f>
        <v>0</v>
      </c>
      <c r="BT26" s="49">
        <f>珀芙研电商!BT26+珀芙研药房!BT26</f>
        <v>4</v>
      </c>
      <c r="BU26" s="18">
        <f t="shared" si="36"/>
        <v>55.410000000000004</v>
      </c>
      <c r="BV26" s="19">
        <f t="shared" si="37"/>
        <v>0</v>
      </c>
      <c r="BW26" s="19">
        <f t="shared" si="34"/>
        <v>55.410000000000004</v>
      </c>
      <c r="BX26" s="19">
        <f t="shared" si="35"/>
        <v>9.43</v>
      </c>
      <c r="BY26" s="19">
        <f t="shared" si="35"/>
        <v>42.06</v>
      </c>
      <c r="BZ26" s="49">
        <f t="shared" si="35"/>
        <v>70.98</v>
      </c>
      <c r="CA26" s="24"/>
      <c r="CB26" s="106"/>
    </row>
    <row r="27" spans="1:80" outlineLevel="1">
      <c r="A27" s="5" t="s">
        <v>48</v>
      </c>
      <c r="B27" s="54" t="s">
        <v>33</v>
      </c>
      <c r="C27" s="43">
        <f>珀芙研电商!C27+珀芙研药房!C27</f>
        <v>0</v>
      </c>
      <c r="D27" s="23">
        <f>珀芙研电商!D27+珀芙研药房!D27</f>
        <v>0</v>
      </c>
      <c r="E27" s="117"/>
      <c r="F27" s="49">
        <f>珀芙研电商!F27+珀芙研药房!F27</f>
        <v>0</v>
      </c>
      <c r="G27" s="43">
        <f>珀芙研电商!G27+珀芙研药房!G27</f>
        <v>0</v>
      </c>
      <c r="H27" s="23">
        <f>珀芙研电商!H27+珀芙研药房!H27</f>
        <v>0</v>
      </c>
      <c r="I27" s="19">
        <f t="shared" si="24"/>
        <v>0</v>
      </c>
      <c r="J27" s="23">
        <f>珀芙研电商!J27+珀芙研药房!J27</f>
        <v>0</v>
      </c>
      <c r="K27" s="23">
        <f>珀芙研电商!K27+珀芙研药房!K27</f>
        <v>0</v>
      </c>
      <c r="L27" s="49">
        <f>珀芙研电商!L27+珀芙研药房!L27</f>
        <v>0</v>
      </c>
      <c r="M27" s="43">
        <f>珀芙研电商!M27+珀芙研药房!M27</f>
        <v>0</v>
      </c>
      <c r="N27" s="23">
        <f>珀芙研电商!N27+珀芙研药房!N27</f>
        <v>0</v>
      </c>
      <c r="O27" s="19">
        <f t="shared" si="25"/>
        <v>0</v>
      </c>
      <c r="P27" s="23">
        <f>珀芙研电商!P27+珀芙研药房!P27</f>
        <v>0</v>
      </c>
      <c r="Q27" s="23">
        <f>珀芙研电商!Q27+珀芙研药房!Q27</f>
        <v>0</v>
      </c>
      <c r="R27" s="49">
        <f>珀芙研电商!R27+珀芙研药房!R27</f>
        <v>0</v>
      </c>
      <c r="S27" s="43">
        <f>珀芙研电商!S27+珀芙研药房!S27</f>
        <v>0</v>
      </c>
      <c r="T27" s="23">
        <f>珀芙研电商!T27+珀芙研药房!T27</f>
        <v>0</v>
      </c>
      <c r="U27" s="19">
        <f t="shared" si="26"/>
        <v>0</v>
      </c>
      <c r="V27" s="23">
        <f>珀芙研电商!V27+珀芙研药房!V27</f>
        <v>0</v>
      </c>
      <c r="W27" s="23">
        <f>珀芙研电商!W27+珀芙研药房!W27</f>
        <v>0</v>
      </c>
      <c r="X27" s="49">
        <f>珀芙研电商!X27+珀芙研药房!X27</f>
        <v>0</v>
      </c>
      <c r="Y27" s="43">
        <f>珀芙研电商!Y27+珀芙研药房!Y27</f>
        <v>0</v>
      </c>
      <c r="Z27" s="23">
        <f>珀芙研电商!Z27+珀芙研药房!Z27</f>
        <v>0</v>
      </c>
      <c r="AA27" s="19">
        <f t="shared" si="27"/>
        <v>0</v>
      </c>
      <c r="AB27" s="23">
        <f>珀芙研电商!AB27+珀芙研药房!AB27</f>
        <v>0</v>
      </c>
      <c r="AC27" s="23">
        <f>珀芙研电商!AC27+珀芙研药房!AC27</f>
        <v>0</v>
      </c>
      <c r="AD27" s="49">
        <f>珀芙研电商!AD27+珀芙研药房!AD27</f>
        <v>0</v>
      </c>
      <c r="AE27" s="43">
        <f>珀芙研电商!AE27+珀芙研药房!AE27</f>
        <v>0</v>
      </c>
      <c r="AF27" s="23">
        <f>珀芙研电商!AF27+珀芙研药房!AF27</f>
        <v>0</v>
      </c>
      <c r="AG27" s="43">
        <f>珀芙研电商!AG27+珀芙研药房!AG27</f>
        <v>0</v>
      </c>
      <c r="AH27" s="23">
        <f>珀芙研电商!AH27+珀芙研药房!AH27</f>
        <v>0</v>
      </c>
      <c r="AI27" s="23">
        <f>珀芙研电商!AI27+珀芙研药房!AI27</f>
        <v>0</v>
      </c>
      <c r="AJ27" s="49">
        <f>珀芙研电商!AJ27+珀芙研药房!AJ27</f>
        <v>0</v>
      </c>
      <c r="AK27" s="43">
        <f>珀芙研电商!AK27+珀芙研药房!AK27</f>
        <v>0</v>
      </c>
      <c r="AL27" s="23">
        <f>珀芙研电商!AL27+珀芙研药房!AL27</f>
        <v>0</v>
      </c>
      <c r="AM27" s="19">
        <f t="shared" si="28"/>
        <v>0</v>
      </c>
      <c r="AN27" s="23">
        <f>珀芙研电商!AN27+珀芙研药房!AN27</f>
        <v>0</v>
      </c>
      <c r="AO27" s="23">
        <f>珀芙研电商!AO27+珀芙研药房!AO27</f>
        <v>0</v>
      </c>
      <c r="AP27" s="49">
        <f>珀芙研电商!AP27+珀芙研药房!AP27</f>
        <v>0</v>
      </c>
      <c r="AQ27" s="43">
        <f>珀芙研电商!AQ27+珀芙研药房!AQ27</f>
        <v>0</v>
      </c>
      <c r="AR27" s="23">
        <f>珀芙研电商!AR27+珀芙研药房!AR27</f>
        <v>0</v>
      </c>
      <c r="AS27" s="19">
        <f t="shared" si="29"/>
        <v>0</v>
      </c>
      <c r="AT27" s="23">
        <f>珀芙研电商!AT27+珀芙研药房!AT27</f>
        <v>0</v>
      </c>
      <c r="AU27" s="23">
        <f>珀芙研电商!AU27+珀芙研药房!AU27</f>
        <v>0</v>
      </c>
      <c r="AV27" s="49">
        <f>珀芙研电商!AV27+珀芙研药房!AV27</f>
        <v>0</v>
      </c>
      <c r="AW27" s="43">
        <f>珀芙研电商!AW27+珀芙研药房!AW27</f>
        <v>0</v>
      </c>
      <c r="AX27" s="23">
        <f>珀芙研电商!AX27+珀芙研药房!AX27</f>
        <v>0</v>
      </c>
      <c r="AY27" s="19">
        <f t="shared" si="30"/>
        <v>0</v>
      </c>
      <c r="AZ27" s="23">
        <f>珀芙研电商!AZ27+珀芙研药房!AZ27</f>
        <v>0</v>
      </c>
      <c r="BA27" s="23">
        <f>珀芙研电商!BA27+珀芙研药房!BA27</f>
        <v>0</v>
      </c>
      <c r="BB27" s="49">
        <f>珀芙研电商!BB27+珀芙研药房!BB27</f>
        <v>0</v>
      </c>
      <c r="BC27" s="43">
        <f>珀芙研电商!BC27+珀芙研药房!BC27</f>
        <v>0</v>
      </c>
      <c r="BD27" s="23">
        <f>珀芙研电商!BD27+珀芙研药房!BD27</f>
        <v>0</v>
      </c>
      <c r="BE27" s="19">
        <f t="shared" si="31"/>
        <v>0</v>
      </c>
      <c r="BF27" s="23">
        <f>珀芙研电商!BF27+珀芙研药房!BF27</f>
        <v>0</v>
      </c>
      <c r="BG27" s="23">
        <f>珀芙研电商!BG27+珀芙研药房!BG27</f>
        <v>0</v>
      </c>
      <c r="BH27" s="49">
        <f>珀芙研电商!BH27+珀芙研药房!BH27</f>
        <v>0</v>
      </c>
      <c r="BI27" s="43">
        <f>珀芙研电商!BI27+珀芙研药房!BI27</f>
        <v>0</v>
      </c>
      <c r="BJ27" s="23">
        <f>珀芙研电商!BJ27+珀芙研药房!BJ27</f>
        <v>0</v>
      </c>
      <c r="BK27" s="19">
        <f t="shared" si="32"/>
        <v>0</v>
      </c>
      <c r="BL27" s="23">
        <f>珀芙研电商!BL27+珀芙研药房!BL27</f>
        <v>0</v>
      </c>
      <c r="BM27" s="23">
        <f>珀芙研电商!BM27+珀芙研药房!BM27</f>
        <v>0</v>
      </c>
      <c r="BN27" s="49">
        <f>珀芙研电商!BN27+珀芙研药房!BN27</f>
        <v>0</v>
      </c>
      <c r="BO27" s="43">
        <f>珀芙研电商!BO27+珀芙研药房!BO27</f>
        <v>0</v>
      </c>
      <c r="BP27" s="23">
        <f>珀芙研电商!BP27+珀芙研药房!BP27</f>
        <v>0</v>
      </c>
      <c r="BQ27" s="19">
        <f t="shared" si="33"/>
        <v>0</v>
      </c>
      <c r="BR27" s="23">
        <f>珀芙研电商!BR27+珀芙研药房!BR27</f>
        <v>0</v>
      </c>
      <c r="BS27" s="23">
        <f>珀芙研电商!BS27+珀芙研药房!BS27</f>
        <v>0</v>
      </c>
      <c r="BT27" s="49">
        <f>珀芙研电商!BT27+珀芙研药房!BT27</f>
        <v>0</v>
      </c>
      <c r="BU27" s="18">
        <f t="shared" si="36"/>
        <v>0</v>
      </c>
      <c r="BV27" s="19">
        <f t="shared" si="37"/>
        <v>0</v>
      </c>
      <c r="BW27" s="19">
        <f t="shared" si="34"/>
        <v>0</v>
      </c>
      <c r="BX27" s="19">
        <f t="shared" si="35"/>
        <v>0</v>
      </c>
      <c r="BY27" s="19">
        <f t="shared" si="35"/>
        <v>0</v>
      </c>
      <c r="BZ27" s="49">
        <f t="shared" si="35"/>
        <v>0</v>
      </c>
      <c r="CA27" s="24"/>
      <c r="CB27" s="106"/>
    </row>
    <row r="28" spans="1:80" outlineLevel="1">
      <c r="A28" s="5" t="s">
        <v>49</v>
      </c>
      <c r="B28" s="54" t="s">
        <v>25</v>
      </c>
      <c r="C28" s="43">
        <f>珀芙研电商!C28+珀芙研药房!C28</f>
        <v>0</v>
      </c>
      <c r="D28" s="23">
        <f>珀芙研电商!D28+珀芙研药房!D28</f>
        <v>0</v>
      </c>
      <c r="E28" s="117"/>
      <c r="F28" s="49">
        <f>珀芙研电商!F28+珀芙研药房!F28</f>
        <v>0</v>
      </c>
      <c r="G28" s="43">
        <f>珀芙研电商!G28+珀芙研药房!G28</f>
        <v>0</v>
      </c>
      <c r="H28" s="23">
        <f>珀芙研电商!H28+珀芙研药房!H28</f>
        <v>0</v>
      </c>
      <c r="I28" s="19">
        <f t="shared" si="24"/>
        <v>0</v>
      </c>
      <c r="J28" s="23">
        <f>珀芙研电商!J28+珀芙研药房!J28</f>
        <v>0</v>
      </c>
      <c r="K28" s="23">
        <f>珀芙研电商!K28+珀芙研药房!K28</f>
        <v>0</v>
      </c>
      <c r="L28" s="49">
        <f>珀芙研电商!L28+珀芙研药房!L28</f>
        <v>0</v>
      </c>
      <c r="M28" s="43">
        <f>珀芙研电商!M28+珀芙研药房!M28</f>
        <v>0</v>
      </c>
      <c r="N28" s="23">
        <f>珀芙研电商!N28+珀芙研药房!N28</f>
        <v>0</v>
      </c>
      <c r="O28" s="19">
        <f t="shared" si="25"/>
        <v>0</v>
      </c>
      <c r="P28" s="23">
        <f>珀芙研电商!P28+珀芙研药房!P28</f>
        <v>0</v>
      </c>
      <c r="Q28" s="23">
        <f>珀芙研电商!Q28+珀芙研药房!Q28</f>
        <v>0</v>
      </c>
      <c r="R28" s="49">
        <f>珀芙研电商!R28+珀芙研药房!R28</f>
        <v>0</v>
      </c>
      <c r="S28" s="43">
        <f>珀芙研电商!S28+珀芙研药房!S28</f>
        <v>0</v>
      </c>
      <c r="T28" s="23">
        <f>珀芙研电商!T28+珀芙研药房!T28</f>
        <v>0</v>
      </c>
      <c r="U28" s="19">
        <f t="shared" si="26"/>
        <v>0</v>
      </c>
      <c r="V28" s="23">
        <f>珀芙研电商!V28+珀芙研药房!V28</f>
        <v>0</v>
      </c>
      <c r="W28" s="23">
        <f>珀芙研电商!W28+珀芙研药房!W28</f>
        <v>0</v>
      </c>
      <c r="X28" s="49">
        <f>珀芙研电商!X28+珀芙研药房!X28</f>
        <v>0</v>
      </c>
      <c r="Y28" s="43">
        <f>珀芙研电商!Y28+珀芙研药房!Y28</f>
        <v>0</v>
      </c>
      <c r="Z28" s="23">
        <f>珀芙研电商!Z28+珀芙研药房!Z28</f>
        <v>0</v>
      </c>
      <c r="AA28" s="19">
        <f t="shared" si="27"/>
        <v>0</v>
      </c>
      <c r="AB28" s="23">
        <f>珀芙研电商!AB28+珀芙研药房!AB28</f>
        <v>0</v>
      </c>
      <c r="AC28" s="23">
        <f>珀芙研电商!AC28+珀芙研药房!AC28</f>
        <v>0</v>
      </c>
      <c r="AD28" s="49">
        <f>珀芙研电商!AD28+珀芙研药房!AD28</f>
        <v>0</v>
      </c>
      <c r="AE28" s="43">
        <f>珀芙研电商!AE28+珀芙研药房!AE28</f>
        <v>0</v>
      </c>
      <c r="AF28" s="23">
        <f>珀芙研电商!AF28+珀芙研药房!AF28</f>
        <v>0</v>
      </c>
      <c r="AG28" s="43">
        <f>珀芙研电商!AG28+珀芙研药房!AG28</f>
        <v>0</v>
      </c>
      <c r="AH28" s="23">
        <f>珀芙研电商!AH28+珀芙研药房!AH28</f>
        <v>0</v>
      </c>
      <c r="AI28" s="23">
        <f>珀芙研电商!AI28+珀芙研药房!AI28</f>
        <v>0</v>
      </c>
      <c r="AJ28" s="49">
        <f>珀芙研电商!AJ28+珀芙研药房!AJ28</f>
        <v>0</v>
      </c>
      <c r="AK28" s="43">
        <f>珀芙研电商!AK28+珀芙研药房!AK28</f>
        <v>0</v>
      </c>
      <c r="AL28" s="23">
        <f>珀芙研电商!AL28+珀芙研药房!AL28</f>
        <v>0</v>
      </c>
      <c r="AM28" s="19">
        <f t="shared" si="28"/>
        <v>0</v>
      </c>
      <c r="AN28" s="23">
        <f>珀芙研电商!AN28+珀芙研药房!AN28</f>
        <v>0</v>
      </c>
      <c r="AO28" s="23">
        <f>珀芙研电商!AO28+珀芙研药房!AO28</f>
        <v>0</v>
      </c>
      <c r="AP28" s="49">
        <f>珀芙研电商!AP28+珀芙研药房!AP28</f>
        <v>0</v>
      </c>
      <c r="AQ28" s="43">
        <f>珀芙研电商!AQ28+珀芙研药房!AQ28</f>
        <v>50.83</v>
      </c>
      <c r="AR28" s="23">
        <f>珀芙研电商!AR28+珀芙研药房!AR28</f>
        <v>0</v>
      </c>
      <c r="AS28" s="19">
        <f t="shared" si="29"/>
        <v>50.83</v>
      </c>
      <c r="AT28" s="23">
        <f>珀芙研电商!AT28+珀芙研药房!AT28</f>
        <v>0</v>
      </c>
      <c r="AU28" s="23">
        <f>珀芙研电商!AU28+珀芙研药房!AU28</f>
        <v>0</v>
      </c>
      <c r="AV28" s="49">
        <f>珀芙研电商!AV28+珀芙研药房!AV28</f>
        <v>0</v>
      </c>
      <c r="AW28" s="43">
        <f>珀芙研电商!AW28+珀芙研药房!AW28</f>
        <v>43.67</v>
      </c>
      <c r="AX28" s="23">
        <f>珀芙研电商!AX28+珀芙研药房!AX28</f>
        <v>0</v>
      </c>
      <c r="AY28" s="19">
        <f t="shared" si="30"/>
        <v>43.67</v>
      </c>
      <c r="AZ28" s="23">
        <f>珀芙研电商!AZ28+珀芙研药房!AZ28</f>
        <v>0</v>
      </c>
      <c r="BA28" s="23">
        <f>珀芙研电商!BA28+珀芙研药房!BA28</f>
        <v>0</v>
      </c>
      <c r="BB28" s="49">
        <f>珀芙研电商!BB28+珀芙研药房!BB28</f>
        <v>0</v>
      </c>
      <c r="BC28" s="43">
        <f>珀芙研电商!BC28+珀芙研药房!BC28</f>
        <v>0.3</v>
      </c>
      <c r="BD28" s="23">
        <f>珀芙研电商!BD28+珀芙研药房!BD28</f>
        <v>0</v>
      </c>
      <c r="BE28" s="19">
        <f t="shared" si="31"/>
        <v>0.3</v>
      </c>
      <c r="BF28" s="23">
        <f>珀芙研电商!BF28+珀芙研药房!BF28</f>
        <v>0</v>
      </c>
      <c r="BG28" s="23">
        <f>珀芙研电商!BG28+珀芙研药房!BG28</f>
        <v>0</v>
      </c>
      <c r="BH28" s="49">
        <f>珀芙研电商!BH28+珀芙研药房!BH28</f>
        <v>0</v>
      </c>
      <c r="BI28" s="43">
        <f>珀芙研电商!BI28+珀芙研药房!BI28</f>
        <v>1.44</v>
      </c>
      <c r="BJ28" s="23">
        <f>珀芙研电商!BJ28+珀芙研药房!BJ28</f>
        <v>0</v>
      </c>
      <c r="BK28" s="19">
        <f t="shared" si="32"/>
        <v>1.44</v>
      </c>
      <c r="BL28" s="23">
        <f>珀芙研电商!BL28+珀芙研药房!BL28</f>
        <v>0</v>
      </c>
      <c r="BM28" s="23">
        <f>珀芙研电商!BM28+珀芙研药房!BM28</f>
        <v>0</v>
      </c>
      <c r="BN28" s="49">
        <f>珀芙研电商!BN28+珀芙研药房!BN28</f>
        <v>0</v>
      </c>
      <c r="BO28" s="43">
        <f>珀芙研电商!BO28+珀芙研药房!BO28</f>
        <v>0.88</v>
      </c>
      <c r="BP28" s="23">
        <f>珀芙研电商!BP28+珀芙研药房!BP28</f>
        <v>0</v>
      </c>
      <c r="BQ28" s="19">
        <f t="shared" si="33"/>
        <v>0.88</v>
      </c>
      <c r="BR28" s="23">
        <f>珀芙研电商!BR28+珀芙研药房!BR28</f>
        <v>0</v>
      </c>
      <c r="BS28" s="23">
        <f>珀芙研电商!BS28+珀芙研药房!BS28</f>
        <v>0</v>
      </c>
      <c r="BT28" s="49">
        <f>珀芙研电商!BT28+珀芙研药房!BT28</f>
        <v>0</v>
      </c>
      <c r="BU28" s="18">
        <f t="shared" si="36"/>
        <v>97.11999999999999</v>
      </c>
      <c r="BV28" s="19">
        <f t="shared" si="37"/>
        <v>0</v>
      </c>
      <c r="BW28" s="19">
        <f t="shared" si="34"/>
        <v>97.11999999999999</v>
      </c>
      <c r="BX28" s="19">
        <f t="shared" si="35"/>
        <v>0</v>
      </c>
      <c r="BY28" s="19">
        <f t="shared" si="35"/>
        <v>0</v>
      </c>
      <c r="BZ28" s="49">
        <f t="shared" si="35"/>
        <v>0</v>
      </c>
      <c r="CA28" s="24"/>
      <c r="CB28" s="106"/>
    </row>
    <row r="29" spans="1:80" s="12" customFormat="1">
      <c r="A29" s="61" t="s">
        <v>6</v>
      </c>
      <c r="B29" s="59"/>
      <c r="C29" s="40">
        <f>C9-C11</f>
        <v>-174.73000000000005</v>
      </c>
      <c r="D29" s="30">
        <f t="shared" ref="D29:L29" si="38">D9-D11</f>
        <v>0</v>
      </c>
      <c r="E29" s="30">
        <f t="shared" si="38"/>
        <v>-174.73000000000005</v>
      </c>
      <c r="F29" s="41">
        <f t="shared" si="38"/>
        <v>-174.73000000000005</v>
      </c>
      <c r="G29" s="40">
        <f t="shared" si="38"/>
        <v>-342.08000000000004</v>
      </c>
      <c r="H29" s="30">
        <f t="shared" si="38"/>
        <v>0</v>
      </c>
      <c r="I29" s="30">
        <f t="shared" si="38"/>
        <v>-342.08000000000004</v>
      </c>
      <c r="J29" s="44">
        <f t="shared" si="38"/>
        <v>0</v>
      </c>
      <c r="K29" s="44">
        <f t="shared" si="38"/>
        <v>-342.08000000000004</v>
      </c>
      <c r="L29" s="50">
        <f t="shared" si="38"/>
        <v>-342.08000000000004</v>
      </c>
      <c r="M29" s="40">
        <f t="shared" ref="M29:BT29" si="39">M9-M11</f>
        <v>-335.39999999999986</v>
      </c>
      <c r="N29" s="30">
        <f t="shared" si="39"/>
        <v>0</v>
      </c>
      <c r="O29" s="30">
        <f t="shared" si="39"/>
        <v>-335.39999999999986</v>
      </c>
      <c r="P29" s="44">
        <f t="shared" si="39"/>
        <v>0</v>
      </c>
      <c r="Q29" s="44">
        <f t="shared" si="39"/>
        <v>-335.39999999999986</v>
      </c>
      <c r="R29" s="50">
        <f t="shared" si="39"/>
        <v>-335.39999999999986</v>
      </c>
      <c r="S29" s="40">
        <f t="shared" si="39"/>
        <v>-254.81000000000003</v>
      </c>
      <c r="T29" s="30">
        <f t="shared" si="39"/>
        <v>0</v>
      </c>
      <c r="U29" s="30">
        <f t="shared" si="39"/>
        <v>-254.81000000000003</v>
      </c>
      <c r="V29" s="44">
        <f t="shared" si="39"/>
        <v>0</v>
      </c>
      <c r="W29" s="44">
        <f t="shared" si="39"/>
        <v>-265.85799999999995</v>
      </c>
      <c r="X29" s="50">
        <f t="shared" si="39"/>
        <v>-254.81000000000003</v>
      </c>
      <c r="Y29" s="40">
        <f t="shared" si="39"/>
        <v>-168.22000000000003</v>
      </c>
      <c r="Z29" s="30">
        <f t="shared" si="39"/>
        <v>0</v>
      </c>
      <c r="AA29" s="30">
        <f t="shared" si="39"/>
        <v>-168.22000000000003</v>
      </c>
      <c r="AB29" s="44">
        <f t="shared" si="39"/>
        <v>0</v>
      </c>
      <c r="AC29" s="44">
        <f t="shared" si="39"/>
        <v>-232.55800000000005</v>
      </c>
      <c r="AD29" s="50">
        <f t="shared" si="39"/>
        <v>-168.22000000000003</v>
      </c>
      <c r="AE29" s="40">
        <f t="shared" si="39"/>
        <v>-275.97999999999996</v>
      </c>
      <c r="AF29" s="30">
        <f t="shared" si="39"/>
        <v>0</v>
      </c>
      <c r="AG29" s="30">
        <f t="shared" si="39"/>
        <v>-275.97999999999996</v>
      </c>
      <c r="AH29" s="44">
        <f t="shared" si="39"/>
        <v>4.1500000000000004</v>
      </c>
      <c r="AI29" s="44">
        <f t="shared" si="39"/>
        <v>-133.86800000000017</v>
      </c>
      <c r="AJ29" s="50">
        <f t="shared" si="39"/>
        <v>-275.97999999999996</v>
      </c>
      <c r="AK29" s="40">
        <f t="shared" si="39"/>
        <v>-115.07000000000008</v>
      </c>
      <c r="AL29" s="30">
        <f t="shared" si="39"/>
        <v>0</v>
      </c>
      <c r="AM29" s="30">
        <f t="shared" si="39"/>
        <v>-115.07000000000008</v>
      </c>
      <c r="AN29" s="44">
        <f t="shared" si="39"/>
        <v>-23.140000000000004</v>
      </c>
      <c r="AO29" s="44">
        <f t="shared" si="39"/>
        <v>-117.67200000000003</v>
      </c>
      <c r="AP29" s="50">
        <f t="shared" si="39"/>
        <v>-115.07000000000008</v>
      </c>
      <c r="AQ29" s="40">
        <f t="shared" si="39"/>
        <v>-276.37</v>
      </c>
      <c r="AR29" s="30">
        <f t="shared" si="39"/>
        <v>0</v>
      </c>
      <c r="AS29" s="30">
        <f t="shared" si="39"/>
        <v>-276.37</v>
      </c>
      <c r="AT29" s="44">
        <f t="shared" si="39"/>
        <v>-16.350000000000009</v>
      </c>
      <c r="AU29" s="44">
        <f t="shared" si="39"/>
        <v>-122.43</v>
      </c>
      <c r="AV29" s="50">
        <f t="shared" si="39"/>
        <v>-157.14999999999998</v>
      </c>
      <c r="AW29" s="40">
        <f t="shared" si="39"/>
        <v>-218.29000000000002</v>
      </c>
      <c r="AX29" s="30">
        <f t="shared" si="39"/>
        <v>0</v>
      </c>
      <c r="AY29" s="30">
        <f t="shared" si="39"/>
        <v>-218.29000000000002</v>
      </c>
      <c r="AZ29" s="44">
        <f t="shared" si="39"/>
        <v>-80.759999999999991</v>
      </c>
      <c r="BA29" s="44">
        <f t="shared" si="39"/>
        <v>-99.871848388712635</v>
      </c>
      <c r="BB29" s="50">
        <f t="shared" si="39"/>
        <v>-84.910000000000025</v>
      </c>
      <c r="BC29" s="40">
        <f t="shared" si="39"/>
        <v>-254.29999999999995</v>
      </c>
      <c r="BD29" s="30">
        <f t="shared" si="39"/>
        <v>0</v>
      </c>
      <c r="BE29" s="30">
        <f t="shared" si="39"/>
        <v>-254.29999999999995</v>
      </c>
      <c r="BF29" s="44">
        <f t="shared" si="39"/>
        <v>-110.72000000000004</v>
      </c>
      <c r="BG29" s="44">
        <f t="shared" si="39"/>
        <v>-152.28230088495576</v>
      </c>
      <c r="BH29" s="50">
        <f t="shared" si="39"/>
        <v>-137.92999999999998</v>
      </c>
      <c r="BI29" s="40">
        <f t="shared" si="39"/>
        <v>97.52000000000001</v>
      </c>
      <c r="BJ29" s="30">
        <f t="shared" si="39"/>
        <v>0</v>
      </c>
      <c r="BK29" s="30">
        <f t="shared" si="39"/>
        <v>97.52000000000001</v>
      </c>
      <c r="BL29" s="44">
        <f t="shared" si="39"/>
        <v>-107.91</v>
      </c>
      <c r="BM29" s="44">
        <f t="shared" si="39"/>
        <v>24.63115044247786</v>
      </c>
      <c r="BN29" s="50">
        <f t="shared" si="39"/>
        <v>46.940000000000055</v>
      </c>
      <c r="BO29" s="40">
        <f t="shared" si="39"/>
        <v>-173.76999999999992</v>
      </c>
      <c r="BP29" s="30">
        <f t="shared" si="39"/>
        <v>0</v>
      </c>
      <c r="BQ29" s="30">
        <f t="shared" si="39"/>
        <v>-173.76999999999992</v>
      </c>
      <c r="BR29" s="44">
        <f t="shared" si="39"/>
        <v>-131.94999999999999</v>
      </c>
      <c r="BS29" s="44">
        <f t="shared" si="39"/>
        <v>-228.33353982300883</v>
      </c>
      <c r="BT29" s="50">
        <f t="shared" si="39"/>
        <v>-265.07000000000005</v>
      </c>
      <c r="BU29" s="40">
        <f t="shared" ref="BU29:BZ29" si="40">BU9-BU11</f>
        <v>-2491.5</v>
      </c>
      <c r="BV29" s="30">
        <f t="shared" si="40"/>
        <v>0</v>
      </c>
      <c r="BW29" s="30">
        <f t="shared" si="40"/>
        <v>-2491.5</v>
      </c>
      <c r="BX29" s="30">
        <f t="shared" si="40"/>
        <v>-466.68</v>
      </c>
      <c r="BY29" s="30">
        <f t="shared" si="40"/>
        <v>-2180.4525386542</v>
      </c>
      <c r="BZ29" s="50">
        <f t="shared" si="40"/>
        <v>-2264.4099999999994</v>
      </c>
      <c r="CA29" s="24"/>
      <c r="CB29" s="106"/>
    </row>
    <row r="30" spans="1:80">
      <c r="A30" s="62" t="s">
        <v>83</v>
      </c>
      <c r="B30" s="56"/>
      <c r="C30" s="20">
        <f>SUM(C31:C46)</f>
        <v>289.71999999999997</v>
      </c>
      <c r="D30" s="21">
        <f t="shared" ref="D30:L30" si="41">SUM(D31:D46)</f>
        <v>26.81</v>
      </c>
      <c r="E30" s="21">
        <f t="shared" si="41"/>
        <v>289.52999999999997</v>
      </c>
      <c r="F30" s="39">
        <f t="shared" si="41"/>
        <v>289.52999999999997</v>
      </c>
      <c r="G30" s="20">
        <f t="shared" si="41"/>
        <v>80.91</v>
      </c>
      <c r="H30" s="21">
        <f t="shared" si="41"/>
        <v>0</v>
      </c>
      <c r="I30" s="21">
        <f t="shared" si="41"/>
        <v>80.91</v>
      </c>
      <c r="J30" s="45">
        <f t="shared" si="41"/>
        <v>28.13</v>
      </c>
      <c r="K30" s="45">
        <f t="shared" si="41"/>
        <v>80.710000000000008</v>
      </c>
      <c r="L30" s="51">
        <f t="shared" si="41"/>
        <v>80.710000000000008</v>
      </c>
      <c r="M30" s="20">
        <f t="shared" ref="M30:AR30" si="42">SUM(M31:M46)</f>
        <v>137.02999999999997</v>
      </c>
      <c r="N30" s="21">
        <f t="shared" si="42"/>
        <v>0</v>
      </c>
      <c r="O30" s="21">
        <f t="shared" si="42"/>
        <v>137.02999999999997</v>
      </c>
      <c r="P30" s="45">
        <f t="shared" si="42"/>
        <v>31.64</v>
      </c>
      <c r="Q30" s="45">
        <f t="shared" si="42"/>
        <v>136.32999999999998</v>
      </c>
      <c r="R30" s="51">
        <f t="shared" si="42"/>
        <v>137.02999999999997</v>
      </c>
      <c r="S30" s="20">
        <f t="shared" si="42"/>
        <v>117.42</v>
      </c>
      <c r="T30" s="21">
        <f t="shared" si="42"/>
        <v>0</v>
      </c>
      <c r="U30" s="21">
        <f t="shared" si="42"/>
        <v>117.42</v>
      </c>
      <c r="V30" s="45">
        <f t="shared" si="42"/>
        <v>50.1</v>
      </c>
      <c r="W30" s="45">
        <f t="shared" si="42"/>
        <v>97.62</v>
      </c>
      <c r="X30" s="51">
        <f t="shared" si="42"/>
        <v>117.42</v>
      </c>
      <c r="Y30" s="20">
        <f t="shared" si="42"/>
        <v>84.22999999999999</v>
      </c>
      <c r="Z30" s="21">
        <f t="shared" si="42"/>
        <v>0</v>
      </c>
      <c r="AA30" s="21">
        <f t="shared" si="42"/>
        <v>84.22999999999999</v>
      </c>
      <c r="AB30" s="45">
        <f t="shared" si="42"/>
        <v>73.400000000000006</v>
      </c>
      <c r="AC30" s="45">
        <f t="shared" si="42"/>
        <v>112.59</v>
      </c>
      <c r="AD30" s="51">
        <f t="shared" si="42"/>
        <v>83.87</v>
      </c>
      <c r="AE30" s="20">
        <f t="shared" si="42"/>
        <v>132.08000000000001</v>
      </c>
      <c r="AF30" s="21">
        <f t="shared" si="42"/>
        <v>0</v>
      </c>
      <c r="AG30" s="21">
        <f t="shared" si="42"/>
        <v>132.08000000000001</v>
      </c>
      <c r="AH30" s="45">
        <f t="shared" si="42"/>
        <v>121</v>
      </c>
      <c r="AI30" s="45">
        <f t="shared" si="42"/>
        <v>142.19999999999999</v>
      </c>
      <c r="AJ30" s="51">
        <f t="shared" si="42"/>
        <v>132.08000000000001</v>
      </c>
      <c r="AK30" s="20">
        <f t="shared" si="42"/>
        <v>95.77000000000001</v>
      </c>
      <c r="AL30" s="21">
        <f t="shared" si="42"/>
        <v>0</v>
      </c>
      <c r="AM30" s="21">
        <f t="shared" si="42"/>
        <v>95.77000000000001</v>
      </c>
      <c r="AN30" s="45">
        <f t="shared" si="42"/>
        <v>234.38000000000002</v>
      </c>
      <c r="AO30" s="45">
        <f t="shared" si="42"/>
        <v>91.4</v>
      </c>
      <c r="AP30" s="51">
        <f t="shared" si="42"/>
        <v>95.77000000000001</v>
      </c>
      <c r="AQ30" s="20">
        <f t="shared" si="42"/>
        <v>49.739999999999995</v>
      </c>
      <c r="AR30" s="21">
        <f t="shared" si="42"/>
        <v>0</v>
      </c>
      <c r="AS30" s="21">
        <f t="shared" ref="AS30:BT30" si="43">SUM(AS31:AS46)</f>
        <v>49.739999999999995</v>
      </c>
      <c r="AT30" s="45">
        <f t="shared" si="43"/>
        <v>234.88</v>
      </c>
      <c r="AU30" s="45">
        <f t="shared" si="43"/>
        <v>103.4</v>
      </c>
      <c r="AV30" s="45">
        <f t="shared" si="43"/>
        <v>75.7</v>
      </c>
      <c r="AW30" s="20">
        <f t="shared" si="43"/>
        <v>85.47</v>
      </c>
      <c r="AX30" s="21">
        <f t="shared" si="43"/>
        <v>0</v>
      </c>
      <c r="AY30" s="21">
        <f t="shared" si="43"/>
        <v>85.47</v>
      </c>
      <c r="AZ30" s="45">
        <f t="shared" si="43"/>
        <v>279.66000000000003</v>
      </c>
      <c r="BA30" s="45">
        <f t="shared" si="43"/>
        <v>96.5</v>
      </c>
      <c r="BB30" s="51">
        <f t="shared" si="43"/>
        <v>96.5</v>
      </c>
      <c r="BC30" s="20">
        <f t="shared" si="43"/>
        <v>85.85</v>
      </c>
      <c r="BD30" s="21">
        <f t="shared" si="43"/>
        <v>0</v>
      </c>
      <c r="BE30" s="21">
        <f t="shared" si="43"/>
        <v>85.85</v>
      </c>
      <c r="BF30" s="45">
        <f t="shared" si="43"/>
        <v>321.09000000000003</v>
      </c>
      <c r="BG30" s="45">
        <f t="shared" si="43"/>
        <v>75.5</v>
      </c>
      <c r="BH30" s="51">
        <f t="shared" si="43"/>
        <v>81.2</v>
      </c>
      <c r="BI30" s="20">
        <f t="shared" si="43"/>
        <v>88.509999999999991</v>
      </c>
      <c r="BJ30" s="21">
        <f t="shared" si="43"/>
        <v>0</v>
      </c>
      <c r="BK30" s="21">
        <f t="shared" si="43"/>
        <v>88.509999999999991</v>
      </c>
      <c r="BL30" s="45">
        <f t="shared" si="43"/>
        <v>277.75</v>
      </c>
      <c r="BM30" s="45">
        <f t="shared" si="43"/>
        <v>82.5</v>
      </c>
      <c r="BN30" s="51">
        <f t="shared" si="43"/>
        <v>76.7</v>
      </c>
      <c r="BO30" s="20">
        <f t="shared" si="43"/>
        <v>220.43</v>
      </c>
      <c r="BP30" s="21">
        <f t="shared" si="43"/>
        <v>0</v>
      </c>
      <c r="BQ30" s="21">
        <f t="shared" si="43"/>
        <v>220.43</v>
      </c>
      <c r="BR30" s="45">
        <f t="shared" si="43"/>
        <v>397.85999999999996</v>
      </c>
      <c r="BS30" s="45">
        <f t="shared" si="43"/>
        <v>113.5</v>
      </c>
      <c r="BT30" s="51">
        <f t="shared" si="43"/>
        <v>135.19999999999999</v>
      </c>
      <c r="BU30" s="20">
        <f t="shared" ref="BU30:BZ30" si="44">SUM(BU31:BU46)</f>
        <v>1467.16</v>
      </c>
      <c r="BV30" s="21">
        <f t="shared" si="44"/>
        <v>0</v>
      </c>
      <c r="BW30" s="21">
        <f t="shared" si="44"/>
        <v>1467.16</v>
      </c>
      <c r="BX30" s="21">
        <f t="shared" si="44"/>
        <v>2076.6999999999998</v>
      </c>
      <c r="BY30" s="21">
        <f t="shared" si="44"/>
        <v>1421.7799999999997</v>
      </c>
      <c r="BZ30" s="128">
        <f t="shared" si="44"/>
        <v>1401.71</v>
      </c>
      <c r="CA30" s="24"/>
      <c r="CB30" s="106"/>
    </row>
    <row r="31" spans="1:80" outlineLevel="1">
      <c r="A31" s="5" t="s">
        <v>50</v>
      </c>
      <c r="B31" s="54" t="s">
        <v>9</v>
      </c>
      <c r="C31" s="43">
        <f>珀芙研电商!C31+珀芙研药房!C31</f>
        <v>0</v>
      </c>
      <c r="D31" s="23">
        <f>珀芙研电商!D31+珀芙研药房!D31</f>
        <v>0</v>
      </c>
      <c r="E31" s="117"/>
      <c r="F31" s="49">
        <f>珀芙研电商!F31+珀芙研药房!F31</f>
        <v>0</v>
      </c>
      <c r="G31" s="43">
        <f>珀芙研电商!G31+珀芙研药房!G31</f>
        <v>0</v>
      </c>
      <c r="H31" s="23">
        <f>珀芙研电商!H31+珀芙研药房!H31</f>
        <v>0</v>
      </c>
      <c r="I31" s="19">
        <f t="shared" ref="I31:I46" si="45">G31</f>
        <v>0</v>
      </c>
      <c r="J31" s="23">
        <f>珀芙研电商!J31+珀芙研药房!J31</f>
        <v>0</v>
      </c>
      <c r="K31" s="23">
        <f>珀芙研电商!K31+珀芙研药房!K31</f>
        <v>0</v>
      </c>
      <c r="L31" s="49">
        <f>珀芙研电商!L31+珀芙研药房!L31</f>
        <v>0</v>
      </c>
      <c r="M31" s="43">
        <f>珀芙研电商!M31+珀芙研药房!M31</f>
        <v>0</v>
      </c>
      <c r="N31" s="23">
        <f>珀芙研电商!N31+珀芙研药房!N31</f>
        <v>0</v>
      </c>
      <c r="O31" s="19">
        <f t="shared" ref="O31:O46" si="46">M31</f>
        <v>0</v>
      </c>
      <c r="P31" s="23">
        <f>珀芙研电商!P31+珀芙研药房!P31</f>
        <v>0</v>
      </c>
      <c r="Q31" s="23">
        <f>珀芙研电商!Q31+珀芙研药房!Q31</f>
        <v>0</v>
      </c>
      <c r="R31" s="49">
        <f>珀芙研电商!R31+珀芙研药房!R31</f>
        <v>0</v>
      </c>
      <c r="S31" s="43">
        <f>珀芙研电商!S31+珀芙研药房!S31</f>
        <v>0</v>
      </c>
      <c r="T31" s="23">
        <f>珀芙研电商!T31+珀芙研药房!T31</f>
        <v>0</v>
      </c>
      <c r="U31" s="19">
        <f t="shared" ref="U31:U46" si="47">S31</f>
        <v>0</v>
      </c>
      <c r="V31" s="23">
        <f>珀芙研电商!V31+珀芙研药房!V31</f>
        <v>0</v>
      </c>
      <c r="W31" s="23">
        <f>珀芙研电商!W31+珀芙研药房!W31</f>
        <v>0</v>
      </c>
      <c r="X31" s="49">
        <f>珀芙研电商!X31+珀芙研药房!X31</f>
        <v>0</v>
      </c>
      <c r="Y31" s="43">
        <f>珀芙研电商!Y31+珀芙研药房!Y31</f>
        <v>0</v>
      </c>
      <c r="Z31" s="23">
        <f>珀芙研电商!Z31+珀芙研药房!Z31</f>
        <v>0</v>
      </c>
      <c r="AA31" s="19">
        <f t="shared" ref="AA31:AA46" si="48">Y31</f>
        <v>0</v>
      </c>
      <c r="AB31" s="23">
        <f>珀芙研电商!AB31+珀芙研药房!AB31</f>
        <v>0</v>
      </c>
      <c r="AC31" s="23">
        <f>珀芙研电商!AC31+珀芙研药房!AC31</f>
        <v>0</v>
      </c>
      <c r="AD31" s="49">
        <f>珀芙研电商!AD31+珀芙研药房!AD31</f>
        <v>0</v>
      </c>
      <c r="AE31" s="43">
        <f>珀芙研电商!AE31+珀芙研药房!AE31</f>
        <v>0</v>
      </c>
      <c r="AF31" s="23">
        <f>珀芙研电商!AF31+珀芙研药房!AF31</f>
        <v>0</v>
      </c>
      <c r="AG31" s="43">
        <f>珀芙研电商!AG31+珀芙研药房!AG31</f>
        <v>0</v>
      </c>
      <c r="AH31" s="23">
        <f>珀芙研电商!AH31+珀芙研药房!AH31</f>
        <v>0</v>
      </c>
      <c r="AI31" s="23">
        <f>珀芙研电商!AI31+珀芙研药房!AI31</f>
        <v>0</v>
      </c>
      <c r="AJ31" s="49">
        <f>珀芙研电商!AJ31+珀芙研药房!AJ31</f>
        <v>0</v>
      </c>
      <c r="AK31" s="43">
        <f>珀芙研电商!AK31+珀芙研药房!AK31</f>
        <v>0</v>
      </c>
      <c r="AL31" s="23">
        <f>珀芙研电商!AL31+珀芙研药房!AL31</f>
        <v>0</v>
      </c>
      <c r="AM31" s="19">
        <f t="shared" ref="AM31:AM46" si="49">AK31</f>
        <v>0</v>
      </c>
      <c r="AN31" s="23">
        <f>珀芙研电商!AN31+珀芙研药房!AN31</f>
        <v>0.12</v>
      </c>
      <c r="AO31" s="23">
        <f>珀芙研电商!AO31+珀芙研药房!AO31</f>
        <v>0</v>
      </c>
      <c r="AP31" s="49">
        <f>珀芙研电商!AP31+珀芙研药房!AP31</f>
        <v>0</v>
      </c>
      <c r="AQ31" s="43">
        <f>珀芙研电商!AQ31+珀芙研药房!AQ31</f>
        <v>0</v>
      </c>
      <c r="AR31" s="23">
        <f>珀芙研电商!AR31+珀芙研药房!AR31</f>
        <v>0</v>
      </c>
      <c r="AS31" s="19">
        <f t="shared" ref="AS31:AS46" si="50">AQ31</f>
        <v>0</v>
      </c>
      <c r="AT31" s="23">
        <f>珀芙研电商!AT31+珀芙研药房!AT31</f>
        <v>0</v>
      </c>
      <c r="AU31" s="23">
        <f>珀芙研电商!AU31+珀芙研药房!AU31</f>
        <v>0</v>
      </c>
      <c r="AV31" s="49">
        <f>珀芙研电商!AV31+珀芙研药房!AV31</f>
        <v>0</v>
      </c>
      <c r="AW31" s="43">
        <f>珀芙研电商!AW31+珀芙研药房!AW31</f>
        <v>0</v>
      </c>
      <c r="AX31" s="23">
        <f>珀芙研电商!AX31+珀芙研药房!AX31</f>
        <v>0</v>
      </c>
      <c r="AY31" s="19">
        <f t="shared" ref="AY31:AY46" si="51">AW31</f>
        <v>0</v>
      </c>
      <c r="AZ31" s="23">
        <f>珀芙研电商!AZ31+珀芙研药房!AZ31</f>
        <v>2.14</v>
      </c>
      <c r="BA31" s="23">
        <f>珀芙研电商!BA31+珀芙研药房!BA31</f>
        <v>0</v>
      </c>
      <c r="BB31" s="49">
        <f>珀芙研电商!BB31+珀芙研药房!BB31</f>
        <v>0</v>
      </c>
      <c r="BC31" s="43">
        <f>珀芙研电商!BC31+珀芙研药房!BC31</f>
        <v>0</v>
      </c>
      <c r="BD31" s="23">
        <f>珀芙研电商!BD31+珀芙研药房!BD31</f>
        <v>0</v>
      </c>
      <c r="BE31" s="19">
        <f t="shared" ref="BE31:BE46" si="52">BC31</f>
        <v>0</v>
      </c>
      <c r="BF31" s="23">
        <f>珀芙研电商!BF31+珀芙研药房!BF31</f>
        <v>0</v>
      </c>
      <c r="BG31" s="23">
        <f>珀芙研电商!BG31+珀芙研药房!BG31</f>
        <v>0</v>
      </c>
      <c r="BH31" s="49">
        <f>珀芙研电商!BH31+珀芙研药房!BH31</f>
        <v>0</v>
      </c>
      <c r="BI31" s="43">
        <f>珀芙研电商!BI31+珀芙研药房!BI31</f>
        <v>0</v>
      </c>
      <c r="BJ31" s="23">
        <f>珀芙研电商!BJ31+珀芙研药房!BJ31</f>
        <v>0</v>
      </c>
      <c r="BK31" s="19">
        <f t="shared" ref="BK31:BK46" si="53">BI31</f>
        <v>0</v>
      </c>
      <c r="BL31" s="23">
        <f>珀芙研电商!BL31+珀芙研药房!BL31</f>
        <v>0</v>
      </c>
      <c r="BM31" s="23">
        <f>珀芙研电商!BM31+珀芙研药房!BM31</f>
        <v>0</v>
      </c>
      <c r="BN31" s="49">
        <f>珀芙研电商!BN31+珀芙研药房!BN31</f>
        <v>0</v>
      </c>
      <c r="BO31" s="43">
        <f>珀芙研电商!BO31+珀芙研药房!BO31</f>
        <v>65.34</v>
      </c>
      <c r="BP31" s="23">
        <f>珀芙研电商!BP31+珀芙研药房!BP31</f>
        <v>0</v>
      </c>
      <c r="BQ31" s="23">
        <f>珀芙研电商!BQ31+珀芙研药房!BQ31</f>
        <v>65.34</v>
      </c>
      <c r="BR31" s="23">
        <f>珀芙研电商!BR31+珀芙研药房!BR31</f>
        <v>0</v>
      </c>
      <c r="BS31" s="23">
        <f>珀芙研电商!BS31+珀芙研药房!BS31</f>
        <v>0</v>
      </c>
      <c r="BT31" s="49">
        <f>珀芙研电商!BT31+珀芙研药房!BT31</f>
        <v>0</v>
      </c>
      <c r="BU31" s="18">
        <f t="shared" ref="BU31:BU46" si="54">C31+G31+M31+S31+Y31+AE31+AK31+AQ31+AW31+BC31+BI31+BO31</f>
        <v>65.34</v>
      </c>
      <c r="BV31" s="19">
        <f>BJ31+BP31</f>
        <v>0</v>
      </c>
      <c r="BW31" s="19">
        <f t="shared" ref="BW31:BW46" si="55">BV31+BU31</f>
        <v>65.34</v>
      </c>
      <c r="BX31" s="19">
        <f t="shared" ref="BX31:BZ46" si="56">SUMIF($C$3:$BT$3,BX$3,$C31:$BT31)</f>
        <v>2.2600000000000002</v>
      </c>
      <c r="BY31" s="19">
        <f t="shared" si="56"/>
        <v>0</v>
      </c>
      <c r="BZ31" s="49">
        <f t="shared" si="56"/>
        <v>0</v>
      </c>
      <c r="CA31" s="24"/>
      <c r="CB31" s="106"/>
    </row>
    <row r="32" spans="1:80" outlineLevel="1">
      <c r="A32" s="5" t="s">
        <v>51</v>
      </c>
      <c r="B32" s="54" t="s">
        <v>17</v>
      </c>
      <c r="C32" s="43">
        <f>珀芙研电商!C32+珀芙研药房!C32</f>
        <v>0</v>
      </c>
      <c r="D32" s="23">
        <f>珀芙研电商!D32+珀芙研药房!D32</f>
        <v>0</v>
      </c>
      <c r="E32" s="117"/>
      <c r="F32" s="49">
        <f>珀芙研电商!F32+珀芙研药房!F32</f>
        <v>0</v>
      </c>
      <c r="G32" s="43">
        <f>珀芙研电商!G32+珀芙研药房!G32</f>
        <v>0</v>
      </c>
      <c r="H32" s="23">
        <f>珀芙研电商!H32+珀芙研药房!H32</f>
        <v>0</v>
      </c>
      <c r="I32" s="19">
        <f t="shared" si="45"/>
        <v>0</v>
      </c>
      <c r="J32" s="23">
        <f>珀芙研电商!J32+珀芙研药房!J32</f>
        <v>0</v>
      </c>
      <c r="K32" s="23">
        <f>珀芙研电商!K32+珀芙研药房!K32</f>
        <v>0</v>
      </c>
      <c r="L32" s="49">
        <f>珀芙研电商!L32+珀芙研药房!L32</f>
        <v>0</v>
      </c>
      <c r="M32" s="43">
        <f>珀芙研电商!M32+珀芙研药房!M32</f>
        <v>0</v>
      </c>
      <c r="N32" s="23">
        <f>珀芙研电商!N32+珀芙研药房!N32</f>
        <v>0</v>
      </c>
      <c r="O32" s="19">
        <f t="shared" si="46"/>
        <v>0</v>
      </c>
      <c r="P32" s="23">
        <f>珀芙研电商!P32+珀芙研药房!P32</f>
        <v>0</v>
      </c>
      <c r="Q32" s="23">
        <f>珀芙研电商!Q32+珀芙研药房!Q32</f>
        <v>0</v>
      </c>
      <c r="R32" s="49">
        <f>珀芙研电商!R32+珀芙研药房!R32</f>
        <v>0</v>
      </c>
      <c r="S32" s="43">
        <f>珀芙研电商!S32+珀芙研药房!S32</f>
        <v>0</v>
      </c>
      <c r="T32" s="23">
        <f>珀芙研电商!T32+珀芙研药房!T32</f>
        <v>0</v>
      </c>
      <c r="U32" s="19">
        <f t="shared" si="47"/>
        <v>0</v>
      </c>
      <c r="V32" s="23">
        <f>珀芙研电商!V32+珀芙研药房!V32</f>
        <v>0</v>
      </c>
      <c r="W32" s="23">
        <f>珀芙研电商!W32+珀芙研药房!W32</f>
        <v>0</v>
      </c>
      <c r="X32" s="49">
        <f>珀芙研电商!X32+珀芙研药房!X32</f>
        <v>0</v>
      </c>
      <c r="Y32" s="43">
        <f>珀芙研电商!Y32+珀芙研药房!Y32</f>
        <v>0</v>
      </c>
      <c r="Z32" s="23">
        <f>珀芙研电商!Z32+珀芙研药房!Z32</f>
        <v>0</v>
      </c>
      <c r="AA32" s="19">
        <f t="shared" si="48"/>
        <v>0</v>
      </c>
      <c r="AB32" s="23">
        <f>珀芙研电商!AB32+珀芙研药房!AB32</f>
        <v>0</v>
      </c>
      <c r="AC32" s="23">
        <f>珀芙研电商!AC32+珀芙研药房!AC32</f>
        <v>0</v>
      </c>
      <c r="AD32" s="49">
        <f>珀芙研电商!AD32+珀芙研药房!AD32</f>
        <v>0</v>
      </c>
      <c r="AE32" s="43">
        <f>珀芙研电商!AE32+珀芙研药房!AE32</f>
        <v>0</v>
      </c>
      <c r="AF32" s="23">
        <f>珀芙研电商!AF32+珀芙研药房!AF32</f>
        <v>0</v>
      </c>
      <c r="AG32" s="43">
        <f>珀芙研电商!AG32+珀芙研药房!AG32</f>
        <v>0</v>
      </c>
      <c r="AH32" s="23">
        <f>珀芙研电商!AH32+珀芙研药房!AH32</f>
        <v>0</v>
      </c>
      <c r="AI32" s="23">
        <f>珀芙研电商!AI32+珀芙研药房!AI32</f>
        <v>0</v>
      </c>
      <c r="AJ32" s="49">
        <f>珀芙研电商!AJ32+珀芙研药房!AJ32</f>
        <v>0</v>
      </c>
      <c r="AK32" s="43">
        <f>珀芙研电商!AK32+珀芙研药房!AK32</f>
        <v>0</v>
      </c>
      <c r="AL32" s="23">
        <f>珀芙研电商!AL32+珀芙研药房!AL32</f>
        <v>0</v>
      </c>
      <c r="AM32" s="19">
        <f t="shared" si="49"/>
        <v>0</v>
      </c>
      <c r="AN32" s="23">
        <f>珀芙研电商!AN32+珀芙研药房!AN32</f>
        <v>0</v>
      </c>
      <c r="AO32" s="23">
        <f>珀芙研电商!AO32+珀芙研药房!AO32</f>
        <v>0</v>
      </c>
      <c r="AP32" s="49">
        <f>珀芙研电商!AP32+珀芙研药房!AP32</f>
        <v>0</v>
      </c>
      <c r="AQ32" s="43">
        <f>珀芙研电商!AQ32+珀芙研药房!AQ32</f>
        <v>0</v>
      </c>
      <c r="AR32" s="23">
        <f>珀芙研电商!AR32+珀芙研药房!AR32</f>
        <v>0</v>
      </c>
      <c r="AS32" s="19">
        <f t="shared" si="50"/>
        <v>0</v>
      </c>
      <c r="AT32" s="23">
        <f>珀芙研电商!AT32+珀芙研药房!AT32</f>
        <v>0</v>
      </c>
      <c r="AU32" s="23">
        <f>珀芙研电商!AU32+珀芙研药房!AU32</f>
        <v>0</v>
      </c>
      <c r="AV32" s="49">
        <f>珀芙研电商!AV32+珀芙研药房!AV32</f>
        <v>0</v>
      </c>
      <c r="AW32" s="43">
        <f>珀芙研电商!AW32+珀芙研药房!AW32</f>
        <v>0</v>
      </c>
      <c r="AX32" s="23">
        <f>珀芙研电商!AX32+珀芙研药房!AX32</f>
        <v>0</v>
      </c>
      <c r="AY32" s="19">
        <f t="shared" si="51"/>
        <v>0</v>
      </c>
      <c r="AZ32" s="23">
        <f>珀芙研电商!AZ32+珀芙研药房!AZ32</f>
        <v>33.33</v>
      </c>
      <c r="BA32" s="23">
        <f>珀芙研电商!BA32+珀芙研药房!BA32</f>
        <v>0</v>
      </c>
      <c r="BB32" s="49">
        <f>珀芙研电商!BB32+珀芙研药房!BB32</f>
        <v>0</v>
      </c>
      <c r="BC32" s="43">
        <f>珀芙研电商!BC32+珀芙研药房!BC32</f>
        <v>0</v>
      </c>
      <c r="BD32" s="23">
        <f>珀芙研电商!BD32+珀芙研药房!BD32</f>
        <v>0</v>
      </c>
      <c r="BE32" s="19">
        <f t="shared" si="52"/>
        <v>0</v>
      </c>
      <c r="BF32" s="23">
        <f>珀芙研电商!BF32+珀芙研药房!BF32</f>
        <v>0</v>
      </c>
      <c r="BG32" s="23">
        <f>珀芙研电商!BG32+珀芙研药房!BG32</f>
        <v>0</v>
      </c>
      <c r="BH32" s="49">
        <f>珀芙研电商!BH32+珀芙研药房!BH32</f>
        <v>0</v>
      </c>
      <c r="BI32" s="43">
        <f>珀芙研电商!BI32+珀芙研药房!BI32</f>
        <v>0</v>
      </c>
      <c r="BJ32" s="23">
        <f>珀芙研电商!BJ32+珀芙研药房!BJ32</f>
        <v>0</v>
      </c>
      <c r="BK32" s="19">
        <f t="shared" si="53"/>
        <v>0</v>
      </c>
      <c r="BL32" s="23">
        <f>珀芙研电商!BL32+珀芙研药房!BL32</f>
        <v>0</v>
      </c>
      <c r="BM32" s="23">
        <f>珀芙研电商!BM32+珀芙研药房!BM32</f>
        <v>0</v>
      </c>
      <c r="BN32" s="49">
        <f>珀芙研电商!BN32+珀芙研药房!BN32</f>
        <v>0</v>
      </c>
      <c r="BO32" s="43">
        <f>珀芙研电商!BO32+珀芙研药房!BO32</f>
        <v>0</v>
      </c>
      <c r="BP32" s="23">
        <f>珀芙研电商!BP32+珀芙研药房!BP32</f>
        <v>0</v>
      </c>
      <c r="BQ32" s="19">
        <f t="shared" ref="BQ32:BQ46" si="57">SUM(BO32:BP32)</f>
        <v>0</v>
      </c>
      <c r="BR32" s="23">
        <f>珀芙研电商!BR32+珀芙研药房!BR32</f>
        <v>-33</v>
      </c>
      <c r="BS32" s="23">
        <f>珀芙研电商!BS32+珀芙研药房!BS32</f>
        <v>0</v>
      </c>
      <c r="BT32" s="49">
        <f>珀芙研电商!BT32+珀芙研药房!BT32</f>
        <v>0</v>
      </c>
      <c r="BU32" s="18">
        <f t="shared" si="54"/>
        <v>0</v>
      </c>
      <c r="BV32" s="19">
        <f t="shared" ref="BV32:BV46" si="58">BJ32+BP32</f>
        <v>0</v>
      </c>
      <c r="BW32" s="19">
        <f t="shared" si="55"/>
        <v>0</v>
      </c>
      <c r="BX32" s="19">
        <f t="shared" si="56"/>
        <v>0.32999999999999829</v>
      </c>
      <c r="BY32" s="19">
        <f t="shared" si="56"/>
        <v>0</v>
      </c>
      <c r="BZ32" s="49">
        <f t="shared" si="56"/>
        <v>0</v>
      </c>
      <c r="CA32" s="24"/>
      <c r="CB32" s="106"/>
    </row>
    <row r="33" spans="1:80" outlineLevel="1">
      <c r="A33" s="5" t="s">
        <v>52</v>
      </c>
      <c r="B33" s="54" t="s">
        <v>18</v>
      </c>
      <c r="C33" s="43">
        <f>珀芙研电商!C33+珀芙研药房!C33</f>
        <v>0</v>
      </c>
      <c r="D33" s="23">
        <f>珀芙研电商!D33+珀芙研药房!D33</f>
        <v>0</v>
      </c>
      <c r="E33" s="117"/>
      <c r="F33" s="49">
        <f>珀芙研电商!F33+珀芙研药房!F33</f>
        <v>0</v>
      </c>
      <c r="G33" s="43">
        <f>珀芙研电商!G33+珀芙研药房!G33</f>
        <v>0</v>
      </c>
      <c r="H33" s="23">
        <f>珀芙研电商!H33+珀芙研药房!H33</f>
        <v>0</v>
      </c>
      <c r="I33" s="19">
        <f t="shared" si="45"/>
        <v>0</v>
      </c>
      <c r="J33" s="23">
        <f>珀芙研电商!J33+珀芙研药房!J33</f>
        <v>0</v>
      </c>
      <c r="K33" s="23">
        <f>珀芙研电商!K33+珀芙研药房!K33</f>
        <v>0</v>
      </c>
      <c r="L33" s="49">
        <f>珀芙研电商!L33+珀芙研药房!L33</f>
        <v>0</v>
      </c>
      <c r="M33" s="43">
        <f>珀芙研电商!M33+珀芙研药房!M33</f>
        <v>0</v>
      </c>
      <c r="N33" s="23">
        <f>珀芙研电商!N33+珀芙研药房!N33</f>
        <v>0</v>
      </c>
      <c r="O33" s="19">
        <f t="shared" si="46"/>
        <v>0</v>
      </c>
      <c r="P33" s="23">
        <f>珀芙研电商!P33+珀芙研药房!P33</f>
        <v>0</v>
      </c>
      <c r="Q33" s="23">
        <f>珀芙研电商!Q33+珀芙研药房!Q33</f>
        <v>0</v>
      </c>
      <c r="R33" s="49">
        <f>珀芙研电商!R33+珀芙研药房!R33</f>
        <v>0</v>
      </c>
      <c r="S33" s="43">
        <f>珀芙研电商!S33+珀芙研药房!S33</f>
        <v>0.94</v>
      </c>
      <c r="T33" s="23">
        <f>珀芙研电商!T33+珀芙研药房!T33</f>
        <v>0</v>
      </c>
      <c r="U33" s="19">
        <f t="shared" si="47"/>
        <v>0.94</v>
      </c>
      <c r="V33" s="23">
        <f>珀芙研电商!V33+珀芙研药房!V33</f>
        <v>0</v>
      </c>
      <c r="W33" s="23">
        <f>珀芙研电商!W33+珀芙研药房!W33</f>
        <v>0</v>
      </c>
      <c r="X33" s="49">
        <f>珀芙研电商!X33+珀芙研药房!X33</f>
        <v>0.94</v>
      </c>
      <c r="Y33" s="43">
        <f>珀芙研电商!Y33+珀芙研药房!Y33</f>
        <v>1.78</v>
      </c>
      <c r="Z33" s="23">
        <f>珀芙研电商!Z33+珀芙研药房!Z33</f>
        <v>0</v>
      </c>
      <c r="AA33" s="19">
        <f t="shared" si="48"/>
        <v>1.78</v>
      </c>
      <c r="AB33" s="23">
        <f>珀芙研电商!AB33+珀芙研药房!AB33</f>
        <v>0.02</v>
      </c>
      <c r="AC33" s="23">
        <f>珀芙研电商!AC33+珀芙研药房!AC33</f>
        <v>0</v>
      </c>
      <c r="AD33" s="49">
        <f>珀芙研电商!AD33+珀芙研药房!AD33</f>
        <v>1.78</v>
      </c>
      <c r="AE33" s="43">
        <f>珀芙研电商!AE33+珀芙研药房!AE33</f>
        <v>0</v>
      </c>
      <c r="AF33" s="23">
        <f>珀芙研电商!AF33+珀芙研药房!AF33</f>
        <v>0</v>
      </c>
      <c r="AG33" s="43">
        <f>珀芙研电商!AG33+珀芙研药房!AG33</f>
        <v>0</v>
      </c>
      <c r="AH33" s="23">
        <f>珀芙研电商!AH33+珀芙研药房!AH33</f>
        <v>0</v>
      </c>
      <c r="AI33" s="23">
        <f>珀芙研电商!AI33+珀芙研药房!AI33</f>
        <v>2.2999999999999998</v>
      </c>
      <c r="AJ33" s="49">
        <f>珀芙研电商!AJ33+珀芙研药房!AJ33</f>
        <v>0</v>
      </c>
      <c r="AK33" s="43">
        <f>珀芙研电商!AK33+珀芙研药房!AK33</f>
        <v>0</v>
      </c>
      <c r="AL33" s="23">
        <f>珀芙研电商!AL33+珀芙研药房!AL33</f>
        <v>0</v>
      </c>
      <c r="AM33" s="19">
        <f t="shared" si="49"/>
        <v>0</v>
      </c>
      <c r="AN33" s="23">
        <f>珀芙研电商!AN33+珀芙研药房!AN33</f>
        <v>0</v>
      </c>
      <c r="AO33" s="23">
        <f>珀芙研电商!AO33+珀芙研药房!AO33</f>
        <v>0</v>
      </c>
      <c r="AP33" s="49">
        <f>珀芙研电商!AP33+珀芙研药房!AP33</f>
        <v>0</v>
      </c>
      <c r="AQ33" s="43">
        <f>珀芙研电商!AQ33+珀芙研药房!AQ33</f>
        <v>4.5999999999999996</v>
      </c>
      <c r="AR33" s="23">
        <f>珀芙研电商!AR33+珀芙研药房!AR33</f>
        <v>0</v>
      </c>
      <c r="AS33" s="19">
        <f t="shared" si="50"/>
        <v>4.5999999999999996</v>
      </c>
      <c r="AT33" s="23">
        <f>珀芙研电商!AT33+珀芙研药房!AT33</f>
        <v>0</v>
      </c>
      <c r="AU33" s="23">
        <f>珀芙研电商!AU33+珀芙研药房!AU33</f>
        <v>0</v>
      </c>
      <c r="AV33" s="49">
        <f>珀芙研电商!AV33+珀芙研药房!AV33</f>
        <v>1.8</v>
      </c>
      <c r="AW33" s="43">
        <f>珀芙研电商!AW33+珀芙研药房!AW33</f>
        <v>0.28000000000000003</v>
      </c>
      <c r="AX33" s="23">
        <f>珀芙研电商!AX33+珀芙研药房!AX33</f>
        <v>0</v>
      </c>
      <c r="AY33" s="19">
        <f t="shared" si="51"/>
        <v>0.28000000000000003</v>
      </c>
      <c r="AZ33" s="23">
        <f>珀芙研电商!AZ33+珀芙研药房!AZ33</f>
        <v>1.7</v>
      </c>
      <c r="BA33" s="23">
        <f>珀芙研电商!BA33+珀芙研药房!BA33</f>
        <v>0</v>
      </c>
      <c r="BB33" s="49">
        <f>珀芙研电商!BB33+珀芙研药房!BB33</f>
        <v>0</v>
      </c>
      <c r="BC33" s="43">
        <f>珀芙研电商!BC33+珀芙研药房!BC33</f>
        <v>0</v>
      </c>
      <c r="BD33" s="23">
        <f>珀芙研电商!BD33+珀芙研药房!BD33</f>
        <v>0</v>
      </c>
      <c r="BE33" s="19">
        <f t="shared" si="52"/>
        <v>0</v>
      </c>
      <c r="BF33" s="23">
        <f>珀芙研电商!BF33+珀芙研药房!BF33</f>
        <v>0.62</v>
      </c>
      <c r="BG33" s="23">
        <f>珀芙研电商!BG33+珀芙研药房!BG33</f>
        <v>0</v>
      </c>
      <c r="BH33" s="49">
        <f>珀芙研电商!BH33+珀芙研药房!BH33</f>
        <v>0</v>
      </c>
      <c r="BI33" s="43">
        <f>珀芙研电商!BI33+珀芙研药房!BI33</f>
        <v>0</v>
      </c>
      <c r="BJ33" s="23">
        <f>珀芙研电商!BJ33+珀芙研药房!BJ33</f>
        <v>0</v>
      </c>
      <c r="BK33" s="19">
        <f t="shared" si="53"/>
        <v>0</v>
      </c>
      <c r="BL33" s="23">
        <f>珀芙研电商!BL33+珀芙研药房!BL33</f>
        <v>5.57</v>
      </c>
      <c r="BM33" s="23">
        <f>珀芙研电商!BM33+珀芙研药房!BM33</f>
        <v>0</v>
      </c>
      <c r="BN33" s="49">
        <f>珀芙研电商!BN33+珀芙研药房!BN33</f>
        <v>0</v>
      </c>
      <c r="BO33" s="43">
        <f>珀芙研电商!BO33+珀芙研药房!BO33</f>
        <v>0</v>
      </c>
      <c r="BP33" s="23">
        <f>珀芙研电商!BP33+珀芙研药房!BP33</f>
        <v>0</v>
      </c>
      <c r="BQ33" s="19">
        <f t="shared" si="57"/>
        <v>0</v>
      </c>
      <c r="BR33" s="23">
        <f>珀芙研电商!BR33+珀芙研药房!BR33</f>
        <v>5.47</v>
      </c>
      <c r="BS33" s="23">
        <f>珀芙研电商!BS33+珀芙研药房!BS33</f>
        <v>0</v>
      </c>
      <c r="BT33" s="49">
        <f>珀芙研电商!BT33+珀芙研药房!BT33</f>
        <v>0</v>
      </c>
      <c r="BU33" s="18">
        <f t="shared" si="54"/>
        <v>7.6</v>
      </c>
      <c r="BV33" s="19">
        <f t="shared" si="58"/>
        <v>0</v>
      </c>
      <c r="BW33" s="19">
        <f t="shared" si="55"/>
        <v>7.6</v>
      </c>
      <c r="BX33" s="19">
        <f t="shared" si="56"/>
        <v>13.379999999999999</v>
      </c>
      <c r="BY33" s="19">
        <f t="shared" si="56"/>
        <v>2.2999999999999998</v>
      </c>
      <c r="BZ33" s="49">
        <f t="shared" si="56"/>
        <v>4.5199999999999996</v>
      </c>
      <c r="CA33" s="24"/>
      <c r="CB33" s="106"/>
    </row>
    <row r="34" spans="1:80" outlineLevel="1">
      <c r="A34" s="5" t="s">
        <v>36</v>
      </c>
      <c r="B34" s="54" t="s">
        <v>14</v>
      </c>
      <c r="C34" s="43">
        <f>珀芙研电商!C34+珀芙研药房!C34</f>
        <v>0</v>
      </c>
      <c r="D34" s="23">
        <f>珀芙研电商!D34+珀芙研药房!D34</f>
        <v>0</v>
      </c>
      <c r="E34" s="117"/>
      <c r="F34" s="49">
        <f>珀芙研电商!F34+珀芙研药房!F34</f>
        <v>0</v>
      </c>
      <c r="G34" s="43">
        <f>珀芙研电商!G34+珀芙研药房!G34</f>
        <v>0</v>
      </c>
      <c r="H34" s="23">
        <f>珀芙研电商!H34+珀芙研药房!H34</f>
        <v>0</v>
      </c>
      <c r="I34" s="19">
        <f t="shared" si="45"/>
        <v>0</v>
      </c>
      <c r="J34" s="23">
        <f>珀芙研电商!J34+珀芙研药房!J34</f>
        <v>0</v>
      </c>
      <c r="K34" s="23">
        <f>珀芙研电商!K34+珀芙研药房!K34</f>
        <v>0</v>
      </c>
      <c r="L34" s="49">
        <f>珀芙研电商!L34+珀芙研药房!L34</f>
        <v>0</v>
      </c>
      <c r="M34" s="43">
        <f>珀芙研电商!M34+珀芙研药房!M34</f>
        <v>0</v>
      </c>
      <c r="N34" s="23">
        <f>珀芙研电商!N34+珀芙研药房!N34</f>
        <v>0</v>
      </c>
      <c r="O34" s="19">
        <f t="shared" si="46"/>
        <v>0</v>
      </c>
      <c r="P34" s="23">
        <f>珀芙研电商!P34+珀芙研药房!P34</f>
        <v>0</v>
      </c>
      <c r="Q34" s="23">
        <f>珀芙研电商!Q34+珀芙研药房!Q34</f>
        <v>0</v>
      </c>
      <c r="R34" s="49">
        <f>珀芙研电商!R34+珀芙研药房!R34</f>
        <v>0</v>
      </c>
      <c r="S34" s="43">
        <f>珀芙研电商!S34+珀芙研药房!S34</f>
        <v>0</v>
      </c>
      <c r="T34" s="23">
        <f>珀芙研电商!T34+珀芙研药房!T34</f>
        <v>0</v>
      </c>
      <c r="U34" s="19">
        <f t="shared" si="47"/>
        <v>0</v>
      </c>
      <c r="V34" s="23">
        <f>珀芙研电商!V34+珀芙研药房!V34</f>
        <v>0</v>
      </c>
      <c r="W34" s="23">
        <f>珀芙研电商!W34+珀芙研药房!W34</f>
        <v>0</v>
      </c>
      <c r="X34" s="49">
        <f>珀芙研电商!X34+珀芙研药房!X34</f>
        <v>0</v>
      </c>
      <c r="Y34" s="43">
        <f>珀芙研电商!Y34+珀芙研药房!Y34</f>
        <v>0</v>
      </c>
      <c r="Z34" s="23">
        <f>珀芙研电商!Z34+珀芙研药房!Z34</f>
        <v>0</v>
      </c>
      <c r="AA34" s="19">
        <f t="shared" si="48"/>
        <v>0</v>
      </c>
      <c r="AB34" s="23">
        <f>珀芙研电商!AB34+珀芙研药房!AB34</f>
        <v>0</v>
      </c>
      <c r="AC34" s="23">
        <f>珀芙研电商!AC34+珀芙研药房!AC34</f>
        <v>0</v>
      </c>
      <c r="AD34" s="49">
        <f>珀芙研电商!AD34+珀芙研药房!AD34</f>
        <v>0</v>
      </c>
      <c r="AE34" s="43">
        <f>珀芙研电商!AE34+珀芙研药房!AE34</f>
        <v>0</v>
      </c>
      <c r="AF34" s="23">
        <f>珀芙研电商!AF34+珀芙研药房!AF34</f>
        <v>0</v>
      </c>
      <c r="AG34" s="43">
        <f>珀芙研电商!AG34+珀芙研药房!AG34</f>
        <v>0</v>
      </c>
      <c r="AH34" s="23">
        <f>珀芙研电商!AH34+珀芙研药房!AH34</f>
        <v>0</v>
      </c>
      <c r="AI34" s="23">
        <f>珀芙研电商!AI34+珀芙研药房!AI34</f>
        <v>0</v>
      </c>
      <c r="AJ34" s="49">
        <f>珀芙研电商!AJ34+珀芙研药房!AJ34</f>
        <v>0</v>
      </c>
      <c r="AK34" s="43">
        <f>珀芙研电商!AK34+珀芙研药房!AK34</f>
        <v>0</v>
      </c>
      <c r="AL34" s="23">
        <f>珀芙研电商!AL34+珀芙研药房!AL34</f>
        <v>0</v>
      </c>
      <c r="AM34" s="19">
        <f t="shared" si="49"/>
        <v>0</v>
      </c>
      <c r="AN34" s="23">
        <f>珀芙研电商!AN34+珀芙研药房!AN34</f>
        <v>0</v>
      </c>
      <c r="AO34" s="23">
        <f>珀芙研电商!AO34+珀芙研药房!AO34</f>
        <v>0</v>
      </c>
      <c r="AP34" s="49">
        <f>珀芙研电商!AP34+珀芙研药房!AP34</f>
        <v>0</v>
      </c>
      <c r="AQ34" s="43">
        <f>珀芙研电商!AQ34+珀芙研药房!AQ34</f>
        <v>0</v>
      </c>
      <c r="AR34" s="23">
        <f>珀芙研电商!AR34+珀芙研药房!AR34</f>
        <v>0</v>
      </c>
      <c r="AS34" s="19">
        <f t="shared" si="50"/>
        <v>0</v>
      </c>
      <c r="AT34" s="23">
        <f>珀芙研电商!AT34+珀芙研药房!AT34</f>
        <v>0</v>
      </c>
      <c r="AU34" s="23">
        <f>珀芙研电商!AU34+珀芙研药房!AU34</f>
        <v>0</v>
      </c>
      <c r="AV34" s="49">
        <f>珀芙研电商!AV34+珀芙研药房!AV34</f>
        <v>0</v>
      </c>
      <c r="AW34" s="43">
        <f>珀芙研电商!AW34+珀芙研药房!AW34</f>
        <v>0</v>
      </c>
      <c r="AX34" s="23">
        <f>珀芙研电商!AX34+珀芙研药房!AX34</f>
        <v>0</v>
      </c>
      <c r="AY34" s="19">
        <f t="shared" si="51"/>
        <v>0</v>
      </c>
      <c r="AZ34" s="23">
        <f>珀芙研电商!AZ34+珀芙研药房!AZ34</f>
        <v>0</v>
      </c>
      <c r="BA34" s="23">
        <f>珀芙研电商!BA34+珀芙研药房!BA34</f>
        <v>0</v>
      </c>
      <c r="BB34" s="49">
        <f>珀芙研电商!BB34+珀芙研药房!BB34</f>
        <v>0</v>
      </c>
      <c r="BC34" s="43">
        <f>珀芙研电商!BC34+珀芙研药房!BC34</f>
        <v>0</v>
      </c>
      <c r="BD34" s="23">
        <f>珀芙研电商!BD34+珀芙研药房!BD34</f>
        <v>0</v>
      </c>
      <c r="BE34" s="19">
        <f t="shared" si="52"/>
        <v>0</v>
      </c>
      <c r="BF34" s="23">
        <f>珀芙研电商!BF34+珀芙研药房!BF34</f>
        <v>0</v>
      </c>
      <c r="BG34" s="23">
        <f>珀芙研电商!BG34+珀芙研药房!BG34</f>
        <v>0</v>
      </c>
      <c r="BH34" s="49">
        <f>珀芙研电商!BH34+珀芙研药房!BH34</f>
        <v>0</v>
      </c>
      <c r="BI34" s="43">
        <f>珀芙研电商!BI34+珀芙研药房!BI34</f>
        <v>0</v>
      </c>
      <c r="BJ34" s="23">
        <f>珀芙研电商!BJ34+珀芙研药房!BJ34</f>
        <v>0</v>
      </c>
      <c r="BK34" s="19">
        <f t="shared" si="53"/>
        <v>0</v>
      </c>
      <c r="BL34" s="23">
        <f>珀芙研电商!BL34+珀芙研药房!BL34</f>
        <v>0</v>
      </c>
      <c r="BM34" s="23">
        <f>珀芙研电商!BM34+珀芙研药房!BM34</f>
        <v>0</v>
      </c>
      <c r="BN34" s="49">
        <f>珀芙研电商!BN34+珀芙研药房!BN34</f>
        <v>0</v>
      </c>
      <c r="BO34" s="43">
        <f>珀芙研电商!BO34+珀芙研药房!BO34</f>
        <v>0</v>
      </c>
      <c r="BP34" s="23">
        <f>珀芙研电商!BP34+珀芙研药房!BP34</f>
        <v>0</v>
      </c>
      <c r="BQ34" s="23">
        <f>珀芙研电商!BQ34+珀芙研药房!BQ34</f>
        <v>0</v>
      </c>
      <c r="BR34" s="23">
        <f>珀芙研电商!BR34+珀芙研药房!BR34</f>
        <v>0</v>
      </c>
      <c r="BS34" s="23">
        <f>珀芙研电商!BS34+珀芙研药房!BS34</f>
        <v>0</v>
      </c>
      <c r="BT34" s="49">
        <f>珀芙研电商!BT34+珀芙研药房!BT34</f>
        <v>0</v>
      </c>
      <c r="BU34" s="18">
        <f t="shared" si="54"/>
        <v>0</v>
      </c>
      <c r="BV34" s="19">
        <f t="shared" si="58"/>
        <v>0</v>
      </c>
      <c r="BW34" s="19">
        <f t="shared" si="55"/>
        <v>0</v>
      </c>
      <c r="BX34" s="19">
        <f t="shared" si="56"/>
        <v>0</v>
      </c>
      <c r="BY34" s="19">
        <f t="shared" si="56"/>
        <v>0</v>
      </c>
      <c r="BZ34" s="49">
        <f t="shared" si="56"/>
        <v>0</v>
      </c>
      <c r="CA34" s="24"/>
      <c r="CB34" s="106"/>
    </row>
    <row r="35" spans="1:80" outlineLevel="1">
      <c r="A35" s="5" t="s">
        <v>53</v>
      </c>
      <c r="B35" s="54" t="s">
        <v>21</v>
      </c>
      <c r="C35" s="43">
        <f>珀芙研电商!C35+珀芙研药房!C35</f>
        <v>0</v>
      </c>
      <c r="D35" s="23">
        <f>珀芙研电商!D35+珀芙研药房!D35</f>
        <v>0</v>
      </c>
      <c r="E35" s="117"/>
      <c r="F35" s="49">
        <f>珀芙研电商!F35+珀芙研药房!F35</f>
        <v>0</v>
      </c>
      <c r="G35" s="43">
        <f>珀芙研电商!G35+珀芙研药房!G35</f>
        <v>0</v>
      </c>
      <c r="H35" s="23">
        <f>珀芙研电商!H35+珀芙研药房!H35</f>
        <v>0</v>
      </c>
      <c r="I35" s="19">
        <f t="shared" si="45"/>
        <v>0</v>
      </c>
      <c r="J35" s="23">
        <f>珀芙研电商!J35+珀芙研药房!J35</f>
        <v>0</v>
      </c>
      <c r="K35" s="23">
        <f>珀芙研电商!K35+珀芙研药房!K35</f>
        <v>0</v>
      </c>
      <c r="L35" s="49">
        <f>珀芙研电商!L35+珀芙研药房!L35</f>
        <v>0</v>
      </c>
      <c r="M35" s="43">
        <f>珀芙研电商!M35+珀芙研药房!M35</f>
        <v>0</v>
      </c>
      <c r="N35" s="23">
        <f>珀芙研电商!N35+珀芙研药房!N35</f>
        <v>0</v>
      </c>
      <c r="O35" s="19">
        <f t="shared" si="46"/>
        <v>0</v>
      </c>
      <c r="P35" s="23">
        <f>珀芙研电商!P35+珀芙研药房!P35</f>
        <v>0</v>
      </c>
      <c r="Q35" s="23">
        <f>珀芙研电商!Q35+珀芙研药房!Q35</f>
        <v>0</v>
      </c>
      <c r="R35" s="49">
        <f>珀芙研电商!R35+珀芙研药房!R35</f>
        <v>0</v>
      </c>
      <c r="S35" s="43">
        <f>珀芙研电商!S35+珀芙研药房!S35</f>
        <v>0</v>
      </c>
      <c r="T35" s="23">
        <f>珀芙研电商!T35+珀芙研药房!T35</f>
        <v>0</v>
      </c>
      <c r="U35" s="19">
        <f t="shared" si="47"/>
        <v>0</v>
      </c>
      <c r="V35" s="23">
        <f>珀芙研电商!V35+珀芙研药房!V35</f>
        <v>0</v>
      </c>
      <c r="W35" s="23">
        <f>珀芙研电商!W35+珀芙研药房!W35</f>
        <v>0</v>
      </c>
      <c r="X35" s="49">
        <f>珀芙研电商!X35+珀芙研药房!X35</f>
        <v>0</v>
      </c>
      <c r="Y35" s="43">
        <f>珀芙研电商!Y35+珀芙研药房!Y35</f>
        <v>0</v>
      </c>
      <c r="Z35" s="23">
        <f>珀芙研电商!Z35+珀芙研药房!Z35</f>
        <v>0</v>
      </c>
      <c r="AA35" s="19">
        <f t="shared" si="48"/>
        <v>0</v>
      </c>
      <c r="AB35" s="23">
        <f>珀芙研电商!AB35+珀芙研药房!AB35</f>
        <v>0</v>
      </c>
      <c r="AC35" s="23">
        <f>珀芙研电商!AC35+珀芙研药房!AC35</f>
        <v>0</v>
      </c>
      <c r="AD35" s="49">
        <f>珀芙研电商!AD35+珀芙研药房!AD35</f>
        <v>0</v>
      </c>
      <c r="AE35" s="43">
        <f>珀芙研电商!AE35+珀芙研药房!AE35</f>
        <v>0</v>
      </c>
      <c r="AF35" s="23">
        <f>珀芙研电商!AF35+珀芙研药房!AF35</f>
        <v>0</v>
      </c>
      <c r="AG35" s="43">
        <f>珀芙研电商!AG35+珀芙研药房!AG35</f>
        <v>0</v>
      </c>
      <c r="AH35" s="23">
        <f>珀芙研电商!AH35+珀芙研药房!AH35</f>
        <v>0</v>
      </c>
      <c r="AI35" s="23">
        <f>珀芙研电商!AI35+珀芙研药房!AI35</f>
        <v>0</v>
      </c>
      <c r="AJ35" s="49">
        <f>珀芙研电商!AJ35+珀芙研药房!AJ35</f>
        <v>0</v>
      </c>
      <c r="AK35" s="43">
        <f>珀芙研电商!AK35+珀芙研药房!AK35</f>
        <v>0</v>
      </c>
      <c r="AL35" s="23">
        <f>珀芙研电商!AL35+珀芙研药房!AL35</f>
        <v>0</v>
      </c>
      <c r="AM35" s="19">
        <f t="shared" si="49"/>
        <v>0</v>
      </c>
      <c r="AN35" s="23">
        <f>珀芙研电商!AN35+珀芙研药房!AN35</f>
        <v>0</v>
      </c>
      <c r="AO35" s="23">
        <f>珀芙研电商!AO35+珀芙研药房!AO35</f>
        <v>0</v>
      </c>
      <c r="AP35" s="49">
        <f>珀芙研电商!AP35+珀芙研药房!AP35</f>
        <v>0</v>
      </c>
      <c r="AQ35" s="43">
        <f>珀芙研电商!AQ35+珀芙研药房!AQ35</f>
        <v>0</v>
      </c>
      <c r="AR35" s="23">
        <f>珀芙研电商!AR35+珀芙研药房!AR35</f>
        <v>0</v>
      </c>
      <c r="AS35" s="19">
        <f t="shared" si="50"/>
        <v>0</v>
      </c>
      <c r="AT35" s="23">
        <f>珀芙研电商!AT35+珀芙研药房!AT35</f>
        <v>0</v>
      </c>
      <c r="AU35" s="23">
        <f>珀芙研电商!AU35+珀芙研药房!AU35</f>
        <v>0</v>
      </c>
      <c r="AV35" s="49">
        <f>珀芙研电商!AV35+珀芙研药房!AV35</f>
        <v>0</v>
      </c>
      <c r="AW35" s="43">
        <f>珀芙研电商!AW35+珀芙研药房!AW35</f>
        <v>0</v>
      </c>
      <c r="AX35" s="23">
        <f>珀芙研电商!AX35+珀芙研药房!AX35</f>
        <v>0</v>
      </c>
      <c r="AY35" s="19">
        <f t="shared" si="51"/>
        <v>0</v>
      </c>
      <c r="AZ35" s="23">
        <f>珀芙研电商!AZ35+珀芙研药房!AZ35</f>
        <v>0</v>
      </c>
      <c r="BA35" s="23">
        <f>珀芙研电商!BA35+珀芙研药房!BA35</f>
        <v>0</v>
      </c>
      <c r="BB35" s="49">
        <f>珀芙研电商!BB35+珀芙研药房!BB35</f>
        <v>0</v>
      </c>
      <c r="BC35" s="43">
        <f>珀芙研电商!BC35+珀芙研药房!BC35</f>
        <v>0</v>
      </c>
      <c r="BD35" s="23">
        <f>珀芙研电商!BD35+珀芙研药房!BD35</f>
        <v>0</v>
      </c>
      <c r="BE35" s="19">
        <f t="shared" si="52"/>
        <v>0</v>
      </c>
      <c r="BF35" s="23">
        <f>珀芙研电商!BF35+珀芙研药房!BF35</f>
        <v>0</v>
      </c>
      <c r="BG35" s="23">
        <f>珀芙研电商!BG35+珀芙研药房!BG35</f>
        <v>0</v>
      </c>
      <c r="BH35" s="49">
        <f>珀芙研电商!BH35+珀芙研药房!BH35</f>
        <v>0</v>
      </c>
      <c r="BI35" s="43">
        <f>珀芙研电商!BI35+珀芙研药房!BI35</f>
        <v>0</v>
      </c>
      <c r="BJ35" s="23">
        <f>珀芙研电商!BJ35+珀芙研药房!BJ35</f>
        <v>0</v>
      </c>
      <c r="BK35" s="19">
        <f t="shared" si="53"/>
        <v>0</v>
      </c>
      <c r="BL35" s="23">
        <f>珀芙研电商!BL35+珀芙研药房!BL35</f>
        <v>0</v>
      </c>
      <c r="BM35" s="23">
        <f>珀芙研电商!BM35+珀芙研药房!BM35</f>
        <v>0</v>
      </c>
      <c r="BN35" s="49">
        <f>珀芙研电商!BN35+珀芙研药房!BN35</f>
        <v>0</v>
      </c>
      <c r="BO35" s="43">
        <f>珀芙研电商!BO35+珀芙研药房!BO35</f>
        <v>0</v>
      </c>
      <c r="BP35" s="23">
        <f>珀芙研电商!BP35+珀芙研药房!BP35</f>
        <v>0</v>
      </c>
      <c r="BQ35" s="19">
        <f t="shared" si="57"/>
        <v>0</v>
      </c>
      <c r="BR35" s="23">
        <f>珀芙研电商!BR35+珀芙研药房!BR35</f>
        <v>0</v>
      </c>
      <c r="BS35" s="23">
        <f>珀芙研电商!BS35+珀芙研药房!BS35</f>
        <v>0</v>
      </c>
      <c r="BT35" s="49">
        <f>珀芙研电商!BT35+珀芙研药房!BT35</f>
        <v>0</v>
      </c>
      <c r="BU35" s="18">
        <f t="shared" si="54"/>
        <v>0</v>
      </c>
      <c r="BV35" s="19">
        <f t="shared" si="58"/>
        <v>0</v>
      </c>
      <c r="BW35" s="19">
        <f t="shared" si="55"/>
        <v>0</v>
      </c>
      <c r="BX35" s="19">
        <f t="shared" si="56"/>
        <v>0</v>
      </c>
      <c r="BY35" s="19">
        <f t="shared" si="56"/>
        <v>0</v>
      </c>
      <c r="BZ35" s="49">
        <f t="shared" si="56"/>
        <v>0</v>
      </c>
      <c r="CA35" s="24"/>
      <c r="CB35" s="106"/>
    </row>
    <row r="36" spans="1:80" outlineLevel="1">
      <c r="A36" s="5" t="s">
        <v>54</v>
      </c>
      <c r="B36" s="54" t="s">
        <v>22</v>
      </c>
      <c r="C36" s="43">
        <f>珀芙研电商!C36+珀芙研药房!C36</f>
        <v>0</v>
      </c>
      <c r="D36" s="23">
        <f>珀芙研电商!D36+珀芙研药房!D36</f>
        <v>0</v>
      </c>
      <c r="E36" s="117"/>
      <c r="F36" s="49">
        <f>珀芙研电商!F36+珀芙研药房!F36</f>
        <v>0</v>
      </c>
      <c r="G36" s="43">
        <f>珀芙研电商!G36+珀芙研药房!G36</f>
        <v>0</v>
      </c>
      <c r="H36" s="23">
        <f>珀芙研电商!H36+珀芙研药房!H36</f>
        <v>0</v>
      </c>
      <c r="I36" s="19">
        <f t="shared" si="45"/>
        <v>0</v>
      </c>
      <c r="J36" s="23">
        <f>珀芙研电商!J36+珀芙研药房!J36</f>
        <v>0</v>
      </c>
      <c r="K36" s="23">
        <f>珀芙研电商!K36+珀芙研药房!K36</f>
        <v>0</v>
      </c>
      <c r="L36" s="49">
        <f>珀芙研电商!L36+珀芙研药房!L36</f>
        <v>0</v>
      </c>
      <c r="M36" s="43">
        <f>珀芙研电商!M36+珀芙研药房!M36</f>
        <v>21.8</v>
      </c>
      <c r="N36" s="23">
        <f>珀芙研电商!N36+珀芙研药房!N36</f>
        <v>0</v>
      </c>
      <c r="O36" s="19">
        <f t="shared" si="46"/>
        <v>21.8</v>
      </c>
      <c r="P36" s="23">
        <f>珀芙研电商!P36+珀芙研药房!P36</f>
        <v>0</v>
      </c>
      <c r="Q36" s="23">
        <f>珀芙研电商!Q36+珀芙研药房!Q36</f>
        <v>21.8</v>
      </c>
      <c r="R36" s="49">
        <f>珀芙研电商!R36+珀芙研药房!R36</f>
        <v>21.8</v>
      </c>
      <c r="S36" s="43">
        <f>珀芙研电商!S36+珀芙研药房!S36</f>
        <v>0.8</v>
      </c>
      <c r="T36" s="23">
        <f>珀芙研电商!T36+珀芙研药房!T36</f>
        <v>0</v>
      </c>
      <c r="U36" s="19">
        <f t="shared" si="47"/>
        <v>0.8</v>
      </c>
      <c r="V36" s="23">
        <f>珀芙研电商!V36+珀芙研药房!V36</f>
        <v>0</v>
      </c>
      <c r="W36" s="23">
        <f>珀芙研电商!W36+珀芙研药房!W36</f>
        <v>0</v>
      </c>
      <c r="X36" s="49">
        <f>珀芙研电商!X36+珀芙研药房!X36</f>
        <v>0.8</v>
      </c>
      <c r="Y36" s="43">
        <f>珀芙研电商!Y36+珀芙研药房!Y36</f>
        <v>-7.5</v>
      </c>
      <c r="Z36" s="23">
        <f>珀芙研电商!Z36+珀芙研药房!Z36</f>
        <v>0</v>
      </c>
      <c r="AA36" s="19">
        <f t="shared" si="48"/>
        <v>-7.5</v>
      </c>
      <c r="AB36" s="23">
        <f>珀芙研电商!AB36+珀芙研药房!AB36</f>
        <v>0</v>
      </c>
      <c r="AC36" s="23">
        <f>珀芙研电商!AC36+珀芙研药房!AC36</f>
        <v>0</v>
      </c>
      <c r="AD36" s="49">
        <f>珀芙研电商!AD36+珀芙研药房!AD36</f>
        <v>-7.5</v>
      </c>
      <c r="AE36" s="43">
        <f>珀芙研电商!AE36+珀芙研药房!AE36</f>
        <v>15.57</v>
      </c>
      <c r="AF36" s="23">
        <f>珀芙研电商!AF36+珀芙研药房!AF36</f>
        <v>0</v>
      </c>
      <c r="AG36" s="43">
        <f>珀芙研电商!AG36+珀芙研药房!AG36</f>
        <v>15.57</v>
      </c>
      <c r="AH36" s="23">
        <f>珀芙研电商!AH36+珀芙研药房!AH36</f>
        <v>0</v>
      </c>
      <c r="AI36" s="23">
        <f>珀芙研电商!AI36+珀芙研药房!AI36</f>
        <v>33.5</v>
      </c>
      <c r="AJ36" s="49">
        <f>珀芙研电商!AJ36+珀芙研药房!AJ36</f>
        <v>15.57</v>
      </c>
      <c r="AK36" s="43">
        <f>珀芙研电商!AK36+珀芙研药房!AK36</f>
        <v>0.5</v>
      </c>
      <c r="AL36" s="23">
        <f>珀芙研电商!AL36+珀芙研药房!AL36</f>
        <v>0</v>
      </c>
      <c r="AM36" s="19">
        <f t="shared" si="49"/>
        <v>0.5</v>
      </c>
      <c r="AN36" s="23">
        <f>珀芙研电商!AN36+珀芙研药房!AN36</f>
        <v>10.34</v>
      </c>
      <c r="AO36" s="23">
        <f>珀芙研电商!AO36+珀芙研药房!AO36</f>
        <v>0</v>
      </c>
      <c r="AP36" s="49">
        <f>珀芙研电商!AP36+珀芙研药房!AP36</f>
        <v>0.5</v>
      </c>
      <c r="AQ36" s="43">
        <f>珀芙研电商!AQ36+珀芙研药房!AQ36</f>
        <v>0</v>
      </c>
      <c r="AR36" s="23">
        <f>珀芙研电商!AR36+珀芙研药房!AR36</f>
        <v>0</v>
      </c>
      <c r="AS36" s="19">
        <f t="shared" si="50"/>
        <v>0</v>
      </c>
      <c r="AT36" s="23">
        <f>珀芙研电商!AT36+珀芙研药房!AT36</f>
        <v>0.28999999999999998</v>
      </c>
      <c r="AU36" s="23">
        <f>珀芙研电商!AU36+珀芙研药房!AU36</f>
        <v>0</v>
      </c>
      <c r="AV36" s="49">
        <f>珀芙研电商!AV36+珀芙研药房!AV36</f>
        <v>0</v>
      </c>
      <c r="AW36" s="43">
        <f>珀芙研电商!AW36+珀芙研药房!AW36</f>
        <v>24.7</v>
      </c>
      <c r="AX36" s="23">
        <f>珀芙研电商!AX36+珀芙研药房!AX36</f>
        <v>0</v>
      </c>
      <c r="AY36" s="19">
        <f t="shared" si="51"/>
        <v>24.7</v>
      </c>
      <c r="AZ36" s="23">
        <f>珀芙研电商!AZ36+珀芙研药房!AZ36</f>
        <v>7.57</v>
      </c>
      <c r="BA36" s="23">
        <f>珀芙研电商!BA36+珀芙研药房!BA36</f>
        <v>15</v>
      </c>
      <c r="BB36" s="49">
        <f>珀芙研电商!BB36+珀芙研药房!BB36</f>
        <v>15</v>
      </c>
      <c r="BC36" s="43">
        <f>珀芙研电商!BC36+珀芙研药房!BC36</f>
        <v>0.47</v>
      </c>
      <c r="BD36" s="23">
        <f>珀芙研电商!BD36+珀芙研药房!BD36</f>
        <v>0</v>
      </c>
      <c r="BE36" s="19">
        <f t="shared" si="52"/>
        <v>0.47</v>
      </c>
      <c r="BF36" s="23">
        <f>珀芙研电商!BF36+珀芙研药房!BF36</f>
        <v>9.42</v>
      </c>
      <c r="BG36" s="23">
        <f>珀芙研电商!BG36+珀芙研药房!BG36</f>
        <v>0</v>
      </c>
      <c r="BH36" s="49">
        <f>珀芙研电商!BH36+珀芙研药房!BH36</f>
        <v>0</v>
      </c>
      <c r="BI36" s="43">
        <f>珀芙研电商!BI36+珀芙研药房!BI36</f>
        <v>0.24</v>
      </c>
      <c r="BJ36" s="23">
        <f>珀芙研电商!BJ36+珀芙研药房!BJ36</f>
        <v>0</v>
      </c>
      <c r="BK36" s="19">
        <f t="shared" si="53"/>
        <v>0.24</v>
      </c>
      <c r="BL36" s="23">
        <f>珀芙研电商!BL36+珀芙研药房!BL36</f>
        <v>0</v>
      </c>
      <c r="BM36" s="23">
        <f>珀芙研电商!BM36+珀芙研药房!BM36</f>
        <v>0</v>
      </c>
      <c r="BN36" s="49">
        <f>珀芙研电商!BN36+珀芙研药房!BN36</f>
        <v>0</v>
      </c>
      <c r="BO36" s="43">
        <f>珀芙研电商!BO36+珀芙研药房!BO36</f>
        <v>18.169999999999998</v>
      </c>
      <c r="BP36" s="23">
        <f>珀芙研电商!BP36+珀芙研药房!BP36</f>
        <v>0</v>
      </c>
      <c r="BQ36" s="19">
        <f t="shared" si="57"/>
        <v>18.169999999999998</v>
      </c>
      <c r="BR36" s="23">
        <f>珀芙研电商!BR36+珀芙研药房!BR36</f>
        <v>0.78</v>
      </c>
      <c r="BS36" s="23">
        <f>珀芙研电商!BS36+珀芙研药房!BS36</f>
        <v>0</v>
      </c>
      <c r="BT36" s="49">
        <f>珀芙研电商!BT36+珀芙研药房!BT36</f>
        <v>15</v>
      </c>
      <c r="BU36" s="18">
        <f t="shared" si="54"/>
        <v>74.75</v>
      </c>
      <c r="BV36" s="19">
        <f t="shared" si="58"/>
        <v>0</v>
      </c>
      <c r="BW36" s="19">
        <f t="shared" si="55"/>
        <v>74.75</v>
      </c>
      <c r="BX36" s="19">
        <f t="shared" si="56"/>
        <v>28.4</v>
      </c>
      <c r="BY36" s="19">
        <f t="shared" si="56"/>
        <v>70.3</v>
      </c>
      <c r="BZ36" s="49">
        <f t="shared" si="56"/>
        <v>61.17</v>
      </c>
      <c r="CA36" s="24"/>
      <c r="CB36" s="106"/>
    </row>
    <row r="37" spans="1:80" outlineLevel="1">
      <c r="A37" s="5" t="s">
        <v>55</v>
      </c>
      <c r="B37" s="54" t="s">
        <v>16</v>
      </c>
      <c r="C37" s="43">
        <f>珀芙研电商!C37+珀芙研药房!C37</f>
        <v>0</v>
      </c>
      <c r="D37" s="23">
        <f>珀芙研电商!D37+珀芙研药房!D37</f>
        <v>0</v>
      </c>
      <c r="E37" s="117"/>
      <c r="F37" s="49">
        <f>珀芙研电商!F37+珀芙研药房!F37</f>
        <v>0</v>
      </c>
      <c r="G37" s="43">
        <f>珀芙研电商!G37+珀芙研药房!G37</f>
        <v>7.52</v>
      </c>
      <c r="H37" s="23">
        <f>珀芙研电商!H37+珀芙研药房!H37</f>
        <v>0</v>
      </c>
      <c r="I37" s="19">
        <f t="shared" si="45"/>
        <v>7.52</v>
      </c>
      <c r="J37" s="23">
        <f>珀芙研电商!J37+珀芙研药房!J37</f>
        <v>0</v>
      </c>
      <c r="K37" s="23">
        <f>珀芙研电商!K37+珀芙研药房!K37</f>
        <v>7.52</v>
      </c>
      <c r="L37" s="49">
        <f>珀芙研电商!L37+珀芙研药房!L37</f>
        <v>7.52</v>
      </c>
      <c r="M37" s="43">
        <f>珀芙研电商!M37+珀芙研药房!M37</f>
        <v>0.7</v>
      </c>
      <c r="N37" s="23">
        <f>珀芙研电商!N37+珀芙研药房!N37</f>
        <v>0</v>
      </c>
      <c r="O37" s="19">
        <f t="shared" si="46"/>
        <v>0.7</v>
      </c>
      <c r="P37" s="23">
        <f>珀芙研电商!P37+珀芙研药房!P37</f>
        <v>0</v>
      </c>
      <c r="Q37" s="23"/>
      <c r="R37" s="49">
        <f>珀芙研电商!R37+珀芙研药房!R37</f>
        <v>0.7</v>
      </c>
      <c r="S37" s="43">
        <f>珀芙研电商!S37+珀芙研药房!S37</f>
        <v>0</v>
      </c>
      <c r="T37" s="23">
        <f>珀芙研电商!T37+珀芙研药房!T37</f>
        <v>0</v>
      </c>
      <c r="U37" s="19">
        <f t="shared" si="47"/>
        <v>0</v>
      </c>
      <c r="V37" s="23">
        <f>珀芙研电商!V37+珀芙研药房!V37</f>
        <v>0</v>
      </c>
      <c r="W37" s="23">
        <f>珀芙研电商!W37+珀芙研药房!W37</f>
        <v>0</v>
      </c>
      <c r="X37" s="49">
        <f>珀芙研电商!X37+珀芙研药房!X37</f>
        <v>0</v>
      </c>
      <c r="Y37" s="43">
        <f>珀芙研电商!Y37+珀芙研药房!Y37</f>
        <v>0</v>
      </c>
      <c r="Z37" s="23">
        <f>珀芙研电商!Z37+珀芙研药房!Z37</f>
        <v>0</v>
      </c>
      <c r="AA37" s="19">
        <f t="shared" si="48"/>
        <v>0</v>
      </c>
      <c r="AB37" s="23">
        <f>珀芙研电商!AB37+珀芙研药房!AB37</f>
        <v>0</v>
      </c>
      <c r="AC37" s="23">
        <f>珀芙研电商!AC37+珀芙研药房!AC37</f>
        <v>0</v>
      </c>
      <c r="AD37" s="49">
        <f>珀芙研电商!AD37+珀芙研药房!AD37</f>
        <v>0</v>
      </c>
      <c r="AE37" s="43">
        <f>珀芙研电商!AE37+珀芙研药房!AE37</f>
        <v>0</v>
      </c>
      <c r="AF37" s="23">
        <f>珀芙研电商!AF37+珀芙研药房!AF37</f>
        <v>0</v>
      </c>
      <c r="AG37" s="43">
        <f>珀芙研电商!AG37+珀芙研药房!AG37</f>
        <v>0</v>
      </c>
      <c r="AH37" s="23">
        <f>珀芙研电商!AH37+珀芙研药房!AH37</f>
        <v>0</v>
      </c>
      <c r="AI37" s="23">
        <f>珀芙研电商!AI37+珀芙研药房!AI37</f>
        <v>0</v>
      </c>
      <c r="AJ37" s="49">
        <f>珀芙研电商!AJ37+珀芙研药房!AJ37</f>
        <v>0</v>
      </c>
      <c r="AK37" s="43">
        <f>珀芙研电商!AK37+珀芙研药房!AK37</f>
        <v>0</v>
      </c>
      <c r="AL37" s="23">
        <f>珀芙研电商!AL37+珀芙研药房!AL37</f>
        <v>0</v>
      </c>
      <c r="AM37" s="19">
        <f t="shared" si="49"/>
        <v>0</v>
      </c>
      <c r="AN37" s="23">
        <f>珀芙研电商!AN37+珀芙研药房!AN37</f>
        <v>0</v>
      </c>
      <c r="AO37" s="23">
        <f>珀芙研电商!AO37+珀芙研药房!AO37</f>
        <v>0</v>
      </c>
      <c r="AP37" s="49">
        <f>珀芙研电商!AP37+珀芙研药房!AP37</f>
        <v>0</v>
      </c>
      <c r="AQ37" s="43">
        <f>珀芙研电商!AQ37+珀芙研药房!AQ37</f>
        <v>0</v>
      </c>
      <c r="AR37" s="23">
        <f>珀芙研电商!AR37+珀芙研药房!AR37</f>
        <v>0</v>
      </c>
      <c r="AS37" s="19">
        <f t="shared" si="50"/>
        <v>0</v>
      </c>
      <c r="AT37" s="23">
        <f>珀芙研电商!AT37+珀芙研药房!AT37</f>
        <v>0</v>
      </c>
      <c r="AU37" s="23">
        <f>珀芙研电商!AU37+珀芙研药房!AU37</f>
        <v>0</v>
      </c>
      <c r="AV37" s="49">
        <f>珀芙研电商!AV37+珀芙研药房!AV37</f>
        <v>0</v>
      </c>
      <c r="AW37" s="43">
        <f>珀芙研电商!AW37+珀芙研药房!AW37</f>
        <v>0</v>
      </c>
      <c r="AX37" s="23">
        <f>珀芙研电商!AX37+珀芙研药房!AX37</f>
        <v>0</v>
      </c>
      <c r="AY37" s="19">
        <f t="shared" si="51"/>
        <v>0</v>
      </c>
      <c r="AZ37" s="23">
        <f>珀芙研电商!AZ37+珀芙研药房!AZ37</f>
        <v>0</v>
      </c>
      <c r="BA37" s="23">
        <f>珀芙研电商!BA37+珀芙研药房!BA37</f>
        <v>0</v>
      </c>
      <c r="BB37" s="49">
        <f>珀芙研电商!BB37+珀芙研药房!BB37</f>
        <v>0</v>
      </c>
      <c r="BC37" s="43">
        <f>珀芙研电商!BC37+珀芙研药房!BC37</f>
        <v>0</v>
      </c>
      <c r="BD37" s="23">
        <f>珀芙研电商!BD37+珀芙研药房!BD37</f>
        <v>0</v>
      </c>
      <c r="BE37" s="19">
        <f t="shared" si="52"/>
        <v>0</v>
      </c>
      <c r="BF37" s="23">
        <f>珀芙研电商!BF37+珀芙研药房!BF37</f>
        <v>0</v>
      </c>
      <c r="BG37" s="23">
        <f>珀芙研电商!BG37+珀芙研药房!BG37</f>
        <v>0</v>
      </c>
      <c r="BH37" s="49">
        <f>珀芙研电商!BH37+珀芙研药房!BH37</f>
        <v>0</v>
      </c>
      <c r="BI37" s="43">
        <f>珀芙研电商!BI37+珀芙研药房!BI37</f>
        <v>0</v>
      </c>
      <c r="BJ37" s="23">
        <f>珀芙研电商!BJ37+珀芙研药房!BJ37</f>
        <v>0</v>
      </c>
      <c r="BK37" s="19">
        <f t="shared" si="53"/>
        <v>0</v>
      </c>
      <c r="BL37" s="23">
        <f>珀芙研电商!BL37+珀芙研药房!BL37</f>
        <v>0</v>
      </c>
      <c r="BM37" s="23">
        <f>珀芙研电商!BM37+珀芙研药房!BM37</f>
        <v>0</v>
      </c>
      <c r="BN37" s="49">
        <f>珀芙研电商!BN37+珀芙研药房!BN37</f>
        <v>0</v>
      </c>
      <c r="BO37" s="43">
        <f>珀芙研电商!BO37+珀芙研药房!BO37</f>
        <v>0</v>
      </c>
      <c r="BP37" s="23">
        <f>珀芙研电商!BP37+珀芙研药房!BP37</f>
        <v>0</v>
      </c>
      <c r="BQ37" s="19">
        <f t="shared" si="57"/>
        <v>0</v>
      </c>
      <c r="BR37" s="23">
        <f>珀芙研电商!BR37+珀芙研药房!BR37</f>
        <v>0</v>
      </c>
      <c r="BS37" s="23">
        <f>珀芙研电商!BS37+珀芙研药房!BS37</f>
        <v>0</v>
      </c>
      <c r="BT37" s="49">
        <f>珀芙研电商!BT37+珀芙研药房!BT37</f>
        <v>0</v>
      </c>
      <c r="BU37" s="18">
        <f t="shared" si="54"/>
        <v>8.2199999999999989</v>
      </c>
      <c r="BV37" s="19">
        <f t="shared" si="58"/>
        <v>0</v>
      </c>
      <c r="BW37" s="19">
        <f t="shared" si="55"/>
        <v>8.2199999999999989</v>
      </c>
      <c r="BX37" s="19">
        <f t="shared" si="56"/>
        <v>0</v>
      </c>
      <c r="BY37" s="19">
        <f t="shared" si="56"/>
        <v>7.52</v>
      </c>
      <c r="BZ37" s="49">
        <f t="shared" si="56"/>
        <v>8.2199999999999989</v>
      </c>
      <c r="CA37" s="24"/>
      <c r="CB37" s="106"/>
    </row>
    <row r="38" spans="1:80" outlineLevel="1">
      <c r="A38" s="5" t="s">
        <v>56</v>
      </c>
      <c r="B38" s="54" t="s">
        <v>23</v>
      </c>
      <c r="C38" s="43">
        <f>珀芙研电商!C38+珀芙研药房!C38</f>
        <v>14.44</v>
      </c>
      <c r="D38" s="23">
        <f>珀芙研电商!D38+珀芙研药房!D38</f>
        <v>1.65</v>
      </c>
      <c r="E38" s="43">
        <f>珀芙研电商!E38+珀芙研药房!E38</f>
        <v>14.44</v>
      </c>
      <c r="F38" s="49">
        <f>珀芙研电商!F38+珀芙研药房!F38</f>
        <v>14.44</v>
      </c>
      <c r="G38" s="43">
        <f>珀芙研电商!G38+珀芙研药房!G38</f>
        <v>0</v>
      </c>
      <c r="H38" s="23">
        <f>珀芙研电商!H38+珀芙研药房!H38</f>
        <v>0</v>
      </c>
      <c r="I38" s="19">
        <f t="shared" si="45"/>
        <v>0</v>
      </c>
      <c r="J38" s="23">
        <f>珀芙研电商!J38+珀芙研药房!J38</f>
        <v>1.0900000000000001</v>
      </c>
      <c r="K38" s="23">
        <f>珀芙研电商!K38+珀芙研药房!K38</f>
        <v>0</v>
      </c>
      <c r="L38" s="49">
        <f>珀芙研电商!L38+珀芙研药房!L38</f>
        <v>0</v>
      </c>
      <c r="M38" s="43">
        <f>珀芙研电商!M38+珀芙研药房!M38</f>
        <v>0.2</v>
      </c>
      <c r="N38" s="23">
        <f>珀芙研电商!N38+珀芙研药房!N38</f>
        <v>0</v>
      </c>
      <c r="O38" s="19">
        <f t="shared" si="46"/>
        <v>0.2</v>
      </c>
      <c r="P38" s="23">
        <f>珀芙研电商!P38+珀芙研药房!P38</f>
        <v>0.52</v>
      </c>
      <c r="Q38" s="23">
        <f>珀芙研电商!Q38+珀芙研药房!Q38</f>
        <v>0.2</v>
      </c>
      <c r="R38" s="49">
        <f>珀芙研电商!R38+珀芙研药房!R38</f>
        <v>0.2</v>
      </c>
      <c r="S38" s="43">
        <f>珀芙研电商!S38+珀芙研药房!S38</f>
        <v>6.93</v>
      </c>
      <c r="T38" s="23">
        <f>珀芙研电商!T38+珀芙研药房!T38</f>
        <v>0</v>
      </c>
      <c r="U38" s="19">
        <f t="shared" si="47"/>
        <v>6.93</v>
      </c>
      <c r="V38" s="23">
        <f>珀芙研电商!V38+珀芙研药房!V38</f>
        <v>2.08</v>
      </c>
      <c r="W38" s="23">
        <f>珀芙研电商!W38+珀芙研药房!W38</f>
        <v>0</v>
      </c>
      <c r="X38" s="49">
        <f>珀芙研电商!X38+珀芙研药房!X38</f>
        <v>6.93</v>
      </c>
      <c r="Y38" s="43">
        <f>珀芙研电商!Y38+珀芙研药房!Y38</f>
        <v>0.55000000000000004</v>
      </c>
      <c r="Z38" s="23">
        <f>珀芙研电商!Z38+珀芙研药房!Z38</f>
        <v>0</v>
      </c>
      <c r="AA38" s="19">
        <f t="shared" si="48"/>
        <v>0.55000000000000004</v>
      </c>
      <c r="AB38" s="23">
        <f>珀芙研电商!AB38+珀芙研药房!AB38</f>
        <v>0.08</v>
      </c>
      <c r="AC38" s="23">
        <f>珀芙研电商!AC38+珀芙研药房!AC38</f>
        <v>0</v>
      </c>
      <c r="AD38" s="49">
        <f>珀芙研电商!AD38+珀芙研药房!AD38</f>
        <v>0.55000000000000004</v>
      </c>
      <c r="AE38" s="43">
        <f>珀芙研电商!AE38+珀芙研药房!AE38</f>
        <v>0.31</v>
      </c>
      <c r="AF38" s="23">
        <f>珀芙研电商!AF38+珀芙研药房!AF38</f>
        <v>0</v>
      </c>
      <c r="AG38" s="43">
        <f>珀芙研电商!AG38+珀芙研药房!AG38</f>
        <v>0.31</v>
      </c>
      <c r="AH38" s="23">
        <f>珀芙研电商!AH38+珀芙研药房!AH38</f>
        <v>0</v>
      </c>
      <c r="AI38" s="23">
        <f>珀芙研电商!AI38+珀芙研药房!AI38</f>
        <v>2.5</v>
      </c>
      <c r="AJ38" s="49">
        <f>珀芙研电商!AJ38+珀芙研药房!AJ38</f>
        <v>0.31</v>
      </c>
      <c r="AK38" s="43">
        <f>珀芙研电商!AK38+珀芙研药房!AK38</f>
        <v>1.33</v>
      </c>
      <c r="AL38" s="23">
        <f>珀芙研电商!AL38+珀芙研药房!AL38</f>
        <v>0</v>
      </c>
      <c r="AM38" s="19">
        <f t="shared" si="49"/>
        <v>1.33</v>
      </c>
      <c r="AN38" s="23">
        <f>珀芙研电商!AN38+珀芙研药房!AN38</f>
        <v>4.03</v>
      </c>
      <c r="AO38" s="23">
        <f>珀芙研电商!AO38+珀芙研药房!AO38</f>
        <v>0</v>
      </c>
      <c r="AP38" s="49">
        <f>珀芙研电商!AP38+珀芙研药房!AP38</f>
        <v>1.33</v>
      </c>
      <c r="AQ38" s="43">
        <f>珀芙研电商!AQ38+珀芙研药房!AQ38</f>
        <v>0</v>
      </c>
      <c r="AR38" s="23">
        <f>珀芙研电商!AR38+珀芙研药房!AR38</f>
        <v>0</v>
      </c>
      <c r="AS38" s="19">
        <f t="shared" si="50"/>
        <v>0</v>
      </c>
      <c r="AT38" s="23">
        <f>珀芙研电商!AT38+珀芙研药房!AT38</f>
        <v>0.65</v>
      </c>
      <c r="AU38" s="23">
        <f>珀芙研电商!AU38+珀芙研药房!AU38</f>
        <v>0</v>
      </c>
      <c r="AV38" s="49">
        <f>珀芙研电商!AV38+珀芙研药房!AV38</f>
        <v>0</v>
      </c>
      <c r="AW38" s="43">
        <f>珀芙研电商!AW38+珀芙研药房!AW38</f>
        <v>0.43</v>
      </c>
      <c r="AX38" s="23">
        <f>珀芙研电商!AX38+珀芙研药房!AX38</f>
        <v>0</v>
      </c>
      <c r="AY38" s="19">
        <f t="shared" si="51"/>
        <v>0.43</v>
      </c>
      <c r="AZ38" s="23">
        <f>珀芙研电商!AZ38+珀芙研药房!AZ38</f>
        <v>0</v>
      </c>
      <c r="BA38" s="23">
        <f>珀芙研电商!BA38+珀芙研药房!BA38</f>
        <v>3</v>
      </c>
      <c r="BB38" s="49">
        <f>珀芙研电商!BB38+珀芙研药房!BB38</f>
        <v>3</v>
      </c>
      <c r="BC38" s="43">
        <f>珀芙研电商!BC38+珀芙研药房!BC38</f>
        <v>0.25</v>
      </c>
      <c r="BD38" s="23">
        <f>珀芙研电商!BD38+珀芙研药房!BD38</f>
        <v>0</v>
      </c>
      <c r="BE38" s="19">
        <f t="shared" si="52"/>
        <v>0.25</v>
      </c>
      <c r="BF38" s="23">
        <f>珀芙研电商!BF38+珀芙研药房!BF38</f>
        <v>0</v>
      </c>
      <c r="BG38" s="23">
        <f>珀芙研电商!BG38+珀芙研药房!BG38</f>
        <v>0</v>
      </c>
      <c r="BH38" s="49">
        <f>珀芙研电商!BH38+珀芙研药房!BH38</f>
        <v>0</v>
      </c>
      <c r="BI38" s="43">
        <f>珀芙研电商!BI38+珀芙研药房!BI38</f>
        <v>0.13</v>
      </c>
      <c r="BJ38" s="23">
        <f>珀芙研电商!BJ38+珀芙研药房!BJ38</f>
        <v>0</v>
      </c>
      <c r="BK38" s="19">
        <f t="shared" si="53"/>
        <v>0.13</v>
      </c>
      <c r="BL38" s="23">
        <f>珀芙研电商!BL38+珀芙研药房!BL38</f>
        <v>0</v>
      </c>
      <c r="BM38" s="23">
        <f>珀芙研电商!BM38+珀芙研药房!BM38</f>
        <v>0</v>
      </c>
      <c r="BN38" s="49">
        <f>珀芙研电商!BN38+珀芙研药房!BN38</f>
        <v>0</v>
      </c>
      <c r="BO38" s="43">
        <f>珀芙研电商!BO38+珀芙研药房!BO38</f>
        <v>-2.8699999999999997</v>
      </c>
      <c r="BP38" s="23">
        <f>珀芙研电商!BP38+珀芙研药房!BP38</f>
        <v>0</v>
      </c>
      <c r="BQ38" s="19">
        <f t="shared" si="57"/>
        <v>-2.8699999999999997</v>
      </c>
      <c r="BR38" s="23">
        <f>珀芙研电商!BR38+珀芙研药房!BR38</f>
        <v>3.77</v>
      </c>
      <c r="BS38" s="23">
        <f>珀芙研电商!BS38+珀芙研药房!BS38</f>
        <v>0</v>
      </c>
      <c r="BT38" s="49">
        <f>珀芙研电商!BT38+珀芙研药房!BT38</f>
        <v>2.5</v>
      </c>
      <c r="BU38" s="18">
        <f t="shared" si="54"/>
        <v>21.699999999999996</v>
      </c>
      <c r="BV38" s="19">
        <f t="shared" si="58"/>
        <v>0</v>
      </c>
      <c r="BW38" s="19">
        <f t="shared" si="55"/>
        <v>21.699999999999996</v>
      </c>
      <c r="BX38" s="19">
        <f t="shared" si="56"/>
        <v>13.87</v>
      </c>
      <c r="BY38" s="19">
        <f t="shared" si="56"/>
        <v>20.14</v>
      </c>
      <c r="BZ38" s="49">
        <f t="shared" si="56"/>
        <v>29.259999999999998</v>
      </c>
      <c r="CA38" s="24"/>
      <c r="CB38" s="106"/>
    </row>
    <row r="39" spans="1:80" outlineLevel="1">
      <c r="A39" s="5" t="s">
        <v>57</v>
      </c>
      <c r="B39" s="54" t="s">
        <v>8</v>
      </c>
      <c r="C39" s="43">
        <f>珀芙研电商!C39+珀芙研药房!C39</f>
        <v>0</v>
      </c>
      <c r="D39" s="23">
        <f>珀芙研电商!D39+珀芙研药房!D39</f>
        <v>0</v>
      </c>
      <c r="E39" s="43">
        <f>珀芙研电商!E39+珀芙研药房!E39</f>
        <v>0</v>
      </c>
      <c r="F39" s="49">
        <f>珀芙研电商!F39+珀芙研药房!F39</f>
        <v>0</v>
      </c>
      <c r="G39" s="43">
        <f>珀芙研电商!G39+珀芙研药房!G39</f>
        <v>0</v>
      </c>
      <c r="H39" s="23">
        <f>珀芙研电商!H39+珀芙研药房!H39</f>
        <v>0</v>
      </c>
      <c r="I39" s="19">
        <f t="shared" si="45"/>
        <v>0</v>
      </c>
      <c r="J39" s="23">
        <f>珀芙研电商!J39+珀芙研药房!J39</f>
        <v>0</v>
      </c>
      <c r="K39" s="23">
        <f>珀芙研电商!K39+珀芙研药房!K39</f>
        <v>0</v>
      </c>
      <c r="L39" s="49">
        <f>珀芙研电商!L39+珀芙研药房!L39</f>
        <v>0</v>
      </c>
      <c r="M39" s="43">
        <f>珀芙研电商!M39+珀芙研药房!M39</f>
        <v>0</v>
      </c>
      <c r="N39" s="23">
        <f>珀芙研电商!N39+珀芙研药房!N39</f>
        <v>0</v>
      </c>
      <c r="O39" s="19">
        <f t="shared" si="46"/>
        <v>0</v>
      </c>
      <c r="P39" s="23">
        <f>珀芙研电商!P39+珀芙研药房!P39</f>
        <v>0</v>
      </c>
      <c r="Q39" s="23">
        <f>珀芙研电商!Q39+珀芙研药房!Q39</f>
        <v>0</v>
      </c>
      <c r="R39" s="49">
        <f>珀芙研电商!R39+珀芙研药房!R39</f>
        <v>0</v>
      </c>
      <c r="S39" s="43">
        <f>珀芙研电商!S39+珀芙研药房!S39</f>
        <v>0</v>
      </c>
      <c r="T39" s="23">
        <f>珀芙研电商!T39+珀芙研药房!T39</f>
        <v>0</v>
      </c>
      <c r="U39" s="19">
        <f t="shared" si="47"/>
        <v>0</v>
      </c>
      <c r="V39" s="23">
        <f>珀芙研电商!V39+珀芙研药房!V39</f>
        <v>0</v>
      </c>
      <c r="W39" s="23">
        <f>珀芙研电商!W39+珀芙研药房!W39</f>
        <v>0</v>
      </c>
      <c r="X39" s="49">
        <f>珀芙研电商!X39+珀芙研药房!X39</f>
        <v>0</v>
      </c>
      <c r="Y39" s="43">
        <f>珀芙研电商!Y39+珀芙研药房!Y39</f>
        <v>0</v>
      </c>
      <c r="Z39" s="23">
        <f>珀芙研电商!Z39+珀芙研药房!Z39</f>
        <v>0</v>
      </c>
      <c r="AA39" s="19">
        <f t="shared" si="48"/>
        <v>0</v>
      </c>
      <c r="AB39" s="23">
        <f>珀芙研电商!AB39+珀芙研药房!AB39</f>
        <v>0.86</v>
      </c>
      <c r="AC39" s="23">
        <f>珀芙研电商!AC39+珀芙研药房!AC39</f>
        <v>0</v>
      </c>
      <c r="AD39" s="49">
        <f>珀芙研电商!AD39+珀芙研药房!AD39</f>
        <v>0</v>
      </c>
      <c r="AE39" s="43">
        <f>珀芙研电商!AE39+珀芙研药房!AE39</f>
        <v>0</v>
      </c>
      <c r="AF39" s="23">
        <f>珀芙研电商!AF39+珀芙研药房!AF39</f>
        <v>0</v>
      </c>
      <c r="AG39" s="43">
        <f>珀芙研电商!AG39+珀芙研药房!AG39</f>
        <v>0</v>
      </c>
      <c r="AH39" s="23">
        <f>珀芙研电商!AH39+珀芙研药房!AH39</f>
        <v>0</v>
      </c>
      <c r="AI39" s="23">
        <f>珀芙研电商!AI39+珀芙研药房!AI39</f>
        <v>0</v>
      </c>
      <c r="AJ39" s="49">
        <f>珀芙研电商!AJ39+珀芙研药房!AJ39</f>
        <v>0</v>
      </c>
      <c r="AK39" s="43">
        <f>珀芙研电商!AK39+珀芙研药房!AK39</f>
        <v>0</v>
      </c>
      <c r="AL39" s="23">
        <f>珀芙研电商!AL39+珀芙研药房!AL39</f>
        <v>0</v>
      </c>
      <c r="AM39" s="19">
        <f t="shared" si="49"/>
        <v>0</v>
      </c>
      <c r="AN39" s="23">
        <f>珀芙研电商!AN39+珀芙研药房!AN39</f>
        <v>0</v>
      </c>
      <c r="AO39" s="23">
        <f>珀芙研电商!AO39+珀芙研药房!AO39</f>
        <v>0</v>
      </c>
      <c r="AP39" s="49">
        <f>珀芙研电商!AP39+珀芙研药房!AP39</f>
        <v>0</v>
      </c>
      <c r="AQ39" s="43">
        <f>珀芙研电商!AQ39+珀芙研药房!AQ39</f>
        <v>0.12</v>
      </c>
      <c r="AR39" s="23">
        <f>珀芙研电商!AR39+珀芙研药房!AR39</f>
        <v>0</v>
      </c>
      <c r="AS39" s="19">
        <f t="shared" si="50"/>
        <v>0.12</v>
      </c>
      <c r="AT39" s="23">
        <f>珀芙研电商!AT39+珀芙研药房!AT39</f>
        <v>0</v>
      </c>
      <c r="AU39" s="23">
        <f>珀芙研电商!AU39+珀芙研药房!AU39</f>
        <v>0</v>
      </c>
      <c r="AV39" s="49">
        <f>珀芙研电商!AV39+珀芙研药房!AV39</f>
        <v>0</v>
      </c>
      <c r="AW39" s="43">
        <f>珀芙研电商!AW39+珀芙研药房!AW39</f>
        <v>0</v>
      </c>
      <c r="AX39" s="23">
        <f>珀芙研电商!AX39+珀芙研药房!AX39</f>
        <v>0</v>
      </c>
      <c r="AY39" s="19">
        <f t="shared" si="51"/>
        <v>0</v>
      </c>
      <c r="AZ39" s="23">
        <f>珀芙研电商!AZ39+珀芙研药房!AZ39</f>
        <v>0</v>
      </c>
      <c r="BA39" s="23">
        <f>珀芙研电商!BA39+珀芙研药房!BA39</f>
        <v>0</v>
      </c>
      <c r="BB39" s="49">
        <f>珀芙研电商!BB39+珀芙研药房!BB39</f>
        <v>0</v>
      </c>
      <c r="BC39" s="43">
        <f>珀芙研电商!BC39+珀芙研药房!BC39</f>
        <v>0</v>
      </c>
      <c r="BD39" s="23">
        <f>珀芙研电商!BD39+珀芙研药房!BD39</f>
        <v>0</v>
      </c>
      <c r="BE39" s="19">
        <f t="shared" si="52"/>
        <v>0</v>
      </c>
      <c r="BF39" s="23">
        <f>珀芙研电商!BF39+珀芙研药房!BF39</f>
        <v>0</v>
      </c>
      <c r="BG39" s="23">
        <f>珀芙研电商!BG39+珀芙研药房!BG39</f>
        <v>0</v>
      </c>
      <c r="BH39" s="49">
        <f>珀芙研电商!BH39+珀芙研药房!BH39</f>
        <v>0</v>
      </c>
      <c r="BI39" s="43">
        <f>珀芙研电商!BI39+珀芙研药房!BI39</f>
        <v>0</v>
      </c>
      <c r="BJ39" s="23">
        <f>珀芙研电商!BJ39+珀芙研药房!BJ39</f>
        <v>0</v>
      </c>
      <c r="BK39" s="19">
        <f t="shared" si="53"/>
        <v>0</v>
      </c>
      <c r="BL39" s="23">
        <f>珀芙研电商!BL39+珀芙研药房!BL39</f>
        <v>0</v>
      </c>
      <c r="BM39" s="23">
        <f>珀芙研电商!BM39+珀芙研药房!BM39</f>
        <v>0</v>
      </c>
      <c r="BN39" s="49">
        <f>珀芙研电商!BN39+珀芙研药房!BN39</f>
        <v>0</v>
      </c>
      <c r="BO39" s="43">
        <f>珀芙研电商!BO39+珀芙研药房!BO39</f>
        <v>0</v>
      </c>
      <c r="BP39" s="23">
        <f>珀芙研电商!BP39+珀芙研药房!BP39</f>
        <v>0</v>
      </c>
      <c r="BQ39" s="19">
        <f t="shared" si="57"/>
        <v>0</v>
      </c>
      <c r="BR39" s="23">
        <f>珀芙研电商!BR39+珀芙研药房!BR39</f>
        <v>0</v>
      </c>
      <c r="BS39" s="23">
        <f>珀芙研电商!BS39+珀芙研药房!BS39</f>
        <v>0</v>
      </c>
      <c r="BT39" s="49">
        <f>珀芙研电商!BT39+珀芙研药房!BT39</f>
        <v>0</v>
      </c>
      <c r="BU39" s="18">
        <f t="shared" si="54"/>
        <v>0.12</v>
      </c>
      <c r="BV39" s="19">
        <f t="shared" si="58"/>
        <v>0</v>
      </c>
      <c r="BW39" s="19">
        <f t="shared" si="55"/>
        <v>0.12</v>
      </c>
      <c r="BX39" s="19">
        <f t="shared" si="56"/>
        <v>0.86</v>
      </c>
      <c r="BY39" s="19">
        <f t="shared" si="56"/>
        <v>0</v>
      </c>
      <c r="BZ39" s="49">
        <f t="shared" si="56"/>
        <v>0</v>
      </c>
      <c r="CA39" s="24"/>
      <c r="CB39" s="106"/>
    </row>
    <row r="40" spans="1:80" outlineLevel="1">
      <c r="A40" s="5" t="s">
        <v>58</v>
      </c>
      <c r="B40" s="54" t="s">
        <v>12</v>
      </c>
      <c r="C40" s="43">
        <f>珀芙研电商!C40+珀芙研药房!C40</f>
        <v>0</v>
      </c>
      <c r="D40" s="23">
        <f>珀芙研电商!D40+珀芙研药房!D40</f>
        <v>0</v>
      </c>
      <c r="E40" s="43">
        <f>珀芙研电商!E40+珀芙研药房!E40</f>
        <v>0</v>
      </c>
      <c r="F40" s="49">
        <f>珀芙研电商!F40+珀芙研药房!F40</f>
        <v>0</v>
      </c>
      <c r="G40" s="43">
        <f>珀芙研电商!G40+珀芙研药房!G40</f>
        <v>0</v>
      </c>
      <c r="H40" s="23">
        <f>珀芙研电商!H40+珀芙研药房!H40</f>
        <v>0</v>
      </c>
      <c r="I40" s="19">
        <f t="shared" si="45"/>
        <v>0</v>
      </c>
      <c r="J40" s="23">
        <f>珀芙研电商!J40+珀芙研药房!J40</f>
        <v>0</v>
      </c>
      <c r="K40" s="23">
        <f>珀芙研电商!K40+珀芙研药房!K40</f>
        <v>0</v>
      </c>
      <c r="L40" s="49">
        <f>珀芙研电商!L40+珀芙研药房!L40</f>
        <v>0</v>
      </c>
      <c r="M40" s="43">
        <f>珀芙研电商!M40+珀芙研药房!M40</f>
        <v>0</v>
      </c>
      <c r="N40" s="23">
        <f>珀芙研电商!N40+珀芙研药房!N40</f>
        <v>0</v>
      </c>
      <c r="O40" s="19">
        <f t="shared" si="46"/>
        <v>0</v>
      </c>
      <c r="P40" s="23">
        <f>珀芙研电商!P40+珀芙研药房!P40</f>
        <v>0</v>
      </c>
      <c r="Q40" s="23">
        <f>珀芙研电商!Q40+珀芙研药房!Q40</f>
        <v>0</v>
      </c>
      <c r="R40" s="49">
        <f>珀芙研电商!R40+珀芙研药房!R40</f>
        <v>0</v>
      </c>
      <c r="S40" s="43">
        <f>珀芙研电商!S40+珀芙研药房!S40</f>
        <v>0</v>
      </c>
      <c r="T40" s="23">
        <f>珀芙研电商!T40+珀芙研药房!T40</f>
        <v>0</v>
      </c>
      <c r="U40" s="19">
        <f t="shared" si="47"/>
        <v>0</v>
      </c>
      <c r="V40" s="23">
        <f>珀芙研电商!V40+珀芙研药房!V40</f>
        <v>0</v>
      </c>
      <c r="W40" s="23">
        <f>珀芙研电商!W40+珀芙研药房!W40</f>
        <v>0</v>
      </c>
      <c r="X40" s="49">
        <f>珀芙研电商!X40+珀芙研药房!X40</f>
        <v>0</v>
      </c>
      <c r="Y40" s="43">
        <f>珀芙研电商!Y40+珀芙研药房!Y40</f>
        <v>0</v>
      </c>
      <c r="Z40" s="23">
        <f>珀芙研电商!Z40+珀芙研药房!Z40</f>
        <v>0</v>
      </c>
      <c r="AA40" s="19">
        <f t="shared" si="48"/>
        <v>0</v>
      </c>
      <c r="AB40" s="23">
        <f>珀芙研电商!AB40+珀芙研药房!AB40</f>
        <v>0</v>
      </c>
      <c r="AC40" s="23">
        <f>珀芙研电商!AC40+珀芙研药房!AC40</f>
        <v>0</v>
      </c>
      <c r="AD40" s="49">
        <f>珀芙研电商!AD40+珀芙研药房!AD40</f>
        <v>0</v>
      </c>
      <c r="AE40" s="43">
        <f>珀芙研电商!AE40+珀芙研药房!AE40</f>
        <v>0</v>
      </c>
      <c r="AF40" s="23">
        <f>珀芙研电商!AF40+珀芙研药房!AF40</f>
        <v>0</v>
      </c>
      <c r="AG40" s="43">
        <f>珀芙研电商!AG40+珀芙研药房!AG40</f>
        <v>0</v>
      </c>
      <c r="AH40" s="23">
        <f>珀芙研电商!AH40+珀芙研药房!AH40</f>
        <v>0</v>
      </c>
      <c r="AI40" s="23">
        <f>珀芙研电商!AI40+珀芙研药房!AI40</f>
        <v>0</v>
      </c>
      <c r="AJ40" s="49">
        <f>珀芙研电商!AJ40+珀芙研药房!AJ40</f>
        <v>0</v>
      </c>
      <c r="AK40" s="43">
        <f>珀芙研电商!AK40+珀芙研药房!AK40</f>
        <v>0</v>
      </c>
      <c r="AL40" s="23">
        <f>珀芙研电商!AL40+珀芙研药房!AL40</f>
        <v>0</v>
      </c>
      <c r="AM40" s="19">
        <f t="shared" si="49"/>
        <v>0</v>
      </c>
      <c r="AN40" s="23">
        <f>珀芙研电商!AN40+珀芙研药房!AN40</f>
        <v>0</v>
      </c>
      <c r="AO40" s="23">
        <f>珀芙研电商!AO40+珀芙研药房!AO40</f>
        <v>0</v>
      </c>
      <c r="AP40" s="49">
        <f>珀芙研电商!AP40+珀芙研药房!AP40</f>
        <v>0</v>
      </c>
      <c r="AQ40" s="43">
        <f>珀芙研电商!AQ40+珀芙研药房!AQ40</f>
        <v>0</v>
      </c>
      <c r="AR40" s="23">
        <f>珀芙研电商!AR40+珀芙研药房!AR40</f>
        <v>0</v>
      </c>
      <c r="AS40" s="19">
        <f t="shared" si="50"/>
        <v>0</v>
      </c>
      <c r="AT40" s="23">
        <f>珀芙研电商!AT40+珀芙研药房!AT40</f>
        <v>0</v>
      </c>
      <c r="AU40" s="23">
        <f>珀芙研电商!AU40+珀芙研药房!AU40</f>
        <v>0</v>
      </c>
      <c r="AV40" s="49">
        <f>珀芙研电商!AV40+珀芙研药房!AV40</f>
        <v>0</v>
      </c>
      <c r="AW40" s="43">
        <f>珀芙研电商!AW40+珀芙研药房!AW40</f>
        <v>0</v>
      </c>
      <c r="AX40" s="23">
        <f>珀芙研电商!AX40+珀芙研药房!AX40</f>
        <v>0</v>
      </c>
      <c r="AY40" s="19">
        <f t="shared" si="51"/>
        <v>0</v>
      </c>
      <c r="AZ40" s="23">
        <f>珀芙研电商!AZ40+珀芙研药房!AZ40</f>
        <v>0</v>
      </c>
      <c r="BA40" s="23">
        <f>珀芙研电商!BA40+珀芙研药房!BA40</f>
        <v>0</v>
      </c>
      <c r="BB40" s="49">
        <f>珀芙研电商!BB40+珀芙研药房!BB40</f>
        <v>0</v>
      </c>
      <c r="BC40" s="43">
        <f>珀芙研电商!BC40+珀芙研药房!BC40</f>
        <v>0</v>
      </c>
      <c r="BD40" s="23">
        <f>珀芙研电商!BD40+珀芙研药房!BD40</f>
        <v>0</v>
      </c>
      <c r="BE40" s="19">
        <f t="shared" si="52"/>
        <v>0</v>
      </c>
      <c r="BF40" s="23">
        <f>珀芙研电商!BF40+珀芙研药房!BF40</f>
        <v>0</v>
      </c>
      <c r="BG40" s="23">
        <f>珀芙研电商!BG40+珀芙研药房!BG40</f>
        <v>0</v>
      </c>
      <c r="BH40" s="49">
        <f>珀芙研电商!BH40+珀芙研药房!BH40</f>
        <v>0</v>
      </c>
      <c r="BI40" s="43">
        <f>珀芙研电商!BI40+珀芙研药房!BI40</f>
        <v>0</v>
      </c>
      <c r="BJ40" s="23">
        <f>珀芙研电商!BJ40+珀芙研药房!BJ40</f>
        <v>0</v>
      </c>
      <c r="BK40" s="19">
        <f t="shared" si="53"/>
        <v>0</v>
      </c>
      <c r="BL40" s="23">
        <f>珀芙研电商!BL40+珀芙研药房!BL40</f>
        <v>0</v>
      </c>
      <c r="BM40" s="23">
        <f>珀芙研电商!BM40+珀芙研药房!BM40</f>
        <v>0</v>
      </c>
      <c r="BN40" s="49">
        <f>珀芙研电商!BN40+珀芙研药房!BN40</f>
        <v>0</v>
      </c>
      <c r="BO40" s="43">
        <f>珀芙研电商!BO40+珀芙研药房!BO40</f>
        <v>0</v>
      </c>
      <c r="BP40" s="23">
        <f>珀芙研电商!BP40+珀芙研药房!BP40</f>
        <v>0</v>
      </c>
      <c r="BQ40" s="19">
        <f t="shared" si="57"/>
        <v>0</v>
      </c>
      <c r="BR40" s="23">
        <f>珀芙研电商!BR40+珀芙研药房!BR40</f>
        <v>0</v>
      </c>
      <c r="BS40" s="23">
        <f>珀芙研电商!BS40+珀芙研药房!BS40</f>
        <v>0</v>
      </c>
      <c r="BT40" s="49">
        <f>珀芙研电商!BT40+珀芙研药房!BT40</f>
        <v>0</v>
      </c>
      <c r="BU40" s="18">
        <f t="shared" si="54"/>
        <v>0</v>
      </c>
      <c r="BV40" s="19">
        <f t="shared" si="58"/>
        <v>0</v>
      </c>
      <c r="BW40" s="19">
        <f t="shared" si="55"/>
        <v>0</v>
      </c>
      <c r="BX40" s="19">
        <f t="shared" si="56"/>
        <v>0</v>
      </c>
      <c r="BY40" s="19">
        <f t="shared" si="56"/>
        <v>0</v>
      </c>
      <c r="BZ40" s="49">
        <f t="shared" si="56"/>
        <v>0</v>
      </c>
      <c r="CA40" s="24"/>
      <c r="CB40" s="106"/>
    </row>
    <row r="41" spans="1:80" outlineLevel="1">
      <c r="A41" s="5" t="s">
        <v>59</v>
      </c>
      <c r="B41" s="54" t="s">
        <v>24</v>
      </c>
      <c r="C41" s="43">
        <f>珀芙研电商!C41+珀芙研药房!C41</f>
        <v>190.54</v>
      </c>
      <c r="D41" s="23">
        <f>珀芙研电商!D41+珀芙研药房!D41</f>
        <v>22.03</v>
      </c>
      <c r="E41" s="43">
        <f>珀芙研电商!E41+珀芙研药房!E41</f>
        <v>190.54</v>
      </c>
      <c r="F41" s="49">
        <f>珀芙研电商!F41+珀芙研药房!F41</f>
        <v>190.54</v>
      </c>
      <c r="G41" s="43">
        <f>珀芙研电商!G41+珀芙研药房!G41</f>
        <v>33.36</v>
      </c>
      <c r="H41" s="23">
        <f>珀芙研电商!H41+珀芙研药房!H41</f>
        <v>0</v>
      </c>
      <c r="I41" s="19">
        <f t="shared" si="45"/>
        <v>33.36</v>
      </c>
      <c r="J41" s="23">
        <f>珀芙研电商!J41+珀芙研药房!J41</f>
        <v>25.58</v>
      </c>
      <c r="K41" s="23">
        <f>珀芙研电商!K41+珀芙研药房!K41</f>
        <v>33.36</v>
      </c>
      <c r="L41" s="49">
        <f>珀芙研电商!L41+珀芙研药房!L41</f>
        <v>33.36</v>
      </c>
      <c r="M41" s="43">
        <f>珀芙研电商!M41+珀芙研药房!M41</f>
        <v>42.9</v>
      </c>
      <c r="N41" s="23">
        <f>珀芙研电商!N41+珀芙研药房!N41</f>
        <v>0</v>
      </c>
      <c r="O41" s="19">
        <f t="shared" si="46"/>
        <v>42.9</v>
      </c>
      <c r="P41" s="23">
        <f>珀芙研电商!P41+珀芙研药房!P41</f>
        <v>25.48</v>
      </c>
      <c r="Q41" s="23">
        <f>珀芙研电商!Q41+珀芙研药房!Q41</f>
        <v>42.9</v>
      </c>
      <c r="R41" s="49">
        <f>珀芙研电商!R41+珀芙研药房!R41</f>
        <v>42.9</v>
      </c>
      <c r="S41" s="43">
        <f>珀芙研电商!S41+珀芙研药房!S41</f>
        <v>62.34</v>
      </c>
      <c r="T41" s="23">
        <f>珀芙研电商!T41+珀芙研药房!T41</f>
        <v>0</v>
      </c>
      <c r="U41" s="19">
        <f t="shared" si="47"/>
        <v>62.34</v>
      </c>
      <c r="V41" s="23">
        <f>珀芙研电商!V41+珀芙研药房!V41</f>
        <v>43.38</v>
      </c>
      <c r="W41" s="23">
        <f>珀芙研电商!W41+珀芙研药房!W41</f>
        <v>44.42</v>
      </c>
      <c r="X41" s="49">
        <f>珀芙研电商!X41+珀芙研药房!X41</f>
        <v>62.34</v>
      </c>
      <c r="Y41" s="43">
        <f>珀芙研电商!Y41+珀芙研药房!Y41</f>
        <v>36.47</v>
      </c>
      <c r="Z41" s="23">
        <f>珀芙研电商!Z41+珀芙研药房!Z41</f>
        <v>0</v>
      </c>
      <c r="AA41" s="19">
        <f t="shared" si="48"/>
        <v>36.47</v>
      </c>
      <c r="AB41" s="23">
        <f>珀芙研电商!AB41+珀芙研药房!AB41</f>
        <v>44.51</v>
      </c>
      <c r="AC41" s="23">
        <f>珀芙研电商!AC41+珀芙研药房!AC41</f>
        <v>59.39</v>
      </c>
      <c r="AD41" s="49">
        <f>珀芙研电商!AD41+珀芙研药房!AD41</f>
        <v>36.47</v>
      </c>
      <c r="AE41" s="43">
        <f>珀芙研电商!AE41+珀芙研药房!AE41</f>
        <v>42.96</v>
      </c>
      <c r="AF41" s="23">
        <f>珀芙研电商!AF41+珀芙研药房!AF41</f>
        <v>0</v>
      </c>
      <c r="AG41" s="43">
        <f>珀芙研电商!AG41+珀芙研药房!AG41</f>
        <v>42.96</v>
      </c>
      <c r="AH41" s="23">
        <f>珀芙研电商!AH41+珀芙研药房!AH41</f>
        <v>89.06</v>
      </c>
      <c r="AI41" s="23">
        <f>珀芙研电商!AI41+珀芙研药房!AI41</f>
        <v>48.5</v>
      </c>
      <c r="AJ41" s="49">
        <f>珀芙研电商!AJ41+珀芙研药房!AJ41</f>
        <v>42.96</v>
      </c>
      <c r="AK41" s="43">
        <f>珀芙研电商!AK41+珀芙研药房!AK41</f>
        <v>31.07</v>
      </c>
      <c r="AL41" s="23">
        <f>珀芙研电商!AL41+珀芙研药房!AL41</f>
        <v>0</v>
      </c>
      <c r="AM41" s="19">
        <f t="shared" si="49"/>
        <v>31.07</v>
      </c>
      <c r="AN41" s="23">
        <f>珀芙研电商!AN41+珀芙研药房!AN41</f>
        <v>165.75</v>
      </c>
      <c r="AO41" s="23">
        <f>珀芙研电商!AO41+珀芙研药房!AO41</f>
        <v>38</v>
      </c>
      <c r="AP41" s="49">
        <f>珀芙研电商!AP41+珀芙研药房!AP41</f>
        <v>31.07</v>
      </c>
      <c r="AQ41" s="43">
        <f>珀芙研电商!AQ41+珀芙研药房!AQ41</f>
        <v>22.54</v>
      </c>
      <c r="AR41" s="23">
        <f>珀芙研电商!AR41+珀芙研药房!AR41</f>
        <v>0</v>
      </c>
      <c r="AS41" s="19">
        <f t="shared" si="50"/>
        <v>22.54</v>
      </c>
      <c r="AT41" s="23">
        <f>珀芙研电商!AT41+珀芙研药房!AT41</f>
        <v>155.69</v>
      </c>
      <c r="AU41" s="23">
        <f>珀芙研电商!AU41+珀芙研药房!AU41</f>
        <v>50</v>
      </c>
      <c r="AV41" s="49">
        <f>珀芙研电商!AV41+珀芙研药房!AV41</f>
        <v>21</v>
      </c>
      <c r="AW41" s="43">
        <f>珀芙研电商!AW41+珀芙研药房!AW41</f>
        <v>40.85</v>
      </c>
      <c r="AX41" s="23">
        <f>珀芙研电商!AX41+珀芙研药房!AX41</f>
        <v>0</v>
      </c>
      <c r="AY41" s="19">
        <f t="shared" si="51"/>
        <v>40.85</v>
      </c>
      <c r="AZ41" s="23">
        <f>珀芙研电商!AZ41+珀芙研药房!AZ41</f>
        <v>178.52</v>
      </c>
      <c r="BA41" s="23">
        <f>珀芙研电商!BA41+珀芙研药房!BA41</f>
        <v>24</v>
      </c>
      <c r="BB41" s="49">
        <f>珀芙研电商!BB41+珀芙研药房!BB41</f>
        <v>24</v>
      </c>
      <c r="BC41" s="43">
        <f>珀芙研电商!BC41+珀芙研药房!BC41</f>
        <v>36.9</v>
      </c>
      <c r="BD41" s="23">
        <f>珀芙研电商!BD41+珀芙研药房!BD41</f>
        <v>0</v>
      </c>
      <c r="BE41" s="19">
        <f t="shared" si="52"/>
        <v>36.9</v>
      </c>
      <c r="BF41" s="23">
        <f>珀芙研电商!BF41+珀芙研药房!BF41</f>
        <v>239.43</v>
      </c>
      <c r="BG41" s="23">
        <f>珀芙研电商!BG41+珀芙研药房!BG41</f>
        <v>22</v>
      </c>
      <c r="BH41" s="49">
        <f>珀芙研电商!BH41+珀芙研药房!BH41</f>
        <v>28</v>
      </c>
      <c r="BI41" s="43">
        <f>珀芙研电商!BI41+珀芙研药房!BI41</f>
        <v>33.04</v>
      </c>
      <c r="BJ41" s="23">
        <f>珀芙研电商!BJ41+珀芙研药房!BJ41</f>
        <v>0</v>
      </c>
      <c r="BK41" s="19">
        <f t="shared" si="53"/>
        <v>33.04</v>
      </c>
      <c r="BL41" s="23">
        <f>珀芙研电商!BL41+珀芙研药房!BL41</f>
        <v>172.59</v>
      </c>
      <c r="BM41" s="23">
        <f>珀芙研电商!BM41+珀芙研药房!BM41</f>
        <v>29</v>
      </c>
      <c r="BN41" s="49">
        <f>珀芙研电商!BN41+珀芙研药房!BN41</f>
        <v>24</v>
      </c>
      <c r="BO41" s="43">
        <f>珀芙研电商!BO41+珀芙研药房!BO41</f>
        <v>81.72</v>
      </c>
      <c r="BP41" s="23">
        <f>珀芙研电商!BP41+珀芙研药房!BP41</f>
        <v>0</v>
      </c>
      <c r="BQ41" s="19">
        <f t="shared" si="57"/>
        <v>81.72</v>
      </c>
      <c r="BR41" s="23">
        <f>珀芙研电商!BR41+珀芙研药房!BR41</f>
        <v>318.35999999999996</v>
      </c>
      <c r="BS41" s="23">
        <f>珀芙研电商!BS41+珀芙研药房!BS41</f>
        <v>55</v>
      </c>
      <c r="BT41" s="49">
        <f>珀芙研电商!BT41+珀芙研药房!BT41</f>
        <v>60</v>
      </c>
      <c r="BU41" s="18">
        <f t="shared" si="54"/>
        <v>654.69000000000005</v>
      </c>
      <c r="BV41" s="19">
        <f t="shared" si="58"/>
        <v>0</v>
      </c>
      <c r="BW41" s="19">
        <f t="shared" si="55"/>
        <v>654.69000000000005</v>
      </c>
      <c r="BX41" s="19">
        <f t="shared" si="56"/>
        <v>1480.3799999999999</v>
      </c>
      <c r="BY41" s="19">
        <f t="shared" si="56"/>
        <v>637.1099999999999</v>
      </c>
      <c r="BZ41" s="49">
        <f t="shared" si="56"/>
        <v>596.64</v>
      </c>
      <c r="CA41" s="24"/>
      <c r="CB41" s="106"/>
    </row>
    <row r="42" spans="1:80" outlineLevel="1">
      <c r="A42" s="5" t="s">
        <v>44</v>
      </c>
      <c r="B42" s="54" t="s">
        <v>10</v>
      </c>
      <c r="C42" s="43">
        <f>珀芙研电商!C42+珀芙研药房!C42</f>
        <v>4.3600000000000003</v>
      </c>
      <c r="D42" s="23">
        <f>珀芙研电商!D42+珀芙研药房!D42</f>
        <v>0</v>
      </c>
      <c r="E42" s="43">
        <f>珀芙研电商!E42+珀芙研药房!E42</f>
        <v>4.3600000000000003</v>
      </c>
      <c r="F42" s="49">
        <f>珀芙研电商!F42+珀芙研药房!F42</f>
        <v>4.3600000000000003</v>
      </c>
      <c r="G42" s="43">
        <f>珀芙研电商!G42+珀芙研药房!G42</f>
        <v>0.02</v>
      </c>
      <c r="H42" s="23">
        <f>珀芙研电商!H42+珀芙研药房!H42</f>
        <v>0</v>
      </c>
      <c r="I42" s="19">
        <f t="shared" si="45"/>
        <v>0.02</v>
      </c>
      <c r="J42" s="23">
        <f>珀芙研电商!J42+珀芙研药房!J42</f>
        <v>0</v>
      </c>
      <c r="K42" s="23">
        <f>珀芙研电商!K42+珀芙研药房!K42</f>
        <v>0.02</v>
      </c>
      <c r="L42" s="49">
        <f>珀芙研电商!L42+珀芙研药房!L42</f>
        <v>0.02</v>
      </c>
      <c r="M42" s="43">
        <f>珀芙研电商!M42+珀芙研药房!M42</f>
        <v>4.5999999999999996</v>
      </c>
      <c r="N42" s="23">
        <f>珀芙研电商!N42+珀芙研药房!N42</f>
        <v>0</v>
      </c>
      <c r="O42" s="19">
        <f t="shared" si="46"/>
        <v>4.5999999999999996</v>
      </c>
      <c r="P42" s="23">
        <f>珀芙研电商!P42+珀芙研药房!P42</f>
        <v>0.27</v>
      </c>
      <c r="Q42" s="23">
        <f>珀芙研电商!Q42+珀芙研药房!Q42</f>
        <v>4.5999999999999996</v>
      </c>
      <c r="R42" s="49">
        <f>珀芙研电商!R42+珀芙研药房!R42</f>
        <v>4.5999999999999996</v>
      </c>
      <c r="S42" s="43">
        <f>珀芙研电商!S42+珀芙研药房!S42</f>
        <v>0.83</v>
      </c>
      <c r="T42" s="23">
        <f>珀芙研电商!T42+珀芙研药房!T42</f>
        <v>0</v>
      </c>
      <c r="U42" s="19">
        <f t="shared" si="47"/>
        <v>0.83</v>
      </c>
      <c r="V42" s="23">
        <f>珀芙研电商!V42+珀芙研药房!V42</f>
        <v>0</v>
      </c>
      <c r="W42" s="23">
        <f>珀芙研电商!W42+珀芙研药房!W42</f>
        <v>1.5</v>
      </c>
      <c r="X42" s="49">
        <f>珀芙研电商!X42+珀芙研药房!X42</f>
        <v>0.83</v>
      </c>
      <c r="Y42" s="43">
        <f>珀芙研电商!Y42+珀芙研药房!Y42</f>
        <v>0.47</v>
      </c>
      <c r="Z42" s="23">
        <f>珀芙研电商!Z42+珀芙研药房!Z42</f>
        <v>0</v>
      </c>
      <c r="AA42" s="19">
        <f t="shared" si="48"/>
        <v>0.47</v>
      </c>
      <c r="AB42" s="23">
        <f>珀芙研电商!AB42+珀芙研药房!AB42</f>
        <v>12.45</v>
      </c>
      <c r="AC42" s="23">
        <f>珀芙研电商!AC42+珀芙研药房!AC42</f>
        <v>1.5</v>
      </c>
      <c r="AD42" s="49">
        <f>珀芙研电商!AD42+珀芙研药房!AD42</f>
        <v>0.47</v>
      </c>
      <c r="AE42" s="43">
        <f>珀芙研电商!AE42+珀芙研药房!AE42</f>
        <v>3.6</v>
      </c>
      <c r="AF42" s="23">
        <f>珀芙研电商!AF42+珀芙研药房!AF42</f>
        <v>0</v>
      </c>
      <c r="AG42" s="43">
        <f>珀芙研电商!AG42+珀芙研药房!AG42</f>
        <v>3.6</v>
      </c>
      <c r="AH42" s="23">
        <f>珀芙研电商!AH42+珀芙研药房!AH42</f>
        <v>5.99</v>
      </c>
      <c r="AI42" s="23">
        <f>珀芙研电商!AI42+珀芙研药房!AI42</f>
        <v>3.5</v>
      </c>
      <c r="AJ42" s="49">
        <f>珀芙研电商!AJ42+珀芙研药房!AJ42</f>
        <v>3.6</v>
      </c>
      <c r="AK42" s="43">
        <f>珀芙研电商!AK42+珀芙研药房!AK42</f>
        <v>2.8800000000000003</v>
      </c>
      <c r="AL42" s="23">
        <f>珀芙研电商!AL42+珀芙研药房!AL42</f>
        <v>0</v>
      </c>
      <c r="AM42" s="19">
        <f t="shared" si="49"/>
        <v>2.8800000000000003</v>
      </c>
      <c r="AN42" s="23">
        <f>珀芙研电商!AN42+珀芙研药房!AN42</f>
        <v>2.37</v>
      </c>
      <c r="AO42" s="23">
        <f>珀芙研电商!AO42+珀芙研药房!AO42</f>
        <v>1.5</v>
      </c>
      <c r="AP42" s="49">
        <f>珀芙研电商!AP42+珀芙研药房!AP42</f>
        <v>2.8800000000000003</v>
      </c>
      <c r="AQ42" s="43">
        <f>珀芙研电商!AQ42+珀芙研药房!AQ42</f>
        <v>2.64</v>
      </c>
      <c r="AR42" s="23">
        <f>珀芙研电商!AR42+珀芙研药房!AR42</f>
        <v>0</v>
      </c>
      <c r="AS42" s="19">
        <f t="shared" si="50"/>
        <v>2.64</v>
      </c>
      <c r="AT42" s="23">
        <f>珀芙研电商!AT42+珀芙研药房!AT42</f>
        <v>2.77</v>
      </c>
      <c r="AU42" s="23">
        <f>珀芙研电商!AU42+珀芙研药房!AU42</f>
        <v>1.5</v>
      </c>
      <c r="AV42" s="49">
        <f>珀芙研电商!AV42+珀芙研药房!AV42</f>
        <v>1.5</v>
      </c>
      <c r="AW42" s="43">
        <f>珀芙研电商!AW42+珀芙研药房!AW42</f>
        <v>0.05</v>
      </c>
      <c r="AX42" s="23">
        <f>珀芙研电商!AX42+珀芙研药房!AX42</f>
        <v>0</v>
      </c>
      <c r="AY42" s="19">
        <f t="shared" si="51"/>
        <v>0.05</v>
      </c>
      <c r="AZ42" s="23">
        <f>珀芙研电商!AZ42+珀芙研药房!AZ42</f>
        <v>3.93</v>
      </c>
      <c r="BA42" s="23">
        <f>珀芙研电商!BA42+珀芙研药房!BA42</f>
        <v>3</v>
      </c>
      <c r="BB42" s="49">
        <f>珀芙研电商!BB42+珀芙研药房!BB42</f>
        <v>3</v>
      </c>
      <c r="BC42" s="43">
        <f>珀芙研电商!BC42+珀芙研药房!BC42</f>
        <v>0.2</v>
      </c>
      <c r="BD42" s="23">
        <f>珀芙研电商!BD42+珀芙研药房!BD42</f>
        <v>0</v>
      </c>
      <c r="BE42" s="19">
        <f t="shared" si="52"/>
        <v>0.2</v>
      </c>
      <c r="BF42" s="23">
        <f>珀芙研电商!BF42+珀芙研药房!BF42</f>
        <v>9.94</v>
      </c>
      <c r="BG42" s="23">
        <f>珀芙研电商!BG42+珀芙研药房!BG42</f>
        <v>2</v>
      </c>
      <c r="BH42" s="49">
        <f>珀芙研电商!BH42+珀芙研药房!BH42</f>
        <v>1.5</v>
      </c>
      <c r="BI42" s="43">
        <f>珀芙研电商!BI42+珀芙研药房!BI42</f>
        <v>1.9400000000000002</v>
      </c>
      <c r="BJ42" s="23">
        <f>珀芙研电商!BJ42+珀芙研药房!BJ42</f>
        <v>0</v>
      </c>
      <c r="BK42" s="19">
        <f t="shared" si="53"/>
        <v>1.9400000000000002</v>
      </c>
      <c r="BL42" s="23">
        <f>珀芙研电商!BL42+珀芙研药房!BL42</f>
        <v>4.6100000000000003</v>
      </c>
      <c r="BM42" s="23">
        <f>珀芙研电商!BM42+珀芙研药房!BM42</f>
        <v>2</v>
      </c>
      <c r="BN42" s="49">
        <f>珀芙研电商!BN42+珀芙研药房!BN42</f>
        <v>1.5</v>
      </c>
      <c r="BO42" s="43">
        <f>珀芙研电商!BO42+珀芙研药房!BO42</f>
        <v>0.45</v>
      </c>
      <c r="BP42" s="23">
        <f>珀芙研电商!BP42+珀芙研药房!BP42</f>
        <v>0</v>
      </c>
      <c r="BQ42" s="19">
        <f t="shared" si="57"/>
        <v>0.45</v>
      </c>
      <c r="BR42" s="23">
        <f>珀芙研电商!BR42+珀芙研药房!BR42</f>
        <v>6.37</v>
      </c>
      <c r="BS42" s="23">
        <f>珀芙研电商!BS42+珀芙研药房!BS42</f>
        <v>4</v>
      </c>
      <c r="BT42" s="49">
        <f>珀芙研电商!BT42+珀芙研药房!BT42</f>
        <v>3.5</v>
      </c>
      <c r="BU42" s="18">
        <f t="shared" si="54"/>
        <v>22.040000000000003</v>
      </c>
      <c r="BV42" s="19">
        <f t="shared" si="58"/>
        <v>0</v>
      </c>
      <c r="BW42" s="19">
        <f t="shared" si="55"/>
        <v>22.040000000000003</v>
      </c>
      <c r="BX42" s="19">
        <f t="shared" si="56"/>
        <v>48.699999999999996</v>
      </c>
      <c r="BY42" s="19">
        <f t="shared" si="56"/>
        <v>29.48</v>
      </c>
      <c r="BZ42" s="49">
        <f t="shared" si="56"/>
        <v>27.76</v>
      </c>
      <c r="CA42" s="24"/>
      <c r="CB42" s="106"/>
    </row>
    <row r="43" spans="1:80" outlineLevel="1">
      <c r="A43" s="5" t="s">
        <v>45</v>
      </c>
      <c r="B43" s="54" t="s">
        <v>7</v>
      </c>
      <c r="C43" s="43">
        <f>珀芙研电商!C43+珀芙研药房!C43</f>
        <v>0</v>
      </c>
      <c r="D43" s="23">
        <f>珀芙研电商!D43+珀芙研药房!D43</f>
        <v>0</v>
      </c>
      <c r="E43" s="43">
        <f>珀芙研电商!E43+珀芙研药房!E43</f>
        <v>0</v>
      </c>
      <c r="F43" s="49">
        <f>珀芙研电商!F43+珀芙研药房!F43</f>
        <v>0</v>
      </c>
      <c r="G43" s="43">
        <f>珀芙研电商!G43+珀芙研药房!G43</f>
        <v>0</v>
      </c>
      <c r="H43" s="23">
        <f>珀芙研电商!H43+珀芙研药房!H43</f>
        <v>0</v>
      </c>
      <c r="I43" s="19">
        <f t="shared" si="45"/>
        <v>0</v>
      </c>
      <c r="J43" s="23">
        <f>珀芙研电商!J43+珀芙研药房!J43</f>
        <v>0</v>
      </c>
      <c r="K43" s="23">
        <f>珀芙研电商!K43+珀芙研药房!K43</f>
        <v>0</v>
      </c>
      <c r="L43" s="49">
        <f>珀芙研电商!L43+珀芙研药房!L43</f>
        <v>0</v>
      </c>
      <c r="M43" s="43">
        <f>珀芙研电商!M43+珀芙研药房!M43</f>
        <v>0</v>
      </c>
      <c r="N43" s="23">
        <f>珀芙研电商!N43+珀芙研药房!N43</f>
        <v>0</v>
      </c>
      <c r="O43" s="19">
        <f t="shared" si="46"/>
        <v>0</v>
      </c>
      <c r="P43" s="23">
        <f>珀芙研电商!P43+珀芙研药房!P43</f>
        <v>0</v>
      </c>
      <c r="Q43" s="23">
        <f>珀芙研电商!Q43+珀芙研药房!Q43</f>
        <v>0</v>
      </c>
      <c r="R43" s="49">
        <f>珀芙研电商!R43+珀芙研药房!R43</f>
        <v>0</v>
      </c>
      <c r="S43" s="43">
        <f>珀芙研电商!S43+珀芙研药房!S43</f>
        <v>0</v>
      </c>
      <c r="T43" s="23">
        <f>珀芙研电商!T43+珀芙研药房!T43</f>
        <v>0</v>
      </c>
      <c r="U43" s="19">
        <f t="shared" si="47"/>
        <v>0</v>
      </c>
      <c r="V43" s="23">
        <f>珀芙研电商!V43+珀芙研药房!V43</f>
        <v>0</v>
      </c>
      <c r="W43" s="23">
        <f>珀芙研电商!W43+珀芙研药房!W43</f>
        <v>0</v>
      </c>
      <c r="X43" s="49">
        <f>珀芙研电商!X43+珀芙研药房!X43</f>
        <v>0</v>
      </c>
      <c r="Y43" s="43">
        <f>珀芙研电商!Y43+珀芙研药房!Y43</f>
        <v>0</v>
      </c>
      <c r="Z43" s="23">
        <f>珀芙研电商!Z43+珀芙研药房!Z43</f>
        <v>0</v>
      </c>
      <c r="AA43" s="19">
        <f t="shared" si="48"/>
        <v>0</v>
      </c>
      <c r="AB43" s="23">
        <f>珀芙研电商!AB43+珀芙研药房!AB43</f>
        <v>0</v>
      </c>
      <c r="AC43" s="23">
        <f>珀芙研电商!AC43+珀芙研药房!AC43</f>
        <v>0</v>
      </c>
      <c r="AD43" s="49">
        <f>珀芙研电商!AD43+珀芙研药房!AD43</f>
        <v>0</v>
      </c>
      <c r="AE43" s="43">
        <f>珀芙研电商!AE43+珀芙研药房!AE43</f>
        <v>0</v>
      </c>
      <c r="AF43" s="23">
        <f>珀芙研电商!AF43+珀芙研药房!AF43</f>
        <v>0</v>
      </c>
      <c r="AG43" s="43">
        <f>珀芙研电商!AG43+珀芙研药房!AG43</f>
        <v>0</v>
      </c>
      <c r="AH43" s="23">
        <f>珀芙研电商!AH43+珀芙研药房!AH43</f>
        <v>0</v>
      </c>
      <c r="AI43" s="23">
        <f>珀芙研电商!AI43+珀芙研药房!AI43</f>
        <v>0</v>
      </c>
      <c r="AJ43" s="49">
        <f>珀芙研电商!AJ43+珀芙研药房!AJ43</f>
        <v>0</v>
      </c>
      <c r="AK43" s="43">
        <f>珀芙研电商!AK43+珀芙研药房!AK43</f>
        <v>0</v>
      </c>
      <c r="AL43" s="23">
        <f>珀芙研电商!AL43+珀芙研药房!AL43</f>
        <v>0</v>
      </c>
      <c r="AM43" s="19">
        <f t="shared" si="49"/>
        <v>0</v>
      </c>
      <c r="AN43" s="23">
        <f>珀芙研电商!AN43+珀芙研药房!AN43</f>
        <v>0</v>
      </c>
      <c r="AO43" s="23">
        <f>珀芙研电商!AO43+珀芙研药房!AO43</f>
        <v>0</v>
      </c>
      <c r="AP43" s="49">
        <f>珀芙研电商!AP43+珀芙研药房!AP43</f>
        <v>0</v>
      </c>
      <c r="AQ43" s="43">
        <f>珀芙研电商!AQ43+珀芙研药房!AQ43</f>
        <v>0</v>
      </c>
      <c r="AR43" s="23">
        <f>珀芙研电商!AR43+珀芙研药房!AR43</f>
        <v>0</v>
      </c>
      <c r="AS43" s="19">
        <f t="shared" si="50"/>
        <v>0</v>
      </c>
      <c r="AT43" s="23">
        <f>珀芙研电商!AT43+珀芙研药房!AT43</f>
        <v>0</v>
      </c>
      <c r="AU43" s="23">
        <f>珀芙研电商!AU43+珀芙研药房!AU43</f>
        <v>0</v>
      </c>
      <c r="AV43" s="49">
        <f>珀芙研电商!AV43+珀芙研药房!AV43</f>
        <v>0</v>
      </c>
      <c r="AW43" s="43">
        <f>珀芙研电商!AW43+珀芙研药房!AW43</f>
        <v>0</v>
      </c>
      <c r="AX43" s="23">
        <f>珀芙研电商!AX43+珀芙研药房!AX43</f>
        <v>0</v>
      </c>
      <c r="AY43" s="19">
        <f t="shared" si="51"/>
        <v>0</v>
      </c>
      <c r="AZ43" s="23">
        <f>珀芙研电商!AZ43+珀芙研药房!AZ43</f>
        <v>0</v>
      </c>
      <c r="BA43" s="23">
        <f>珀芙研电商!BA43+珀芙研药房!BA43</f>
        <v>0</v>
      </c>
      <c r="BB43" s="49">
        <f>珀芙研电商!BB43+珀芙研药房!BB43</f>
        <v>0</v>
      </c>
      <c r="BC43" s="43">
        <f>珀芙研电商!BC43+珀芙研药房!BC43</f>
        <v>0</v>
      </c>
      <c r="BD43" s="23">
        <f>珀芙研电商!BD43+珀芙研药房!BD43</f>
        <v>0</v>
      </c>
      <c r="BE43" s="19">
        <f t="shared" si="52"/>
        <v>0</v>
      </c>
      <c r="BF43" s="23">
        <f>珀芙研电商!BF43+珀芙研药房!BF43</f>
        <v>0</v>
      </c>
      <c r="BG43" s="23">
        <f>珀芙研电商!BG43+珀芙研药房!BG43</f>
        <v>0</v>
      </c>
      <c r="BH43" s="49">
        <f>珀芙研电商!BH43+珀芙研药房!BH43</f>
        <v>0</v>
      </c>
      <c r="BI43" s="43">
        <f>珀芙研电商!BI43+珀芙研药房!BI43</f>
        <v>0</v>
      </c>
      <c r="BJ43" s="23">
        <f>珀芙研电商!BJ43+珀芙研药房!BJ43</f>
        <v>0</v>
      </c>
      <c r="BK43" s="19">
        <f t="shared" si="53"/>
        <v>0</v>
      </c>
      <c r="BL43" s="23">
        <f>珀芙研电商!BL43+珀芙研药房!BL43</f>
        <v>0</v>
      </c>
      <c r="BM43" s="23">
        <f>珀芙研电商!BM43+珀芙研药房!BM43</f>
        <v>0</v>
      </c>
      <c r="BN43" s="49">
        <f>珀芙研电商!BN43+珀芙研药房!BN43</f>
        <v>0</v>
      </c>
      <c r="BO43" s="43">
        <f>珀芙研电商!BO43+珀芙研药房!BO43</f>
        <v>0</v>
      </c>
      <c r="BP43" s="23">
        <f>珀芙研电商!BP43+珀芙研药房!BP43</f>
        <v>0</v>
      </c>
      <c r="BQ43" s="19">
        <f t="shared" si="57"/>
        <v>0</v>
      </c>
      <c r="BR43" s="23">
        <f>珀芙研电商!BR43+珀芙研药房!BR43</f>
        <v>0</v>
      </c>
      <c r="BS43" s="23">
        <f>珀芙研电商!BS43+珀芙研药房!BS43</f>
        <v>0</v>
      </c>
      <c r="BT43" s="49">
        <f>珀芙研电商!BT43+珀芙研药房!BT43</f>
        <v>0</v>
      </c>
      <c r="BU43" s="18">
        <f t="shared" si="54"/>
        <v>0</v>
      </c>
      <c r="BV43" s="19">
        <f t="shared" si="58"/>
        <v>0</v>
      </c>
      <c r="BW43" s="19">
        <f t="shared" si="55"/>
        <v>0</v>
      </c>
      <c r="BX43" s="19">
        <f t="shared" si="56"/>
        <v>0</v>
      </c>
      <c r="BY43" s="19">
        <f t="shared" si="56"/>
        <v>0</v>
      </c>
      <c r="BZ43" s="49">
        <f t="shared" si="56"/>
        <v>0</v>
      </c>
      <c r="CA43" s="24"/>
      <c r="CB43" s="106"/>
    </row>
    <row r="44" spans="1:80" outlineLevel="1">
      <c r="A44" s="5" t="s">
        <v>46</v>
      </c>
      <c r="B44" s="54" t="s">
        <v>19</v>
      </c>
      <c r="C44" s="43">
        <f>珀芙研电商!C44+珀芙研药房!C44</f>
        <v>0.14000000000000001</v>
      </c>
      <c r="D44" s="23">
        <f>珀芙研电商!D44+珀芙研药房!D44</f>
        <v>0.03</v>
      </c>
      <c r="E44" s="43">
        <f>珀芙研电商!E44+珀芙研药房!E44</f>
        <v>0.14000000000000001</v>
      </c>
      <c r="F44" s="49">
        <f>珀芙研电商!F44+珀芙研药房!F44</f>
        <v>0.14000000000000001</v>
      </c>
      <c r="G44" s="43">
        <f>珀芙研电商!G44+珀芙研药房!G44</f>
        <v>0.46</v>
      </c>
      <c r="H44" s="23">
        <f>珀芙研电商!H44+珀芙研药房!H44</f>
        <v>0</v>
      </c>
      <c r="I44" s="19">
        <f t="shared" si="45"/>
        <v>0.46</v>
      </c>
      <c r="J44" s="23">
        <f>珀芙研电商!J44+珀芙研药房!J44</f>
        <v>0.03</v>
      </c>
      <c r="K44" s="23">
        <f>珀芙研电商!K44+珀芙研药房!K44</f>
        <v>0.46</v>
      </c>
      <c r="L44" s="49">
        <f>珀芙研电商!L44+珀芙研药房!L44</f>
        <v>0.46</v>
      </c>
      <c r="M44" s="43">
        <f>珀芙研电商!M44+珀芙研药房!M44</f>
        <v>0.44</v>
      </c>
      <c r="N44" s="23">
        <f>珀芙研电商!N44+珀芙研药房!N44</f>
        <v>0</v>
      </c>
      <c r="O44" s="19">
        <f t="shared" si="46"/>
        <v>0.44</v>
      </c>
      <c r="P44" s="23">
        <f>珀芙研电商!P44+珀芙研药房!P44</f>
        <v>0.03</v>
      </c>
      <c r="Q44" s="23">
        <f>珀芙研电商!Q44+珀芙研药房!Q44</f>
        <v>0.44</v>
      </c>
      <c r="R44" s="49">
        <f>珀芙研电商!R44+珀芙研药房!R44</f>
        <v>0.44</v>
      </c>
      <c r="S44" s="43">
        <f>珀芙研电商!S44+珀芙研药房!S44</f>
        <v>0.46</v>
      </c>
      <c r="T44" s="23">
        <f>珀芙研电商!T44+珀芙研药房!T44</f>
        <v>0</v>
      </c>
      <c r="U44" s="19">
        <f t="shared" si="47"/>
        <v>0.46</v>
      </c>
      <c r="V44" s="23">
        <f>珀芙研电商!V44+珀芙研药房!V44</f>
        <v>0.03</v>
      </c>
      <c r="W44" s="23">
        <f>珀芙研电商!W44+珀芙研药房!W44</f>
        <v>0.2</v>
      </c>
      <c r="X44" s="49">
        <f>珀芙研电商!X44+珀芙研药房!X44</f>
        <v>0.46</v>
      </c>
      <c r="Y44" s="43">
        <f>珀芙研电商!Y44+珀芙研药房!Y44</f>
        <v>0.5</v>
      </c>
      <c r="Z44" s="23">
        <f>珀芙研电商!Z44+珀芙研药房!Z44</f>
        <v>0</v>
      </c>
      <c r="AA44" s="19">
        <f t="shared" si="48"/>
        <v>0.5</v>
      </c>
      <c r="AB44" s="23">
        <f>珀芙研电商!AB44+珀芙研药房!AB44</f>
        <v>0.03</v>
      </c>
      <c r="AC44" s="23">
        <f>珀芙研电商!AC44+珀芙研药房!AC44</f>
        <v>0.2</v>
      </c>
      <c r="AD44" s="49">
        <f>珀芙研电商!AD44+珀芙研药房!AD44</f>
        <v>0.5</v>
      </c>
      <c r="AE44" s="43">
        <f>珀芙研电商!AE44+珀芙研药房!AE44</f>
        <v>0</v>
      </c>
      <c r="AF44" s="23">
        <f>珀芙研电商!AF44+珀芙研药房!AF44</f>
        <v>0</v>
      </c>
      <c r="AG44" s="43">
        <f>珀芙研电商!AG44+珀芙研药房!AG44</f>
        <v>0</v>
      </c>
      <c r="AH44" s="23">
        <f>珀芙研电商!AH44+珀芙研药房!AH44</f>
        <v>0.03</v>
      </c>
      <c r="AI44" s="23">
        <f>珀芙研电商!AI44+珀芙研药房!AI44</f>
        <v>0.4</v>
      </c>
      <c r="AJ44" s="49">
        <f>珀芙研电商!AJ44+珀芙研药房!AJ44</f>
        <v>0</v>
      </c>
      <c r="AK44" s="43">
        <f>珀芙研电商!AK44+珀芙研药房!AK44</f>
        <v>0.5</v>
      </c>
      <c r="AL44" s="23">
        <f>珀芙研电商!AL44+珀芙研药房!AL44</f>
        <v>0</v>
      </c>
      <c r="AM44" s="19">
        <f t="shared" si="49"/>
        <v>0.5</v>
      </c>
      <c r="AN44" s="23">
        <f>珀芙研电商!AN44+珀芙研药房!AN44</f>
        <v>0.03</v>
      </c>
      <c r="AO44" s="23">
        <f>珀芙研电商!AO44+珀芙研药房!AO44</f>
        <v>0.4</v>
      </c>
      <c r="AP44" s="49">
        <f>珀芙研电商!AP44+珀芙研药房!AP44</f>
        <v>0.5</v>
      </c>
      <c r="AQ44" s="43">
        <f>珀芙研电商!AQ44+珀芙研药房!AQ44</f>
        <v>0.5</v>
      </c>
      <c r="AR44" s="23">
        <f>珀芙研电商!AR44+珀芙研药房!AR44</f>
        <v>0</v>
      </c>
      <c r="AS44" s="19">
        <f t="shared" si="50"/>
        <v>0.5</v>
      </c>
      <c r="AT44" s="23">
        <f>珀芙研电商!AT44+珀芙研药房!AT44</f>
        <v>0.14000000000000001</v>
      </c>
      <c r="AU44" s="23">
        <f>珀芙研电商!AU44+珀芙研药房!AU44</f>
        <v>0.4</v>
      </c>
      <c r="AV44" s="49">
        <f>珀芙研电商!AV44+珀芙研药房!AV44</f>
        <v>0.4</v>
      </c>
      <c r="AW44" s="43">
        <f>珀芙研电商!AW44+珀芙研药房!AW44</f>
        <v>0.53</v>
      </c>
      <c r="AX44" s="23">
        <f>珀芙研电商!AX44+珀芙研药房!AX44</f>
        <v>0</v>
      </c>
      <c r="AY44" s="19">
        <f t="shared" si="51"/>
        <v>0.53</v>
      </c>
      <c r="AZ44" s="23">
        <f>珀芙研电商!AZ44+珀芙研药房!AZ44</f>
        <v>0.14000000000000001</v>
      </c>
      <c r="BA44" s="23">
        <f>珀芙研电商!BA44+珀芙研药房!BA44</f>
        <v>0.5</v>
      </c>
      <c r="BB44" s="49">
        <f>珀芙研电商!BB44+珀芙研药房!BB44</f>
        <v>0.5</v>
      </c>
      <c r="BC44" s="43">
        <f>珀芙研电商!BC44+珀芙研药房!BC44</f>
        <v>0.53</v>
      </c>
      <c r="BD44" s="23">
        <f>珀芙研电商!BD44+珀芙研药房!BD44</f>
        <v>0</v>
      </c>
      <c r="BE44" s="19">
        <f t="shared" si="52"/>
        <v>0.53</v>
      </c>
      <c r="BF44" s="23">
        <f>珀芙研电商!BF44+珀芙研药房!BF44</f>
        <v>0.14000000000000001</v>
      </c>
      <c r="BG44" s="23">
        <f>珀芙研电商!BG44+珀芙研药房!BG44</f>
        <v>0.5</v>
      </c>
      <c r="BH44" s="49">
        <f>珀芙研电商!BH44+珀芙研药房!BH44</f>
        <v>0.2</v>
      </c>
      <c r="BI44" s="43">
        <f>珀芙研电商!BI44+珀芙研药房!BI44</f>
        <v>0.53</v>
      </c>
      <c r="BJ44" s="23">
        <f>珀芙研电商!BJ44+珀芙研药房!BJ44</f>
        <v>0</v>
      </c>
      <c r="BK44" s="19">
        <f t="shared" si="53"/>
        <v>0.53</v>
      </c>
      <c r="BL44" s="23">
        <f>珀芙研电商!BL44+珀芙研药房!BL44</f>
        <v>0.13</v>
      </c>
      <c r="BM44" s="23">
        <f>珀芙研电商!BM44+珀芙研药房!BM44</f>
        <v>0.5</v>
      </c>
      <c r="BN44" s="49">
        <f>珀芙研电商!BN44+珀芙研药房!BN44</f>
        <v>0.2</v>
      </c>
      <c r="BO44" s="43">
        <f>珀芙研电商!BO44+珀芙研药房!BO44</f>
        <v>0.53</v>
      </c>
      <c r="BP44" s="23">
        <f>珀芙研电商!BP44+珀芙研药房!BP44</f>
        <v>0</v>
      </c>
      <c r="BQ44" s="19">
        <f t="shared" si="57"/>
        <v>0.53</v>
      </c>
      <c r="BR44" s="23">
        <f>珀芙研电商!BR44+珀芙研药房!BR44</f>
        <v>0.13</v>
      </c>
      <c r="BS44" s="23">
        <f>珀芙研电商!BS44+珀芙研药房!BS44</f>
        <v>0.5</v>
      </c>
      <c r="BT44" s="49">
        <f>珀芙研电商!BT44+珀芙研药房!BT44</f>
        <v>0.2</v>
      </c>
      <c r="BU44" s="18">
        <f t="shared" si="54"/>
        <v>5.120000000000001</v>
      </c>
      <c r="BV44" s="19">
        <f t="shared" si="58"/>
        <v>0</v>
      </c>
      <c r="BW44" s="19">
        <f t="shared" si="55"/>
        <v>5.120000000000001</v>
      </c>
      <c r="BX44" s="19">
        <f t="shared" si="56"/>
        <v>0.89</v>
      </c>
      <c r="BY44" s="19">
        <f t="shared" si="56"/>
        <v>4.6399999999999997</v>
      </c>
      <c r="BZ44" s="49">
        <f t="shared" si="56"/>
        <v>4</v>
      </c>
      <c r="CA44" s="24"/>
      <c r="CB44" s="106"/>
    </row>
    <row r="45" spans="1:80" outlineLevel="1">
      <c r="A45" s="5" t="s">
        <v>47</v>
      </c>
      <c r="B45" s="54" t="s">
        <v>15</v>
      </c>
      <c r="C45" s="43">
        <f>珀芙研电商!C45+珀芙研药房!C45</f>
        <v>0</v>
      </c>
      <c r="D45" s="23">
        <f>珀芙研电商!D45+珀芙研药房!D45</f>
        <v>0.13</v>
      </c>
      <c r="E45" s="43">
        <f>珀芙研电商!E45+珀芙研药房!E45</f>
        <v>0</v>
      </c>
      <c r="F45" s="49">
        <f>珀芙研电商!F45+珀芙研药房!F45</f>
        <v>0</v>
      </c>
      <c r="G45" s="43">
        <f>珀芙研电商!G45+珀芙研药房!G45</f>
        <v>0</v>
      </c>
      <c r="H45" s="23">
        <f>珀芙研电商!H45+珀芙研药房!H45</f>
        <v>0</v>
      </c>
      <c r="I45" s="19">
        <f t="shared" si="45"/>
        <v>0</v>
      </c>
      <c r="J45" s="23">
        <f>珀芙研电商!J45+珀芙研药房!J45</f>
        <v>0</v>
      </c>
      <c r="K45" s="23">
        <f>珀芙研电商!K45+珀芙研药房!K45</f>
        <v>0</v>
      </c>
      <c r="L45" s="49">
        <f>珀芙研电商!L45+珀芙研药房!L45</f>
        <v>0</v>
      </c>
      <c r="M45" s="43">
        <f>珀芙研电商!M45+珀芙研药房!M45</f>
        <v>0.43</v>
      </c>
      <c r="N45" s="23">
        <f>珀芙研电商!N45+珀芙研药房!N45</f>
        <v>0</v>
      </c>
      <c r="O45" s="19">
        <f t="shared" si="46"/>
        <v>0.43</v>
      </c>
      <c r="P45" s="23">
        <f>珀芙研电商!P45+珀芙研药房!P45</f>
        <v>2.38</v>
      </c>
      <c r="Q45" s="23">
        <f>珀芙研电商!Q45+珀芙研药房!Q45</f>
        <v>0.43</v>
      </c>
      <c r="R45" s="49">
        <f>珀芙研电商!R45+珀芙研药房!R45</f>
        <v>0.43</v>
      </c>
      <c r="S45" s="43">
        <f>珀芙研电商!S45+珀芙研药房!S45</f>
        <v>0.83</v>
      </c>
      <c r="T45" s="23">
        <f>珀芙研电商!T45+珀芙研药房!T45</f>
        <v>0</v>
      </c>
      <c r="U45" s="19">
        <f t="shared" si="47"/>
        <v>0.83</v>
      </c>
      <c r="V45" s="23">
        <f>珀芙研电商!V45+珀芙研药房!V45</f>
        <v>0.01</v>
      </c>
      <c r="W45" s="23">
        <f>珀芙研电商!W45+珀芙研药房!W45</f>
        <v>0</v>
      </c>
      <c r="X45" s="49">
        <f>珀芙研电商!X45+珀芙研药房!X45</f>
        <v>0.83</v>
      </c>
      <c r="Y45" s="43">
        <f>珀芙研电商!Y45+珀芙研药房!Y45</f>
        <v>1.26</v>
      </c>
      <c r="Z45" s="23">
        <f>珀芙研电商!Z45+珀芙研药房!Z45</f>
        <v>0</v>
      </c>
      <c r="AA45" s="19">
        <f t="shared" si="48"/>
        <v>1.26</v>
      </c>
      <c r="AB45" s="23">
        <f>珀芙研电商!AB45+珀芙研药房!AB45</f>
        <v>0</v>
      </c>
      <c r="AC45" s="23">
        <f>珀芙研电商!AC45+珀芙研药房!AC45</f>
        <v>0</v>
      </c>
      <c r="AD45" s="49">
        <f>珀芙研电商!AD45+珀芙研药房!AD45</f>
        <v>1.26</v>
      </c>
      <c r="AE45" s="43">
        <f>珀芙研电商!AE45+珀芙研药房!AE45</f>
        <v>0.57999999999999996</v>
      </c>
      <c r="AF45" s="23">
        <f>珀芙研电商!AF45+珀芙研药房!AF45</f>
        <v>0</v>
      </c>
      <c r="AG45" s="43">
        <f>珀芙研电商!AG45+珀芙研药房!AG45</f>
        <v>0.57999999999999996</v>
      </c>
      <c r="AH45" s="23">
        <f>珀芙研电商!AH45+珀芙研药房!AH45</f>
        <v>3.56</v>
      </c>
      <c r="AI45" s="23">
        <f>珀芙研电商!AI45+珀芙研药房!AI45</f>
        <v>0</v>
      </c>
      <c r="AJ45" s="49">
        <f>珀芙研电商!AJ45+珀芙研药房!AJ45</f>
        <v>0.57999999999999996</v>
      </c>
      <c r="AK45" s="43">
        <f>珀芙研电商!AK45+珀芙研药房!AK45</f>
        <v>0</v>
      </c>
      <c r="AL45" s="23">
        <f>珀芙研电商!AL45+珀芙研药房!AL45</f>
        <v>0</v>
      </c>
      <c r="AM45" s="19">
        <f t="shared" si="49"/>
        <v>0</v>
      </c>
      <c r="AN45" s="23">
        <f>珀芙研电商!AN45+珀芙研药房!AN45</f>
        <v>15.46</v>
      </c>
      <c r="AO45" s="23">
        <f>珀芙研电商!AO45+珀芙研药房!AO45</f>
        <v>0</v>
      </c>
      <c r="AP45" s="49">
        <f>珀芙研电商!AP45+珀芙研药房!AP45</f>
        <v>0</v>
      </c>
      <c r="AQ45" s="43">
        <f>珀芙研电商!AQ45+珀芙研药房!AQ45</f>
        <v>0</v>
      </c>
      <c r="AR45" s="23">
        <f>珀芙研电商!AR45+珀芙研药房!AR45</f>
        <v>0</v>
      </c>
      <c r="AS45" s="19">
        <f t="shared" si="50"/>
        <v>0</v>
      </c>
      <c r="AT45" s="23">
        <f>珀芙研电商!AT45+珀芙研药房!AT45</f>
        <v>33.47</v>
      </c>
      <c r="AU45" s="23">
        <f>珀芙研电商!AU45+珀芙研药房!AU45</f>
        <v>0</v>
      </c>
      <c r="AV45" s="49">
        <f>珀芙研电商!AV45+珀芙研药房!AV45</f>
        <v>0</v>
      </c>
      <c r="AW45" s="43">
        <f>珀芙研电商!AW45+珀芙研药房!AW45</f>
        <v>0</v>
      </c>
      <c r="AX45" s="23">
        <f>珀芙研电商!AX45+珀芙研药房!AX45</f>
        <v>0</v>
      </c>
      <c r="AY45" s="19">
        <f t="shared" si="51"/>
        <v>0</v>
      </c>
      <c r="AZ45" s="23">
        <f>珀芙研电商!AZ45+珀芙研药房!AZ45</f>
        <v>4.9800000000000004</v>
      </c>
      <c r="BA45" s="23">
        <f>珀芙研电商!BA45+珀芙研药房!BA45</f>
        <v>0</v>
      </c>
      <c r="BB45" s="49">
        <f>珀芙研电商!BB45+珀芙研药房!BB45</f>
        <v>0</v>
      </c>
      <c r="BC45" s="43">
        <f>珀芙研电商!BC45+珀芙研药房!BC45</f>
        <v>0</v>
      </c>
      <c r="BD45" s="23">
        <f>珀芙研电商!BD45+珀芙研药房!BD45</f>
        <v>0</v>
      </c>
      <c r="BE45" s="19">
        <f t="shared" si="52"/>
        <v>0</v>
      </c>
      <c r="BF45" s="23">
        <f>珀芙研电商!BF45+珀芙研药房!BF45</f>
        <v>0</v>
      </c>
      <c r="BG45" s="23">
        <f>珀芙研电商!BG45+珀芙研药房!BG45</f>
        <v>0</v>
      </c>
      <c r="BH45" s="49">
        <f>珀芙研电商!BH45+珀芙研药房!BH45</f>
        <v>0</v>
      </c>
      <c r="BI45" s="43">
        <f>珀芙研电商!BI45+珀芙研药房!BI45</f>
        <v>0.4</v>
      </c>
      <c r="BJ45" s="23">
        <f>珀芙研电商!BJ45+珀芙研药房!BJ45</f>
        <v>0</v>
      </c>
      <c r="BK45" s="19">
        <f t="shared" si="53"/>
        <v>0.4</v>
      </c>
      <c r="BL45" s="23">
        <f>珀芙研电商!BL45+珀芙研药房!BL45</f>
        <v>2.39</v>
      </c>
      <c r="BM45" s="23">
        <f>珀芙研电商!BM45+珀芙研药房!BM45</f>
        <v>0</v>
      </c>
      <c r="BN45" s="49">
        <f>珀芙研电商!BN45+珀芙研药房!BN45</f>
        <v>0</v>
      </c>
      <c r="BO45" s="43">
        <f>珀芙研电商!BO45+珀芙研药房!BO45</f>
        <v>0</v>
      </c>
      <c r="BP45" s="23">
        <f>珀芙研电商!BP45+珀芙研药房!BP45</f>
        <v>0</v>
      </c>
      <c r="BQ45" s="19">
        <f t="shared" si="57"/>
        <v>0</v>
      </c>
      <c r="BR45" s="23">
        <f>珀芙研电商!BR45+珀芙研药房!BR45</f>
        <v>0.79</v>
      </c>
      <c r="BS45" s="23">
        <f>珀芙研电商!BS45+珀芙研药房!BS45</f>
        <v>0</v>
      </c>
      <c r="BT45" s="49">
        <f>珀芙研电商!BT45+珀芙研药房!BT45</f>
        <v>0</v>
      </c>
      <c r="BU45" s="18">
        <f t="shared" si="54"/>
        <v>3.5</v>
      </c>
      <c r="BV45" s="19">
        <f t="shared" si="58"/>
        <v>0</v>
      </c>
      <c r="BW45" s="19">
        <f t="shared" si="55"/>
        <v>3.5</v>
      </c>
      <c r="BX45" s="19">
        <f t="shared" si="56"/>
        <v>63.169999999999995</v>
      </c>
      <c r="BY45" s="19">
        <f t="shared" si="56"/>
        <v>0.43</v>
      </c>
      <c r="BZ45" s="49">
        <f t="shared" si="56"/>
        <v>3.1</v>
      </c>
      <c r="CA45" s="24"/>
      <c r="CB45" s="106"/>
    </row>
    <row r="46" spans="1:80" outlineLevel="1">
      <c r="A46" s="5" t="s">
        <v>60</v>
      </c>
      <c r="B46" s="54" t="s">
        <v>25</v>
      </c>
      <c r="C46" s="43">
        <f>珀芙研电商!C46+珀芙研药房!C46</f>
        <v>80.239999999999995</v>
      </c>
      <c r="D46" s="23">
        <f>珀芙研电商!D46+珀芙研药房!D46</f>
        <v>2.97</v>
      </c>
      <c r="E46" s="43">
        <f>珀芙研电商!E46+珀芙研药房!E46</f>
        <v>80.05</v>
      </c>
      <c r="F46" s="49">
        <f>珀芙研电商!F46+珀芙研药房!F46</f>
        <v>80.05</v>
      </c>
      <c r="G46" s="43">
        <f>珀芙研电商!G46+珀芙研药房!G46</f>
        <v>39.550000000000004</v>
      </c>
      <c r="H46" s="23">
        <f>珀芙研电商!H46+珀芙研药房!H46</f>
        <v>0</v>
      </c>
      <c r="I46" s="19">
        <f t="shared" si="45"/>
        <v>39.550000000000004</v>
      </c>
      <c r="J46" s="23">
        <f>珀芙研电商!J46+珀芙研药房!J46</f>
        <v>1.43</v>
      </c>
      <c r="K46" s="23">
        <f>珀芙研电商!K46+珀芙研药房!K46</f>
        <v>39.35</v>
      </c>
      <c r="L46" s="49">
        <f>珀芙研电商!L46+珀芙研药房!L46</f>
        <v>39.35</v>
      </c>
      <c r="M46" s="43">
        <f>珀芙研电商!M46+珀芙研药房!M46</f>
        <v>65.959999999999994</v>
      </c>
      <c r="N46" s="23">
        <f>珀芙研电商!N46+珀芙研药房!N46</f>
        <v>0</v>
      </c>
      <c r="O46" s="19">
        <f t="shared" si="46"/>
        <v>65.959999999999994</v>
      </c>
      <c r="P46" s="23">
        <f>珀芙研电商!P46+珀芙研药房!P46</f>
        <v>2.96</v>
      </c>
      <c r="Q46" s="23">
        <f>珀芙研电商!Q46+珀芙研药房!Q46</f>
        <v>65.959999999999994</v>
      </c>
      <c r="R46" s="49">
        <f>珀芙研电商!R46+珀芙研药房!R46</f>
        <v>65.959999999999994</v>
      </c>
      <c r="S46" s="43">
        <f>珀芙研电商!S46+珀芙研药房!S46</f>
        <v>44.290000000000006</v>
      </c>
      <c r="T46" s="23">
        <f>珀芙研电商!T46+珀芙研药房!T46</f>
        <v>0</v>
      </c>
      <c r="U46" s="19">
        <f t="shared" si="47"/>
        <v>44.290000000000006</v>
      </c>
      <c r="V46" s="23">
        <f>珀芙研电商!V46+珀芙研药房!V46</f>
        <v>4.5999999999999996</v>
      </c>
      <c r="W46" s="23">
        <f>珀芙研电商!W46+珀芙研药房!W46</f>
        <v>51.5</v>
      </c>
      <c r="X46" s="49">
        <f>珀芙研电商!X46+珀芙研药房!X46</f>
        <v>44.290000000000006</v>
      </c>
      <c r="Y46" s="43">
        <f>珀芙研电商!Y46+珀芙研药房!Y46</f>
        <v>50.7</v>
      </c>
      <c r="Z46" s="23">
        <f>珀芙研电商!Z46+珀芙研药房!Z46</f>
        <v>0</v>
      </c>
      <c r="AA46" s="19">
        <f t="shared" si="48"/>
        <v>50.7</v>
      </c>
      <c r="AB46" s="23">
        <f>珀芙研电商!AB46+珀芙研药房!AB46</f>
        <v>15.45</v>
      </c>
      <c r="AC46" s="23">
        <f>珀芙研电商!AC46+珀芙研药房!AC46</f>
        <v>51.5</v>
      </c>
      <c r="AD46" s="49">
        <f>珀芙研电商!AD46+珀芙研药房!AD46</f>
        <v>50.34</v>
      </c>
      <c r="AE46" s="43">
        <f>珀芙研电商!AE46+珀芙研药房!AE46</f>
        <v>69.06</v>
      </c>
      <c r="AF46" s="23">
        <f>珀芙研电商!AF46+珀芙研药房!AF46</f>
        <v>0</v>
      </c>
      <c r="AG46" s="43">
        <f>珀芙研电商!AG46+珀芙研药房!AG46</f>
        <v>69.06</v>
      </c>
      <c r="AH46" s="23">
        <f>珀芙研电商!AH46+珀芙研药房!AH46</f>
        <v>22.36</v>
      </c>
      <c r="AI46" s="23">
        <f>珀芙研电商!AI46+珀芙研药房!AI46</f>
        <v>51.5</v>
      </c>
      <c r="AJ46" s="49">
        <f>珀芙研电商!AJ46+珀芙研药房!AJ46</f>
        <v>69.06</v>
      </c>
      <c r="AK46" s="43">
        <f>珀芙研电商!AK46+珀芙研药房!AK46</f>
        <v>59.49</v>
      </c>
      <c r="AL46" s="23">
        <f>珀芙研电商!AL46+珀芙研药房!AL46</f>
        <v>0</v>
      </c>
      <c r="AM46" s="19">
        <f t="shared" si="49"/>
        <v>59.49</v>
      </c>
      <c r="AN46" s="23">
        <f>珀芙研电商!AN46+珀芙研药房!AN46</f>
        <v>36.28</v>
      </c>
      <c r="AO46" s="23">
        <f>珀芙研电商!AO46+珀芙研药房!AO46</f>
        <v>51.5</v>
      </c>
      <c r="AP46" s="49">
        <f>珀芙研电商!AP46+珀芙研药房!AP46</f>
        <v>59.49</v>
      </c>
      <c r="AQ46" s="43">
        <f>珀芙研电商!AQ46+珀芙研药房!AQ46</f>
        <v>19.34</v>
      </c>
      <c r="AR46" s="23">
        <f>珀芙研电商!AR46+珀芙研药房!AR46</f>
        <v>0</v>
      </c>
      <c r="AS46" s="19">
        <f t="shared" si="50"/>
        <v>19.34</v>
      </c>
      <c r="AT46" s="23">
        <f>珀芙研电商!AT46+珀芙研药房!AT46</f>
        <v>41.87</v>
      </c>
      <c r="AU46" s="23">
        <f>珀芙研电商!AU46+珀芙研药房!AU46</f>
        <v>51.5</v>
      </c>
      <c r="AV46" s="49">
        <f>珀芙研电商!AV46+珀芙研药房!AV46</f>
        <v>51</v>
      </c>
      <c r="AW46" s="43">
        <f>珀芙研电商!AW46+珀芙研药房!AW46</f>
        <v>18.63</v>
      </c>
      <c r="AX46" s="23">
        <f>珀芙研电商!AX46+珀芙研药房!AX46</f>
        <v>0</v>
      </c>
      <c r="AY46" s="19">
        <f t="shared" si="51"/>
        <v>18.63</v>
      </c>
      <c r="AZ46" s="23">
        <f>珀芙研电商!AZ46+珀芙研药房!AZ46</f>
        <v>47.35</v>
      </c>
      <c r="BA46" s="23">
        <f>珀芙研电商!BA46+珀芙研药房!BA46</f>
        <v>51</v>
      </c>
      <c r="BB46" s="49">
        <f>珀芙研电商!BB46+珀芙研药房!BB46</f>
        <v>51</v>
      </c>
      <c r="BC46" s="43">
        <f>珀芙研电商!BC46+珀芙研药房!BC46</f>
        <v>47.5</v>
      </c>
      <c r="BD46" s="23">
        <f>珀芙研电商!BD46+珀芙研药房!BD46</f>
        <v>0</v>
      </c>
      <c r="BE46" s="19">
        <f t="shared" si="52"/>
        <v>47.5</v>
      </c>
      <c r="BF46" s="23">
        <f>珀芙研电商!BF46+珀芙研药房!BF46</f>
        <v>61.54</v>
      </c>
      <c r="BG46" s="23">
        <f>珀芙研电商!BG46+珀芙研药房!BG46</f>
        <v>51</v>
      </c>
      <c r="BH46" s="49">
        <f>珀芙研电商!BH46+珀芙研药房!BH46</f>
        <v>51.5</v>
      </c>
      <c r="BI46" s="43">
        <f>珀芙研电商!BI46+珀芙研药房!BI46</f>
        <v>52.230000000000004</v>
      </c>
      <c r="BJ46" s="23">
        <f>珀芙研电商!BJ46+珀芙研药房!BJ46</f>
        <v>0</v>
      </c>
      <c r="BK46" s="19">
        <f t="shared" si="53"/>
        <v>52.230000000000004</v>
      </c>
      <c r="BL46" s="23">
        <f>珀芙研电商!BL46+珀芙研药房!BL46</f>
        <v>92.46</v>
      </c>
      <c r="BM46" s="23">
        <f>珀芙研电商!BM46+珀芙研药房!BM46</f>
        <v>51</v>
      </c>
      <c r="BN46" s="49">
        <f>珀芙研电商!BN46+珀芙研药房!BN46</f>
        <v>51</v>
      </c>
      <c r="BO46" s="43">
        <f>珀芙研电商!BO46+珀芙研药房!BO46</f>
        <v>57.089999999999996</v>
      </c>
      <c r="BP46" s="23">
        <f>珀芙研电商!BP46+珀芙研药房!BP46</f>
        <v>0</v>
      </c>
      <c r="BQ46" s="19">
        <f t="shared" si="57"/>
        <v>57.089999999999996</v>
      </c>
      <c r="BR46" s="23">
        <f>珀芙研电商!BR46+珀芙研药房!BR46</f>
        <v>95.190000000000012</v>
      </c>
      <c r="BS46" s="23">
        <f>珀芙研电商!BS46+珀芙研药房!BS46</f>
        <v>54</v>
      </c>
      <c r="BT46" s="49">
        <f>珀芙研电商!BT46+珀芙研药房!BT46</f>
        <v>54</v>
      </c>
      <c r="BU46" s="18">
        <f t="shared" si="54"/>
        <v>604.08000000000004</v>
      </c>
      <c r="BV46" s="19">
        <f t="shared" si="58"/>
        <v>0</v>
      </c>
      <c r="BW46" s="19">
        <f t="shared" si="55"/>
        <v>604.08000000000004</v>
      </c>
      <c r="BX46" s="19">
        <f t="shared" si="56"/>
        <v>424.46</v>
      </c>
      <c r="BY46" s="19">
        <f t="shared" si="56"/>
        <v>649.86</v>
      </c>
      <c r="BZ46" s="49">
        <f t="shared" si="56"/>
        <v>667.04</v>
      </c>
      <c r="CA46" s="24"/>
      <c r="CB46" s="106"/>
    </row>
    <row r="47" spans="1:80" s="12" customFormat="1" ht="14.5" thickBot="1">
      <c r="A47" s="6" t="s">
        <v>1</v>
      </c>
      <c r="B47" s="59"/>
      <c r="C47" s="22">
        <f>C29-C30</f>
        <v>-464.45000000000005</v>
      </c>
      <c r="D47" s="17">
        <f t="shared" ref="D47:L47" si="59">D29-D30</f>
        <v>-26.81</v>
      </c>
      <c r="E47" s="17">
        <f t="shared" si="59"/>
        <v>-464.26</v>
      </c>
      <c r="F47" s="42">
        <f t="shared" si="59"/>
        <v>-464.26</v>
      </c>
      <c r="G47" s="22">
        <f t="shared" si="59"/>
        <v>-422.99</v>
      </c>
      <c r="H47" s="17">
        <f t="shared" si="59"/>
        <v>0</v>
      </c>
      <c r="I47" s="17">
        <f t="shared" si="59"/>
        <v>-422.99</v>
      </c>
      <c r="J47" s="17">
        <f t="shared" si="59"/>
        <v>-28.13</v>
      </c>
      <c r="K47" s="17">
        <f t="shared" si="59"/>
        <v>-422.79000000000008</v>
      </c>
      <c r="L47" s="42">
        <f t="shared" si="59"/>
        <v>-422.79000000000008</v>
      </c>
      <c r="M47" s="22">
        <f t="shared" ref="M47:BT47" si="60">M29-M30</f>
        <v>-472.42999999999984</v>
      </c>
      <c r="N47" s="17">
        <f t="shared" si="60"/>
        <v>0</v>
      </c>
      <c r="O47" s="17">
        <f t="shared" si="60"/>
        <v>-472.42999999999984</v>
      </c>
      <c r="P47" s="17">
        <f t="shared" si="60"/>
        <v>-31.64</v>
      </c>
      <c r="Q47" s="17">
        <f t="shared" si="60"/>
        <v>-471.72999999999985</v>
      </c>
      <c r="R47" s="42">
        <f t="shared" si="60"/>
        <v>-472.42999999999984</v>
      </c>
      <c r="S47" s="22">
        <f t="shared" si="60"/>
        <v>-372.23</v>
      </c>
      <c r="T47" s="17">
        <f t="shared" si="60"/>
        <v>0</v>
      </c>
      <c r="U47" s="17">
        <f t="shared" si="60"/>
        <v>-372.23</v>
      </c>
      <c r="V47" s="17">
        <f t="shared" si="60"/>
        <v>-50.1</v>
      </c>
      <c r="W47" s="17">
        <f t="shared" si="60"/>
        <v>-363.47799999999995</v>
      </c>
      <c r="X47" s="42">
        <f t="shared" si="60"/>
        <v>-372.23</v>
      </c>
      <c r="Y47" s="22">
        <f t="shared" si="60"/>
        <v>-252.45000000000002</v>
      </c>
      <c r="Z47" s="17">
        <f t="shared" si="60"/>
        <v>0</v>
      </c>
      <c r="AA47" s="17">
        <f t="shared" si="60"/>
        <v>-252.45000000000002</v>
      </c>
      <c r="AB47" s="17">
        <f t="shared" si="60"/>
        <v>-73.400000000000006</v>
      </c>
      <c r="AC47" s="17">
        <f t="shared" si="60"/>
        <v>-345.14800000000002</v>
      </c>
      <c r="AD47" s="42">
        <f t="shared" si="60"/>
        <v>-252.09000000000003</v>
      </c>
      <c r="AE47" s="22">
        <f t="shared" si="60"/>
        <v>-408.05999999999995</v>
      </c>
      <c r="AF47" s="17">
        <f t="shared" si="60"/>
        <v>0</v>
      </c>
      <c r="AG47" s="17">
        <f t="shared" si="60"/>
        <v>-408.05999999999995</v>
      </c>
      <c r="AH47" s="17">
        <f t="shared" si="60"/>
        <v>-116.85</v>
      </c>
      <c r="AI47" s="17">
        <f t="shared" si="60"/>
        <v>-276.06800000000015</v>
      </c>
      <c r="AJ47" s="42">
        <f t="shared" si="60"/>
        <v>-408.05999999999995</v>
      </c>
      <c r="AK47" s="22">
        <f t="shared" si="60"/>
        <v>-210.84000000000009</v>
      </c>
      <c r="AL47" s="17">
        <f t="shared" si="60"/>
        <v>0</v>
      </c>
      <c r="AM47" s="17">
        <f t="shared" si="60"/>
        <v>-210.84000000000009</v>
      </c>
      <c r="AN47" s="17">
        <f t="shared" si="60"/>
        <v>-257.52000000000004</v>
      </c>
      <c r="AO47" s="17">
        <f t="shared" si="60"/>
        <v>-209.07200000000003</v>
      </c>
      <c r="AP47" s="122">
        <f t="shared" si="60"/>
        <v>-210.84000000000009</v>
      </c>
      <c r="AQ47" s="129">
        <f t="shared" si="60"/>
        <v>-326.11</v>
      </c>
      <c r="AR47" s="130">
        <f t="shared" si="60"/>
        <v>0</v>
      </c>
      <c r="AS47" s="130">
        <f t="shared" si="60"/>
        <v>-326.11</v>
      </c>
      <c r="AT47" s="130">
        <f t="shared" si="60"/>
        <v>-251.23000000000002</v>
      </c>
      <c r="AU47" s="130">
        <f t="shared" si="60"/>
        <v>-225.83</v>
      </c>
      <c r="AV47" s="122">
        <f t="shared" si="60"/>
        <v>-232.84999999999997</v>
      </c>
      <c r="AW47" s="22">
        <f t="shared" si="60"/>
        <v>-303.76</v>
      </c>
      <c r="AX47" s="17">
        <f t="shared" si="60"/>
        <v>0</v>
      </c>
      <c r="AY47" s="17">
        <f t="shared" si="60"/>
        <v>-303.76</v>
      </c>
      <c r="AZ47" s="17">
        <f t="shared" si="60"/>
        <v>-360.42</v>
      </c>
      <c r="BA47" s="17">
        <f t="shared" si="60"/>
        <v>-196.37184838871264</v>
      </c>
      <c r="BB47" s="122">
        <f t="shared" si="60"/>
        <v>-181.41000000000003</v>
      </c>
      <c r="BC47" s="22">
        <f t="shared" si="60"/>
        <v>-340.15</v>
      </c>
      <c r="BD47" s="17">
        <f t="shared" si="60"/>
        <v>0</v>
      </c>
      <c r="BE47" s="17">
        <f t="shared" si="60"/>
        <v>-340.15</v>
      </c>
      <c r="BF47" s="17">
        <f t="shared" si="60"/>
        <v>-431.81000000000006</v>
      </c>
      <c r="BG47" s="17">
        <f t="shared" si="60"/>
        <v>-227.78230088495576</v>
      </c>
      <c r="BH47" s="42">
        <f t="shared" si="60"/>
        <v>-219.13</v>
      </c>
      <c r="BI47" s="22">
        <f t="shared" si="60"/>
        <v>9.0100000000000193</v>
      </c>
      <c r="BJ47" s="17">
        <f t="shared" si="60"/>
        <v>0</v>
      </c>
      <c r="BK47" s="17">
        <f t="shared" si="60"/>
        <v>9.0100000000000193</v>
      </c>
      <c r="BL47" s="17">
        <f t="shared" si="60"/>
        <v>-385.65999999999997</v>
      </c>
      <c r="BM47" s="17">
        <f t="shared" si="60"/>
        <v>-57.86884955752214</v>
      </c>
      <c r="BN47" s="42">
        <f t="shared" si="60"/>
        <v>-29.759999999999948</v>
      </c>
      <c r="BO47" s="22">
        <f t="shared" si="60"/>
        <v>-394.19999999999993</v>
      </c>
      <c r="BP47" s="22">
        <f t="shared" si="60"/>
        <v>0</v>
      </c>
      <c r="BQ47" s="22">
        <f t="shared" si="60"/>
        <v>-394.19999999999993</v>
      </c>
      <c r="BR47" s="17">
        <f t="shared" si="60"/>
        <v>-529.80999999999995</v>
      </c>
      <c r="BS47" s="17">
        <f t="shared" si="60"/>
        <v>-341.83353982300883</v>
      </c>
      <c r="BT47" s="42">
        <f t="shared" si="60"/>
        <v>-400.27000000000004</v>
      </c>
      <c r="BU47" s="22">
        <f t="shared" ref="BU47:BZ47" si="61">BU29-BU30</f>
        <v>-3958.66</v>
      </c>
      <c r="BV47" s="17">
        <f t="shared" si="61"/>
        <v>0</v>
      </c>
      <c r="BW47" s="17">
        <f t="shared" si="61"/>
        <v>-3958.66</v>
      </c>
      <c r="BX47" s="17">
        <f t="shared" si="61"/>
        <v>-2543.3799999999997</v>
      </c>
      <c r="BY47" s="17">
        <f t="shared" si="61"/>
        <v>-3602.2325386541997</v>
      </c>
      <c r="BZ47" s="122">
        <f t="shared" si="61"/>
        <v>-3666.1199999999994</v>
      </c>
      <c r="CA47" s="24"/>
      <c r="CB47" s="106"/>
    </row>
    <row r="48" spans="1:80">
      <c r="C48" s="26"/>
      <c r="D48" s="26"/>
      <c r="E48" s="26"/>
      <c r="F48" s="26"/>
      <c r="L48" s="26"/>
    </row>
    <row r="49" spans="3:78">
      <c r="C49" s="26"/>
      <c r="D49" s="26"/>
      <c r="E49" s="26"/>
      <c r="F49" s="26"/>
      <c r="K49" s="63"/>
      <c r="L49" s="16"/>
      <c r="N49" s="24"/>
      <c r="O49" s="24"/>
      <c r="P49" s="24"/>
      <c r="Q49" s="24"/>
      <c r="R49" s="24"/>
      <c r="BW49" s="24"/>
      <c r="BX49" s="24"/>
      <c r="BZ49" s="24"/>
    </row>
    <row r="50" spans="3:78">
      <c r="C50" s="131"/>
      <c r="D50" s="131"/>
      <c r="E50" s="131"/>
      <c r="F50" s="131"/>
      <c r="G50" s="131"/>
      <c r="H50" s="131"/>
      <c r="I50" s="131"/>
      <c r="J50" s="131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  <c r="AI50" s="133"/>
      <c r="AJ50" s="132"/>
      <c r="AK50" s="132"/>
      <c r="AL50" s="132"/>
      <c r="AM50" s="132"/>
      <c r="AN50" s="132"/>
      <c r="AO50" s="132"/>
      <c r="AP50" s="132"/>
      <c r="AQ50" s="132"/>
      <c r="AR50" s="132"/>
      <c r="AS50" s="132"/>
      <c r="AT50" s="132"/>
      <c r="AU50" s="132"/>
      <c r="AV50" s="134"/>
      <c r="AW50" s="132"/>
      <c r="AX50" s="132"/>
      <c r="AY50" s="132"/>
      <c r="AZ50" s="132"/>
      <c r="BA50" s="133"/>
      <c r="BB50" s="134"/>
      <c r="BC50" s="132"/>
      <c r="BD50" s="132"/>
      <c r="BE50" s="132"/>
      <c r="BF50" s="132"/>
      <c r="BG50" s="132"/>
      <c r="BH50" s="132"/>
      <c r="BI50" s="132"/>
      <c r="BJ50" s="132"/>
      <c r="BK50" s="132"/>
      <c r="BL50" s="132"/>
      <c r="BM50" s="132"/>
      <c r="BN50" s="132"/>
      <c r="BO50" s="132"/>
      <c r="BP50" s="132"/>
      <c r="BQ50" s="132"/>
      <c r="BR50" s="132"/>
      <c r="BS50" s="133"/>
      <c r="BT50" s="132"/>
      <c r="BU50" s="132"/>
      <c r="BV50" s="132"/>
      <c r="BW50" s="132"/>
      <c r="BX50" s="132"/>
      <c r="BY50" s="132"/>
      <c r="BZ50" s="74"/>
    </row>
    <row r="51" spans="3:78">
      <c r="D51" s="26"/>
      <c r="E51" s="26"/>
      <c r="AP51" s="24"/>
    </row>
    <row r="52" spans="3:78">
      <c r="C52" s="131"/>
      <c r="D52" s="131"/>
      <c r="E52" s="131"/>
      <c r="F52" s="131"/>
      <c r="G52" s="131"/>
      <c r="H52" s="131"/>
      <c r="I52" s="131"/>
      <c r="J52" s="131"/>
      <c r="K52" s="132"/>
      <c r="L52" s="131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</row>
    <row r="53" spans="3:78"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</row>
    <row r="56" spans="3:78">
      <c r="C56" s="26"/>
      <c r="F56" s="26"/>
      <c r="AP56" s="24"/>
    </row>
  </sheetData>
  <sheetProtection autoFilter="0"/>
  <mergeCells count="14">
    <mergeCell ref="BO2:BT2"/>
    <mergeCell ref="BU2:BZ2"/>
    <mergeCell ref="AE2:AJ2"/>
    <mergeCell ref="AK2:AP2"/>
    <mergeCell ref="AQ2:AV2"/>
    <mergeCell ref="AW2:BB2"/>
    <mergeCell ref="BC2:BH2"/>
    <mergeCell ref="BI2:BN2"/>
    <mergeCell ref="Y2:AD2"/>
    <mergeCell ref="A2:A3"/>
    <mergeCell ref="C2:F2"/>
    <mergeCell ref="G2:L2"/>
    <mergeCell ref="M2:R2"/>
    <mergeCell ref="S2:X2"/>
  </mergeCells>
  <phoneticPr fontId="2" type="noConversion"/>
  <pageMargins left="0.7" right="0.7" top="0.75" bottom="0.75" header="0.3" footer="0.3"/>
  <pageSetup paperSize="9" orientation="portrait" r:id="rId1"/>
  <customProperties>
    <customPr name="_pios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CC"/>
    <outlinePr summaryBelow="0"/>
  </sheetPr>
  <dimension ref="A1:CB52"/>
  <sheetViews>
    <sheetView showGridLines="0" zoomScale="90" zoomScaleNormal="90" workbookViewId="0">
      <pane xSplit="1" ySplit="3" topLeftCell="BP4" activePane="bottomRight" state="frozen"/>
      <selection activeCell="E6" sqref="E6"/>
      <selection pane="topRight" activeCell="E6" sqref="E6"/>
      <selection pane="bottomLeft" activeCell="E6" sqref="E6"/>
      <selection pane="bottomRight" activeCell="CB12" sqref="CB12"/>
    </sheetView>
  </sheetViews>
  <sheetFormatPr defaultRowHeight="14" outlineLevelRow="1" outlineLevelCol="1"/>
  <cols>
    <col min="1" max="1" width="24.58203125" style="7" customWidth="1"/>
    <col min="2" max="2" width="19.75" style="15" hidden="1" customWidth="1"/>
    <col min="3" max="10" width="10" style="8" customWidth="1"/>
    <col min="11" max="11" width="10" style="27" customWidth="1"/>
    <col min="12" max="12" width="10" style="8" customWidth="1"/>
    <col min="13" max="14" width="10" style="11" customWidth="1" outlineLevel="1"/>
    <col min="15" max="18" width="10" style="11" customWidth="1"/>
    <col min="19" max="20" width="10" style="11" customWidth="1" outlineLevel="1"/>
    <col min="21" max="22" width="10" style="11" customWidth="1"/>
    <col min="23" max="23" width="10" style="11" customWidth="1" outlineLevel="1"/>
    <col min="24" max="24" width="10" style="11" customWidth="1"/>
    <col min="25" max="26" width="10" style="11" customWidth="1" outlineLevel="1"/>
    <col min="27" max="28" width="10" style="11" customWidth="1"/>
    <col min="29" max="29" width="10" style="11" customWidth="1" outlineLevel="1"/>
    <col min="30" max="30" width="10" style="11" customWidth="1"/>
    <col min="31" max="32" width="10" style="11" customWidth="1" outlineLevel="1"/>
    <col min="33" max="34" width="10" style="11" customWidth="1"/>
    <col min="35" max="35" width="10" style="11" customWidth="1" outlineLevel="1"/>
    <col min="36" max="36" width="10" style="11" customWidth="1"/>
    <col min="37" max="38" width="10" style="11" customWidth="1" outlineLevel="1"/>
    <col min="39" max="40" width="10" style="11" customWidth="1"/>
    <col min="41" max="41" width="10" style="11" customWidth="1" outlineLevel="1"/>
    <col min="42" max="42" width="10" style="11" customWidth="1"/>
    <col min="43" max="44" width="10" style="11" customWidth="1" outlineLevel="1"/>
    <col min="45" max="46" width="10" style="11" customWidth="1"/>
    <col min="47" max="47" width="10" style="11" customWidth="1" outlineLevel="1"/>
    <col min="48" max="48" width="10" style="11" customWidth="1"/>
    <col min="49" max="50" width="10" style="11" customWidth="1" outlineLevel="1"/>
    <col min="51" max="52" width="10" style="11" customWidth="1"/>
    <col min="53" max="53" width="10" style="11" customWidth="1" outlineLevel="1"/>
    <col min="54" max="54" width="10" style="11" customWidth="1"/>
    <col min="55" max="56" width="10" style="11" customWidth="1" outlineLevel="1"/>
    <col min="57" max="58" width="10" style="11" customWidth="1"/>
    <col min="59" max="59" width="10" style="11" customWidth="1" outlineLevel="1"/>
    <col min="60" max="60" width="10" style="11" customWidth="1"/>
    <col min="61" max="62" width="10" style="11" customWidth="1" outlineLevel="1"/>
    <col min="63" max="64" width="10" style="11" customWidth="1"/>
    <col min="65" max="65" width="10" style="11" customWidth="1" outlineLevel="1"/>
    <col min="66" max="66" width="10" style="11" customWidth="1"/>
    <col min="67" max="68" width="10" style="11" customWidth="1" outlineLevel="1"/>
    <col min="69" max="70" width="10" style="11" customWidth="1"/>
    <col min="71" max="71" width="10" style="11" customWidth="1" outlineLevel="1"/>
    <col min="72" max="72" width="10" style="11" customWidth="1"/>
    <col min="73" max="74" width="10" style="11" customWidth="1" outlineLevel="1"/>
    <col min="75" max="78" width="10" style="11" customWidth="1"/>
    <col min="79" max="79" width="9.25" style="11" bestFit="1" customWidth="1"/>
    <col min="80" max="16384" width="8.6640625" style="11"/>
  </cols>
  <sheetData>
    <row r="1" spans="1:80" ht="18" thickBot="1">
      <c r="A1" s="1" t="s">
        <v>89</v>
      </c>
      <c r="B1" s="14"/>
      <c r="C1" s="29"/>
      <c r="D1" s="29"/>
      <c r="E1" s="29"/>
      <c r="F1" s="29"/>
      <c r="G1" s="29"/>
      <c r="H1" s="29"/>
      <c r="I1" s="29"/>
      <c r="J1" s="29"/>
      <c r="K1" s="28" t="s">
        <v>27</v>
      </c>
      <c r="L1" s="25" t="s">
        <v>62</v>
      </c>
    </row>
    <row r="2" spans="1:80" s="12" customFormat="1">
      <c r="A2" s="139" t="s">
        <v>72</v>
      </c>
      <c r="B2" s="52"/>
      <c r="C2" s="136" t="s">
        <v>69</v>
      </c>
      <c r="D2" s="137"/>
      <c r="E2" s="141"/>
      <c r="F2" s="138"/>
      <c r="G2" s="136" t="s">
        <v>67</v>
      </c>
      <c r="H2" s="137"/>
      <c r="I2" s="137"/>
      <c r="J2" s="137"/>
      <c r="K2" s="137"/>
      <c r="L2" s="138"/>
      <c r="M2" s="136" t="s">
        <v>68</v>
      </c>
      <c r="N2" s="137"/>
      <c r="O2" s="137"/>
      <c r="P2" s="137"/>
      <c r="Q2" s="137"/>
      <c r="R2" s="138"/>
      <c r="S2" s="136" t="s">
        <v>73</v>
      </c>
      <c r="T2" s="137"/>
      <c r="U2" s="137"/>
      <c r="V2" s="137"/>
      <c r="W2" s="137"/>
      <c r="X2" s="138"/>
      <c r="Y2" s="136" t="s">
        <v>74</v>
      </c>
      <c r="Z2" s="137"/>
      <c r="AA2" s="137"/>
      <c r="AB2" s="137"/>
      <c r="AC2" s="137"/>
      <c r="AD2" s="138"/>
      <c r="AE2" s="136" t="s">
        <v>75</v>
      </c>
      <c r="AF2" s="137"/>
      <c r="AG2" s="137"/>
      <c r="AH2" s="137"/>
      <c r="AI2" s="137"/>
      <c r="AJ2" s="138"/>
      <c r="AK2" s="136" t="s">
        <v>76</v>
      </c>
      <c r="AL2" s="137"/>
      <c r="AM2" s="137"/>
      <c r="AN2" s="137"/>
      <c r="AO2" s="137"/>
      <c r="AP2" s="138"/>
      <c r="AQ2" s="136" t="s">
        <v>77</v>
      </c>
      <c r="AR2" s="137"/>
      <c r="AS2" s="137"/>
      <c r="AT2" s="137"/>
      <c r="AU2" s="137"/>
      <c r="AV2" s="138"/>
      <c r="AW2" s="136" t="s">
        <v>78</v>
      </c>
      <c r="AX2" s="137"/>
      <c r="AY2" s="137"/>
      <c r="AZ2" s="137"/>
      <c r="BA2" s="137"/>
      <c r="BB2" s="138"/>
      <c r="BC2" s="136" t="s">
        <v>79</v>
      </c>
      <c r="BD2" s="137"/>
      <c r="BE2" s="137"/>
      <c r="BF2" s="137"/>
      <c r="BG2" s="137"/>
      <c r="BH2" s="138"/>
      <c r="BI2" s="136" t="s">
        <v>80</v>
      </c>
      <c r="BJ2" s="137"/>
      <c r="BK2" s="137"/>
      <c r="BL2" s="137"/>
      <c r="BM2" s="137"/>
      <c r="BN2" s="138"/>
      <c r="BO2" s="136" t="s">
        <v>81</v>
      </c>
      <c r="BP2" s="137"/>
      <c r="BQ2" s="137"/>
      <c r="BR2" s="137"/>
      <c r="BS2" s="137"/>
      <c r="BT2" s="138"/>
      <c r="BU2" s="136" t="s">
        <v>82</v>
      </c>
      <c r="BV2" s="137"/>
      <c r="BW2" s="137"/>
      <c r="BX2" s="137"/>
      <c r="BY2" s="137"/>
      <c r="BZ2" s="138"/>
    </row>
    <row r="3" spans="1:80" s="12" customFormat="1">
      <c r="A3" s="140"/>
      <c r="B3" s="53"/>
      <c r="C3" s="33" t="s">
        <v>70</v>
      </c>
      <c r="D3" s="32" t="s">
        <v>71</v>
      </c>
      <c r="E3" s="116" t="s">
        <v>105</v>
      </c>
      <c r="F3" s="34" t="s">
        <v>65</v>
      </c>
      <c r="G3" s="33" t="s">
        <v>66</v>
      </c>
      <c r="H3" s="32" t="s">
        <v>64</v>
      </c>
      <c r="I3" s="32" t="s">
        <v>86</v>
      </c>
      <c r="J3" s="32" t="s">
        <v>63</v>
      </c>
      <c r="K3" s="32" t="s">
        <v>103</v>
      </c>
      <c r="L3" s="34" t="s">
        <v>65</v>
      </c>
      <c r="M3" s="33" t="s">
        <v>66</v>
      </c>
      <c r="N3" s="32" t="s">
        <v>64</v>
      </c>
      <c r="O3" s="32" t="s">
        <v>86</v>
      </c>
      <c r="P3" s="32" t="s">
        <v>63</v>
      </c>
      <c r="Q3" s="32" t="s">
        <v>104</v>
      </c>
      <c r="R3" s="34" t="s">
        <v>65</v>
      </c>
      <c r="S3" s="33" t="s">
        <v>66</v>
      </c>
      <c r="T3" s="32" t="s">
        <v>64</v>
      </c>
      <c r="U3" s="32" t="s">
        <v>86</v>
      </c>
      <c r="V3" s="32" t="s">
        <v>63</v>
      </c>
      <c r="W3" s="32" t="s">
        <v>99</v>
      </c>
      <c r="X3" s="34" t="s">
        <v>65</v>
      </c>
      <c r="Y3" s="33" t="s">
        <v>66</v>
      </c>
      <c r="Z3" s="32" t="s">
        <v>64</v>
      </c>
      <c r="AA3" s="32" t="s">
        <v>86</v>
      </c>
      <c r="AB3" s="32" t="s">
        <v>63</v>
      </c>
      <c r="AC3" s="32" t="s">
        <v>99</v>
      </c>
      <c r="AD3" s="34" t="s">
        <v>65</v>
      </c>
      <c r="AE3" s="33" t="s">
        <v>66</v>
      </c>
      <c r="AF3" s="32" t="s">
        <v>64</v>
      </c>
      <c r="AG3" s="32" t="s">
        <v>86</v>
      </c>
      <c r="AH3" s="32" t="s">
        <v>63</v>
      </c>
      <c r="AI3" s="32" t="s">
        <v>99</v>
      </c>
      <c r="AJ3" s="34" t="s">
        <v>65</v>
      </c>
      <c r="AK3" s="33" t="s">
        <v>66</v>
      </c>
      <c r="AL3" s="32" t="s">
        <v>64</v>
      </c>
      <c r="AM3" s="32" t="s">
        <v>86</v>
      </c>
      <c r="AN3" s="32" t="s">
        <v>63</v>
      </c>
      <c r="AO3" s="32" t="s">
        <v>99</v>
      </c>
      <c r="AP3" s="34" t="s">
        <v>65</v>
      </c>
      <c r="AQ3" s="33" t="s">
        <v>66</v>
      </c>
      <c r="AR3" s="32" t="s">
        <v>64</v>
      </c>
      <c r="AS3" s="32" t="s">
        <v>86</v>
      </c>
      <c r="AT3" s="32" t="s">
        <v>63</v>
      </c>
      <c r="AU3" s="32" t="s">
        <v>99</v>
      </c>
      <c r="AV3" s="34" t="s">
        <v>65</v>
      </c>
      <c r="AW3" s="33" t="s">
        <v>66</v>
      </c>
      <c r="AX3" s="32" t="s">
        <v>64</v>
      </c>
      <c r="AY3" s="32" t="s">
        <v>86</v>
      </c>
      <c r="AZ3" s="32" t="s">
        <v>63</v>
      </c>
      <c r="BA3" s="32" t="s">
        <v>99</v>
      </c>
      <c r="BB3" s="34" t="s">
        <v>65</v>
      </c>
      <c r="BC3" s="33" t="s">
        <v>66</v>
      </c>
      <c r="BD3" s="32" t="s">
        <v>64</v>
      </c>
      <c r="BE3" s="32" t="s">
        <v>86</v>
      </c>
      <c r="BF3" s="32" t="s">
        <v>63</v>
      </c>
      <c r="BG3" s="32" t="s">
        <v>99</v>
      </c>
      <c r="BH3" s="34" t="s">
        <v>65</v>
      </c>
      <c r="BI3" s="33" t="s">
        <v>66</v>
      </c>
      <c r="BJ3" s="32" t="s">
        <v>64</v>
      </c>
      <c r="BK3" s="32" t="s">
        <v>86</v>
      </c>
      <c r="BL3" s="32" t="s">
        <v>63</v>
      </c>
      <c r="BM3" s="32" t="s">
        <v>99</v>
      </c>
      <c r="BN3" s="34" t="s">
        <v>65</v>
      </c>
      <c r="BO3" s="33" t="s">
        <v>66</v>
      </c>
      <c r="BP3" s="32" t="s">
        <v>64</v>
      </c>
      <c r="BQ3" s="32" t="s">
        <v>86</v>
      </c>
      <c r="BR3" s="32" t="s">
        <v>63</v>
      </c>
      <c r="BS3" s="32" t="s">
        <v>99</v>
      </c>
      <c r="BT3" s="34" t="s">
        <v>65</v>
      </c>
      <c r="BU3" s="33" t="s">
        <v>84</v>
      </c>
      <c r="BV3" s="32" t="s">
        <v>64</v>
      </c>
      <c r="BW3" s="32" t="s">
        <v>85</v>
      </c>
      <c r="BX3" s="32" t="s">
        <v>63</v>
      </c>
      <c r="BY3" s="32" t="s">
        <v>99</v>
      </c>
      <c r="BZ3" s="34" t="s">
        <v>65</v>
      </c>
    </row>
    <row r="4" spans="1:80" s="84" customFormat="1">
      <c r="A4" s="76" t="s">
        <v>30</v>
      </c>
      <c r="B4" s="77"/>
      <c r="C4" s="78">
        <v>578.67999999999995</v>
      </c>
      <c r="D4" s="79"/>
      <c r="E4" s="119">
        <f t="shared" ref="E4:E9" si="0">C4</f>
        <v>578.67999999999995</v>
      </c>
      <c r="F4" s="80">
        <f t="shared" ref="F4:F9" si="1">C4</f>
        <v>578.67999999999995</v>
      </c>
      <c r="G4" s="95">
        <v>1253.0999999999999</v>
      </c>
      <c r="H4" s="96">
        <v>0</v>
      </c>
      <c r="I4" s="81">
        <f>G4</f>
        <v>1253.0999999999999</v>
      </c>
      <c r="J4" s="96"/>
      <c r="K4" s="96">
        <f>G4</f>
        <v>1253.0999999999999</v>
      </c>
      <c r="L4" s="97">
        <f>G4</f>
        <v>1253.0999999999999</v>
      </c>
      <c r="M4" s="95">
        <v>2242.31</v>
      </c>
      <c r="N4" s="96">
        <f>N5/0.1</f>
        <v>0</v>
      </c>
      <c r="O4" s="81">
        <f>M4</f>
        <v>2242.31</v>
      </c>
      <c r="P4" s="96"/>
      <c r="Q4" s="96">
        <f>M4</f>
        <v>2242.31</v>
      </c>
      <c r="R4" s="97">
        <f>M4</f>
        <v>2242.31</v>
      </c>
      <c r="S4" s="95">
        <v>1261.73</v>
      </c>
      <c r="T4" s="96"/>
      <c r="U4" s="81">
        <f>SUM(S4:T4)</f>
        <v>1261.73</v>
      </c>
      <c r="V4" s="96"/>
      <c r="W4" s="98">
        <f>X4</f>
        <v>1261.73</v>
      </c>
      <c r="X4" s="97">
        <f>S4</f>
        <v>1261.73</v>
      </c>
      <c r="Y4" s="123">
        <v>1223.58</v>
      </c>
      <c r="Z4" s="96"/>
      <c r="AA4" s="81">
        <f>Y4</f>
        <v>1223.58</v>
      </c>
      <c r="AB4" s="96"/>
      <c r="AC4" s="98">
        <f>AD4</f>
        <v>1223.58</v>
      </c>
      <c r="AD4" s="97">
        <f>Y4</f>
        <v>1223.58</v>
      </c>
      <c r="AE4" s="95">
        <v>1004.59</v>
      </c>
      <c r="AF4" s="96"/>
      <c r="AG4" s="81">
        <f>AE4</f>
        <v>1004.59</v>
      </c>
      <c r="AH4" s="96"/>
      <c r="AI4" s="98">
        <f>AI5/0.1</f>
        <v>6000</v>
      </c>
      <c r="AJ4" s="97">
        <f>AE4</f>
        <v>1004.59</v>
      </c>
      <c r="AK4" s="95">
        <v>460.93</v>
      </c>
      <c r="AL4" s="96"/>
      <c r="AM4" s="81">
        <f>SUM(AK4:AL4)</f>
        <v>460.93</v>
      </c>
      <c r="AN4" s="96"/>
      <c r="AO4" s="98">
        <f>AO5/0.1</f>
        <v>3450</v>
      </c>
      <c r="AP4" s="97">
        <f>AK4</f>
        <v>460.93</v>
      </c>
      <c r="AQ4" s="95">
        <v>360.23</v>
      </c>
      <c r="AR4" s="96"/>
      <c r="AS4" s="81">
        <f>SUM(AQ4:AR4)</f>
        <v>360.23</v>
      </c>
      <c r="AT4" s="96">
        <v>6.13</v>
      </c>
      <c r="AU4" s="115">
        <v>1800</v>
      </c>
      <c r="AV4" s="97">
        <f>AV5/0.15</f>
        <v>1000</v>
      </c>
      <c r="AW4" s="95">
        <v>770.44</v>
      </c>
      <c r="AX4" s="96"/>
      <c r="AY4" s="81">
        <f>SUM(AW4:AX4)</f>
        <v>770.44</v>
      </c>
      <c r="AZ4" s="96">
        <v>228</v>
      </c>
      <c r="BA4" s="98">
        <v>500</v>
      </c>
      <c r="BB4" s="97">
        <f>BB5/0.15</f>
        <v>1333.3333333333335</v>
      </c>
      <c r="BC4" s="95">
        <v>50.98</v>
      </c>
      <c r="BD4" s="96"/>
      <c r="BE4" s="81">
        <f>SUM(BC4:BD4)</f>
        <v>50.98</v>
      </c>
      <c r="BF4" s="96">
        <v>187.37</v>
      </c>
      <c r="BG4" s="98">
        <f>BG5/0.1</f>
        <v>800</v>
      </c>
      <c r="BH4" s="97">
        <f>BH5/0.15</f>
        <v>666.66666666666674</v>
      </c>
      <c r="BI4" s="95">
        <v>941.11</v>
      </c>
      <c r="BJ4" s="96"/>
      <c r="BK4" s="81">
        <f>SUM(BI4:BJ4)</f>
        <v>941.11</v>
      </c>
      <c r="BL4" s="96">
        <v>599.88</v>
      </c>
      <c r="BM4" s="98">
        <v>200</v>
      </c>
      <c r="BN4" s="97">
        <f>BN5/0.15</f>
        <v>2666.666666666667</v>
      </c>
      <c r="BO4" s="95">
        <v>320.89999999999998</v>
      </c>
      <c r="BP4" s="96"/>
      <c r="BQ4" s="81">
        <f>SUM(BO4:BP4)</f>
        <v>320.89999999999998</v>
      </c>
      <c r="BR4" s="96">
        <v>976.6</v>
      </c>
      <c r="BS4" s="98">
        <v>80</v>
      </c>
      <c r="BT4" s="97">
        <f>BT5/0.15</f>
        <v>1000</v>
      </c>
      <c r="BU4" s="82">
        <f>C4+G4+M4+S4+Y4+AE4+AK4+AQ4+AW4+BC4+BI4+BO4</f>
        <v>10468.58</v>
      </c>
      <c r="BV4" s="81">
        <f t="shared" ref="BV4:BV9" si="2">BP4+BJ4</f>
        <v>0</v>
      </c>
      <c r="BW4" s="81">
        <f>SUM(BU4:BV4)</f>
        <v>10468.58</v>
      </c>
      <c r="BX4" s="81">
        <f>SUMIF($C$3:$BT$3,BX$3,$C4:$BT4)</f>
        <v>1997.98</v>
      </c>
      <c r="BY4" s="81">
        <f>SUMIF($C$3:$BT$3,BY$3,$C4:$BT4)</f>
        <v>19389.400000000001</v>
      </c>
      <c r="BZ4" s="83">
        <f>SUMIF($C$3:$BT$3,BZ$3,$C4:$BT4)</f>
        <v>14691.586666666666</v>
      </c>
    </row>
    <row r="5" spans="1:80">
      <c r="A5" s="2" t="s">
        <v>0</v>
      </c>
      <c r="B5" s="54"/>
      <c r="C5" s="43">
        <v>67.31</v>
      </c>
      <c r="D5" s="23"/>
      <c r="E5" s="119">
        <f t="shared" si="0"/>
        <v>67.31</v>
      </c>
      <c r="F5" s="80">
        <f t="shared" si="1"/>
        <v>67.31</v>
      </c>
      <c r="G5" s="35">
        <v>145.77000000000001</v>
      </c>
      <c r="H5" s="31">
        <v>0</v>
      </c>
      <c r="I5" s="81">
        <f t="shared" ref="I5:I46" si="3">G5</f>
        <v>145.77000000000001</v>
      </c>
      <c r="J5" s="31"/>
      <c r="K5" s="96">
        <f>G5</f>
        <v>145.77000000000001</v>
      </c>
      <c r="L5" s="97">
        <f>G5</f>
        <v>145.77000000000001</v>
      </c>
      <c r="M5" s="35">
        <v>304.67</v>
      </c>
      <c r="N5" s="96"/>
      <c r="O5" s="81">
        <f t="shared" ref="O5:O8" si="4">M5</f>
        <v>304.67</v>
      </c>
      <c r="P5" s="31"/>
      <c r="Q5" s="96">
        <f>M5</f>
        <v>304.67</v>
      </c>
      <c r="R5" s="97">
        <f>M5</f>
        <v>304.67</v>
      </c>
      <c r="S5" s="95">
        <v>158.25</v>
      </c>
      <c r="T5" s="96"/>
      <c r="U5" s="19">
        <f>SUM(S5:T5)</f>
        <v>158.25</v>
      </c>
      <c r="V5" s="31"/>
      <c r="W5" s="98">
        <f>X5</f>
        <v>158.25</v>
      </c>
      <c r="X5" s="97">
        <f>S5</f>
        <v>158.25</v>
      </c>
      <c r="Y5" s="124">
        <v>199.99</v>
      </c>
      <c r="Z5" s="31"/>
      <c r="AA5" s="81">
        <f t="shared" ref="AA5:AA8" si="5">Y5</f>
        <v>199.99</v>
      </c>
      <c r="AB5" s="31"/>
      <c r="AC5" s="98">
        <f>AD5</f>
        <v>199.99</v>
      </c>
      <c r="AD5" s="97">
        <f>Y5</f>
        <v>199.99</v>
      </c>
      <c r="AE5" s="35">
        <v>260.08999999999997</v>
      </c>
      <c r="AF5" s="96"/>
      <c r="AG5" s="81">
        <f t="shared" ref="AG5:AG8" si="6">AE5</f>
        <v>260.08999999999997</v>
      </c>
      <c r="AH5" s="31"/>
      <c r="AI5" s="98">
        <v>600</v>
      </c>
      <c r="AJ5" s="97">
        <f>AE5</f>
        <v>260.08999999999997</v>
      </c>
      <c r="AK5" s="35">
        <v>88.62</v>
      </c>
      <c r="AL5" s="31"/>
      <c r="AM5" s="19">
        <f>SUM(AK5:AL5)</f>
        <v>88.62</v>
      </c>
      <c r="AN5" s="31"/>
      <c r="AO5" s="98">
        <v>345</v>
      </c>
      <c r="AP5" s="97">
        <f>AK5</f>
        <v>88.62</v>
      </c>
      <c r="AQ5" s="35">
        <v>64</v>
      </c>
      <c r="AR5" s="31"/>
      <c r="AS5" s="19">
        <f>SUM(AQ5:AR5)</f>
        <v>64</v>
      </c>
      <c r="AT5" s="31">
        <v>5.79</v>
      </c>
      <c r="AU5" s="98">
        <v>333</v>
      </c>
      <c r="AV5" s="36">
        <v>150</v>
      </c>
      <c r="AW5" s="35">
        <v>157.16</v>
      </c>
      <c r="AX5" s="31"/>
      <c r="AY5" s="19">
        <f>SUM(AW5:AX5)</f>
        <v>157.16</v>
      </c>
      <c r="AZ5" s="31">
        <v>17.260000000000002</v>
      </c>
      <c r="BA5" s="98">
        <v>100</v>
      </c>
      <c r="BB5" s="36">
        <v>200</v>
      </c>
      <c r="BC5" s="35">
        <v>28.13</v>
      </c>
      <c r="BD5" s="31"/>
      <c r="BE5" s="19">
        <f>SUM(BC5:BD5)</f>
        <v>28.13</v>
      </c>
      <c r="BF5" s="31">
        <v>20.260000000000002</v>
      </c>
      <c r="BG5" s="98">
        <v>80</v>
      </c>
      <c r="BH5" s="36">
        <v>100</v>
      </c>
      <c r="BI5" s="35">
        <v>216.7</v>
      </c>
      <c r="BJ5" s="31"/>
      <c r="BK5" s="19">
        <f>SUM(BI5:BJ5)</f>
        <v>216.7</v>
      </c>
      <c r="BL5" s="31">
        <v>67.010000000000005</v>
      </c>
      <c r="BM5" s="98">
        <v>200</v>
      </c>
      <c r="BN5" s="36">
        <v>400</v>
      </c>
      <c r="BO5" s="35">
        <v>98</v>
      </c>
      <c r="BP5" s="96"/>
      <c r="BQ5" s="19">
        <f>SUM(BO5:BP5)</f>
        <v>98</v>
      </c>
      <c r="BR5" s="31">
        <v>112.6</v>
      </c>
      <c r="BS5" s="98">
        <v>80</v>
      </c>
      <c r="BT5" s="36">
        <v>150</v>
      </c>
      <c r="BU5" s="82">
        <f>C5+G5+M5+S5+Y5+AE5+AK5+AQ5+AW5+BC5+BI5+BO5</f>
        <v>1788.69</v>
      </c>
      <c r="BV5" s="81">
        <f t="shared" si="2"/>
        <v>0</v>
      </c>
      <c r="BW5" s="19">
        <f>SUM(BU5:BV5)</f>
        <v>1788.69</v>
      </c>
      <c r="BX5" s="19">
        <f>SUMIF($C$3:$BT$3,BX$3,$C5:$BT5)</f>
        <v>222.92000000000002</v>
      </c>
      <c r="BY5" s="19">
        <f t="shared" ref="BY5:BZ8" si="7">SUMIF($C$3:$BT$3,BY$3,$C5:$BT5)</f>
        <v>2613.9899999999998</v>
      </c>
      <c r="BZ5" s="37">
        <f t="shared" si="7"/>
        <v>2224.6999999999998</v>
      </c>
      <c r="CA5" s="75"/>
      <c r="CB5" s="75"/>
    </row>
    <row r="6" spans="1:80" s="84" customFormat="1">
      <c r="A6" s="76" t="s">
        <v>2</v>
      </c>
      <c r="B6" s="77"/>
      <c r="C6" s="78">
        <v>67.31</v>
      </c>
      <c r="D6" s="79"/>
      <c r="E6" s="119">
        <f t="shared" si="0"/>
        <v>67.31</v>
      </c>
      <c r="F6" s="80">
        <f t="shared" si="1"/>
        <v>67.31</v>
      </c>
      <c r="G6" s="95">
        <v>93.89</v>
      </c>
      <c r="H6" s="96">
        <v>0</v>
      </c>
      <c r="I6" s="81">
        <f t="shared" si="3"/>
        <v>93.89</v>
      </c>
      <c r="J6" s="96"/>
      <c r="K6" s="96">
        <f>G6</f>
        <v>93.89</v>
      </c>
      <c r="L6" s="97">
        <f>G6</f>
        <v>93.89</v>
      </c>
      <c r="M6" s="113">
        <v>322.54000000000002</v>
      </c>
      <c r="N6" s="96"/>
      <c r="O6" s="81">
        <f t="shared" si="4"/>
        <v>322.54000000000002</v>
      </c>
      <c r="P6" s="96"/>
      <c r="Q6" s="96">
        <f>M6</f>
        <v>322.54000000000002</v>
      </c>
      <c r="R6" s="97">
        <f>M6</f>
        <v>322.54000000000002</v>
      </c>
      <c r="S6" s="95">
        <v>207.7</v>
      </c>
      <c r="T6" s="96"/>
      <c r="U6" s="81">
        <f>SUM(S6:T6)</f>
        <v>207.7</v>
      </c>
      <c r="V6" s="96"/>
      <c r="W6" s="98">
        <f>X6</f>
        <v>207.7</v>
      </c>
      <c r="X6" s="97">
        <f>S6</f>
        <v>207.7</v>
      </c>
      <c r="Y6" s="123">
        <v>211.66</v>
      </c>
      <c r="Z6" s="96"/>
      <c r="AA6" s="81">
        <f t="shared" si="5"/>
        <v>211.66</v>
      </c>
      <c r="AB6" s="96"/>
      <c r="AC6" s="98">
        <f>AD6</f>
        <v>211.66</v>
      </c>
      <c r="AD6" s="97">
        <f>Y6</f>
        <v>211.66</v>
      </c>
      <c r="AE6" s="95">
        <v>144.46</v>
      </c>
      <c r="AF6" s="96"/>
      <c r="AG6" s="81">
        <f t="shared" si="6"/>
        <v>144.46</v>
      </c>
      <c r="AH6" s="96"/>
      <c r="AI6" s="98">
        <v>570</v>
      </c>
      <c r="AJ6" s="97">
        <f>AE6</f>
        <v>144.46</v>
      </c>
      <c r="AK6" s="95">
        <v>105.18</v>
      </c>
      <c r="AL6" s="96"/>
      <c r="AM6" s="81">
        <f>SUM(AK6:AL6)</f>
        <v>105.18</v>
      </c>
      <c r="AN6" s="96"/>
      <c r="AO6" s="98">
        <f>AO7*1.13</f>
        <v>327.74520000000001</v>
      </c>
      <c r="AP6" s="97">
        <f>AK6</f>
        <v>105.18</v>
      </c>
      <c r="AQ6" s="95">
        <v>63.66</v>
      </c>
      <c r="AR6" s="96"/>
      <c r="AS6" s="81">
        <f>SUM(AQ6:AR6)</f>
        <v>63.66</v>
      </c>
      <c r="AT6" s="96">
        <v>0</v>
      </c>
      <c r="AU6" s="98">
        <v>316</v>
      </c>
      <c r="AV6" s="97">
        <v>150</v>
      </c>
      <c r="AW6" s="95">
        <v>55.81</v>
      </c>
      <c r="AX6" s="96"/>
      <c r="AY6" s="81">
        <f>SUM(AW6:AX6)</f>
        <v>55.81</v>
      </c>
      <c r="AZ6" s="96">
        <v>12.34</v>
      </c>
      <c r="BA6" s="98">
        <v>100</v>
      </c>
      <c r="BB6" s="97">
        <v>200</v>
      </c>
      <c r="BC6" s="95">
        <v>76.78</v>
      </c>
      <c r="BD6" s="96"/>
      <c r="BE6" s="81">
        <f>SUM(BC6:BD6)</f>
        <v>76.78</v>
      </c>
      <c r="BF6" s="96">
        <v>25.83</v>
      </c>
      <c r="BG6" s="98">
        <v>80</v>
      </c>
      <c r="BH6" s="97">
        <v>100</v>
      </c>
      <c r="BI6" s="95">
        <f>162.88+5.17</f>
        <v>168.04999999999998</v>
      </c>
      <c r="BJ6" s="96"/>
      <c r="BK6" s="81">
        <f>SUM(BI6:BJ6)</f>
        <v>168.04999999999998</v>
      </c>
      <c r="BL6" s="96">
        <v>65.89</v>
      </c>
      <c r="BM6" s="98">
        <v>200</v>
      </c>
      <c r="BN6" s="97">
        <v>400</v>
      </c>
      <c r="BO6" s="95">
        <v>86.96</v>
      </c>
      <c r="BP6" s="96"/>
      <c r="BQ6" s="81">
        <f>SUM(BO6:BP6)</f>
        <v>86.96</v>
      </c>
      <c r="BR6" s="96">
        <v>98</v>
      </c>
      <c r="BS6" s="98">
        <v>80</v>
      </c>
      <c r="BT6" s="97">
        <v>150</v>
      </c>
      <c r="BU6" s="82">
        <f>C6+G6+M6+S6+Y6+AE6+AK6+AQ6+AW6+BC6+BI6+BO6</f>
        <v>1604</v>
      </c>
      <c r="BV6" s="81">
        <f t="shared" si="2"/>
        <v>0</v>
      </c>
      <c r="BW6" s="81">
        <f>SUM(BU6:BV6)</f>
        <v>1604</v>
      </c>
      <c r="BX6" s="81">
        <f>SUMIF($C$3:$BT$3,BX$3,$C6:$BT6)</f>
        <v>202.06</v>
      </c>
      <c r="BY6" s="81">
        <f t="shared" si="7"/>
        <v>2576.8451999999997</v>
      </c>
      <c r="BZ6" s="83">
        <f t="shared" si="7"/>
        <v>2152.7399999999998</v>
      </c>
      <c r="CA6" s="75"/>
      <c r="CB6" s="75"/>
    </row>
    <row r="7" spans="1:80">
      <c r="A7" s="2" t="s">
        <v>28</v>
      </c>
      <c r="B7" s="54"/>
      <c r="C7" s="43">
        <v>59.57</v>
      </c>
      <c r="D7" s="23"/>
      <c r="E7" s="119">
        <f t="shared" si="0"/>
        <v>59.57</v>
      </c>
      <c r="F7" s="80">
        <f t="shared" si="1"/>
        <v>59.57</v>
      </c>
      <c r="G7" s="35">
        <v>129</v>
      </c>
      <c r="H7" s="31">
        <v>0</v>
      </c>
      <c r="I7" s="81">
        <f t="shared" si="3"/>
        <v>129</v>
      </c>
      <c r="J7" s="31"/>
      <c r="K7" s="96">
        <f>G7</f>
        <v>129</v>
      </c>
      <c r="L7" s="97">
        <f>G7</f>
        <v>129</v>
      </c>
      <c r="M7" s="35">
        <v>269.62</v>
      </c>
      <c r="N7" s="96"/>
      <c r="O7" s="81">
        <f t="shared" si="4"/>
        <v>269.62</v>
      </c>
      <c r="P7" s="31"/>
      <c r="Q7" s="96">
        <f>M7</f>
        <v>269.62</v>
      </c>
      <c r="R7" s="97">
        <f>M7</f>
        <v>269.62</v>
      </c>
      <c r="S7" s="35">
        <v>140.05000000000001</v>
      </c>
      <c r="T7" s="96"/>
      <c r="U7" s="19">
        <f>SUM(S7:T7)</f>
        <v>140.05000000000001</v>
      </c>
      <c r="V7" s="31"/>
      <c r="W7" s="98">
        <f>X7</f>
        <v>140.05000000000001</v>
      </c>
      <c r="X7" s="97">
        <f>S7</f>
        <v>140.05000000000001</v>
      </c>
      <c r="Y7" s="124">
        <v>176.98</v>
      </c>
      <c r="Z7" s="31"/>
      <c r="AA7" s="81">
        <f t="shared" si="5"/>
        <v>176.98</v>
      </c>
      <c r="AB7" s="31"/>
      <c r="AC7" s="98">
        <f>AD7</f>
        <v>176.98</v>
      </c>
      <c r="AD7" s="97">
        <f>Y7</f>
        <v>176.98</v>
      </c>
      <c r="AE7" s="35">
        <v>230.17</v>
      </c>
      <c r="AF7" s="96"/>
      <c r="AG7" s="81">
        <f t="shared" si="6"/>
        <v>230.17</v>
      </c>
      <c r="AH7" s="31"/>
      <c r="AI7" s="98">
        <v>504.4</v>
      </c>
      <c r="AJ7" s="97">
        <f>AE7</f>
        <v>230.17</v>
      </c>
      <c r="AK7" s="35">
        <v>78.430000000000007</v>
      </c>
      <c r="AL7" s="31"/>
      <c r="AM7" s="19">
        <f>SUM(AK7:AL7)</f>
        <v>78.430000000000007</v>
      </c>
      <c r="AN7" s="31"/>
      <c r="AO7" s="98">
        <v>290.04000000000002</v>
      </c>
      <c r="AP7" s="97">
        <f>AK7</f>
        <v>78.430000000000007</v>
      </c>
      <c r="AQ7" s="35">
        <v>56.64</v>
      </c>
      <c r="AR7" s="31"/>
      <c r="AS7" s="19">
        <f>SUM(AQ7:AR7)</f>
        <v>56.64</v>
      </c>
      <c r="AT7" s="31">
        <v>4.5</v>
      </c>
      <c r="AU7" s="98">
        <v>279.5</v>
      </c>
      <c r="AV7" s="36">
        <v>132.75</v>
      </c>
      <c r="AW7" s="35">
        <v>139.08000000000001</v>
      </c>
      <c r="AX7" s="31"/>
      <c r="AY7" s="19">
        <f>SUM(AW7:AX7)</f>
        <v>139.08000000000001</v>
      </c>
      <c r="AZ7" s="31">
        <v>15.28</v>
      </c>
      <c r="BA7" s="98">
        <f>BA5/1.13</f>
        <v>88.495575221238951</v>
      </c>
      <c r="BB7" s="36">
        <v>177</v>
      </c>
      <c r="BC7" s="35">
        <v>24.9</v>
      </c>
      <c r="BD7" s="31"/>
      <c r="BE7" s="19">
        <f>SUM(BC7:BD7)</f>
        <v>24.9</v>
      </c>
      <c r="BF7" s="31">
        <v>18.010000000000002</v>
      </c>
      <c r="BG7" s="98">
        <f>BG5/1.13</f>
        <v>70.796460176991161</v>
      </c>
      <c r="BH7" s="36">
        <v>88.5</v>
      </c>
      <c r="BI7" s="35">
        <v>191.77</v>
      </c>
      <c r="BJ7" s="31">
        <f>BJ6/1.13</f>
        <v>0</v>
      </c>
      <c r="BK7" s="19">
        <f>SUM(BI7:BJ7)</f>
        <v>191.77</v>
      </c>
      <c r="BL7" s="31">
        <v>59.3</v>
      </c>
      <c r="BM7" s="98">
        <f>BM6/1.13</f>
        <v>176.9911504424779</v>
      </c>
      <c r="BN7" s="36">
        <v>354</v>
      </c>
      <c r="BO7" s="35">
        <v>86.72</v>
      </c>
      <c r="BP7" s="96"/>
      <c r="BQ7" s="19">
        <f>SUM(BO7:BP7)</f>
        <v>86.72</v>
      </c>
      <c r="BR7" s="31">
        <v>99.65</v>
      </c>
      <c r="BS7" s="98">
        <f>BS6/1.13</f>
        <v>70.796460176991161</v>
      </c>
      <c r="BT7" s="36">
        <v>132.75</v>
      </c>
      <c r="BU7" s="82">
        <f>C7+G7+M7+S7+Y7+AE7+AK7+AQ7+AW7+BC7+BI7+BO7</f>
        <v>1582.93</v>
      </c>
      <c r="BV7" s="81">
        <f t="shared" si="2"/>
        <v>0</v>
      </c>
      <c r="BW7" s="19">
        <f>SUM(BU7:BV7)</f>
        <v>1582.93</v>
      </c>
      <c r="BX7" s="19">
        <f>SUMIF($C$3:$BT$3,BX$3,$C7:$BT7)</f>
        <v>196.74</v>
      </c>
      <c r="BY7" s="19">
        <f t="shared" si="7"/>
        <v>2256.2396460176992</v>
      </c>
      <c r="BZ7" s="37">
        <f t="shared" si="7"/>
        <v>1968.82</v>
      </c>
      <c r="CA7" s="75"/>
      <c r="CB7" s="75"/>
    </row>
    <row r="8" spans="1:80" s="74" customFormat="1">
      <c r="A8" s="65" t="s">
        <v>29</v>
      </c>
      <c r="B8" s="66"/>
      <c r="C8" s="67">
        <v>36.340000000000003</v>
      </c>
      <c r="D8" s="68"/>
      <c r="E8" s="119">
        <f t="shared" si="0"/>
        <v>36.340000000000003</v>
      </c>
      <c r="F8" s="80">
        <f t="shared" si="1"/>
        <v>36.340000000000003</v>
      </c>
      <c r="G8" s="69">
        <v>71.58</v>
      </c>
      <c r="H8" s="64">
        <v>0</v>
      </c>
      <c r="I8" s="81">
        <f t="shared" si="3"/>
        <v>71.58</v>
      </c>
      <c r="J8" s="64"/>
      <c r="K8" s="96">
        <f>G8</f>
        <v>71.58</v>
      </c>
      <c r="L8" s="97">
        <f>G8</f>
        <v>71.58</v>
      </c>
      <c r="M8" s="69">
        <v>144.56</v>
      </c>
      <c r="N8" s="110"/>
      <c r="O8" s="81">
        <f t="shared" si="4"/>
        <v>144.56</v>
      </c>
      <c r="P8" s="64"/>
      <c r="Q8" s="96">
        <f>M8</f>
        <v>144.56</v>
      </c>
      <c r="R8" s="97">
        <f>M8</f>
        <v>144.56</v>
      </c>
      <c r="S8" s="69">
        <v>80.06</v>
      </c>
      <c r="T8" s="110"/>
      <c r="U8" s="70">
        <f>SUM(S8:T8)</f>
        <v>80.06</v>
      </c>
      <c r="V8" s="64"/>
      <c r="W8" s="98">
        <f>X8</f>
        <v>80.06</v>
      </c>
      <c r="X8" s="97">
        <f>S8</f>
        <v>80.06</v>
      </c>
      <c r="Y8" s="125">
        <v>75.069999999999993</v>
      </c>
      <c r="Z8" s="64"/>
      <c r="AA8" s="81">
        <f t="shared" si="5"/>
        <v>75.069999999999993</v>
      </c>
      <c r="AB8" s="64"/>
      <c r="AC8" s="98">
        <f>AD8</f>
        <v>75.069999999999993</v>
      </c>
      <c r="AD8" s="97">
        <f>Y8</f>
        <v>75.069999999999993</v>
      </c>
      <c r="AE8" s="69">
        <v>58.82</v>
      </c>
      <c r="AF8" s="96"/>
      <c r="AG8" s="81">
        <f t="shared" si="6"/>
        <v>58.82</v>
      </c>
      <c r="AH8" s="64"/>
      <c r="AI8" s="98">
        <f>AI7*0.4</f>
        <v>201.76</v>
      </c>
      <c r="AJ8" s="97">
        <f>AE8</f>
        <v>58.82</v>
      </c>
      <c r="AK8" s="69">
        <v>6.5</v>
      </c>
      <c r="AL8" s="64"/>
      <c r="AM8" s="70">
        <f>SUM(AK8:AL8)</f>
        <v>6.5</v>
      </c>
      <c r="AN8" s="64"/>
      <c r="AO8" s="98">
        <f>AO7*0.3-8</f>
        <v>79.012</v>
      </c>
      <c r="AP8" s="97">
        <f>AK8</f>
        <v>6.5</v>
      </c>
      <c r="AQ8" s="69">
        <v>20.46</v>
      </c>
      <c r="AR8" s="64"/>
      <c r="AS8" s="70">
        <f>SUM(AQ8:AR8)</f>
        <v>20.46</v>
      </c>
      <c r="AT8" s="64">
        <v>0.13</v>
      </c>
      <c r="AU8" s="98">
        <f>AU7-168</f>
        <v>111.5</v>
      </c>
      <c r="AV8" s="36">
        <f>AV7-85.8</f>
        <v>46.95</v>
      </c>
      <c r="AW8" s="69">
        <v>84.39</v>
      </c>
      <c r="AX8" s="64"/>
      <c r="AY8" s="70">
        <f>SUM(AW8:AX8)</f>
        <v>84.39</v>
      </c>
      <c r="AZ8" s="64">
        <v>4.7699999999999996</v>
      </c>
      <c r="BA8" s="98">
        <f>BA7*0.3</f>
        <v>26.548672566371685</v>
      </c>
      <c r="BB8" s="71">
        <v>55</v>
      </c>
      <c r="BC8" s="69">
        <v>10.220000000000001</v>
      </c>
      <c r="BD8" s="64"/>
      <c r="BE8" s="70">
        <f>SUM(BC8:BD8)</f>
        <v>10.220000000000001</v>
      </c>
      <c r="BF8" s="64">
        <v>5.0999999999999996</v>
      </c>
      <c r="BG8" s="98">
        <f>BG7*0.35</f>
        <v>24.778761061946906</v>
      </c>
      <c r="BH8" s="36">
        <v>31.15</v>
      </c>
      <c r="BI8" s="69">
        <v>35.75</v>
      </c>
      <c r="BJ8" s="64"/>
      <c r="BK8" s="70">
        <f>SUM(BI8:BJ8)</f>
        <v>35.75</v>
      </c>
      <c r="BL8" s="64">
        <v>41.99</v>
      </c>
      <c r="BM8" s="98">
        <v>31.86</v>
      </c>
      <c r="BN8" s="36">
        <v>102.3</v>
      </c>
      <c r="BO8" s="69">
        <v>13.82</v>
      </c>
      <c r="BP8" s="110"/>
      <c r="BQ8" s="70">
        <f>SUM(BO8:BP8)</f>
        <v>13.82</v>
      </c>
      <c r="BR8" s="64">
        <v>45.96</v>
      </c>
      <c r="BS8" s="98">
        <v>12.74</v>
      </c>
      <c r="BT8" s="36">
        <v>46.9</v>
      </c>
      <c r="BU8" s="82">
        <f>C8+G8+M8+S8+Y8+AE8+AK8+AQ8+AW8+BC8+BI8+BO8</f>
        <v>637.57000000000005</v>
      </c>
      <c r="BV8" s="81">
        <f t="shared" si="2"/>
        <v>0</v>
      </c>
      <c r="BW8" s="70">
        <f>SUM(BU8:BV8)</f>
        <v>637.57000000000005</v>
      </c>
      <c r="BX8" s="70">
        <f>SUMIF($C$3:$BT$3,BX$3,$C8:$BT8)</f>
        <v>97.95</v>
      </c>
      <c r="BY8" s="70">
        <f t="shared" si="7"/>
        <v>895.80943362831863</v>
      </c>
      <c r="BZ8" s="73">
        <f t="shared" si="7"/>
        <v>755.2299999999999</v>
      </c>
      <c r="CA8" s="75"/>
      <c r="CB8" s="75"/>
    </row>
    <row r="9" spans="1:80">
      <c r="A9" s="2" t="s">
        <v>3</v>
      </c>
      <c r="B9" s="54"/>
      <c r="C9" s="18">
        <v>23.229999999999997</v>
      </c>
      <c r="D9" s="19">
        <v>0</v>
      </c>
      <c r="E9" s="119">
        <f t="shared" si="0"/>
        <v>23.229999999999997</v>
      </c>
      <c r="F9" s="37">
        <f t="shared" si="1"/>
        <v>23.229999999999997</v>
      </c>
      <c r="G9" s="18">
        <f t="shared" ref="G9:L9" si="8">G7-G8</f>
        <v>57.42</v>
      </c>
      <c r="H9" s="19">
        <f t="shared" si="8"/>
        <v>0</v>
      </c>
      <c r="I9" s="81">
        <f t="shared" si="3"/>
        <v>57.42</v>
      </c>
      <c r="J9" s="19">
        <f t="shared" si="8"/>
        <v>0</v>
      </c>
      <c r="K9" s="19">
        <f t="shared" si="8"/>
        <v>57.42</v>
      </c>
      <c r="L9" s="37">
        <f t="shared" si="8"/>
        <v>57.42</v>
      </c>
      <c r="M9" s="18">
        <f t="shared" ref="M9:AR9" si="9">M7-M8</f>
        <v>125.06</v>
      </c>
      <c r="N9" s="19">
        <f t="shared" si="9"/>
        <v>0</v>
      </c>
      <c r="O9" s="19">
        <f t="shared" si="9"/>
        <v>125.06</v>
      </c>
      <c r="P9" s="19">
        <f t="shared" si="9"/>
        <v>0</v>
      </c>
      <c r="Q9" s="19">
        <f t="shared" si="9"/>
        <v>125.06</v>
      </c>
      <c r="R9" s="37">
        <f t="shared" si="9"/>
        <v>125.06</v>
      </c>
      <c r="S9" s="18">
        <f t="shared" si="9"/>
        <v>59.990000000000009</v>
      </c>
      <c r="T9" s="19">
        <f t="shared" si="9"/>
        <v>0</v>
      </c>
      <c r="U9" s="19">
        <f t="shared" si="9"/>
        <v>59.990000000000009</v>
      </c>
      <c r="V9" s="19">
        <f t="shared" si="9"/>
        <v>0</v>
      </c>
      <c r="W9" s="45">
        <f t="shared" si="9"/>
        <v>59.990000000000009</v>
      </c>
      <c r="X9" s="37">
        <f t="shared" si="9"/>
        <v>59.990000000000009</v>
      </c>
      <c r="Y9" s="18">
        <f t="shared" si="9"/>
        <v>101.91</v>
      </c>
      <c r="Z9" s="19">
        <f t="shared" si="9"/>
        <v>0</v>
      </c>
      <c r="AA9" s="19">
        <f t="shared" si="9"/>
        <v>101.91</v>
      </c>
      <c r="AB9" s="19">
        <f t="shared" si="9"/>
        <v>0</v>
      </c>
      <c r="AC9" s="45">
        <f t="shared" si="9"/>
        <v>101.91</v>
      </c>
      <c r="AD9" s="37">
        <f t="shared" si="9"/>
        <v>101.91</v>
      </c>
      <c r="AE9" s="18">
        <f t="shared" si="9"/>
        <v>171.35</v>
      </c>
      <c r="AF9" s="19">
        <f t="shared" si="9"/>
        <v>0</v>
      </c>
      <c r="AG9" s="19">
        <f t="shared" si="9"/>
        <v>171.35</v>
      </c>
      <c r="AH9" s="19">
        <f t="shared" si="9"/>
        <v>0</v>
      </c>
      <c r="AI9" s="45">
        <f t="shared" si="9"/>
        <v>302.64</v>
      </c>
      <c r="AJ9" s="37">
        <f t="shared" si="9"/>
        <v>171.35</v>
      </c>
      <c r="AK9" s="18">
        <f t="shared" si="9"/>
        <v>71.930000000000007</v>
      </c>
      <c r="AL9" s="19">
        <f t="shared" si="9"/>
        <v>0</v>
      </c>
      <c r="AM9" s="19">
        <f t="shared" si="9"/>
        <v>71.930000000000007</v>
      </c>
      <c r="AN9" s="19">
        <f t="shared" si="9"/>
        <v>0</v>
      </c>
      <c r="AO9" s="45">
        <f t="shared" si="9"/>
        <v>211.02800000000002</v>
      </c>
      <c r="AP9" s="37">
        <f t="shared" si="9"/>
        <v>71.930000000000007</v>
      </c>
      <c r="AQ9" s="18">
        <f t="shared" si="9"/>
        <v>36.18</v>
      </c>
      <c r="AR9" s="19">
        <f t="shared" si="9"/>
        <v>0</v>
      </c>
      <c r="AS9" s="19">
        <f t="shared" ref="AS9:BU9" si="10">AS7-AS8</f>
        <v>36.18</v>
      </c>
      <c r="AT9" s="19">
        <f t="shared" si="10"/>
        <v>4.37</v>
      </c>
      <c r="AU9" s="45">
        <f t="shared" si="10"/>
        <v>168</v>
      </c>
      <c r="AV9" s="37">
        <f t="shared" si="10"/>
        <v>85.8</v>
      </c>
      <c r="AW9" s="18">
        <f t="shared" si="10"/>
        <v>54.690000000000012</v>
      </c>
      <c r="AX9" s="19">
        <f t="shared" si="10"/>
        <v>0</v>
      </c>
      <c r="AY9" s="19">
        <f t="shared" si="10"/>
        <v>54.690000000000012</v>
      </c>
      <c r="AZ9" s="19">
        <f t="shared" si="10"/>
        <v>10.51</v>
      </c>
      <c r="BA9" s="45">
        <f t="shared" si="10"/>
        <v>61.946902654867266</v>
      </c>
      <c r="BB9" s="37">
        <f t="shared" si="10"/>
        <v>122</v>
      </c>
      <c r="BC9" s="18">
        <f t="shared" si="10"/>
        <v>14.679999999999998</v>
      </c>
      <c r="BD9" s="19">
        <f t="shared" si="10"/>
        <v>0</v>
      </c>
      <c r="BE9" s="19">
        <f t="shared" si="10"/>
        <v>14.679999999999998</v>
      </c>
      <c r="BF9" s="19">
        <f t="shared" si="10"/>
        <v>12.910000000000002</v>
      </c>
      <c r="BG9" s="45">
        <f t="shared" si="10"/>
        <v>46.017699115044252</v>
      </c>
      <c r="BH9" s="37">
        <f t="shared" si="10"/>
        <v>57.35</v>
      </c>
      <c r="BI9" s="18">
        <f t="shared" si="10"/>
        <v>156.02000000000001</v>
      </c>
      <c r="BJ9" s="19">
        <f t="shared" si="10"/>
        <v>0</v>
      </c>
      <c r="BK9" s="19">
        <f t="shared" si="10"/>
        <v>156.02000000000001</v>
      </c>
      <c r="BL9" s="19">
        <f t="shared" si="10"/>
        <v>17.309999999999995</v>
      </c>
      <c r="BM9" s="45">
        <f t="shared" si="10"/>
        <v>145.13115044247792</v>
      </c>
      <c r="BN9" s="37">
        <f t="shared" si="10"/>
        <v>251.7</v>
      </c>
      <c r="BO9" s="18">
        <f t="shared" si="10"/>
        <v>72.900000000000006</v>
      </c>
      <c r="BP9" s="19">
        <f t="shared" si="10"/>
        <v>0</v>
      </c>
      <c r="BQ9" s="19">
        <f t="shared" si="10"/>
        <v>72.900000000000006</v>
      </c>
      <c r="BR9" s="19">
        <f t="shared" si="10"/>
        <v>53.690000000000005</v>
      </c>
      <c r="BS9" s="45">
        <f t="shared" si="10"/>
        <v>58.056460176991159</v>
      </c>
      <c r="BT9" s="37">
        <f t="shared" si="10"/>
        <v>85.85</v>
      </c>
      <c r="BU9" s="18">
        <f t="shared" si="10"/>
        <v>945.36</v>
      </c>
      <c r="BV9" s="81">
        <f t="shared" si="2"/>
        <v>0</v>
      </c>
      <c r="BW9" s="19">
        <f>BW7-BW8</f>
        <v>945.36</v>
      </c>
      <c r="BX9" s="19">
        <f>BX7-BX8</f>
        <v>98.79</v>
      </c>
      <c r="BY9" s="19">
        <f>BY7-BY8</f>
        <v>1360.4302123893806</v>
      </c>
      <c r="BZ9" s="37">
        <f>BZ7-BZ8</f>
        <v>1213.5900000000001</v>
      </c>
      <c r="CA9" s="75"/>
      <c r="CB9" s="75"/>
    </row>
    <row r="10" spans="1:80" s="13" customFormat="1">
      <c r="A10" s="60" t="s">
        <v>4</v>
      </c>
      <c r="B10" s="55"/>
      <c r="C10" s="38">
        <f>IFERROR(C9/C7,"/")</f>
        <v>0.3899613899613899</v>
      </c>
      <c r="D10" s="9" t="str">
        <f t="shared" ref="D10:L10" si="11">IFERROR(D9/D7,"/")</f>
        <v>/</v>
      </c>
      <c r="E10" s="9">
        <f t="shared" si="11"/>
        <v>0.3899613899613899</v>
      </c>
      <c r="F10" s="10">
        <f t="shared" si="11"/>
        <v>0.3899613899613899</v>
      </c>
      <c r="G10" s="38">
        <f t="shared" si="11"/>
        <v>0.44511627906976747</v>
      </c>
      <c r="H10" s="9" t="str">
        <f t="shared" si="11"/>
        <v>/</v>
      </c>
      <c r="I10" s="81">
        <f t="shared" si="3"/>
        <v>0.44511627906976747</v>
      </c>
      <c r="J10" s="9" t="str">
        <f t="shared" si="11"/>
        <v>/</v>
      </c>
      <c r="K10" s="9">
        <f t="shared" si="11"/>
        <v>0.44511627906976747</v>
      </c>
      <c r="L10" s="10">
        <f t="shared" si="11"/>
        <v>0.44511627906976747</v>
      </c>
      <c r="M10" s="38">
        <f t="shared" ref="M10:AR10" si="12">IFERROR(M9/M7,"/")</f>
        <v>0.46383799421407906</v>
      </c>
      <c r="N10" s="9" t="str">
        <f t="shared" si="12"/>
        <v>/</v>
      </c>
      <c r="O10" s="9">
        <f t="shared" si="12"/>
        <v>0.46383799421407906</v>
      </c>
      <c r="P10" s="9" t="str">
        <f t="shared" si="12"/>
        <v>/</v>
      </c>
      <c r="Q10" s="9">
        <f t="shared" si="12"/>
        <v>0.46383799421407906</v>
      </c>
      <c r="R10" s="10">
        <f t="shared" si="12"/>
        <v>0.46383799421407906</v>
      </c>
      <c r="S10" s="38">
        <f t="shared" si="12"/>
        <v>0.42834701892181365</v>
      </c>
      <c r="T10" s="9" t="str">
        <f t="shared" si="12"/>
        <v>/</v>
      </c>
      <c r="U10" s="9">
        <f t="shared" si="12"/>
        <v>0.42834701892181365</v>
      </c>
      <c r="V10" s="9" t="str">
        <f t="shared" si="12"/>
        <v>/</v>
      </c>
      <c r="W10" s="46">
        <f t="shared" si="12"/>
        <v>0.42834701892181365</v>
      </c>
      <c r="X10" s="10">
        <f t="shared" si="12"/>
        <v>0.42834701892181365</v>
      </c>
      <c r="Y10" s="38">
        <f t="shared" si="12"/>
        <v>0.57582777714996047</v>
      </c>
      <c r="Z10" s="9" t="str">
        <f t="shared" si="12"/>
        <v>/</v>
      </c>
      <c r="AA10" s="9">
        <f t="shared" si="12"/>
        <v>0.57582777714996047</v>
      </c>
      <c r="AB10" s="9" t="str">
        <f t="shared" si="12"/>
        <v>/</v>
      </c>
      <c r="AC10" s="46">
        <f t="shared" si="12"/>
        <v>0.57582777714996047</v>
      </c>
      <c r="AD10" s="10">
        <f t="shared" si="12"/>
        <v>0.57582777714996047</v>
      </c>
      <c r="AE10" s="38">
        <f t="shared" si="12"/>
        <v>0.74444975452926099</v>
      </c>
      <c r="AF10" s="9" t="str">
        <f t="shared" si="12"/>
        <v>/</v>
      </c>
      <c r="AG10" s="9">
        <f t="shared" si="12"/>
        <v>0.74444975452926099</v>
      </c>
      <c r="AH10" s="9" t="str">
        <f t="shared" si="12"/>
        <v>/</v>
      </c>
      <c r="AI10" s="46">
        <f t="shared" si="12"/>
        <v>0.6</v>
      </c>
      <c r="AJ10" s="10">
        <f t="shared" si="12"/>
        <v>0.74444975452926099</v>
      </c>
      <c r="AK10" s="38">
        <f t="shared" si="12"/>
        <v>0.91712354966211906</v>
      </c>
      <c r="AL10" s="9" t="str">
        <f t="shared" si="12"/>
        <v>/</v>
      </c>
      <c r="AM10" s="9">
        <f t="shared" si="12"/>
        <v>0.91712354966211906</v>
      </c>
      <c r="AN10" s="9" t="str">
        <f t="shared" si="12"/>
        <v>/</v>
      </c>
      <c r="AO10" s="46">
        <f t="shared" si="12"/>
        <v>0.72758240242725147</v>
      </c>
      <c r="AP10" s="10">
        <f t="shared" si="12"/>
        <v>0.91712354966211906</v>
      </c>
      <c r="AQ10" s="38">
        <f t="shared" si="12"/>
        <v>0.63877118644067798</v>
      </c>
      <c r="AR10" s="9" t="str">
        <f t="shared" si="12"/>
        <v>/</v>
      </c>
      <c r="AS10" s="9">
        <f t="shared" ref="AS10:BX10" si="13">IFERROR(AS9/AS7,"/")</f>
        <v>0.63877118644067798</v>
      </c>
      <c r="AT10" s="9">
        <f t="shared" si="13"/>
        <v>0.97111111111111115</v>
      </c>
      <c r="AU10" s="46">
        <f t="shared" si="13"/>
        <v>0.60107334525939182</v>
      </c>
      <c r="AV10" s="10">
        <f t="shared" si="13"/>
        <v>0.64632768361581916</v>
      </c>
      <c r="AW10" s="38">
        <f t="shared" si="13"/>
        <v>0.39322691975841245</v>
      </c>
      <c r="AX10" s="9" t="str">
        <f t="shared" si="13"/>
        <v>/</v>
      </c>
      <c r="AY10" s="9">
        <f t="shared" si="13"/>
        <v>0.39322691975841245</v>
      </c>
      <c r="AZ10" s="9">
        <f t="shared" si="13"/>
        <v>0.68782722513089012</v>
      </c>
      <c r="BA10" s="46">
        <f t="shared" si="13"/>
        <v>0.7</v>
      </c>
      <c r="BB10" s="10">
        <f t="shared" si="13"/>
        <v>0.68926553672316382</v>
      </c>
      <c r="BC10" s="38">
        <f t="shared" si="13"/>
        <v>0.58955823293172682</v>
      </c>
      <c r="BD10" s="9" t="str">
        <f t="shared" si="13"/>
        <v>/</v>
      </c>
      <c r="BE10" s="9">
        <f t="shared" si="13"/>
        <v>0.58955823293172682</v>
      </c>
      <c r="BF10" s="9">
        <f t="shared" si="13"/>
        <v>0.71682398667406999</v>
      </c>
      <c r="BG10" s="46">
        <f t="shared" si="13"/>
        <v>0.64999999999999991</v>
      </c>
      <c r="BH10" s="10">
        <f t="shared" si="13"/>
        <v>0.64802259887005653</v>
      </c>
      <c r="BI10" s="38">
        <f t="shared" si="13"/>
        <v>0.81357876623038017</v>
      </c>
      <c r="BJ10" s="9" t="str">
        <f t="shared" si="13"/>
        <v>/</v>
      </c>
      <c r="BK10" s="9">
        <f t="shared" si="13"/>
        <v>0.81357876623038017</v>
      </c>
      <c r="BL10" s="9">
        <f t="shared" si="13"/>
        <v>0.29190556492411462</v>
      </c>
      <c r="BM10" s="46">
        <f t="shared" si="13"/>
        <v>0.81999100000000014</v>
      </c>
      <c r="BN10" s="10">
        <f t="shared" si="13"/>
        <v>0.71101694915254232</v>
      </c>
      <c r="BO10" s="38">
        <f t="shared" si="13"/>
        <v>0.84063653136531369</v>
      </c>
      <c r="BP10" s="9" t="str">
        <f t="shared" si="13"/>
        <v>/</v>
      </c>
      <c r="BQ10" s="9">
        <f t="shared" si="13"/>
        <v>0.84063653136531369</v>
      </c>
      <c r="BR10" s="9">
        <f t="shared" si="13"/>
        <v>0.53878575012543906</v>
      </c>
      <c r="BS10" s="46">
        <f t="shared" si="13"/>
        <v>0.82004750000000004</v>
      </c>
      <c r="BT10" s="10">
        <f t="shared" si="13"/>
        <v>0.64670433145009409</v>
      </c>
      <c r="BU10" s="38">
        <f t="shared" si="13"/>
        <v>0.59722160803067725</v>
      </c>
      <c r="BV10" s="9" t="str">
        <f t="shared" si="13"/>
        <v>/</v>
      </c>
      <c r="BW10" s="9">
        <f t="shared" si="13"/>
        <v>0.59722160803067725</v>
      </c>
      <c r="BX10" s="9">
        <f t="shared" si="13"/>
        <v>0.50213479719426657</v>
      </c>
      <c r="BY10" s="9">
        <f t="shared" ref="BY10:BZ10" si="14">IFERROR(BY9/BY7,"/")</f>
        <v>0.60296352596700564</v>
      </c>
      <c r="BZ10" s="10">
        <f t="shared" si="14"/>
        <v>0.61640475005333151</v>
      </c>
      <c r="CA10" s="75"/>
      <c r="CB10" s="75"/>
    </row>
    <row r="11" spans="1:80">
      <c r="A11" s="3" t="s">
        <v>5</v>
      </c>
      <c r="B11" s="56"/>
      <c r="C11" s="20">
        <f>SUM(C12:C28)</f>
        <v>138.41</v>
      </c>
      <c r="D11" s="21">
        <f t="shared" ref="D11:L11" si="15">SUM(D12:D28)</f>
        <v>0</v>
      </c>
      <c r="E11" s="21">
        <f t="shared" si="15"/>
        <v>138.41</v>
      </c>
      <c r="F11" s="39">
        <f t="shared" si="15"/>
        <v>138.41</v>
      </c>
      <c r="G11" s="20">
        <f t="shared" si="15"/>
        <v>246</v>
      </c>
      <c r="H11" s="20">
        <f t="shared" si="15"/>
        <v>0</v>
      </c>
      <c r="I11" s="81">
        <f t="shared" si="3"/>
        <v>246</v>
      </c>
      <c r="J11" s="20">
        <f t="shared" si="15"/>
        <v>0</v>
      </c>
      <c r="K11" s="20">
        <f t="shared" si="15"/>
        <v>246</v>
      </c>
      <c r="L11" s="39">
        <f t="shared" si="15"/>
        <v>246</v>
      </c>
      <c r="M11" s="20">
        <f t="shared" ref="M11:AR11" si="16">SUM(M12:M28)</f>
        <v>262.27000000000004</v>
      </c>
      <c r="N11" s="21">
        <f t="shared" si="16"/>
        <v>0</v>
      </c>
      <c r="O11" s="21">
        <f t="shared" si="16"/>
        <v>262.27000000000004</v>
      </c>
      <c r="P11" s="21">
        <f t="shared" si="16"/>
        <v>0</v>
      </c>
      <c r="Q11" s="21">
        <f t="shared" si="16"/>
        <v>262.27000000000004</v>
      </c>
      <c r="R11" s="39">
        <f t="shared" si="16"/>
        <v>262.27000000000004</v>
      </c>
      <c r="S11" s="20">
        <f t="shared" si="16"/>
        <v>184.78</v>
      </c>
      <c r="T11" s="21">
        <f t="shared" si="16"/>
        <v>0</v>
      </c>
      <c r="U11" s="21">
        <f t="shared" si="16"/>
        <v>184.78</v>
      </c>
      <c r="V11" s="21">
        <f t="shared" si="16"/>
        <v>0</v>
      </c>
      <c r="W11" s="45">
        <f t="shared" si="16"/>
        <v>154.94499999999999</v>
      </c>
      <c r="X11" s="39">
        <f t="shared" si="16"/>
        <v>184.78</v>
      </c>
      <c r="Y11" s="20">
        <f t="shared" si="16"/>
        <v>250.78</v>
      </c>
      <c r="Z11" s="21">
        <f t="shared" si="16"/>
        <v>0</v>
      </c>
      <c r="AA11" s="21">
        <f t="shared" si="16"/>
        <v>250.78</v>
      </c>
      <c r="AB11" s="21">
        <f t="shared" si="16"/>
        <v>0</v>
      </c>
      <c r="AC11" s="45">
        <f t="shared" si="16"/>
        <v>146.78800000000001</v>
      </c>
      <c r="AD11" s="39">
        <f t="shared" si="16"/>
        <v>250.78</v>
      </c>
      <c r="AE11" s="20">
        <f t="shared" si="16"/>
        <v>223.06</v>
      </c>
      <c r="AF11" s="21">
        <f t="shared" si="16"/>
        <v>0</v>
      </c>
      <c r="AG11" s="21">
        <f t="shared" si="16"/>
        <v>223.06</v>
      </c>
      <c r="AH11" s="21">
        <f t="shared" si="16"/>
        <v>0</v>
      </c>
      <c r="AI11" s="45">
        <f t="shared" si="16"/>
        <v>306.19799999999998</v>
      </c>
      <c r="AJ11" s="39">
        <f t="shared" si="16"/>
        <v>223.06</v>
      </c>
      <c r="AK11" s="20">
        <f t="shared" si="16"/>
        <v>111.44999999999999</v>
      </c>
      <c r="AL11" s="21">
        <f t="shared" si="16"/>
        <v>0</v>
      </c>
      <c r="AM11" s="21">
        <f t="shared" si="16"/>
        <v>111.44999999999999</v>
      </c>
      <c r="AN11" s="21">
        <f t="shared" si="16"/>
        <v>0</v>
      </c>
      <c r="AO11" s="45">
        <f t="shared" si="16"/>
        <v>188.73400000000001</v>
      </c>
      <c r="AP11" s="39">
        <f t="shared" si="16"/>
        <v>111.44999999999999</v>
      </c>
      <c r="AQ11" s="20">
        <f t="shared" si="16"/>
        <v>122.34</v>
      </c>
      <c r="AR11" s="21">
        <f t="shared" si="16"/>
        <v>0</v>
      </c>
      <c r="AS11" s="21">
        <f t="shared" ref="AS11:BX11" si="17">SUM(AS12:AS28)</f>
        <v>122.34</v>
      </c>
      <c r="AT11" s="21">
        <f t="shared" si="17"/>
        <v>1.5</v>
      </c>
      <c r="AU11" s="45">
        <f t="shared" si="17"/>
        <v>200.89999999999998</v>
      </c>
      <c r="AV11" s="39">
        <f t="shared" si="17"/>
        <v>129.1</v>
      </c>
      <c r="AW11" s="20">
        <f t="shared" si="17"/>
        <v>98.48</v>
      </c>
      <c r="AX11" s="21">
        <f t="shared" si="17"/>
        <v>0</v>
      </c>
      <c r="AY11" s="21">
        <f t="shared" si="17"/>
        <v>98.48</v>
      </c>
      <c r="AZ11" s="21">
        <f t="shared" si="17"/>
        <v>12.69</v>
      </c>
      <c r="BA11" s="45">
        <f t="shared" si="17"/>
        <v>91.716981132075475</v>
      </c>
      <c r="BB11" s="39">
        <f t="shared" si="17"/>
        <v>135</v>
      </c>
      <c r="BC11" s="20">
        <f t="shared" si="17"/>
        <v>126.87</v>
      </c>
      <c r="BD11" s="21">
        <f t="shared" si="17"/>
        <v>0</v>
      </c>
      <c r="BE11" s="21">
        <f t="shared" si="17"/>
        <v>126.87</v>
      </c>
      <c r="BF11" s="21">
        <f t="shared" si="17"/>
        <v>28.53</v>
      </c>
      <c r="BG11" s="45">
        <f t="shared" si="17"/>
        <v>90</v>
      </c>
      <c r="BH11" s="39">
        <f t="shared" si="17"/>
        <v>96.78</v>
      </c>
      <c r="BI11" s="20">
        <f t="shared" si="17"/>
        <v>97.78</v>
      </c>
      <c r="BJ11" s="21">
        <f t="shared" si="17"/>
        <v>0</v>
      </c>
      <c r="BK11" s="21">
        <f t="shared" si="17"/>
        <v>97.78</v>
      </c>
      <c r="BL11" s="21">
        <f t="shared" si="17"/>
        <v>125.26</v>
      </c>
      <c r="BM11" s="45">
        <f t="shared" si="17"/>
        <v>113.5</v>
      </c>
      <c r="BN11" s="39">
        <f t="shared" si="17"/>
        <v>199.01999999999998</v>
      </c>
      <c r="BO11" s="20">
        <f t="shared" si="17"/>
        <v>90.81</v>
      </c>
      <c r="BP11" s="21">
        <f t="shared" si="17"/>
        <v>0</v>
      </c>
      <c r="BQ11" s="21">
        <f t="shared" si="17"/>
        <v>90.81</v>
      </c>
      <c r="BR11" s="21">
        <f t="shared" si="17"/>
        <v>137.55000000000001</v>
      </c>
      <c r="BS11" s="45">
        <f t="shared" si="17"/>
        <v>93.6</v>
      </c>
      <c r="BT11" s="39">
        <f t="shared" si="17"/>
        <v>131.62</v>
      </c>
      <c r="BU11" s="20">
        <f t="shared" si="17"/>
        <v>1953.0300000000002</v>
      </c>
      <c r="BV11" s="21">
        <f t="shared" si="17"/>
        <v>0</v>
      </c>
      <c r="BW11" s="21">
        <f t="shared" si="17"/>
        <v>1953.0300000000002</v>
      </c>
      <c r="BX11" s="21">
        <f t="shared" si="17"/>
        <v>305.52999999999997</v>
      </c>
      <c r="BY11" s="21">
        <f t="shared" ref="BY11:BZ11" si="18">SUM(BY12:BY28)</f>
        <v>2033.0619811320755</v>
      </c>
      <c r="BZ11" s="39">
        <f t="shared" si="18"/>
        <v>2108.2700000000004</v>
      </c>
      <c r="CA11" s="75"/>
      <c r="CB11" s="75"/>
    </row>
    <row r="12" spans="1:80" outlineLevel="1">
      <c r="A12" s="4" t="s">
        <v>61</v>
      </c>
      <c r="B12" s="57" t="s">
        <v>20</v>
      </c>
      <c r="C12" s="43">
        <v>0</v>
      </c>
      <c r="D12" s="23"/>
      <c r="E12" s="117"/>
      <c r="F12" s="49">
        <v>0</v>
      </c>
      <c r="G12" s="35"/>
      <c r="H12" s="31"/>
      <c r="I12" s="81">
        <f t="shared" si="3"/>
        <v>0</v>
      </c>
      <c r="J12" s="31"/>
      <c r="K12" s="31"/>
      <c r="L12" s="36"/>
      <c r="M12" s="35"/>
      <c r="N12" s="31"/>
      <c r="O12" s="19">
        <f>M12</f>
        <v>0</v>
      </c>
      <c r="P12" s="31"/>
      <c r="Q12" s="31"/>
      <c r="R12" s="36"/>
      <c r="S12" s="35"/>
      <c r="T12" s="31"/>
      <c r="U12" s="19">
        <f t="shared" ref="U12:U28" si="19">SUM(S12:T12)</f>
        <v>0</v>
      </c>
      <c r="V12" s="31"/>
      <c r="W12" s="45"/>
      <c r="X12" s="36"/>
      <c r="Y12" s="35"/>
      <c r="Z12" s="31"/>
      <c r="AA12" s="19">
        <f>Y12</f>
        <v>0</v>
      </c>
      <c r="AB12" s="31"/>
      <c r="AC12" s="45"/>
      <c r="AD12" s="36"/>
      <c r="AE12" s="35"/>
      <c r="AF12" s="31"/>
      <c r="AG12" s="81">
        <f t="shared" ref="AG12:AG28" si="20">AE12</f>
        <v>0</v>
      </c>
      <c r="AH12" s="31"/>
      <c r="AI12" s="45"/>
      <c r="AJ12" s="36"/>
      <c r="AK12" s="35"/>
      <c r="AL12" s="31"/>
      <c r="AM12" s="19">
        <f t="shared" ref="AM12:AM28" si="21">SUM(AK12:AL12)</f>
        <v>0</v>
      </c>
      <c r="AN12" s="31"/>
      <c r="AO12" s="45"/>
      <c r="AP12" s="36"/>
      <c r="AQ12" s="35"/>
      <c r="AR12" s="31"/>
      <c r="AS12" s="19">
        <f t="shared" ref="AS12:AS28" si="22">SUM(AQ12:AR12)</f>
        <v>0</v>
      </c>
      <c r="AT12" s="31"/>
      <c r="AU12" s="45"/>
      <c r="AV12" s="36"/>
      <c r="AW12" s="35"/>
      <c r="AX12" s="31"/>
      <c r="AY12" s="19">
        <f t="shared" ref="AY12:AY28" si="23">SUM(AW12:AX12)</f>
        <v>0</v>
      </c>
      <c r="AZ12" s="31"/>
      <c r="BA12" s="45"/>
      <c r="BB12" s="36"/>
      <c r="BC12" s="35"/>
      <c r="BD12" s="31"/>
      <c r="BE12" s="19">
        <f t="shared" ref="BE12:BE28" si="24">SUM(BC12:BD12)</f>
        <v>0</v>
      </c>
      <c r="BF12" s="31"/>
      <c r="BG12" s="45"/>
      <c r="BH12" s="36"/>
      <c r="BI12" s="35"/>
      <c r="BJ12" s="31"/>
      <c r="BK12" s="19">
        <f t="shared" ref="BK12:BK28" si="25">SUM(BI12:BJ12)</f>
        <v>0</v>
      </c>
      <c r="BL12" s="31"/>
      <c r="BM12" s="45"/>
      <c r="BN12" s="36"/>
      <c r="BO12" s="35"/>
      <c r="BP12" s="31"/>
      <c r="BQ12" s="19">
        <f t="shared" ref="BQ12:BQ28" si="26">SUM(BO12:BP12)</f>
        <v>0</v>
      </c>
      <c r="BR12" s="31"/>
      <c r="BS12" s="45"/>
      <c r="BT12" s="36"/>
      <c r="BU12" s="82">
        <f>C12+G12+M12+S12+Y12+AE12+AK12+AQ12+AW12+BC12+BI12+BO12</f>
        <v>0</v>
      </c>
      <c r="BV12" s="81">
        <f t="shared" ref="BV12:BV28" si="27">BP12+BJ12</f>
        <v>0</v>
      </c>
      <c r="BW12" s="19">
        <f t="shared" ref="BW12:BW28" si="28">SUM(BU12:BV12)</f>
        <v>0</v>
      </c>
      <c r="BX12" s="19">
        <f t="shared" ref="BX12:BZ28" si="29">SUMIF($C$3:$BT$3,BX$3,$C12:$BT12)</f>
        <v>0</v>
      </c>
      <c r="BY12" s="19">
        <f t="shared" si="29"/>
        <v>0</v>
      </c>
      <c r="BZ12" s="37">
        <f t="shared" si="29"/>
        <v>0</v>
      </c>
      <c r="CA12" s="75"/>
      <c r="CB12" s="75"/>
    </row>
    <row r="13" spans="1:80" outlineLevel="1">
      <c r="A13" s="4" t="s">
        <v>34</v>
      </c>
      <c r="B13" s="57" t="s">
        <v>13</v>
      </c>
      <c r="C13" s="43"/>
      <c r="D13" s="23"/>
      <c r="E13" s="117"/>
      <c r="F13" s="49"/>
      <c r="G13" s="35"/>
      <c r="H13" s="31"/>
      <c r="I13" s="81">
        <f t="shared" si="3"/>
        <v>0</v>
      </c>
      <c r="J13" s="31"/>
      <c r="K13" s="31"/>
      <c r="L13" s="36"/>
      <c r="M13" s="35"/>
      <c r="N13" s="31"/>
      <c r="O13" s="19">
        <f t="shared" ref="O13:O28" si="30">M13</f>
        <v>0</v>
      </c>
      <c r="P13" s="31"/>
      <c r="Q13" s="31"/>
      <c r="R13" s="36"/>
      <c r="S13" s="35"/>
      <c r="T13" s="31"/>
      <c r="U13" s="19">
        <f t="shared" si="19"/>
        <v>0</v>
      </c>
      <c r="V13" s="31"/>
      <c r="W13" s="45"/>
      <c r="X13" s="36"/>
      <c r="Y13" s="35"/>
      <c r="Z13" s="31"/>
      <c r="AA13" s="19">
        <f t="shared" ref="AA13:AA28" si="31">Y13</f>
        <v>0</v>
      </c>
      <c r="AB13" s="31"/>
      <c r="AC13" s="45"/>
      <c r="AD13" s="36"/>
      <c r="AE13" s="35"/>
      <c r="AF13" s="31"/>
      <c r="AG13" s="81">
        <f t="shared" si="20"/>
        <v>0</v>
      </c>
      <c r="AH13" s="31"/>
      <c r="AI13" s="45"/>
      <c r="AJ13" s="36"/>
      <c r="AK13" s="35"/>
      <c r="AL13" s="31"/>
      <c r="AM13" s="19">
        <f t="shared" si="21"/>
        <v>0</v>
      </c>
      <c r="AN13" s="31"/>
      <c r="AO13" s="45"/>
      <c r="AP13" s="36"/>
      <c r="AQ13" s="35"/>
      <c r="AR13" s="31"/>
      <c r="AS13" s="19">
        <f t="shared" si="22"/>
        <v>0</v>
      </c>
      <c r="AT13" s="31"/>
      <c r="AU13" s="45"/>
      <c r="AV13" s="36"/>
      <c r="AW13" s="35"/>
      <c r="AX13" s="31"/>
      <c r="AY13" s="19">
        <f t="shared" si="23"/>
        <v>0</v>
      </c>
      <c r="AZ13" s="31"/>
      <c r="BA13" s="45"/>
      <c r="BB13" s="36"/>
      <c r="BC13" s="35"/>
      <c r="BD13" s="31"/>
      <c r="BE13" s="19">
        <f t="shared" si="24"/>
        <v>0</v>
      </c>
      <c r="BF13" s="31"/>
      <c r="BG13" s="45"/>
      <c r="BH13" s="36"/>
      <c r="BI13" s="35"/>
      <c r="BJ13" s="31"/>
      <c r="BK13" s="19">
        <f t="shared" si="25"/>
        <v>0</v>
      </c>
      <c r="BL13" s="31"/>
      <c r="BM13" s="45"/>
      <c r="BN13" s="36"/>
      <c r="BO13" s="35"/>
      <c r="BP13" s="31"/>
      <c r="BQ13" s="19">
        <f t="shared" si="26"/>
        <v>0</v>
      </c>
      <c r="BR13" s="31"/>
      <c r="BS13" s="45"/>
      <c r="BT13" s="36"/>
      <c r="BU13" s="82">
        <f t="shared" ref="BU13:BU28" si="32">C13+G13+M13+S13+Y13+AE13+AK13+AQ13+AW13+BC13+BI13+BO13</f>
        <v>0</v>
      </c>
      <c r="BV13" s="81">
        <f t="shared" si="27"/>
        <v>0</v>
      </c>
      <c r="BW13" s="19">
        <f t="shared" si="28"/>
        <v>0</v>
      </c>
      <c r="BX13" s="19">
        <f t="shared" si="29"/>
        <v>0</v>
      </c>
      <c r="BY13" s="19">
        <f t="shared" si="29"/>
        <v>0</v>
      </c>
      <c r="BZ13" s="37">
        <f t="shared" si="29"/>
        <v>0</v>
      </c>
      <c r="CA13" s="75"/>
      <c r="CB13" s="75"/>
    </row>
    <row r="14" spans="1:80" outlineLevel="1">
      <c r="A14" s="4" t="s">
        <v>35</v>
      </c>
      <c r="B14" s="58" t="s">
        <v>9</v>
      </c>
      <c r="C14" s="43">
        <v>58.37</v>
      </c>
      <c r="D14" s="23"/>
      <c r="E14" s="117">
        <f>C14</f>
        <v>58.37</v>
      </c>
      <c r="F14" s="49">
        <f>C14</f>
        <v>58.37</v>
      </c>
      <c r="G14" s="35">
        <v>69</v>
      </c>
      <c r="H14" s="31"/>
      <c r="I14" s="81">
        <f t="shared" si="3"/>
        <v>69</v>
      </c>
      <c r="J14" s="31"/>
      <c r="K14" s="31">
        <f>G14</f>
        <v>69</v>
      </c>
      <c r="L14" s="36">
        <f>G14</f>
        <v>69</v>
      </c>
      <c r="M14" s="35">
        <f>52.55+2.6+0.12</f>
        <v>55.269999999999996</v>
      </c>
      <c r="N14" s="31"/>
      <c r="O14" s="19">
        <f t="shared" si="30"/>
        <v>55.269999999999996</v>
      </c>
      <c r="P14" s="31"/>
      <c r="Q14" s="31">
        <f>M14</f>
        <v>55.269999999999996</v>
      </c>
      <c r="R14" s="36">
        <f>M14</f>
        <v>55.269999999999996</v>
      </c>
      <c r="S14" s="35">
        <v>29.99</v>
      </c>
      <c r="T14" s="31"/>
      <c r="U14" s="19">
        <f t="shared" si="19"/>
        <v>29.99</v>
      </c>
      <c r="V14" s="31"/>
      <c r="W14" s="45">
        <v>95</v>
      </c>
      <c r="X14" s="36">
        <f>S14</f>
        <v>29.99</v>
      </c>
      <c r="Y14" s="35">
        <v>128.22999999999999</v>
      </c>
      <c r="Z14" s="31"/>
      <c r="AA14" s="19">
        <f t="shared" si="31"/>
        <v>128.22999999999999</v>
      </c>
      <c r="AB14" s="31"/>
      <c r="AC14" s="45">
        <v>80</v>
      </c>
      <c r="AD14" s="36">
        <f>Y14</f>
        <v>128.22999999999999</v>
      </c>
      <c r="AE14" s="35">
        <v>159.69</v>
      </c>
      <c r="AF14" s="31"/>
      <c r="AG14" s="81">
        <f t="shared" si="20"/>
        <v>159.69</v>
      </c>
      <c r="AH14" s="31"/>
      <c r="AI14" s="45">
        <v>80</v>
      </c>
      <c r="AJ14" s="36">
        <f>AE14</f>
        <v>159.69</v>
      </c>
      <c r="AK14" s="35">
        <f>0.43+62.93</f>
        <v>63.36</v>
      </c>
      <c r="AL14" s="31"/>
      <c r="AM14" s="19">
        <f t="shared" si="21"/>
        <v>63.36</v>
      </c>
      <c r="AN14" s="31"/>
      <c r="AO14" s="45">
        <v>60</v>
      </c>
      <c r="AP14" s="36">
        <f>AK14</f>
        <v>63.36</v>
      </c>
      <c r="AQ14" s="35">
        <f>46.3</f>
        <v>46.3</v>
      </c>
      <c r="AR14" s="31"/>
      <c r="AS14" s="19">
        <f t="shared" si="22"/>
        <v>46.3</v>
      </c>
      <c r="AT14" s="31"/>
      <c r="AU14" s="45">
        <v>80</v>
      </c>
      <c r="AV14" s="36">
        <v>30</v>
      </c>
      <c r="AW14" s="35">
        <f>4.9+29.74</f>
        <v>34.64</v>
      </c>
      <c r="AX14" s="31"/>
      <c r="AY14" s="19">
        <f t="shared" si="23"/>
        <v>34.64</v>
      </c>
      <c r="AZ14" s="31"/>
      <c r="BA14" s="45">
        <v>30</v>
      </c>
      <c r="BB14" s="36">
        <v>30</v>
      </c>
      <c r="BC14" s="35">
        <v>69.5</v>
      </c>
      <c r="BD14" s="31"/>
      <c r="BE14" s="19">
        <f t="shared" si="24"/>
        <v>69.5</v>
      </c>
      <c r="BF14" s="31">
        <v>2.0499999999999998</v>
      </c>
      <c r="BG14" s="45">
        <v>30</v>
      </c>
      <c r="BH14" s="36">
        <v>30</v>
      </c>
      <c r="BI14" s="35">
        <f>-21.7+9.5</f>
        <v>-12.2</v>
      </c>
      <c r="BJ14" s="31"/>
      <c r="BK14" s="19">
        <f t="shared" si="25"/>
        <v>-12.2</v>
      </c>
      <c r="BL14" s="31">
        <v>86.9</v>
      </c>
      <c r="BM14" s="45">
        <v>50</v>
      </c>
      <c r="BN14" s="36">
        <v>50</v>
      </c>
      <c r="BO14" s="35">
        <v>47.87</v>
      </c>
      <c r="BP14" s="111"/>
      <c r="BQ14" s="19">
        <f t="shared" si="26"/>
        <v>47.87</v>
      </c>
      <c r="BR14" s="31">
        <v>78.180000000000007</v>
      </c>
      <c r="BS14" s="45">
        <v>30</v>
      </c>
      <c r="BT14" s="36">
        <v>30</v>
      </c>
      <c r="BU14" s="82">
        <f t="shared" si="32"/>
        <v>750.01999999999987</v>
      </c>
      <c r="BV14" s="81">
        <f t="shared" si="27"/>
        <v>0</v>
      </c>
      <c r="BW14" s="19">
        <f t="shared" si="28"/>
        <v>750.01999999999987</v>
      </c>
      <c r="BX14" s="19">
        <f t="shared" si="29"/>
        <v>167.13</v>
      </c>
      <c r="BY14" s="19">
        <f t="shared" si="29"/>
        <v>717.64</v>
      </c>
      <c r="BZ14" s="37">
        <f t="shared" si="29"/>
        <v>733.91</v>
      </c>
      <c r="CA14" s="75"/>
      <c r="CB14" s="75"/>
    </row>
    <row r="15" spans="1:80" outlineLevel="1">
      <c r="A15" s="4" t="s">
        <v>36</v>
      </c>
      <c r="B15" s="58" t="s">
        <v>14</v>
      </c>
      <c r="C15" s="43">
        <v>0</v>
      </c>
      <c r="D15" s="23"/>
      <c r="E15" s="117">
        <f t="shared" ref="E15:E28" si="33">C15</f>
        <v>0</v>
      </c>
      <c r="F15" s="49">
        <f t="shared" ref="F15:F24" si="34">C15</f>
        <v>0</v>
      </c>
      <c r="G15" s="35"/>
      <c r="H15" s="31"/>
      <c r="I15" s="81">
        <f t="shared" si="3"/>
        <v>0</v>
      </c>
      <c r="J15" s="31"/>
      <c r="K15" s="31">
        <f t="shared" ref="K15:K26" si="35">G15</f>
        <v>0</v>
      </c>
      <c r="L15" s="36">
        <f t="shared" ref="L15:L24" si="36">G15</f>
        <v>0</v>
      </c>
      <c r="M15" s="35"/>
      <c r="N15" s="31"/>
      <c r="O15" s="19">
        <f t="shared" si="30"/>
        <v>0</v>
      </c>
      <c r="P15" s="31"/>
      <c r="Q15" s="31">
        <f t="shared" ref="Q15:Q26" si="37">M15</f>
        <v>0</v>
      </c>
      <c r="R15" s="36">
        <f t="shared" ref="R15:R26" si="38">M15</f>
        <v>0</v>
      </c>
      <c r="S15" s="35"/>
      <c r="T15" s="31"/>
      <c r="U15" s="19">
        <f t="shared" si="19"/>
        <v>0</v>
      </c>
      <c r="V15" s="31"/>
      <c r="W15" s="45"/>
      <c r="X15" s="36">
        <f t="shared" ref="X15:X28" si="39">S15</f>
        <v>0</v>
      </c>
      <c r="Y15" s="35"/>
      <c r="Z15" s="31"/>
      <c r="AA15" s="19">
        <f t="shared" si="31"/>
        <v>0</v>
      </c>
      <c r="AB15" s="31"/>
      <c r="AC15" s="45"/>
      <c r="AD15" s="36">
        <f t="shared" ref="AD15:AD28" si="40">Y15</f>
        <v>0</v>
      </c>
      <c r="AE15" s="35"/>
      <c r="AF15" s="31"/>
      <c r="AG15" s="81">
        <f t="shared" si="20"/>
        <v>0</v>
      </c>
      <c r="AH15" s="31"/>
      <c r="AI15" s="45"/>
      <c r="AJ15" s="36">
        <f t="shared" ref="AJ15:AJ28" si="41">AE15</f>
        <v>0</v>
      </c>
      <c r="AK15" s="35">
        <v>1.82</v>
      </c>
      <c r="AL15" s="31"/>
      <c r="AM15" s="19">
        <f t="shared" si="21"/>
        <v>1.82</v>
      </c>
      <c r="AN15" s="31"/>
      <c r="AO15" s="45"/>
      <c r="AP15" s="36">
        <f t="shared" ref="AP15:AP28" si="42">AK15</f>
        <v>1.82</v>
      </c>
      <c r="AQ15" s="35"/>
      <c r="AR15" s="31"/>
      <c r="AS15" s="19">
        <f t="shared" si="22"/>
        <v>0</v>
      </c>
      <c r="AT15" s="31"/>
      <c r="AU15" s="45"/>
      <c r="AV15" s="36"/>
      <c r="AW15" s="35"/>
      <c r="AX15" s="31"/>
      <c r="AY15" s="19">
        <f t="shared" si="23"/>
        <v>0</v>
      </c>
      <c r="AZ15" s="31"/>
      <c r="BA15" s="45"/>
      <c r="BB15" s="36"/>
      <c r="BC15" s="35"/>
      <c r="BD15" s="31"/>
      <c r="BE15" s="19">
        <f t="shared" si="24"/>
        <v>0</v>
      </c>
      <c r="BF15" s="31"/>
      <c r="BG15" s="45"/>
      <c r="BH15" s="36"/>
      <c r="BI15" s="35"/>
      <c r="BJ15" s="31"/>
      <c r="BK15" s="19">
        <f t="shared" si="25"/>
        <v>0</v>
      </c>
      <c r="BL15" s="31"/>
      <c r="BM15" s="45"/>
      <c r="BN15" s="36"/>
      <c r="BO15" s="35"/>
      <c r="BP15" s="31"/>
      <c r="BQ15" s="19">
        <f t="shared" si="26"/>
        <v>0</v>
      </c>
      <c r="BR15" s="31"/>
      <c r="BS15" s="45"/>
      <c r="BT15" s="36"/>
      <c r="BU15" s="82">
        <f t="shared" si="32"/>
        <v>1.82</v>
      </c>
      <c r="BV15" s="81">
        <f t="shared" si="27"/>
        <v>0</v>
      </c>
      <c r="BW15" s="19">
        <f t="shared" si="28"/>
        <v>1.82</v>
      </c>
      <c r="BX15" s="19">
        <f t="shared" si="29"/>
        <v>0</v>
      </c>
      <c r="BY15" s="19">
        <f t="shared" si="29"/>
        <v>0</v>
      </c>
      <c r="BZ15" s="37">
        <f t="shared" si="29"/>
        <v>1.82</v>
      </c>
      <c r="CA15" s="75"/>
      <c r="CB15" s="75"/>
    </row>
    <row r="16" spans="1:80" outlineLevel="1">
      <c r="A16" s="4" t="s">
        <v>37</v>
      </c>
      <c r="B16" s="58" t="s">
        <v>22</v>
      </c>
      <c r="C16" s="43">
        <v>0</v>
      </c>
      <c r="D16" s="23"/>
      <c r="E16" s="117">
        <f t="shared" si="33"/>
        <v>0</v>
      </c>
      <c r="F16" s="49">
        <f t="shared" si="34"/>
        <v>0</v>
      </c>
      <c r="G16" s="35"/>
      <c r="H16" s="31"/>
      <c r="I16" s="81">
        <f t="shared" si="3"/>
        <v>0</v>
      </c>
      <c r="J16" s="31"/>
      <c r="K16" s="31">
        <f t="shared" si="35"/>
        <v>0</v>
      </c>
      <c r="L16" s="36">
        <f t="shared" si="36"/>
        <v>0</v>
      </c>
      <c r="M16" s="35"/>
      <c r="N16" s="31"/>
      <c r="O16" s="19">
        <f t="shared" si="30"/>
        <v>0</v>
      </c>
      <c r="P16" s="31"/>
      <c r="Q16" s="31">
        <f t="shared" si="37"/>
        <v>0</v>
      </c>
      <c r="R16" s="36">
        <f t="shared" si="38"/>
        <v>0</v>
      </c>
      <c r="S16" s="35">
        <v>23.1</v>
      </c>
      <c r="T16" s="31"/>
      <c r="U16" s="19">
        <f t="shared" si="19"/>
        <v>23.1</v>
      </c>
      <c r="V16" s="31"/>
      <c r="W16" s="45"/>
      <c r="X16" s="36">
        <f t="shared" si="39"/>
        <v>23.1</v>
      </c>
      <c r="Y16" s="35"/>
      <c r="Z16" s="31"/>
      <c r="AA16" s="19">
        <f t="shared" si="31"/>
        <v>0</v>
      </c>
      <c r="AB16" s="31"/>
      <c r="AC16" s="45"/>
      <c r="AD16" s="36">
        <f t="shared" si="40"/>
        <v>0</v>
      </c>
      <c r="AE16" s="35"/>
      <c r="AF16" s="31"/>
      <c r="AG16" s="81">
        <f t="shared" si="20"/>
        <v>0</v>
      </c>
      <c r="AH16" s="31"/>
      <c r="AI16" s="45"/>
      <c r="AJ16" s="36">
        <f t="shared" si="41"/>
        <v>0</v>
      </c>
      <c r="AK16" s="35"/>
      <c r="AL16" s="31"/>
      <c r="AM16" s="19">
        <f t="shared" si="21"/>
        <v>0</v>
      </c>
      <c r="AN16" s="31"/>
      <c r="AO16" s="45"/>
      <c r="AP16" s="36">
        <f t="shared" si="42"/>
        <v>0</v>
      </c>
      <c r="AQ16" s="35">
        <v>5.67</v>
      </c>
      <c r="AR16" s="31"/>
      <c r="AS16" s="19">
        <f t="shared" si="22"/>
        <v>5.67</v>
      </c>
      <c r="AT16" s="31"/>
      <c r="AU16" s="45"/>
      <c r="AV16" s="36"/>
      <c r="AW16" s="35"/>
      <c r="AX16" s="31"/>
      <c r="AY16" s="19">
        <f t="shared" si="23"/>
        <v>0</v>
      </c>
      <c r="AZ16" s="31"/>
      <c r="BA16" s="45"/>
      <c r="BB16" s="36"/>
      <c r="BC16" s="35"/>
      <c r="BD16" s="31"/>
      <c r="BE16" s="19">
        <f t="shared" si="24"/>
        <v>0</v>
      </c>
      <c r="BF16" s="31"/>
      <c r="BG16" s="45"/>
      <c r="BH16" s="36"/>
      <c r="BI16" s="35"/>
      <c r="BJ16" s="31"/>
      <c r="BK16" s="19">
        <f t="shared" si="25"/>
        <v>0</v>
      </c>
      <c r="BL16" s="31"/>
      <c r="BM16" s="45"/>
      <c r="BN16" s="36"/>
      <c r="BO16" s="35"/>
      <c r="BP16" s="31"/>
      <c r="BQ16" s="19">
        <f t="shared" si="26"/>
        <v>0</v>
      </c>
      <c r="BR16" s="31"/>
      <c r="BS16" s="45"/>
      <c r="BT16" s="36"/>
      <c r="BU16" s="82">
        <f t="shared" si="32"/>
        <v>28.770000000000003</v>
      </c>
      <c r="BV16" s="81">
        <f t="shared" si="27"/>
        <v>0</v>
      </c>
      <c r="BW16" s="19">
        <f t="shared" si="28"/>
        <v>28.770000000000003</v>
      </c>
      <c r="BX16" s="19">
        <f t="shared" si="29"/>
        <v>0</v>
      </c>
      <c r="BY16" s="19">
        <f t="shared" si="29"/>
        <v>0</v>
      </c>
      <c r="BZ16" s="37">
        <f t="shared" si="29"/>
        <v>23.1</v>
      </c>
      <c r="CA16" s="75"/>
      <c r="CB16" s="75"/>
    </row>
    <row r="17" spans="1:80" outlineLevel="1">
      <c r="A17" s="4" t="s">
        <v>38</v>
      </c>
      <c r="B17" s="58" t="s">
        <v>23</v>
      </c>
      <c r="C17" s="43">
        <v>0</v>
      </c>
      <c r="D17" s="23"/>
      <c r="E17" s="117">
        <f t="shared" si="33"/>
        <v>0</v>
      </c>
      <c r="F17" s="49">
        <f t="shared" si="34"/>
        <v>0</v>
      </c>
      <c r="G17" s="35"/>
      <c r="H17" s="31"/>
      <c r="I17" s="81">
        <f t="shared" si="3"/>
        <v>0</v>
      </c>
      <c r="J17" s="31"/>
      <c r="K17" s="31">
        <f t="shared" si="35"/>
        <v>0</v>
      </c>
      <c r="L17" s="36">
        <f t="shared" si="36"/>
        <v>0</v>
      </c>
      <c r="M17" s="35"/>
      <c r="N17" s="31"/>
      <c r="O17" s="19">
        <f t="shared" si="30"/>
        <v>0</v>
      </c>
      <c r="P17" s="31"/>
      <c r="Q17" s="31">
        <f t="shared" si="37"/>
        <v>0</v>
      </c>
      <c r="R17" s="36">
        <f t="shared" si="38"/>
        <v>0</v>
      </c>
      <c r="S17" s="35"/>
      <c r="T17" s="31"/>
      <c r="U17" s="19">
        <f t="shared" si="19"/>
        <v>0</v>
      </c>
      <c r="V17" s="31"/>
      <c r="W17" s="45"/>
      <c r="X17" s="36">
        <f t="shared" si="39"/>
        <v>0</v>
      </c>
      <c r="Y17" s="35"/>
      <c r="Z17" s="31"/>
      <c r="AA17" s="19">
        <f t="shared" si="31"/>
        <v>0</v>
      </c>
      <c r="AB17" s="31"/>
      <c r="AC17" s="45"/>
      <c r="AD17" s="36">
        <f t="shared" si="40"/>
        <v>0</v>
      </c>
      <c r="AE17" s="35">
        <v>14.98</v>
      </c>
      <c r="AF17" s="31"/>
      <c r="AG17" s="81">
        <f t="shared" si="20"/>
        <v>14.98</v>
      </c>
      <c r="AH17" s="31"/>
      <c r="AI17" s="45"/>
      <c r="AJ17" s="36">
        <f t="shared" si="41"/>
        <v>14.98</v>
      </c>
      <c r="AK17" s="35"/>
      <c r="AL17" s="31"/>
      <c r="AM17" s="19">
        <f t="shared" si="21"/>
        <v>0</v>
      </c>
      <c r="AN17" s="31"/>
      <c r="AO17" s="45"/>
      <c r="AP17" s="36">
        <f t="shared" si="42"/>
        <v>0</v>
      </c>
      <c r="AQ17" s="35">
        <v>7.47</v>
      </c>
      <c r="AR17" s="31"/>
      <c r="AS17" s="19">
        <f t="shared" si="22"/>
        <v>7.47</v>
      </c>
      <c r="AT17" s="31"/>
      <c r="AU17" s="45"/>
      <c r="AV17" s="36"/>
      <c r="AW17" s="35">
        <v>7.0000000000000007E-2</v>
      </c>
      <c r="AX17" s="31"/>
      <c r="AY17" s="19">
        <f t="shared" si="23"/>
        <v>7.0000000000000007E-2</v>
      </c>
      <c r="AZ17" s="31"/>
      <c r="BA17" s="45"/>
      <c r="BB17" s="36"/>
      <c r="BC17" s="35"/>
      <c r="BD17" s="31"/>
      <c r="BE17" s="19">
        <f t="shared" si="24"/>
        <v>0</v>
      </c>
      <c r="BF17" s="31"/>
      <c r="BG17" s="45"/>
      <c r="BH17" s="36"/>
      <c r="BI17" s="35"/>
      <c r="BJ17" s="31"/>
      <c r="BK17" s="19">
        <f t="shared" si="25"/>
        <v>0</v>
      </c>
      <c r="BL17" s="31"/>
      <c r="BM17" s="45"/>
      <c r="BN17" s="36"/>
      <c r="BO17" s="35"/>
      <c r="BP17" s="31"/>
      <c r="BQ17" s="19">
        <f t="shared" si="26"/>
        <v>0</v>
      </c>
      <c r="BR17" s="31"/>
      <c r="BS17" s="45"/>
      <c r="BT17" s="36"/>
      <c r="BU17" s="82">
        <f t="shared" si="32"/>
        <v>22.52</v>
      </c>
      <c r="BV17" s="81">
        <f t="shared" si="27"/>
        <v>0</v>
      </c>
      <c r="BW17" s="19">
        <f t="shared" si="28"/>
        <v>22.52</v>
      </c>
      <c r="BX17" s="19">
        <f t="shared" si="29"/>
        <v>0</v>
      </c>
      <c r="BY17" s="19">
        <f t="shared" si="29"/>
        <v>0</v>
      </c>
      <c r="BZ17" s="37">
        <f t="shared" si="29"/>
        <v>14.98</v>
      </c>
      <c r="CA17" s="75"/>
      <c r="CB17" s="75"/>
    </row>
    <row r="18" spans="1:80" outlineLevel="1">
      <c r="A18" s="4" t="s">
        <v>39</v>
      </c>
      <c r="B18" s="58" t="s">
        <v>26</v>
      </c>
      <c r="C18" s="43">
        <v>10</v>
      </c>
      <c r="D18" s="23"/>
      <c r="E18" s="117">
        <f t="shared" si="33"/>
        <v>10</v>
      </c>
      <c r="F18" s="49">
        <f t="shared" si="34"/>
        <v>10</v>
      </c>
      <c r="G18" s="35">
        <v>5</v>
      </c>
      <c r="H18" s="31"/>
      <c r="I18" s="81">
        <f t="shared" si="3"/>
        <v>5</v>
      </c>
      <c r="J18" s="31"/>
      <c r="K18" s="31">
        <f t="shared" si="35"/>
        <v>5</v>
      </c>
      <c r="L18" s="36">
        <f t="shared" si="36"/>
        <v>5</v>
      </c>
      <c r="M18" s="35">
        <v>8.84</v>
      </c>
      <c r="N18" s="64"/>
      <c r="O18" s="19">
        <f t="shared" si="30"/>
        <v>8.84</v>
      </c>
      <c r="P18" s="31"/>
      <c r="Q18" s="31">
        <f t="shared" si="37"/>
        <v>8.84</v>
      </c>
      <c r="R18" s="36">
        <f t="shared" si="38"/>
        <v>8.84</v>
      </c>
      <c r="S18" s="35">
        <f>-2.8+4.75+0.46</f>
        <v>2.41</v>
      </c>
      <c r="T18" s="31"/>
      <c r="U18" s="19">
        <f t="shared" si="19"/>
        <v>2.41</v>
      </c>
      <c r="V18" s="31"/>
      <c r="W18" s="72">
        <f>W5*10%</f>
        <v>15.825000000000001</v>
      </c>
      <c r="X18" s="36">
        <f t="shared" si="39"/>
        <v>2.41</v>
      </c>
      <c r="Y18" s="35">
        <f>0.44+1.78</f>
        <v>2.2200000000000002</v>
      </c>
      <c r="Z18" s="31"/>
      <c r="AA18" s="19">
        <f t="shared" si="31"/>
        <v>2.2200000000000002</v>
      </c>
      <c r="AB18" s="31"/>
      <c r="AC18" s="45">
        <f>0.1*AC7</f>
        <v>17.698</v>
      </c>
      <c r="AD18" s="36">
        <f t="shared" si="40"/>
        <v>2.2200000000000002</v>
      </c>
      <c r="AE18" s="35">
        <f>3.78+1.1</f>
        <v>4.88</v>
      </c>
      <c r="AF18" s="31"/>
      <c r="AG18" s="81">
        <f t="shared" si="20"/>
        <v>4.88</v>
      </c>
      <c r="AH18" s="31"/>
      <c r="AI18" s="45">
        <f>0.12*AI7</f>
        <v>60.527999999999992</v>
      </c>
      <c r="AJ18" s="36">
        <f t="shared" si="41"/>
        <v>4.88</v>
      </c>
      <c r="AK18" s="35">
        <f>25.95</f>
        <v>25.95</v>
      </c>
      <c r="AL18" s="31"/>
      <c r="AM18" s="19">
        <f t="shared" si="21"/>
        <v>25.95</v>
      </c>
      <c r="AN18" s="31"/>
      <c r="AO18" s="45">
        <f>0.1*AO7</f>
        <v>29.004000000000005</v>
      </c>
      <c r="AP18" s="36">
        <f t="shared" si="42"/>
        <v>25.95</v>
      </c>
      <c r="AQ18" s="35">
        <f>11.5+2.5</f>
        <v>14</v>
      </c>
      <c r="AR18" s="31"/>
      <c r="AS18" s="19">
        <f t="shared" si="22"/>
        <v>14</v>
      </c>
      <c r="AT18" s="31"/>
      <c r="AU18" s="45">
        <v>28</v>
      </c>
      <c r="AV18" s="36">
        <v>10.8</v>
      </c>
      <c r="AW18" s="35">
        <f>0.73+12.87</f>
        <v>13.6</v>
      </c>
      <c r="AX18" s="31"/>
      <c r="AY18" s="19">
        <f t="shared" si="23"/>
        <v>13.6</v>
      </c>
      <c r="AZ18" s="31">
        <v>1.74</v>
      </c>
      <c r="BA18" s="72">
        <v>9</v>
      </c>
      <c r="BB18" s="71">
        <v>16</v>
      </c>
      <c r="BC18" s="35">
        <v>2.2000000000000002</v>
      </c>
      <c r="BD18" s="31"/>
      <c r="BE18" s="19">
        <f t="shared" si="24"/>
        <v>2.2000000000000002</v>
      </c>
      <c r="BF18" s="31">
        <v>2.11</v>
      </c>
      <c r="BG18" s="45">
        <v>4</v>
      </c>
      <c r="BH18" s="36">
        <f>BH7*0.08</f>
        <v>7.08</v>
      </c>
      <c r="BI18" s="35">
        <f>37.95+3.14</f>
        <v>41.09</v>
      </c>
      <c r="BJ18" s="64"/>
      <c r="BK18" s="19">
        <f t="shared" si="25"/>
        <v>41.09</v>
      </c>
      <c r="BL18" s="31">
        <v>8.52</v>
      </c>
      <c r="BM18" s="72">
        <v>15</v>
      </c>
      <c r="BN18" s="36">
        <f>0.08*BN7+3</f>
        <v>31.32</v>
      </c>
      <c r="BO18" s="35">
        <f>17.29+2.5-1.65</f>
        <v>18.14</v>
      </c>
      <c r="BP18" s="64"/>
      <c r="BQ18" s="19">
        <f t="shared" si="26"/>
        <v>18.14</v>
      </c>
      <c r="BR18" s="31">
        <v>9.6999999999999993</v>
      </c>
      <c r="BS18" s="45">
        <v>8.6</v>
      </c>
      <c r="BT18" s="36">
        <f>BT7*0.08</f>
        <v>10.620000000000001</v>
      </c>
      <c r="BU18" s="82">
        <f t="shared" si="32"/>
        <v>148.32999999999998</v>
      </c>
      <c r="BV18" s="81">
        <f t="shared" si="27"/>
        <v>0</v>
      </c>
      <c r="BW18" s="19">
        <f t="shared" si="28"/>
        <v>148.32999999999998</v>
      </c>
      <c r="BX18" s="19">
        <f t="shared" si="29"/>
        <v>22.07</v>
      </c>
      <c r="BY18" s="19">
        <f t="shared" si="29"/>
        <v>211.49499999999998</v>
      </c>
      <c r="BZ18" s="37">
        <f t="shared" si="29"/>
        <v>135.12</v>
      </c>
      <c r="CA18" s="75"/>
      <c r="CB18" s="75"/>
    </row>
    <row r="19" spans="1:80" outlineLevel="1">
      <c r="A19" s="4" t="s">
        <v>40</v>
      </c>
      <c r="B19" s="58" t="s">
        <v>12</v>
      </c>
      <c r="C19" s="43">
        <v>16.98</v>
      </c>
      <c r="D19" s="23"/>
      <c r="E19" s="117">
        <f t="shared" si="33"/>
        <v>16.98</v>
      </c>
      <c r="F19" s="49">
        <f t="shared" si="34"/>
        <v>16.98</v>
      </c>
      <c r="G19" s="35">
        <v>17</v>
      </c>
      <c r="H19" s="31"/>
      <c r="I19" s="81">
        <f t="shared" si="3"/>
        <v>17</v>
      </c>
      <c r="J19" s="31"/>
      <c r="K19" s="31">
        <f t="shared" si="35"/>
        <v>17</v>
      </c>
      <c r="L19" s="36">
        <f t="shared" si="36"/>
        <v>17</v>
      </c>
      <c r="M19" s="35">
        <v>64.680000000000007</v>
      </c>
      <c r="N19" s="64"/>
      <c r="O19" s="19">
        <f t="shared" si="30"/>
        <v>64.680000000000007</v>
      </c>
      <c r="P19" s="31"/>
      <c r="Q19" s="31">
        <f t="shared" si="37"/>
        <v>64.680000000000007</v>
      </c>
      <c r="R19" s="36">
        <f t="shared" si="38"/>
        <v>64.680000000000007</v>
      </c>
      <c r="S19" s="35">
        <v>22.9</v>
      </c>
      <c r="T19" s="120"/>
      <c r="U19" s="19">
        <f t="shared" si="19"/>
        <v>22.9</v>
      </c>
      <c r="V19" s="31"/>
      <c r="W19" s="45">
        <v>4.7</v>
      </c>
      <c r="X19" s="36">
        <f t="shared" si="39"/>
        <v>22.9</v>
      </c>
      <c r="Y19" s="35">
        <v>56.51</v>
      </c>
      <c r="Z19" s="64"/>
      <c r="AA19" s="19">
        <f t="shared" si="31"/>
        <v>56.51</v>
      </c>
      <c r="AB19" s="31"/>
      <c r="AC19" s="45">
        <v>4.7</v>
      </c>
      <c r="AD19" s="36">
        <f t="shared" si="40"/>
        <v>56.51</v>
      </c>
      <c r="AE19" s="35">
        <f>0.19+23.95</f>
        <v>24.14</v>
      </c>
      <c r="AF19" s="31"/>
      <c r="AG19" s="81">
        <f t="shared" si="20"/>
        <v>24.14</v>
      </c>
      <c r="AH19" s="31"/>
      <c r="AI19" s="45">
        <v>30</v>
      </c>
      <c r="AJ19" s="36">
        <f t="shared" si="41"/>
        <v>24.14</v>
      </c>
      <c r="AK19" s="35">
        <v>17.55</v>
      </c>
      <c r="AL19" s="31"/>
      <c r="AM19" s="19">
        <f t="shared" si="21"/>
        <v>17.55</v>
      </c>
      <c r="AN19" s="31"/>
      <c r="AO19" s="45">
        <f>ROUND(5%*AO6/1.06,2)+1.27</f>
        <v>16.73</v>
      </c>
      <c r="AP19" s="36">
        <f t="shared" si="42"/>
        <v>17.55</v>
      </c>
      <c r="AQ19" s="35">
        <v>10.99</v>
      </c>
      <c r="AR19" s="31"/>
      <c r="AS19" s="19">
        <f t="shared" si="22"/>
        <v>10.99</v>
      </c>
      <c r="AT19" s="31">
        <v>0.17</v>
      </c>
      <c r="AU19" s="45">
        <v>15.7</v>
      </c>
      <c r="AV19" s="36">
        <v>29.7</v>
      </c>
      <c r="AW19" s="35">
        <v>7.87</v>
      </c>
      <c r="AX19" s="31"/>
      <c r="AY19" s="19">
        <f t="shared" si="23"/>
        <v>7.87</v>
      </c>
      <c r="AZ19" s="31">
        <v>1.27</v>
      </c>
      <c r="BA19" s="45">
        <f>BA6*5%/1.06</f>
        <v>4.7169811320754711</v>
      </c>
      <c r="BB19" s="36">
        <v>32</v>
      </c>
      <c r="BC19" s="35">
        <v>7.52</v>
      </c>
      <c r="BD19" s="31"/>
      <c r="BE19" s="19">
        <f t="shared" si="24"/>
        <v>7.52</v>
      </c>
      <c r="BF19" s="31">
        <v>3.59</v>
      </c>
      <c r="BG19" s="45">
        <v>15</v>
      </c>
      <c r="BH19" s="36">
        <v>16</v>
      </c>
      <c r="BI19" s="35">
        <v>13.99</v>
      </c>
      <c r="BJ19" s="31"/>
      <c r="BK19" s="19">
        <f t="shared" si="25"/>
        <v>13.99</v>
      </c>
      <c r="BL19" s="31">
        <v>9.82</v>
      </c>
      <c r="BM19" s="45">
        <v>9.5</v>
      </c>
      <c r="BN19" s="36">
        <v>64</v>
      </c>
      <c r="BO19" s="35">
        <v>7.03</v>
      </c>
      <c r="BP19" s="31"/>
      <c r="BQ19" s="19">
        <f t="shared" si="26"/>
        <v>7.03</v>
      </c>
      <c r="BR19" s="31">
        <v>18.96</v>
      </c>
      <c r="BS19" s="45">
        <v>4</v>
      </c>
      <c r="BT19" s="36">
        <v>30</v>
      </c>
      <c r="BU19" s="82">
        <f t="shared" si="32"/>
        <v>267.15999999999997</v>
      </c>
      <c r="BV19" s="81">
        <f t="shared" si="27"/>
        <v>0</v>
      </c>
      <c r="BW19" s="19">
        <f t="shared" si="28"/>
        <v>267.15999999999997</v>
      </c>
      <c r="BX19" s="19">
        <f t="shared" si="29"/>
        <v>33.81</v>
      </c>
      <c r="BY19" s="19">
        <f t="shared" si="29"/>
        <v>203.70698113207544</v>
      </c>
      <c r="BZ19" s="37">
        <f t="shared" si="29"/>
        <v>391.46</v>
      </c>
      <c r="CA19" s="75"/>
      <c r="CB19" s="75"/>
    </row>
    <row r="20" spans="1:80" outlineLevel="1">
      <c r="A20" s="4" t="s">
        <v>41</v>
      </c>
      <c r="B20" s="58" t="s">
        <v>11</v>
      </c>
      <c r="C20" s="43">
        <v>0</v>
      </c>
      <c r="D20" s="23"/>
      <c r="E20" s="117">
        <f t="shared" si="33"/>
        <v>0</v>
      </c>
      <c r="F20" s="49">
        <f t="shared" si="34"/>
        <v>0</v>
      </c>
      <c r="G20" s="35"/>
      <c r="H20" s="31"/>
      <c r="I20" s="81">
        <f t="shared" si="3"/>
        <v>0</v>
      </c>
      <c r="J20" s="31"/>
      <c r="K20" s="31">
        <f t="shared" si="35"/>
        <v>0</v>
      </c>
      <c r="L20" s="36">
        <f t="shared" si="36"/>
        <v>0</v>
      </c>
      <c r="M20" s="35">
        <v>0.01</v>
      </c>
      <c r="N20" s="31"/>
      <c r="O20" s="19">
        <f t="shared" si="30"/>
        <v>0.01</v>
      </c>
      <c r="P20" s="31"/>
      <c r="Q20" s="31">
        <f t="shared" si="37"/>
        <v>0.01</v>
      </c>
      <c r="R20" s="36">
        <f t="shared" si="38"/>
        <v>0.01</v>
      </c>
      <c r="S20" s="35"/>
      <c r="T20" s="31"/>
      <c r="U20" s="19">
        <f t="shared" si="19"/>
        <v>0</v>
      </c>
      <c r="V20" s="31"/>
      <c r="W20" s="45"/>
      <c r="X20" s="36">
        <f t="shared" si="39"/>
        <v>0</v>
      </c>
      <c r="Y20" s="31"/>
      <c r="Z20" s="31"/>
      <c r="AA20" s="19">
        <f t="shared" si="31"/>
        <v>0</v>
      </c>
      <c r="AB20" s="31"/>
      <c r="AC20" s="45"/>
      <c r="AD20" s="36">
        <f t="shared" si="40"/>
        <v>0</v>
      </c>
      <c r="AE20" s="35"/>
      <c r="AF20" s="31"/>
      <c r="AG20" s="81">
        <f t="shared" si="20"/>
        <v>0</v>
      </c>
      <c r="AH20" s="31"/>
      <c r="AI20" s="45"/>
      <c r="AJ20" s="36">
        <f t="shared" si="41"/>
        <v>0</v>
      </c>
      <c r="AK20" s="35"/>
      <c r="AL20" s="31"/>
      <c r="AM20" s="19">
        <f t="shared" si="21"/>
        <v>0</v>
      </c>
      <c r="AN20" s="31"/>
      <c r="AO20" s="45"/>
      <c r="AP20" s="36">
        <f t="shared" si="42"/>
        <v>0</v>
      </c>
      <c r="AQ20" s="35"/>
      <c r="AR20" s="31"/>
      <c r="AS20" s="19">
        <f t="shared" si="22"/>
        <v>0</v>
      </c>
      <c r="AT20" s="31"/>
      <c r="AU20" s="45"/>
      <c r="AV20" s="36"/>
      <c r="AW20" s="35"/>
      <c r="AX20" s="31"/>
      <c r="AY20" s="19">
        <f t="shared" si="23"/>
        <v>0</v>
      </c>
      <c r="AZ20" s="31"/>
      <c r="BA20" s="45"/>
      <c r="BB20" s="36"/>
      <c r="BC20" s="35"/>
      <c r="BD20" s="31"/>
      <c r="BE20" s="19">
        <f t="shared" si="24"/>
        <v>0</v>
      </c>
      <c r="BF20" s="31"/>
      <c r="BG20" s="45"/>
      <c r="BH20" s="36"/>
      <c r="BI20" s="35"/>
      <c r="BJ20" s="31"/>
      <c r="BK20" s="19">
        <f t="shared" si="25"/>
        <v>0</v>
      </c>
      <c r="BL20" s="31"/>
      <c r="BM20" s="45"/>
      <c r="BN20" s="36"/>
      <c r="BO20" s="35"/>
      <c r="BP20" s="31"/>
      <c r="BQ20" s="19">
        <f t="shared" si="26"/>
        <v>0</v>
      </c>
      <c r="BR20" s="31"/>
      <c r="BS20" s="45"/>
      <c r="BT20" s="36"/>
      <c r="BU20" s="82">
        <f t="shared" si="32"/>
        <v>0.01</v>
      </c>
      <c r="BV20" s="81">
        <f t="shared" si="27"/>
        <v>0</v>
      </c>
      <c r="BW20" s="19">
        <f t="shared" si="28"/>
        <v>0.01</v>
      </c>
      <c r="BX20" s="19">
        <f t="shared" si="29"/>
        <v>0</v>
      </c>
      <c r="BY20" s="19">
        <f t="shared" si="29"/>
        <v>0.01</v>
      </c>
      <c r="BZ20" s="37">
        <f t="shared" si="29"/>
        <v>0.01</v>
      </c>
      <c r="CA20" s="75"/>
      <c r="CB20" s="75"/>
    </row>
    <row r="21" spans="1:80" outlineLevel="1">
      <c r="A21" s="4" t="s">
        <v>42</v>
      </c>
      <c r="B21" s="57" t="s">
        <v>31</v>
      </c>
      <c r="C21" s="43">
        <v>0</v>
      </c>
      <c r="D21" s="23"/>
      <c r="E21" s="117">
        <f t="shared" si="33"/>
        <v>0</v>
      </c>
      <c r="F21" s="49">
        <f t="shared" si="34"/>
        <v>0</v>
      </c>
      <c r="G21" s="35"/>
      <c r="H21" s="31"/>
      <c r="I21" s="81">
        <f t="shared" si="3"/>
        <v>0</v>
      </c>
      <c r="J21" s="31"/>
      <c r="K21" s="31">
        <f t="shared" si="35"/>
        <v>0</v>
      </c>
      <c r="L21" s="36">
        <f t="shared" si="36"/>
        <v>0</v>
      </c>
      <c r="M21" s="35">
        <v>24.93</v>
      </c>
      <c r="N21" s="31"/>
      <c r="O21" s="19">
        <f t="shared" si="30"/>
        <v>24.93</v>
      </c>
      <c r="P21" s="31"/>
      <c r="Q21" s="31">
        <f t="shared" si="37"/>
        <v>24.93</v>
      </c>
      <c r="R21" s="36">
        <f t="shared" si="38"/>
        <v>24.93</v>
      </c>
      <c r="S21" s="35">
        <v>10.31</v>
      </c>
      <c r="T21" s="31"/>
      <c r="U21" s="19">
        <f t="shared" si="19"/>
        <v>10.31</v>
      </c>
      <c r="V21" s="31"/>
      <c r="W21" s="45"/>
      <c r="X21" s="36">
        <f t="shared" si="39"/>
        <v>10.31</v>
      </c>
      <c r="Y21" s="35">
        <v>9.43</v>
      </c>
      <c r="Z21" s="31"/>
      <c r="AA21" s="19">
        <f t="shared" si="31"/>
        <v>9.43</v>
      </c>
      <c r="AB21" s="31"/>
      <c r="AC21" s="45"/>
      <c r="AD21" s="36">
        <f t="shared" si="40"/>
        <v>9.43</v>
      </c>
      <c r="AE21" s="35">
        <v>10.61</v>
      </c>
      <c r="AF21" s="31"/>
      <c r="AG21" s="81">
        <f t="shared" si="20"/>
        <v>10.61</v>
      </c>
      <c r="AH21" s="31"/>
      <c r="AI21" s="45">
        <v>10</v>
      </c>
      <c r="AJ21" s="36">
        <f t="shared" si="41"/>
        <v>10.61</v>
      </c>
      <c r="AK21" s="35">
        <v>5.6</v>
      </c>
      <c r="AL21" s="31"/>
      <c r="AM21" s="19">
        <f t="shared" si="21"/>
        <v>5.6</v>
      </c>
      <c r="AN21" s="31"/>
      <c r="AO21" s="45">
        <v>10</v>
      </c>
      <c r="AP21" s="36">
        <f t="shared" si="42"/>
        <v>5.6</v>
      </c>
      <c r="AQ21" s="35">
        <v>6.34</v>
      </c>
      <c r="AR21" s="31"/>
      <c r="AS21" s="19">
        <f t="shared" si="22"/>
        <v>6.34</v>
      </c>
      <c r="AT21" s="31"/>
      <c r="AU21" s="45">
        <v>10</v>
      </c>
      <c r="AV21" s="36">
        <v>10</v>
      </c>
      <c r="AW21" s="35">
        <v>7.06</v>
      </c>
      <c r="AX21" s="31"/>
      <c r="AY21" s="19">
        <f t="shared" si="23"/>
        <v>7.06</v>
      </c>
      <c r="AZ21" s="31"/>
      <c r="BA21" s="45">
        <v>10</v>
      </c>
      <c r="BB21" s="36">
        <v>10</v>
      </c>
      <c r="BC21" s="35">
        <v>4.5</v>
      </c>
      <c r="BD21" s="31"/>
      <c r="BE21" s="19">
        <f t="shared" si="24"/>
        <v>4.5</v>
      </c>
      <c r="BF21" s="31"/>
      <c r="BG21" s="45">
        <v>7</v>
      </c>
      <c r="BH21" s="36">
        <v>10</v>
      </c>
      <c r="BI21" s="35">
        <v>4.28</v>
      </c>
      <c r="BJ21" s="31"/>
      <c r="BK21" s="19">
        <f t="shared" si="25"/>
        <v>4.28</v>
      </c>
      <c r="BL21" s="31"/>
      <c r="BM21" s="45">
        <v>7</v>
      </c>
      <c r="BN21" s="36">
        <v>10</v>
      </c>
      <c r="BO21" s="35">
        <f>11.14-8.08</f>
        <v>3.0600000000000005</v>
      </c>
      <c r="BP21" s="31"/>
      <c r="BQ21" s="19">
        <f t="shared" si="26"/>
        <v>3.0600000000000005</v>
      </c>
      <c r="BR21" s="31"/>
      <c r="BS21" s="45">
        <v>14</v>
      </c>
      <c r="BT21" s="36">
        <v>10</v>
      </c>
      <c r="BU21" s="82">
        <f t="shared" si="32"/>
        <v>86.12</v>
      </c>
      <c r="BV21" s="81">
        <f t="shared" si="27"/>
        <v>0</v>
      </c>
      <c r="BW21" s="19">
        <f t="shared" si="28"/>
        <v>86.12</v>
      </c>
      <c r="BX21" s="19">
        <f t="shared" si="29"/>
        <v>0</v>
      </c>
      <c r="BY21" s="19">
        <f t="shared" si="29"/>
        <v>92.93</v>
      </c>
      <c r="BZ21" s="37">
        <f t="shared" si="29"/>
        <v>110.88</v>
      </c>
      <c r="CA21" s="75"/>
      <c r="CB21" s="75"/>
    </row>
    <row r="22" spans="1:80" s="93" customFormat="1" outlineLevel="1">
      <c r="A22" s="99" t="s">
        <v>43</v>
      </c>
      <c r="B22" s="100" t="s">
        <v>32</v>
      </c>
      <c r="C22" s="87">
        <v>12.38</v>
      </c>
      <c r="D22" s="88"/>
      <c r="E22" s="117">
        <f t="shared" si="33"/>
        <v>12.38</v>
      </c>
      <c r="F22" s="49">
        <f t="shared" si="34"/>
        <v>12.38</v>
      </c>
      <c r="G22" s="101">
        <v>32</v>
      </c>
      <c r="H22" s="102"/>
      <c r="I22" s="81">
        <f t="shared" si="3"/>
        <v>32</v>
      </c>
      <c r="J22" s="102"/>
      <c r="K22" s="31">
        <f t="shared" si="35"/>
        <v>32</v>
      </c>
      <c r="L22" s="36">
        <f t="shared" si="36"/>
        <v>32</v>
      </c>
      <c r="M22" s="101">
        <v>20.18</v>
      </c>
      <c r="N22" s="31"/>
      <c r="O22" s="19">
        <f t="shared" si="30"/>
        <v>20.18</v>
      </c>
      <c r="P22" s="102"/>
      <c r="Q22" s="31">
        <f t="shared" si="37"/>
        <v>20.18</v>
      </c>
      <c r="R22" s="36">
        <f t="shared" si="38"/>
        <v>20.18</v>
      </c>
      <c r="S22" s="101">
        <v>20.73</v>
      </c>
      <c r="T22" s="31"/>
      <c r="U22" s="90">
        <f t="shared" si="19"/>
        <v>20.73</v>
      </c>
      <c r="V22" s="102"/>
      <c r="W22" s="104">
        <v>24.22</v>
      </c>
      <c r="X22" s="36">
        <f t="shared" si="39"/>
        <v>20.73</v>
      </c>
      <c r="Y22" s="101">
        <v>28.71</v>
      </c>
      <c r="Z22" s="102"/>
      <c r="AA22" s="19">
        <f t="shared" si="31"/>
        <v>28.71</v>
      </c>
      <c r="AB22" s="102"/>
      <c r="AC22" s="104">
        <v>29.99</v>
      </c>
      <c r="AD22" s="36">
        <f t="shared" si="40"/>
        <v>28.71</v>
      </c>
      <c r="AE22" s="101">
        <v>33.909999999999997</v>
      </c>
      <c r="AF22" s="31"/>
      <c r="AG22" s="81">
        <f t="shared" si="20"/>
        <v>33.909999999999997</v>
      </c>
      <c r="AH22" s="102"/>
      <c r="AI22" s="104">
        <v>27.67</v>
      </c>
      <c r="AJ22" s="36">
        <f t="shared" si="41"/>
        <v>33.909999999999997</v>
      </c>
      <c r="AK22" s="101">
        <v>9.06</v>
      </c>
      <c r="AL22" s="102"/>
      <c r="AM22" s="90">
        <f t="shared" si="21"/>
        <v>9.06</v>
      </c>
      <c r="AN22" s="102"/>
      <c r="AO22" s="104">
        <v>20</v>
      </c>
      <c r="AP22" s="36">
        <f t="shared" si="42"/>
        <v>9.06</v>
      </c>
      <c r="AQ22" s="101">
        <v>20.64</v>
      </c>
      <c r="AR22" s="102"/>
      <c r="AS22" s="90">
        <f t="shared" si="22"/>
        <v>20.64</v>
      </c>
      <c r="AT22" s="102"/>
      <c r="AU22" s="104">
        <v>30</v>
      </c>
      <c r="AV22" s="103">
        <v>20.100000000000001</v>
      </c>
      <c r="AW22" s="101">
        <v>9.1</v>
      </c>
      <c r="AX22" s="102"/>
      <c r="AY22" s="90">
        <f t="shared" si="23"/>
        <v>9.1</v>
      </c>
      <c r="AZ22" s="102"/>
      <c r="BA22" s="104">
        <v>14</v>
      </c>
      <c r="BB22" s="103">
        <v>14</v>
      </c>
      <c r="BC22" s="101">
        <v>12.3</v>
      </c>
      <c r="BD22" s="102"/>
      <c r="BE22" s="90">
        <f t="shared" si="24"/>
        <v>12.3</v>
      </c>
      <c r="BF22" s="102"/>
      <c r="BG22" s="104">
        <v>10</v>
      </c>
      <c r="BH22" s="103">
        <v>9.6999999999999993</v>
      </c>
      <c r="BI22" s="101">
        <v>12.45</v>
      </c>
      <c r="BJ22" s="102"/>
      <c r="BK22" s="90">
        <f t="shared" si="25"/>
        <v>12.45</v>
      </c>
      <c r="BL22" s="102"/>
      <c r="BM22" s="104">
        <v>12</v>
      </c>
      <c r="BN22" s="103">
        <v>9.6999999999999993</v>
      </c>
      <c r="BO22" s="101">
        <f>1.1+23.6</f>
        <v>24.700000000000003</v>
      </c>
      <c r="BP22" s="31"/>
      <c r="BQ22" s="90">
        <f t="shared" si="26"/>
        <v>24.700000000000003</v>
      </c>
      <c r="BR22" s="102"/>
      <c r="BS22" s="104">
        <v>23</v>
      </c>
      <c r="BT22" s="103">
        <v>22</v>
      </c>
      <c r="BU22" s="82">
        <f t="shared" si="32"/>
        <v>236.16000000000003</v>
      </c>
      <c r="BV22" s="81">
        <f t="shared" si="27"/>
        <v>0</v>
      </c>
      <c r="BW22" s="90">
        <f t="shared" si="28"/>
        <v>236.16000000000003</v>
      </c>
      <c r="BX22" s="90">
        <f t="shared" si="29"/>
        <v>0</v>
      </c>
      <c r="BY22" s="90">
        <f t="shared" si="29"/>
        <v>255.44</v>
      </c>
      <c r="BZ22" s="92">
        <f t="shared" si="29"/>
        <v>232.46999999999997</v>
      </c>
      <c r="CA22" s="75"/>
      <c r="CB22" s="75"/>
    </row>
    <row r="23" spans="1:80" outlineLevel="1">
      <c r="A23" s="4" t="s">
        <v>44</v>
      </c>
      <c r="B23" s="58" t="s">
        <v>10</v>
      </c>
      <c r="C23" s="43">
        <v>0</v>
      </c>
      <c r="D23" s="23"/>
      <c r="E23" s="117">
        <f t="shared" si="33"/>
        <v>0</v>
      </c>
      <c r="F23" s="49">
        <f t="shared" si="34"/>
        <v>0</v>
      </c>
      <c r="G23" s="35"/>
      <c r="H23" s="31"/>
      <c r="I23" s="81">
        <f t="shared" si="3"/>
        <v>0</v>
      </c>
      <c r="J23" s="31"/>
      <c r="K23" s="31">
        <f t="shared" si="35"/>
        <v>0</v>
      </c>
      <c r="L23" s="36">
        <f t="shared" si="36"/>
        <v>0</v>
      </c>
      <c r="M23" s="35"/>
      <c r="N23" s="31"/>
      <c r="O23" s="19">
        <f t="shared" si="30"/>
        <v>0</v>
      </c>
      <c r="P23" s="31"/>
      <c r="Q23" s="31">
        <f t="shared" si="37"/>
        <v>0</v>
      </c>
      <c r="R23" s="36">
        <f t="shared" si="38"/>
        <v>0</v>
      </c>
      <c r="S23" s="35"/>
      <c r="T23" s="31"/>
      <c r="U23" s="19">
        <f t="shared" si="19"/>
        <v>0</v>
      </c>
      <c r="V23" s="31"/>
      <c r="W23" s="45"/>
      <c r="X23" s="36">
        <f t="shared" si="39"/>
        <v>0</v>
      </c>
      <c r="Y23" s="35"/>
      <c r="Z23" s="31"/>
      <c r="AA23" s="19">
        <f t="shared" si="31"/>
        <v>0</v>
      </c>
      <c r="AB23" s="31"/>
      <c r="AC23" s="45"/>
      <c r="AD23" s="36">
        <f t="shared" si="40"/>
        <v>0</v>
      </c>
      <c r="AE23" s="35"/>
      <c r="AF23" s="31"/>
      <c r="AG23" s="81">
        <f t="shared" si="20"/>
        <v>0</v>
      </c>
      <c r="AH23" s="31"/>
      <c r="AI23" s="45"/>
      <c r="AJ23" s="36">
        <f t="shared" si="41"/>
        <v>0</v>
      </c>
      <c r="AK23" s="35"/>
      <c r="AL23" s="31"/>
      <c r="AM23" s="19">
        <f t="shared" si="21"/>
        <v>0</v>
      </c>
      <c r="AN23" s="31"/>
      <c r="AO23" s="45"/>
      <c r="AP23" s="36">
        <f t="shared" si="42"/>
        <v>0</v>
      </c>
      <c r="AQ23" s="35"/>
      <c r="AR23" s="31"/>
      <c r="AS23" s="19">
        <f t="shared" si="22"/>
        <v>0</v>
      </c>
      <c r="AT23" s="31"/>
      <c r="AU23" s="45"/>
      <c r="AV23" s="36"/>
      <c r="AW23" s="35"/>
      <c r="AX23" s="31"/>
      <c r="AY23" s="19">
        <f t="shared" si="23"/>
        <v>0</v>
      </c>
      <c r="AZ23" s="31"/>
      <c r="BA23" s="45"/>
      <c r="BB23" s="36"/>
      <c r="BC23" s="35"/>
      <c r="BD23" s="31"/>
      <c r="BE23" s="19">
        <f t="shared" si="24"/>
        <v>0</v>
      </c>
      <c r="BF23" s="31"/>
      <c r="BG23" s="45"/>
      <c r="BH23" s="36"/>
      <c r="BI23" s="35"/>
      <c r="BJ23" s="31"/>
      <c r="BK23" s="19">
        <f t="shared" si="25"/>
        <v>0</v>
      </c>
      <c r="BL23" s="31"/>
      <c r="BM23" s="45"/>
      <c r="BN23" s="36"/>
      <c r="BO23" s="35"/>
      <c r="BP23" s="31"/>
      <c r="BQ23" s="19">
        <f t="shared" si="26"/>
        <v>0</v>
      </c>
      <c r="BR23" s="31"/>
      <c r="BS23" s="45"/>
      <c r="BT23" s="36"/>
      <c r="BU23" s="82">
        <f t="shared" si="32"/>
        <v>0</v>
      </c>
      <c r="BV23" s="81">
        <f t="shared" si="27"/>
        <v>0</v>
      </c>
      <c r="BW23" s="19">
        <f t="shared" si="28"/>
        <v>0</v>
      </c>
      <c r="BX23" s="19">
        <f t="shared" si="29"/>
        <v>0</v>
      </c>
      <c r="BY23" s="19">
        <f t="shared" si="29"/>
        <v>0</v>
      </c>
      <c r="BZ23" s="37">
        <f t="shared" si="29"/>
        <v>0</v>
      </c>
      <c r="CA23" s="75"/>
      <c r="CB23" s="75"/>
    </row>
    <row r="24" spans="1:80" outlineLevel="1">
      <c r="A24" s="5" t="s">
        <v>45</v>
      </c>
      <c r="B24" s="54" t="s">
        <v>7</v>
      </c>
      <c r="C24" s="43">
        <v>40.68</v>
      </c>
      <c r="D24" s="23"/>
      <c r="E24" s="117">
        <f t="shared" si="33"/>
        <v>40.68</v>
      </c>
      <c r="F24" s="49">
        <f t="shared" si="34"/>
        <v>40.68</v>
      </c>
      <c r="G24" s="35">
        <v>123</v>
      </c>
      <c r="H24" s="31"/>
      <c r="I24" s="81">
        <f t="shared" si="3"/>
        <v>123</v>
      </c>
      <c r="J24" s="31"/>
      <c r="K24" s="31">
        <f t="shared" si="35"/>
        <v>123</v>
      </c>
      <c r="L24" s="36">
        <f t="shared" si="36"/>
        <v>123</v>
      </c>
      <c r="M24" s="35">
        <f>90.73-2.93</f>
        <v>87.8</v>
      </c>
      <c r="N24" s="31"/>
      <c r="O24" s="19">
        <f t="shared" si="30"/>
        <v>87.8</v>
      </c>
      <c r="P24" s="31"/>
      <c r="Q24" s="31">
        <f t="shared" si="37"/>
        <v>87.8</v>
      </c>
      <c r="R24" s="36">
        <f t="shared" si="38"/>
        <v>87.8</v>
      </c>
      <c r="S24" s="35">
        <f>9.13+62.44</f>
        <v>71.569999999999993</v>
      </c>
      <c r="T24" s="31"/>
      <c r="U24" s="19">
        <f t="shared" si="19"/>
        <v>71.569999999999993</v>
      </c>
      <c r="V24" s="31"/>
      <c r="W24" s="45">
        <v>15.2</v>
      </c>
      <c r="X24" s="36">
        <f t="shared" si="39"/>
        <v>71.569999999999993</v>
      </c>
      <c r="Y24" s="35">
        <v>13.89</v>
      </c>
      <c r="Z24" s="31"/>
      <c r="AA24" s="19">
        <f t="shared" si="31"/>
        <v>13.89</v>
      </c>
      <c r="AB24" s="31"/>
      <c r="AC24" s="45">
        <v>14.4</v>
      </c>
      <c r="AD24" s="36">
        <f t="shared" si="40"/>
        <v>13.89</v>
      </c>
      <c r="AE24" s="35">
        <v>-25.15</v>
      </c>
      <c r="AF24" s="31"/>
      <c r="AG24" s="81">
        <f t="shared" si="20"/>
        <v>-25.15</v>
      </c>
      <c r="AH24" s="31"/>
      <c r="AI24" s="45">
        <v>98</v>
      </c>
      <c r="AJ24" s="36">
        <f t="shared" si="41"/>
        <v>-25.15</v>
      </c>
      <c r="AK24" s="35">
        <v>-13.25</v>
      </c>
      <c r="AL24" s="31"/>
      <c r="AM24" s="19">
        <f t="shared" si="21"/>
        <v>-13.25</v>
      </c>
      <c r="AN24" s="31"/>
      <c r="AO24" s="45">
        <v>53</v>
      </c>
      <c r="AP24" s="36">
        <f t="shared" si="42"/>
        <v>-13.25</v>
      </c>
      <c r="AQ24" s="35">
        <v>8.8000000000000007</v>
      </c>
      <c r="AR24" s="31"/>
      <c r="AS24" s="19">
        <f t="shared" si="22"/>
        <v>8.8000000000000007</v>
      </c>
      <c r="AT24" s="31">
        <v>1.33</v>
      </c>
      <c r="AU24" s="45">
        <v>37.200000000000003</v>
      </c>
      <c r="AV24" s="36">
        <v>24.5</v>
      </c>
      <c r="AW24" s="35">
        <v>24.52</v>
      </c>
      <c r="AX24" s="31"/>
      <c r="AY24" s="19">
        <f t="shared" si="23"/>
        <v>24.52</v>
      </c>
      <c r="AZ24" s="31">
        <v>9.68</v>
      </c>
      <c r="BA24" s="45">
        <v>20</v>
      </c>
      <c r="BB24" s="36">
        <v>29</v>
      </c>
      <c r="BC24" s="35">
        <v>29.6</v>
      </c>
      <c r="BD24" s="31"/>
      <c r="BE24" s="19">
        <f t="shared" si="24"/>
        <v>29.6</v>
      </c>
      <c r="BF24" s="31">
        <v>20.78</v>
      </c>
      <c r="BG24" s="45">
        <v>20</v>
      </c>
      <c r="BH24" s="36">
        <v>20</v>
      </c>
      <c r="BI24" s="35">
        <v>36.299999999999997</v>
      </c>
      <c r="BJ24" s="31"/>
      <c r="BK24" s="19">
        <f t="shared" si="25"/>
        <v>36.299999999999997</v>
      </c>
      <c r="BL24" s="31">
        <v>20.02</v>
      </c>
      <c r="BM24" s="45">
        <v>20</v>
      </c>
      <c r="BN24" s="36">
        <v>30</v>
      </c>
      <c r="BO24" s="35">
        <f>1.82+-13.7</f>
        <v>-11.879999999999999</v>
      </c>
      <c r="BP24" s="31"/>
      <c r="BQ24" s="19">
        <f t="shared" si="26"/>
        <v>-11.879999999999999</v>
      </c>
      <c r="BR24" s="31">
        <v>30.71</v>
      </c>
      <c r="BS24" s="45">
        <v>14</v>
      </c>
      <c r="BT24" s="36">
        <v>25</v>
      </c>
      <c r="BU24" s="82">
        <f t="shared" si="32"/>
        <v>385.88000000000005</v>
      </c>
      <c r="BV24" s="81">
        <f t="shared" si="27"/>
        <v>0</v>
      </c>
      <c r="BW24" s="19">
        <f t="shared" si="28"/>
        <v>385.88000000000005</v>
      </c>
      <c r="BX24" s="19">
        <f t="shared" si="29"/>
        <v>82.52000000000001</v>
      </c>
      <c r="BY24" s="19">
        <f t="shared" si="29"/>
        <v>543.28</v>
      </c>
      <c r="BZ24" s="37">
        <f t="shared" si="29"/>
        <v>427.04</v>
      </c>
      <c r="CA24" s="75"/>
      <c r="CB24" s="75"/>
    </row>
    <row r="25" spans="1:80" outlineLevel="1">
      <c r="A25" s="5" t="s">
        <v>46</v>
      </c>
      <c r="B25" s="54" t="s">
        <v>19</v>
      </c>
      <c r="C25" s="43">
        <v>0</v>
      </c>
      <c r="D25" s="23"/>
      <c r="E25" s="117">
        <f t="shared" si="33"/>
        <v>0</v>
      </c>
      <c r="F25" s="49">
        <v>0</v>
      </c>
      <c r="G25" s="35"/>
      <c r="H25" s="31"/>
      <c r="I25" s="81">
        <f t="shared" si="3"/>
        <v>0</v>
      </c>
      <c r="J25" s="31"/>
      <c r="K25" s="31">
        <f t="shared" si="35"/>
        <v>0</v>
      </c>
      <c r="L25" s="36"/>
      <c r="M25" s="35"/>
      <c r="N25" s="31"/>
      <c r="O25" s="19">
        <f t="shared" si="30"/>
        <v>0</v>
      </c>
      <c r="P25" s="31"/>
      <c r="Q25" s="31">
        <f t="shared" si="37"/>
        <v>0</v>
      </c>
      <c r="R25" s="36">
        <f t="shared" si="38"/>
        <v>0</v>
      </c>
      <c r="S25" s="35"/>
      <c r="T25" s="31"/>
      <c r="U25" s="19">
        <f t="shared" si="19"/>
        <v>0</v>
      </c>
      <c r="V25" s="31"/>
      <c r="W25" s="45"/>
      <c r="X25" s="36">
        <f t="shared" si="39"/>
        <v>0</v>
      </c>
      <c r="Y25" s="35"/>
      <c r="Z25" s="31"/>
      <c r="AA25" s="19">
        <f t="shared" si="31"/>
        <v>0</v>
      </c>
      <c r="AB25" s="31"/>
      <c r="AC25" s="45"/>
      <c r="AD25" s="36">
        <f t="shared" si="40"/>
        <v>0</v>
      </c>
      <c r="AE25" s="35"/>
      <c r="AF25" s="31"/>
      <c r="AG25" s="81">
        <f t="shared" si="20"/>
        <v>0</v>
      </c>
      <c r="AH25" s="31"/>
      <c r="AI25" s="45"/>
      <c r="AJ25" s="36">
        <f t="shared" si="41"/>
        <v>0</v>
      </c>
      <c r="AK25" s="35"/>
      <c r="AL25" s="31"/>
      <c r="AM25" s="19">
        <f t="shared" si="21"/>
        <v>0</v>
      </c>
      <c r="AN25" s="31"/>
      <c r="AO25" s="45"/>
      <c r="AP25" s="36">
        <f t="shared" si="42"/>
        <v>0</v>
      </c>
      <c r="AQ25" s="35"/>
      <c r="AR25" s="31"/>
      <c r="AS25" s="19">
        <f t="shared" si="22"/>
        <v>0</v>
      </c>
      <c r="AT25" s="31"/>
      <c r="AU25" s="45"/>
      <c r="AV25" s="36"/>
      <c r="AW25" s="35"/>
      <c r="AX25" s="31"/>
      <c r="AY25" s="19">
        <f t="shared" si="23"/>
        <v>0</v>
      </c>
      <c r="AZ25" s="31"/>
      <c r="BA25" s="45"/>
      <c r="BB25" s="36"/>
      <c r="BC25" s="35"/>
      <c r="BD25" s="31"/>
      <c r="BE25" s="19">
        <f t="shared" si="24"/>
        <v>0</v>
      </c>
      <c r="BF25" s="31"/>
      <c r="BG25" s="45"/>
      <c r="BH25" s="36"/>
      <c r="BI25" s="35"/>
      <c r="BJ25" s="31"/>
      <c r="BK25" s="19">
        <f t="shared" si="25"/>
        <v>0</v>
      </c>
      <c r="BL25" s="31"/>
      <c r="BM25" s="45"/>
      <c r="BN25" s="36"/>
      <c r="BO25" s="35"/>
      <c r="BP25" s="31"/>
      <c r="BQ25" s="19">
        <f t="shared" si="26"/>
        <v>0</v>
      </c>
      <c r="BR25" s="31"/>
      <c r="BS25" s="45"/>
      <c r="BT25" s="36"/>
      <c r="BU25" s="82">
        <f t="shared" si="32"/>
        <v>0</v>
      </c>
      <c r="BV25" s="81">
        <f t="shared" si="27"/>
        <v>0</v>
      </c>
      <c r="BW25" s="19">
        <f t="shared" si="28"/>
        <v>0</v>
      </c>
      <c r="BX25" s="19">
        <f t="shared" si="29"/>
        <v>0</v>
      </c>
      <c r="BY25" s="19">
        <f t="shared" si="29"/>
        <v>0</v>
      </c>
      <c r="BZ25" s="37">
        <f t="shared" si="29"/>
        <v>0</v>
      </c>
      <c r="CA25" s="75"/>
      <c r="CB25" s="75"/>
    </row>
    <row r="26" spans="1:80" outlineLevel="1">
      <c r="A26" s="5" t="s">
        <v>47</v>
      </c>
      <c r="B26" s="54" t="s">
        <v>15</v>
      </c>
      <c r="C26" s="43">
        <v>0</v>
      </c>
      <c r="D26" s="23"/>
      <c r="E26" s="117">
        <f t="shared" si="33"/>
        <v>0</v>
      </c>
      <c r="F26" s="49">
        <v>0</v>
      </c>
      <c r="G26" s="35"/>
      <c r="H26" s="31"/>
      <c r="I26" s="81">
        <f t="shared" si="3"/>
        <v>0</v>
      </c>
      <c r="J26" s="31"/>
      <c r="K26" s="31">
        <f t="shared" si="35"/>
        <v>0</v>
      </c>
      <c r="L26" s="36"/>
      <c r="M26" s="35">
        <v>0.56000000000000005</v>
      </c>
      <c r="N26" s="31"/>
      <c r="O26" s="19">
        <f t="shared" si="30"/>
        <v>0.56000000000000005</v>
      </c>
      <c r="P26" s="31"/>
      <c r="Q26" s="31">
        <f t="shared" si="37"/>
        <v>0.56000000000000005</v>
      </c>
      <c r="R26" s="36">
        <f t="shared" si="38"/>
        <v>0.56000000000000005</v>
      </c>
      <c r="S26" s="35">
        <v>3.77</v>
      </c>
      <c r="T26" s="31"/>
      <c r="U26" s="19">
        <f t="shared" si="19"/>
        <v>3.77</v>
      </c>
      <c r="V26" s="31"/>
      <c r="W26" s="45"/>
      <c r="X26" s="36">
        <f t="shared" si="39"/>
        <v>3.77</v>
      </c>
      <c r="Y26" s="35">
        <v>11.79</v>
      </c>
      <c r="Z26" s="31"/>
      <c r="AA26" s="19">
        <f t="shared" si="31"/>
        <v>11.79</v>
      </c>
      <c r="AB26" s="31"/>
      <c r="AC26" s="45"/>
      <c r="AD26" s="36">
        <f t="shared" si="40"/>
        <v>11.79</v>
      </c>
      <c r="AE26" s="35"/>
      <c r="AF26" s="31"/>
      <c r="AG26" s="81">
        <f t="shared" si="20"/>
        <v>0</v>
      </c>
      <c r="AH26" s="31"/>
      <c r="AI26" s="45"/>
      <c r="AJ26" s="36">
        <f t="shared" si="41"/>
        <v>0</v>
      </c>
      <c r="AK26" s="35">
        <f>0.4+0.96</f>
        <v>1.3599999999999999</v>
      </c>
      <c r="AL26" s="31"/>
      <c r="AM26" s="19">
        <f t="shared" si="21"/>
        <v>1.3599999999999999</v>
      </c>
      <c r="AN26" s="31"/>
      <c r="AO26" s="45"/>
      <c r="AP26" s="36">
        <f t="shared" si="42"/>
        <v>1.3599999999999999</v>
      </c>
      <c r="AQ26" s="35">
        <f>0.35+0.63</f>
        <v>0.98</v>
      </c>
      <c r="AR26" s="31"/>
      <c r="AS26" s="19">
        <f t="shared" si="22"/>
        <v>0.98</v>
      </c>
      <c r="AT26" s="31"/>
      <c r="AU26" s="45"/>
      <c r="AV26" s="36">
        <v>4</v>
      </c>
      <c r="AW26" s="35">
        <f>0.5+0.56</f>
        <v>1.06</v>
      </c>
      <c r="AX26" s="31"/>
      <c r="AY26" s="19">
        <f t="shared" si="23"/>
        <v>1.06</v>
      </c>
      <c r="AZ26" s="31"/>
      <c r="BA26" s="45">
        <v>4</v>
      </c>
      <c r="BB26" s="36">
        <v>4</v>
      </c>
      <c r="BC26" s="35">
        <v>0.95</v>
      </c>
      <c r="BD26" s="31"/>
      <c r="BE26" s="19">
        <f t="shared" si="24"/>
        <v>0.95</v>
      </c>
      <c r="BF26" s="31"/>
      <c r="BG26" s="45">
        <v>4</v>
      </c>
      <c r="BH26" s="36">
        <v>4</v>
      </c>
      <c r="BI26" s="35">
        <v>0.43</v>
      </c>
      <c r="BJ26" s="31"/>
      <c r="BK26" s="19">
        <f t="shared" si="25"/>
        <v>0.43</v>
      </c>
      <c r="BL26" s="31"/>
      <c r="BM26" s="45"/>
      <c r="BN26" s="36">
        <v>4</v>
      </c>
      <c r="BO26" s="35">
        <v>1.01</v>
      </c>
      <c r="BP26" s="31"/>
      <c r="BQ26" s="19">
        <f t="shared" si="26"/>
        <v>1.01</v>
      </c>
      <c r="BR26" s="31"/>
      <c r="BS26" s="45"/>
      <c r="BT26" s="36">
        <v>4</v>
      </c>
      <c r="BU26" s="82">
        <f t="shared" si="32"/>
        <v>21.909999999999997</v>
      </c>
      <c r="BV26" s="81">
        <f t="shared" si="27"/>
        <v>0</v>
      </c>
      <c r="BW26" s="19">
        <f t="shared" si="28"/>
        <v>21.909999999999997</v>
      </c>
      <c r="BX26" s="19">
        <f t="shared" si="29"/>
        <v>0</v>
      </c>
      <c r="BY26" s="19">
        <f t="shared" si="29"/>
        <v>8.56</v>
      </c>
      <c r="BZ26" s="37">
        <f t="shared" si="29"/>
        <v>37.479999999999997</v>
      </c>
      <c r="CA26" s="75"/>
      <c r="CB26" s="75"/>
    </row>
    <row r="27" spans="1:80" outlineLevel="1">
      <c r="A27" s="5" t="s">
        <v>48</v>
      </c>
      <c r="B27" s="54" t="s">
        <v>33</v>
      </c>
      <c r="C27" s="43">
        <v>0</v>
      </c>
      <c r="D27" s="23"/>
      <c r="E27" s="117">
        <f t="shared" si="33"/>
        <v>0</v>
      </c>
      <c r="F27" s="49">
        <v>0</v>
      </c>
      <c r="G27" s="35"/>
      <c r="H27" s="31"/>
      <c r="I27" s="81">
        <f t="shared" si="3"/>
        <v>0</v>
      </c>
      <c r="J27" s="31"/>
      <c r="K27" s="31"/>
      <c r="L27" s="36"/>
      <c r="M27" s="35"/>
      <c r="N27" s="31"/>
      <c r="O27" s="19">
        <f t="shared" si="30"/>
        <v>0</v>
      </c>
      <c r="P27" s="31"/>
      <c r="Q27" s="31"/>
      <c r="R27" s="36"/>
      <c r="S27" s="35"/>
      <c r="T27" s="31"/>
      <c r="U27" s="19">
        <f t="shared" si="19"/>
        <v>0</v>
      </c>
      <c r="V27" s="31"/>
      <c r="W27" s="45"/>
      <c r="X27" s="36">
        <f t="shared" si="39"/>
        <v>0</v>
      </c>
      <c r="Y27" s="35"/>
      <c r="Z27" s="31"/>
      <c r="AA27" s="19">
        <f t="shared" si="31"/>
        <v>0</v>
      </c>
      <c r="AB27" s="31"/>
      <c r="AC27" s="45"/>
      <c r="AD27" s="36">
        <f t="shared" si="40"/>
        <v>0</v>
      </c>
      <c r="AE27" s="35"/>
      <c r="AF27" s="31"/>
      <c r="AG27" s="81">
        <f t="shared" si="20"/>
        <v>0</v>
      </c>
      <c r="AH27" s="31"/>
      <c r="AI27" s="45"/>
      <c r="AJ27" s="36">
        <f t="shared" si="41"/>
        <v>0</v>
      </c>
      <c r="AK27" s="35"/>
      <c r="AL27" s="31"/>
      <c r="AM27" s="19">
        <f t="shared" si="21"/>
        <v>0</v>
      </c>
      <c r="AN27" s="31"/>
      <c r="AO27" s="45"/>
      <c r="AP27" s="36">
        <f t="shared" si="42"/>
        <v>0</v>
      </c>
      <c r="AQ27" s="35"/>
      <c r="AR27" s="31"/>
      <c r="AS27" s="19">
        <f t="shared" si="22"/>
        <v>0</v>
      </c>
      <c r="AT27" s="31"/>
      <c r="AU27" s="45"/>
      <c r="AV27" s="36"/>
      <c r="AW27" s="35"/>
      <c r="AX27" s="31"/>
      <c r="AY27" s="19">
        <f t="shared" si="23"/>
        <v>0</v>
      </c>
      <c r="AZ27" s="31"/>
      <c r="BA27" s="45"/>
      <c r="BB27" s="36"/>
      <c r="BC27" s="35"/>
      <c r="BD27" s="31"/>
      <c r="BE27" s="19">
        <f t="shared" si="24"/>
        <v>0</v>
      </c>
      <c r="BF27" s="31"/>
      <c r="BG27" s="45"/>
      <c r="BH27" s="36"/>
      <c r="BI27" s="35"/>
      <c r="BJ27" s="31"/>
      <c r="BK27" s="19">
        <f t="shared" si="25"/>
        <v>0</v>
      </c>
      <c r="BL27" s="31"/>
      <c r="BM27" s="45"/>
      <c r="BN27" s="36"/>
      <c r="BO27" s="35"/>
      <c r="BP27" s="31"/>
      <c r="BQ27" s="19">
        <f t="shared" si="26"/>
        <v>0</v>
      </c>
      <c r="BR27" s="31"/>
      <c r="BS27" s="45"/>
      <c r="BT27" s="36"/>
      <c r="BU27" s="82">
        <f t="shared" si="32"/>
        <v>0</v>
      </c>
      <c r="BV27" s="81">
        <f t="shared" si="27"/>
        <v>0</v>
      </c>
      <c r="BW27" s="19">
        <f t="shared" si="28"/>
        <v>0</v>
      </c>
      <c r="BX27" s="19">
        <f t="shared" si="29"/>
        <v>0</v>
      </c>
      <c r="BY27" s="19">
        <f t="shared" si="29"/>
        <v>0</v>
      </c>
      <c r="BZ27" s="37">
        <f t="shared" si="29"/>
        <v>0</v>
      </c>
      <c r="CA27" s="75"/>
      <c r="CB27" s="75"/>
    </row>
    <row r="28" spans="1:80" outlineLevel="1">
      <c r="A28" s="5" t="s">
        <v>49</v>
      </c>
      <c r="B28" s="54" t="s">
        <v>25</v>
      </c>
      <c r="C28" s="43">
        <v>0</v>
      </c>
      <c r="D28" s="23"/>
      <c r="E28" s="117">
        <f t="shared" si="33"/>
        <v>0</v>
      </c>
      <c r="F28" s="49">
        <v>0</v>
      </c>
      <c r="G28" s="35"/>
      <c r="H28" s="31"/>
      <c r="I28" s="81">
        <f t="shared" si="3"/>
        <v>0</v>
      </c>
      <c r="J28" s="31"/>
      <c r="K28" s="31"/>
      <c r="L28" s="36"/>
      <c r="M28" s="35"/>
      <c r="N28" s="31"/>
      <c r="O28" s="19">
        <f t="shared" si="30"/>
        <v>0</v>
      </c>
      <c r="P28" s="31"/>
      <c r="Q28" s="31"/>
      <c r="R28" s="36"/>
      <c r="S28" s="35"/>
      <c r="T28" s="31"/>
      <c r="U28" s="19">
        <f t="shared" si="19"/>
        <v>0</v>
      </c>
      <c r="V28" s="31"/>
      <c r="W28" s="45"/>
      <c r="X28" s="36">
        <f t="shared" si="39"/>
        <v>0</v>
      </c>
      <c r="Y28" s="35"/>
      <c r="Z28" s="31"/>
      <c r="AA28" s="19">
        <f t="shared" si="31"/>
        <v>0</v>
      </c>
      <c r="AB28" s="31"/>
      <c r="AC28" s="45"/>
      <c r="AD28" s="36">
        <f t="shared" si="40"/>
        <v>0</v>
      </c>
      <c r="AE28" s="35"/>
      <c r="AF28" s="31"/>
      <c r="AG28" s="81">
        <f t="shared" si="20"/>
        <v>0</v>
      </c>
      <c r="AH28" s="31"/>
      <c r="AI28" s="45"/>
      <c r="AJ28" s="36">
        <f t="shared" si="41"/>
        <v>0</v>
      </c>
      <c r="AK28" s="35"/>
      <c r="AL28" s="31"/>
      <c r="AM28" s="19">
        <f t="shared" si="21"/>
        <v>0</v>
      </c>
      <c r="AN28" s="31"/>
      <c r="AO28" s="45"/>
      <c r="AP28" s="36">
        <f t="shared" si="42"/>
        <v>0</v>
      </c>
      <c r="AQ28" s="35">
        <v>1.1499999999999999</v>
      </c>
      <c r="AR28" s="31"/>
      <c r="AS28" s="19">
        <f t="shared" si="22"/>
        <v>1.1499999999999999</v>
      </c>
      <c r="AT28" s="31"/>
      <c r="AU28" s="45"/>
      <c r="AV28" s="36"/>
      <c r="AW28" s="35">
        <v>0.56000000000000005</v>
      </c>
      <c r="AX28" s="31"/>
      <c r="AY28" s="19">
        <f t="shared" si="23"/>
        <v>0.56000000000000005</v>
      </c>
      <c r="AZ28" s="31"/>
      <c r="BA28" s="45"/>
      <c r="BB28" s="36"/>
      <c r="BC28" s="35">
        <v>0.3</v>
      </c>
      <c r="BD28" s="31"/>
      <c r="BE28" s="19">
        <f t="shared" si="24"/>
        <v>0.3</v>
      </c>
      <c r="BF28" s="31"/>
      <c r="BG28" s="45"/>
      <c r="BH28" s="36"/>
      <c r="BI28" s="35">
        <v>1.44</v>
      </c>
      <c r="BJ28" s="31"/>
      <c r="BK28" s="19">
        <f t="shared" si="25"/>
        <v>1.44</v>
      </c>
      <c r="BL28" s="31"/>
      <c r="BM28" s="45"/>
      <c r="BN28" s="36"/>
      <c r="BO28" s="35">
        <f>0.13+0.75</f>
        <v>0.88</v>
      </c>
      <c r="BP28" s="31"/>
      <c r="BQ28" s="19">
        <f t="shared" si="26"/>
        <v>0.88</v>
      </c>
      <c r="BR28" s="31"/>
      <c r="BS28" s="45"/>
      <c r="BT28" s="36"/>
      <c r="BU28" s="82">
        <f t="shared" si="32"/>
        <v>4.33</v>
      </c>
      <c r="BV28" s="81">
        <f t="shared" si="27"/>
        <v>0</v>
      </c>
      <c r="BW28" s="19">
        <f t="shared" si="28"/>
        <v>4.33</v>
      </c>
      <c r="BX28" s="19">
        <f t="shared" si="29"/>
        <v>0</v>
      </c>
      <c r="BY28" s="19">
        <f t="shared" si="29"/>
        <v>0</v>
      </c>
      <c r="BZ28" s="37">
        <f t="shared" si="29"/>
        <v>0</v>
      </c>
      <c r="CA28" s="75"/>
      <c r="CB28" s="75"/>
    </row>
    <row r="29" spans="1:80" s="12" customFormat="1">
      <c r="A29" s="61" t="s">
        <v>6</v>
      </c>
      <c r="B29" s="59"/>
      <c r="C29" s="40">
        <f>C9-C11</f>
        <v>-115.18</v>
      </c>
      <c r="D29" s="30">
        <f t="shared" ref="D29:L29" si="43">D9-D11</f>
        <v>0</v>
      </c>
      <c r="E29" s="30">
        <f t="shared" si="43"/>
        <v>-115.18</v>
      </c>
      <c r="F29" s="41">
        <f t="shared" si="43"/>
        <v>-115.18</v>
      </c>
      <c r="G29" s="40">
        <f t="shared" si="43"/>
        <v>-188.57999999999998</v>
      </c>
      <c r="H29" s="30">
        <f t="shared" si="43"/>
        <v>0</v>
      </c>
      <c r="I29" s="81">
        <f t="shared" si="3"/>
        <v>-188.57999999999998</v>
      </c>
      <c r="J29" s="30">
        <f t="shared" si="43"/>
        <v>0</v>
      </c>
      <c r="K29" s="30">
        <f t="shared" si="43"/>
        <v>-188.57999999999998</v>
      </c>
      <c r="L29" s="41">
        <f t="shared" si="43"/>
        <v>-188.57999999999998</v>
      </c>
      <c r="M29" s="40">
        <f t="shared" ref="M29:R29" si="44">M9-M11</f>
        <v>-137.21000000000004</v>
      </c>
      <c r="N29" s="30">
        <f t="shared" si="44"/>
        <v>0</v>
      </c>
      <c r="O29" s="30">
        <f t="shared" si="44"/>
        <v>-137.21000000000004</v>
      </c>
      <c r="P29" s="30">
        <f t="shared" si="44"/>
        <v>0</v>
      </c>
      <c r="Q29" s="30">
        <f t="shared" si="44"/>
        <v>-137.21000000000004</v>
      </c>
      <c r="R29" s="41">
        <f t="shared" si="44"/>
        <v>-137.21000000000004</v>
      </c>
      <c r="S29" s="40">
        <f>S9-S11</f>
        <v>-124.78999999999999</v>
      </c>
      <c r="T29" s="30">
        <f>T9-T11</f>
        <v>0</v>
      </c>
      <c r="U29" s="30">
        <f t="shared" ref="U29:Z29" si="45">U9-U11</f>
        <v>-124.78999999999999</v>
      </c>
      <c r="V29" s="30">
        <f t="shared" si="45"/>
        <v>0</v>
      </c>
      <c r="W29" s="47">
        <f t="shared" si="45"/>
        <v>-94.954999999999984</v>
      </c>
      <c r="X29" s="41">
        <f t="shared" si="45"/>
        <v>-124.78999999999999</v>
      </c>
      <c r="Y29" s="40">
        <f t="shared" si="45"/>
        <v>-148.87</v>
      </c>
      <c r="Z29" s="30">
        <f t="shared" si="45"/>
        <v>0</v>
      </c>
      <c r="AA29" s="30">
        <f t="shared" ref="AA29:BT29" si="46">AA9-AA11</f>
        <v>-148.87</v>
      </c>
      <c r="AB29" s="30">
        <f t="shared" si="46"/>
        <v>0</v>
      </c>
      <c r="AC29" s="47">
        <f t="shared" si="46"/>
        <v>-44.878000000000014</v>
      </c>
      <c r="AD29" s="41">
        <f t="shared" si="46"/>
        <v>-148.87</v>
      </c>
      <c r="AE29" s="40">
        <f t="shared" si="46"/>
        <v>-51.710000000000008</v>
      </c>
      <c r="AF29" s="30">
        <f t="shared" si="46"/>
        <v>0</v>
      </c>
      <c r="AG29" s="30">
        <f t="shared" si="46"/>
        <v>-51.710000000000008</v>
      </c>
      <c r="AH29" s="30">
        <f t="shared" si="46"/>
        <v>0</v>
      </c>
      <c r="AI29" s="47">
        <f t="shared" si="46"/>
        <v>-3.5579999999999927</v>
      </c>
      <c r="AJ29" s="41">
        <f t="shared" si="46"/>
        <v>-51.710000000000008</v>
      </c>
      <c r="AK29" s="40">
        <f t="shared" si="46"/>
        <v>-39.519999999999982</v>
      </c>
      <c r="AL29" s="30">
        <f t="shared" si="46"/>
        <v>0</v>
      </c>
      <c r="AM29" s="30">
        <f t="shared" si="46"/>
        <v>-39.519999999999982</v>
      </c>
      <c r="AN29" s="30">
        <f t="shared" si="46"/>
        <v>0</v>
      </c>
      <c r="AO29" s="47">
        <f t="shared" si="46"/>
        <v>22.294000000000011</v>
      </c>
      <c r="AP29" s="41">
        <f t="shared" si="46"/>
        <v>-39.519999999999982</v>
      </c>
      <c r="AQ29" s="40">
        <f t="shared" si="46"/>
        <v>-86.16</v>
      </c>
      <c r="AR29" s="30">
        <f t="shared" si="46"/>
        <v>0</v>
      </c>
      <c r="AS29" s="30">
        <f t="shared" si="46"/>
        <v>-86.16</v>
      </c>
      <c r="AT29" s="30">
        <f t="shared" si="46"/>
        <v>2.87</v>
      </c>
      <c r="AU29" s="47">
        <f t="shared" si="46"/>
        <v>-32.899999999999977</v>
      </c>
      <c r="AV29" s="41">
        <f t="shared" si="46"/>
        <v>-43.3</v>
      </c>
      <c r="AW29" s="40">
        <f t="shared" si="46"/>
        <v>-43.789999999999992</v>
      </c>
      <c r="AX29" s="30">
        <f t="shared" si="46"/>
        <v>0</v>
      </c>
      <c r="AY29" s="30">
        <f t="shared" si="46"/>
        <v>-43.789999999999992</v>
      </c>
      <c r="AZ29" s="30">
        <f t="shared" si="46"/>
        <v>-2.1799999999999997</v>
      </c>
      <c r="BA29" s="47">
        <f t="shared" si="46"/>
        <v>-29.770078477208209</v>
      </c>
      <c r="BB29" s="41">
        <f t="shared" si="46"/>
        <v>-13</v>
      </c>
      <c r="BC29" s="40">
        <f t="shared" si="46"/>
        <v>-112.19000000000001</v>
      </c>
      <c r="BD29" s="30">
        <f t="shared" si="46"/>
        <v>0</v>
      </c>
      <c r="BE29" s="30">
        <f t="shared" si="46"/>
        <v>-112.19000000000001</v>
      </c>
      <c r="BF29" s="30">
        <f t="shared" si="46"/>
        <v>-15.62</v>
      </c>
      <c r="BG29" s="47">
        <f t="shared" si="46"/>
        <v>-43.982300884955748</v>
      </c>
      <c r="BH29" s="41">
        <f t="shared" si="46"/>
        <v>-39.43</v>
      </c>
      <c r="BI29" s="40">
        <f t="shared" si="46"/>
        <v>58.240000000000009</v>
      </c>
      <c r="BJ29" s="30">
        <f t="shared" si="46"/>
        <v>0</v>
      </c>
      <c r="BK29" s="30">
        <f t="shared" si="46"/>
        <v>58.240000000000009</v>
      </c>
      <c r="BL29" s="30">
        <f t="shared" si="46"/>
        <v>-107.95000000000002</v>
      </c>
      <c r="BM29" s="47">
        <f t="shared" si="46"/>
        <v>31.631150442477917</v>
      </c>
      <c r="BN29" s="41">
        <f t="shared" si="46"/>
        <v>52.680000000000007</v>
      </c>
      <c r="BO29" s="40">
        <f t="shared" si="46"/>
        <v>-17.909999999999997</v>
      </c>
      <c r="BP29" s="30">
        <f t="shared" si="46"/>
        <v>0</v>
      </c>
      <c r="BQ29" s="30">
        <f t="shared" si="46"/>
        <v>-17.909999999999997</v>
      </c>
      <c r="BR29" s="30">
        <f t="shared" si="46"/>
        <v>-83.860000000000014</v>
      </c>
      <c r="BS29" s="47">
        <f t="shared" si="46"/>
        <v>-35.543539823008835</v>
      </c>
      <c r="BT29" s="41">
        <f t="shared" si="46"/>
        <v>-45.77000000000001</v>
      </c>
      <c r="BU29" s="40">
        <f t="shared" ref="BU29:BZ29" si="47">BU9-BU11</f>
        <v>-1007.6700000000002</v>
      </c>
      <c r="BV29" s="30">
        <f t="shared" si="47"/>
        <v>0</v>
      </c>
      <c r="BW29" s="30">
        <f t="shared" si="47"/>
        <v>-1007.6700000000002</v>
      </c>
      <c r="BX29" s="30">
        <f t="shared" si="47"/>
        <v>-206.73999999999995</v>
      </c>
      <c r="BY29" s="30">
        <f t="shared" si="47"/>
        <v>-672.63176874269493</v>
      </c>
      <c r="BZ29" s="41">
        <f t="shared" si="47"/>
        <v>-894.68000000000029</v>
      </c>
      <c r="CA29" s="75"/>
      <c r="CB29" s="75"/>
    </row>
    <row r="30" spans="1:80">
      <c r="A30" s="62" t="s">
        <v>83</v>
      </c>
      <c r="B30" s="56"/>
      <c r="C30" s="20">
        <f>SUM(C31:C46)</f>
        <v>0.19</v>
      </c>
      <c r="D30" s="21">
        <f t="shared" ref="D30:L30" si="48">SUM(D31:D46)</f>
        <v>0</v>
      </c>
      <c r="E30" s="21">
        <f t="shared" si="48"/>
        <v>0</v>
      </c>
      <c r="F30" s="39">
        <f t="shared" si="48"/>
        <v>0</v>
      </c>
      <c r="G30" s="20">
        <f t="shared" si="48"/>
        <v>0.2</v>
      </c>
      <c r="H30" s="21">
        <f t="shared" si="48"/>
        <v>0</v>
      </c>
      <c r="I30" s="81">
        <f t="shared" si="3"/>
        <v>0.2</v>
      </c>
      <c r="J30" s="21">
        <f t="shared" si="48"/>
        <v>0</v>
      </c>
      <c r="K30" s="21">
        <f t="shared" si="48"/>
        <v>0</v>
      </c>
      <c r="L30" s="39">
        <f t="shared" si="48"/>
        <v>0</v>
      </c>
      <c r="M30" s="20">
        <f t="shared" ref="M30:AR30" si="49">SUM(M31:M46)</f>
        <v>4.8499999999999996</v>
      </c>
      <c r="N30" s="21">
        <f t="shared" si="49"/>
        <v>0</v>
      </c>
      <c r="O30" s="21">
        <f t="shared" si="49"/>
        <v>4.8499999999999996</v>
      </c>
      <c r="P30" s="21">
        <f t="shared" si="49"/>
        <v>0</v>
      </c>
      <c r="Q30" s="21">
        <f t="shared" si="49"/>
        <v>4.8499999999999996</v>
      </c>
      <c r="R30" s="39">
        <f t="shared" si="49"/>
        <v>4.8499999999999996</v>
      </c>
      <c r="S30" s="20">
        <f t="shared" si="49"/>
        <v>3.49</v>
      </c>
      <c r="T30" s="21">
        <f t="shared" si="49"/>
        <v>0</v>
      </c>
      <c r="U30" s="21">
        <f t="shared" si="49"/>
        <v>3.49</v>
      </c>
      <c r="V30" s="21">
        <f t="shared" si="49"/>
        <v>0</v>
      </c>
      <c r="W30" s="45">
        <f t="shared" si="49"/>
        <v>0</v>
      </c>
      <c r="X30" s="39">
        <f t="shared" si="49"/>
        <v>3.49</v>
      </c>
      <c r="Y30" s="20">
        <f t="shared" si="49"/>
        <v>0.36</v>
      </c>
      <c r="Z30" s="21">
        <f t="shared" si="49"/>
        <v>0</v>
      </c>
      <c r="AA30" s="21">
        <f t="shared" si="49"/>
        <v>0</v>
      </c>
      <c r="AB30" s="21">
        <f t="shared" si="49"/>
        <v>0</v>
      </c>
      <c r="AC30" s="45">
        <f t="shared" si="49"/>
        <v>0</v>
      </c>
      <c r="AD30" s="39">
        <f t="shared" si="49"/>
        <v>0</v>
      </c>
      <c r="AE30" s="20">
        <f t="shared" si="49"/>
        <v>1.35</v>
      </c>
      <c r="AF30" s="21">
        <f t="shared" si="49"/>
        <v>0</v>
      </c>
      <c r="AG30" s="21">
        <f t="shared" si="49"/>
        <v>1.35</v>
      </c>
      <c r="AH30" s="21">
        <f t="shared" si="49"/>
        <v>0</v>
      </c>
      <c r="AI30" s="45">
        <f t="shared" si="49"/>
        <v>1.5</v>
      </c>
      <c r="AJ30" s="39">
        <f t="shared" si="49"/>
        <v>1.35</v>
      </c>
      <c r="AK30" s="20">
        <f t="shared" si="49"/>
        <v>1.21</v>
      </c>
      <c r="AL30" s="21">
        <f t="shared" si="49"/>
        <v>0</v>
      </c>
      <c r="AM30" s="21">
        <f t="shared" si="49"/>
        <v>1.21</v>
      </c>
      <c r="AN30" s="21">
        <f t="shared" si="49"/>
        <v>0</v>
      </c>
      <c r="AO30" s="45">
        <f t="shared" si="49"/>
        <v>0</v>
      </c>
      <c r="AP30" s="39">
        <f t="shared" si="49"/>
        <v>1.21</v>
      </c>
      <c r="AQ30" s="20">
        <f t="shared" si="49"/>
        <v>0</v>
      </c>
      <c r="AR30" s="21">
        <f t="shared" si="49"/>
        <v>0</v>
      </c>
      <c r="AS30" s="21">
        <f t="shared" ref="AS30:BX30" si="50">SUM(AS31:AS46)</f>
        <v>0</v>
      </c>
      <c r="AT30" s="21">
        <f t="shared" si="50"/>
        <v>0</v>
      </c>
      <c r="AU30" s="45">
        <f t="shared" si="50"/>
        <v>0</v>
      </c>
      <c r="AV30" s="39">
        <f t="shared" si="50"/>
        <v>0</v>
      </c>
      <c r="AW30" s="20">
        <f t="shared" si="50"/>
        <v>0</v>
      </c>
      <c r="AX30" s="21">
        <f t="shared" si="50"/>
        <v>0</v>
      </c>
      <c r="AY30" s="21">
        <f t="shared" si="50"/>
        <v>0</v>
      </c>
      <c r="AZ30" s="21">
        <f t="shared" si="50"/>
        <v>0</v>
      </c>
      <c r="BA30" s="45">
        <f t="shared" si="50"/>
        <v>0</v>
      </c>
      <c r="BB30" s="39">
        <f t="shared" si="50"/>
        <v>0</v>
      </c>
      <c r="BC30" s="20">
        <f t="shared" si="50"/>
        <v>0</v>
      </c>
      <c r="BD30" s="21">
        <f t="shared" si="50"/>
        <v>0</v>
      </c>
      <c r="BE30" s="21">
        <f t="shared" si="50"/>
        <v>0</v>
      </c>
      <c r="BF30" s="21">
        <f t="shared" si="50"/>
        <v>0</v>
      </c>
      <c r="BG30" s="45">
        <f t="shared" si="50"/>
        <v>0</v>
      </c>
      <c r="BH30" s="39">
        <f t="shared" si="50"/>
        <v>0</v>
      </c>
      <c r="BI30" s="20">
        <f t="shared" si="50"/>
        <v>0</v>
      </c>
      <c r="BJ30" s="21">
        <f t="shared" si="50"/>
        <v>0</v>
      </c>
      <c r="BK30" s="21">
        <f t="shared" si="50"/>
        <v>0</v>
      </c>
      <c r="BL30" s="21">
        <f t="shared" si="50"/>
        <v>0</v>
      </c>
      <c r="BM30" s="45">
        <f t="shared" si="50"/>
        <v>0</v>
      </c>
      <c r="BN30" s="39">
        <f t="shared" si="50"/>
        <v>0</v>
      </c>
      <c r="BO30" s="20">
        <f t="shared" si="50"/>
        <v>1.9</v>
      </c>
      <c r="BP30" s="21">
        <f t="shared" si="50"/>
        <v>0</v>
      </c>
      <c r="BQ30" s="21">
        <f t="shared" si="50"/>
        <v>1.9</v>
      </c>
      <c r="BR30" s="21">
        <f t="shared" si="50"/>
        <v>0</v>
      </c>
      <c r="BS30" s="45">
        <f t="shared" si="50"/>
        <v>0</v>
      </c>
      <c r="BT30" s="39">
        <f t="shared" si="50"/>
        <v>0</v>
      </c>
      <c r="BU30" s="20">
        <f t="shared" si="50"/>
        <v>13.549999999999999</v>
      </c>
      <c r="BV30" s="21">
        <f t="shared" si="50"/>
        <v>0</v>
      </c>
      <c r="BW30" s="21">
        <f t="shared" si="50"/>
        <v>13.549999999999999</v>
      </c>
      <c r="BX30" s="21">
        <f t="shared" si="50"/>
        <v>0</v>
      </c>
      <c r="BY30" s="21">
        <f t="shared" ref="BY30:BZ30" si="51">SUM(BY31:BY46)</f>
        <v>6.35</v>
      </c>
      <c r="BZ30" s="39">
        <f t="shared" si="51"/>
        <v>10.899999999999999</v>
      </c>
      <c r="CA30" s="75"/>
      <c r="CB30" s="75"/>
    </row>
    <row r="31" spans="1:80" outlineLevel="1">
      <c r="A31" s="5" t="s">
        <v>50</v>
      </c>
      <c r="B31" s="54" t="s">
        <v>9</v>
      </c>
      <c r="C31" s="43"/>
      <c r="D31" s="23"/>
      <c r="E31" s="117"/>
      <c r="F31" s="49"/>
      <c r="G31" s="35"/>
      <c r="H31" s="31"/>
      <c r="I31" s="81">
        <f t="shared" si="3"/>
        <v>0</v>
      </c>
      <c r="J31" s="31"/>
      <c r="K31" s="31"/>
      <c r="L31" s="36"/>
      <c r="M31" s="35"/>
      <c r="N31" s="31">
        <f>R31</f>
        <v>0</v>
      </c>
      <c r="O31" s="19">
        <f>M31</f>
        <v>0</v>
      </c>
      <c r="P31" s="31"/>
      <c r="Q31" s="31"/>
      <c r="R31" s="36"/>
      <c r="S31" s="35"/>
      <c r="T31" s="31"/>
      <c r="U31" s="19">
        <f t="shared" ref="U31:U46" si="52">SUM(S31:T31)</f>
        <v>0</v>
      </c>
      <c r="V31" s="31"/>
      <c r="W31" s="45"/>
      <c r="X31" s="36"/>
      <c r="Y31" s="35"/>
      <c r="Z31" s="31"/>
      <c r="AA31" s="19"/>
      <c r="AB31" s="31"/>
      <c r="AC31" s="45"/>
      <c r="AD31" s="36"/>
      <c r="AE31" s="35"/>
      <c r="AF31" s="31"/>
      <c r="AG31" s="81">
        <f t="shared" ref="AG31:AG46" si="53">AE31</f>
        <v>0</v>
      </c>
      <c r="AH31" s="31"/>
      <c r="AI31" s="45"/>
      <c r="AJ31" s="36"/>
      <c r="AK31" s="35"/>
      <c r="AL31" s="31"/>
      <c r="AM31" s="19">
        <f t="shared" ref="AM31:AM46" si="54">SUM(AK31:AL31)</f>
        <v>0</v>
      </c>
      <c r="AN31" s="31"/>
      <c r="AO31" s="45"/>
      <c r="AP31" s="36"/>
      <c r="AQ31" s="35"/>
      <c r="AR31" s="31"/>
      <c r="AS31" s="19">
        <f t="shared" ref="AS31:AS46" si="55">SUM(AQ31:AR31)</f>
        <v>0</v>
      </c>
      <c r="AT31" s="31"/>
      <c r="AU31" s="45"/>
      <c r="AV31" s="36"/>
      <c r="AW31" s="35"/>
      <c r="AX31" s="31"/>
      <c r="AY31" s="19">
        <f t="shared" ref="AY31:AY46" si="56">SUM(AW31:AX31)</f>
        <v>0</v>
      </c>
      <c r="AZ31" s="31"/>
      <c r="BA31" s="45"/>
      <c r="BB31" s="36"/>
      <c r="BC31" s="35"/>
      <c r="BD31" s="31"/>
      <c r="BE31" s="19">
        <f t="shared" ref="BE31:BE46" si="57">SUM(BC31:BD31)</f>
        <v>0</v>
      </c>
      <c r="BF31" s="31"/>
      <c r="BG31" s="45"/>
      <c r="BH31" s="36"/>
      <c r="BI31" s="35"/>
      <c r="BJ31" s="31"/>
      <c r="BK31" s="19">
        <f t="shared" ref="BK31:BK46" si="58">SUM(BI31:BJ31)</f>
        <v>0</v>
      </c>
      <c r="BL31" s="31"/>
      <c r="BM31" s="45"/>
      <c r="BN31" s="36"/>
      <c r="BO31" s="35"/>
      <c r="BP31" s="31"/>
      <c r="BQ31" s="19">
        <f t="shared" ref="BQ31:BQ46" si="59">SUM(BO31:BP31)</f>
        <v>0</v>
      </c>
      <c r="BR31" s="31"/>
      <c r="BS31" s="45"/>
      <c r="BT31" s="36"/>
      <c r="BU31" s="82">
        <f t="shared" ref="BU31:BU46" si="60">C31+G31+M31+S31+Y31+AE31+AK31+AQ31+AW31+BC31+BI31+BO31</f>
        <v>0</v>
      </c>
      <c r="BV31" s="81">
        <f t="shared" ref="BV31:BV46" si="61">BP31+BJ31</f>
        <v>0</v>
      </c>
      <c r="BW31" s="19">
        <f t="shared" ref="BW31:BW46" si="62">SUM(BU31:BV31)</f>
        <v>0</v>
      </c>
      <c r="BX31" s="19">
        <f t="shared" ref="BX31:BZ46" si="63">SUMIF($C$3:$BT$3,BX$3,$C31:$BT31)</f>
        <v>0</v>
      </c>
      <c r="BY31" s="19">
        <f t="shared" si="63"/>
        <v>0</v>
      </c>
      <c r="BZ31" s="37">
        <f t="shared" si="63"/>
        <v>0</v>
      </c>
      <c r="CA31" s="75"/>
      <c r="CB31" s="75"/>
    </row>
    <row r="32" spans="1:80" outlineLevel="1">
      <c r="A32" s="5" t="s">
        <v>51</v>
      </c>
      <c r="B32" s="54" t="s">
        <v>17</v>
      </c>
      <c r="C32" s="43"/>
      <c r="D32" s="23"/>
      <c r="E32" s="117"/>
      <c r="F32" s="49"/>
      <c r="G32" s="35"/>
      <c r="H32" s="31"/>
      <c r="I32" s="81">
        <f t="shared" si="3"/>
        <v>0</v>
      </c>
      <c r="J32" s="31"/>
      <c r="K32" s="31"/>
      <c r="L32" s="36"/>
      <c r="M32" s="35"/>
      <c r="N32" s="31">
        <f t="shared" ref="N32:N45" si="64">R32</f>
        <v>0</v>
      </c>
      <c r="O32" s="19">
        <f t="shared" ref="O32:O46" si="65">M32</f>
        <v>0</v>
      </c>
      <c r="P32" s="31"/>
      <c r="Q32" s="31"/>
      <c r="R32" s="36"/>
      <c r="S32" s="35"/>
      <c r="T32" s="31"/>
      <c r="U32" s="19">
        <f t="shared" si="52"/>
        <v>0</v>
      </c>
      <c r="V32" s="31"/>
      <c r="W32" s="45"/>
      <c r="X32" s="36"/>
      <c r="Y32" s="35"/>
      <c r="Z32" s="31"/>
      <c r="AA32" s="19"/>
      <c r="AB32" s="31"/>
      <c r="AC32" s="45"/>
      <c r="AD32" s="36"/>
      <c r="AE32" s="35"/>
      <c r="AF32" s="31"/>
      <c r="AG32" s="81">
        <f t="shared" si="53"/>
        <v>0</v>
      </c>
      <c r="AH32" s="31"/>
      <c r="AI32" s="45"/>
      <c r="AJ32" s="36"/>
      <c r="AK32" s="35"/>
      <c r="AL32" s="31"/>
      <c r="AM32" s="19">
        <f t="shared" si="54"/>
        <v>0</v>
      </c>
      <c r="AN32" s="31"/>
      <c r="AO32" s="45"/>
      <c r="AP32" s="36"/>
      <c r="AQ32" s="35"/>
      <c r="AR32" s="31"/>
      <c r="AS32" s="19">
        <f t="shared" si="55"/>
        <v>0</v>
      </c>
      <c r="AT32" s="31"/>
      <c r="AU32" s="45"/>
      <c r="AV32" s="36"/>
      <c r="AW32" s="35"/>
      <c r="AX32" s="31"/>
      <c r="AY32" s="19">
        <f t="shared" si="56"/>
        <v>0</v>
      </c>
      <c r="AZ32" s="31"/>
      <c r="BA32" s="45"/>
      <c r="BB32" s="36"/>
      <c r="BC32" s="35"/>
      <c r="BD32" s="31"/>
      <c r="BE32" s="19">
        <f t="shared" si="57"/>
        <v>0</v>
      </c>
      <c r="BF32" s="31"/>
      <c r="BG32" s="45"/>
      <c r="BH32" s="36"/>
      <c r="BI32" s="35"/>
      <c r="BJ32" s="31"/>
      <c r="BK32" s="19">
        <f t="shared" si="58"/>
        <v>0</v>
      </c>
      <c r="BL32" s="31"/>
      <c r="BM32" s="45"/>
      <c r="BN32" s="36"/>
      <c r="BO32" s="35"/>
      <c r="BP32" s="31"/>
      <c r="BQ32" s="19">
        <f t="shared" si="59"/>
        <v>0</v>
      </c>
      <c r="BR32" s="31"/>
      <c r="BS32" s="45"/>
      <c r="BT32" s="36"/>
      <c r="BU32" s="82">
        <f t="shared" si="60"/>
        <v>0</v>
      </c>
      <c r="BV32" s="81">
        <f t="shared" si="61"/>
        <v>0</v>
      </c>
      <c r="BW32" s="19">
        <f t="shared" si="62"/>
        <v>0</v>
      </c>
      <c r="BX32" s="19">
        <f t="shared" si="63"/>
        <v>0</v>
      </c>
      <c r="BY32" s="19">
        <f t="shared" si="63"/>
        <v>0</v>
      </c>
      <c r="BZ32" s="37">
        <f t="shared" si="63"/>
        <v>0</v>
      </c>
      <c r="CA32" s="75"/>
      <c r="CB32" s="75"/>
    </row>
    <row r="33" spans="1:80" outlineLevel="1">
      <c r="A33" s="5" t="s">
        <v>52</v>
      </c>
      <c r="B33" s="54" t="s">
        <v>18</v>
      </c>
      <c r="C33" s="43"/>
      <c r="D33" s="23"/>
      <c r="E33" s="117"/>
      <c r="F33" s="49"/>
      <c r="G33" s="35"/>
      <c r="H33" s="31"/>
      <c r="I33" s="81">
        <f t="shared" si="3"/>
        <v>0</v>
      </c>
      <c r="J33" s="31"/>
      <c r="K33" s="31"/>
      <c r="L33" s="36"/>
      <c r="M33" s="35"/>
      <c r="N33" s="31">
        <f t="shared" si="64"/>
        <v>0</v>
      </c>
      <c r="O33" s="19">
        <f t="shared" si="65"/>
        <v>0</v>
      </c>
      <c r="P33" s="31"/>
      <c r="Q33" s="31"/>
      <c r="R33" s="36"/>
      <c r="S33" s="35"/>
      <c r="T33" s="31"/>
      <c r="U33" s="19">
        <f t="shared" si="52"/>
        <v>0</v>
      </c>
      <c r="V33" s="31"/>
      <c r="W33" s="45"/>
      <c r="X33" s="36"/>
      <c r="Y33" s="35"/>
      <c r="Z33" s="31"/>
      <c r="AA33" s="19"/>
      <c r="AB33" s="31"/>
      <c r="AC33" s="45"/>
      <c r="AD33" s="36"/>
      <c r="AE33" s="35"/>
      <c r="AF33" s="31"/>
      <c r="AG33" s="81">
        <f t="shared" si="53"/>
        <v>0</v>
      </c>
      <c r="AH33" s="31"/>
      <c r="AI33" s="45"/>
      <c r="AJ33" s="36"/>
      <c r="AK33" s="35"/>
      <c r="AL33" s="31"/>
      <c r="AM33" s="19">
        <f t="shared" si="54"/>
        <v>0</v>
      </c>
      <c r="AN33" s="31"/>
      <c r="AO33" s="45"/>
      <c r="AP33" s="36"/>
      <c r="AQ33" s="35"/>
      <c r="AR33" s="31"/>
      <c r="AS33" s="19">
        <f t="shared" si="55"/>
        <v>0</v>
      </c>
      <c r="AT33" s="31"/>
      <c r="AU33" s="45"/>
      <c r="AV33" s="36"/>
      <c r="AW33" s="35"/>
      <c r="AX33" s="31"/>
      <c r="AY33" s="19">
        <f t="shared" si="56"/>
        <v>0</v>
      </c>
      <c r="AZ33" s="31"/>
      <c r="BA33" s="45"/>
      <c r="BB33" s="36"/>
      <c r="BC33" s="35"/>
      <c r="BD33" s="31"/>
      <c r="BE33" s="19">
        <f t="shared" si="57"/>
        <v>0</v>
      </c>
      <c r="BF33" s="31"/>
      <c r="BG33" s="45"/>
      <c r="BH33" s="36"/>
      <c r="BI33" s="35"/>
      <c r="BJ33" s="31"/>
      <c r="BK33" s="19">
        <f t="shared" si="58"/>
        <v>0</v>
      </c>
      <c r="BL33" s="31"/>
      <c r="BM33" s="45"/>
      <c r="BN33" s="36"/>
      <c r="BO33" s="35"/>
      <c r="BP33" s="31"/>
      <c r="BQ33" s="19">
        <f t="shared" si="59"/>
        <v>0</v>
      </c>
      <c r="BR33" s="31"/>
      <c r="BS33" s="45"/>
      <c r="BT33" s="36"/>
      <c r="BU33" s="82">
        <f t="shared" si="60"/>
        <v>0</v>
      </c>
      <c r="BV33" s="81">
        <f t="shared" si="61"/>
        <v>0</v>
      </c>
      <c r="BW33" s="19">
        <f t="shared" si="62"/>
        <v>0</v>
      </c>
      <c r="BX33" s="19">
        <f t="shared" si="63"/>
        <v>0</v>
      </c>
      <c r="BY33" s="19">
        <f t="shared" si="63"/>
        <v>0</v>
      </c>
      <c r="BZ33" s="37">
        <f t="shared" si="63"/>
        <v>0</v>
      </c>
      <c r="CA33" s="75"/>
      <c r="CB33" s="75"/>
    </row>
    <row r="34" spans="1:80" outlineLevel="1">
      <c r="A34" s="5" t="s">
        <v>36</v>
      </c>
      <c r="B34" s="54" t="s">
        <v>14</v>
      </c>
      <c r="C34" s="43"/>
      <c r="D34" s="23"/>
      <c r="E34" s="117"/>
      <c r="F34" s="49"/>
      <c r="G34" s="35"/>
      <c r="H34" s="31"/>
      <c r="I34" s="81">
        <f t="shared" si="3"/>
        <v>0</v>
      </c>
      <c r="J34" s="31"/>
      <c r="K34" s="31"/>
      <c r="L34" s="36"/>
      <c r="M34" s="35"/>
      <c r="N34" s="31">
        <f t="shared" si="64"/>
        <v>0</v>
      </c>
      <c r="O34" s="19">
        <f t="shared" si="65"/>
        <v>0</v>
      </c>
      <c r="P34" s="31"/>
      <c r="Q34" s="31"/>
      <c r="R34" s="36"/>
      <c r="S34" s="35"/>
      <c r="T34" s="31"/>
      <c r="U34" s="19">
        <f t="shared" si="52"/>
        <v>0</v>
      </c>
      <c r="V34" s="31"/>
      <c r="W34" s="45"/>
      <c r="X34" s="36"/>
      <c r="Y34" s="35"/>
      <c r="Z34" s="31"/>
      <c r="AA34" s="19"/>
      <c r="AB34" s="31"/>
      <c r="AC34" s="45"/>
      <c r="AD34" s="36"/>
      <c r="AE34" s="35"/>
      <c r="AF34" s="31"/>
      <c r="AG34" s="81">
        <f t="shared" si="53"/>
        <v>0</v>
      </c>
      <c r="AH34" s="31"/>
      <c r="AI34" s="45"/>
      <c r="AJ34" s="36"/>
      <c r="AK34" s="35"/>
      <c r="AL34" s="31"/>
      <c r="AM34" s="19">
        <f t="shared" si="54"/>
        <v>0</v>
      </c>
      <c r="AN34" s="31"/>
      <c r="AO34" s="45"/>
      <c r="AP34" s="36"/>
      <c r="AQ34" s="35"/>
      <c r="AR34" s="31"/>
      <c r="AS34" s="19">
        <f t="shared" si="55"/>
        <v>0</v>
      </c>
      <c r="AT34" s="31"/>
      <c r="AU34" s="45"/>
      <c r="AV34" s="36"/>
      <c r="AW34" s="35"/>
      <c r="AX34" s="31"/>
      <c r="AY34" s="19">
        <f t="shared" si="56"/>
        <v>0</v>
      </c>
      <c r="AZ34" s="31"/>
      <c r="BA34" s="45"/>
      <c r="BB34" s="36"/>
      <c r="BC34" s="35"/>
      <c r="BD34" s="31"/>
      <c r="BE34" s="19">
        <f t="shared" si="57"/>
        <v>0</v>
      </c>
      <c r="BF34" s="31"/>
      <c r="BG34" s="45"/>
      <c r="BH34" s="36"/>
      <c r="BI34" s="35"/>
      <c r="BJ34" s="31"/>
      <c r="BK34" s="19">
        <f t="shared" si="58"/>
        <v>0</v>
      </c>
      <c r="BL34" s="31"/>
      <c r="BM34" s="45"/>
      <c r="BN34" s="36"/>
      <c r="BO34" s="35"/>
      <c r="BP34" s="31"/>
      <c r="BQ34" s="19">
        <f t="shared" si="59"/>
        <v>0</v>
      </c>
      <c r="BR34" s="31"/>
      <c r="BS34" s="45"/>
      <c r="BT34" s="36"/>
      <c r="BU34" s="82">
        <f t="shared" si="60"/>
        <v>0</v>
      </c>
      <c r="BV34" s="81">
        <f t="shared" si="61"/>
        <v>0</v>
      </c>
      <c r="BW34" s="19">
        <f t="shared" si="62"/>
        <v>0</v>
      </c>
      <c r="BX34" s="19">
        <f t="shared" si="63"/>
        <v>0</v>
      </c>
      <c r="BY34" s="19">
        <f t="shared" si="63"/>
        <v>0</v>
      </c>
      <c r="BZ34" s="37">
        <f t="shared" si="63"/>
        <v>0</v>
      </c>
      <c r="CA34" s="75"/>
      <c r="CB34" s="75"/>
    </row>
    <row r="35" spans="1:80" outlineLevel="1">
      <c r="A35" s="5" t="s">
        <v>53</v>
      </c>
      <c r="B35" s="54" t="s">
        <v>21</v>
      </c>
      <c r="C35" s="43"/>
      <c r="D35" s="23"/>
      <c r="E35" s="117"/>
      <c r="F35" s="49"/>
      <c r="G35" s="35"/>
      <c r="H35" s="31"/>
      <c r="I35" s="81">
        <f t="shared" si="3"/>
        <v>0</v>
      </c>
      <c r="J35" s="31"/>
      <c r="K35" s="31"/>
      <c r="L35" s="36"/>
      <c r="M35" s="35"/>
      <c r="N35" s="31">
        <f t="shared" si="64"/>
        <v>0</v>
      </c>
      <c r="O35" s="19">
        <f t="shared" si="65"/>
        <v>0</v>
      </c>
      <c r="P35" s="31"/>
      <c r="Q35" s="31"/>
      <c r="R35" s="36"/>
      <c r="S35" s="35"/>
      <c r="T35" s="31"/>
      <c r="U35" s="19">
        <f t="shared" si="52"/>
        <v>0</v>
      </c>
      <c r="V35" s="31"/>
      <c r="W35" s="45"/>
      <c r="X35" s="36"/>
      <c r="Y35" s="35"/>
      <c r="Z35" s="31"/>
      <c r="AA35" s="19"/>
      <c r="AB35" s="31"/>
      <c r="AC35" s="45"/>
      <c r="AD35" s="36"/>
      <c r="AE35" s="35"/>
      <c r="AF35" s="31"/>
      <c r="AG35" s="81">
        <f t="shared" si="53"/>
        <v>0</v>
      </c>
      <c r="AH35" s="31"/>
      <c r="AI35" s="45"/>
      <c r="AJ35" s="36"/>
      <c r="AK35" s="35"/>
      <c r="AL35" s="31"/>
      <c r="AM35" s="19">
        <f t="shared" si="54"/>
        <v>0</v>
      </c>
      <c r="AN35" s="31"/>
      <c r="AO35" s="45"/>
      <c r="AP35" s="36"/>
      <c r="AQ35" s="35"/>
      <c r="AR35" s="31"/>
      <c r="AS35" s="19">
        <f t="shared" si="55"/>
        <v>0</v>
      </c>
      <c r="AT35" s="31"/>
      <c r="AU35" s="45"/>
      <c r="AV35" s="36"/>
      <c r="AW35" s="35"/>
      <c r="AX35" s="31"/>
      <c r="AY35" s="19">
        <f t="shared" si="56"/>
        <v>0</v>
      </c>
      <c r="AZ35" s="31"/>
      <c r="BA35" s="45"/>
      <c r="BB35" s="36"/>
      <c r="BC35" s="35"/>
      <c r="BD35" s="31"/>
      <c r="BE35" s="19">
        <f t="shared" si="57"/>
        <v>0</v>
      </c>
      <c r="BF35" s="31"/>
      <c r="BG35" s="45"/>
      <c r="BH35" s="36"/>
      <c r="BI35" s="35"/>
      <c r="BJ35" s="31"/>
      <c r="BK35" s="19">
        <f t="shared" si="58"/>
        <v>0</v>
      </c>
      <c r="BL35" s="31"/>
      <c r="BM35" s="45"/>
      <c r="BN35" s="36"/>
      <c r="BO35" s="35"/>
      <c r="BP35" s="31"/>
      <c r="BQ35" s="19">
        <f t="shared" si="59"/>
        <v>0</v>
      </c>
      <c r="BR35" s="31"/>
      <c r="BS35" s="45"/>
      <c r="BT35" s="36"/>
      <c r="BU35" s="82">
        <f t="shared" si="60"/>
        <v>0</v>
      </c>
      <c r="BV35" s="81">
        <f t="shared" si="61"/>
        <v>0</v>
      </c>
      <c r="BW35" s="19">
        <f t="shared" si="62"/>
        <v>0</v>
      </c>
      <c r="BX35" s="19">
        <f t="shared" si="63"/>
        <v>0</v>
      </c>
      <c r="BY35" s="19">
        <f t="shared" si="63"/>
        <v>0</v>
      </c>
      <c r="BZ35" s="37">
        <f t="shared" si="63"/>
        <v>0</v>
      </c>
      <c r="CA35" s="75"/>
      <c r="CB35" s="75"/>
    </row>
    <row r="36" spans="1:80" outlineLevel="1">
      <c r="A36" s="5" t="s">
        <v>54</v>
      </c>
      <c r="B36" s="54" t="s">
        <v>22</v>
      </c>
      <c r="C36" s="43"/>
      <c r="D36" s="23"/>
      <c r="E36" s="117"/>
      <c r="F36" s="49"/>
      <c r="G36" s="35"/>
      <c r="H36" s="31"/>
      <c r="I36" s="81">
        <f t="shared" si="3"/>
        <v>0</v>
      </c>
      <c r="J36" s="31"/>
      <c r="K36" s="31"/>
      <c r="L36" s="36"/>
      <c r="M36" s="35"/>
      <c r="N36" s="31">
        <f t="shared" si="64"/>
        <v>0</v>
      </c>
      <c r="O36" s="19">
        <f t="shared" si="65"/>
        <v>0</v>
      </c>
      <c r="P36" s="31"/>
      <c r="Q36" s="31"/>
      <c r="R36" s="36"/>
      <c r="S36" s="35"/>
      <c r="T36" s="31"/>
      <c r="U36" s="19">
        <f t="shared" si="52"/>
        <v>0</v>
      </c>
      <c r="V36" s="31"/>
      <c r="W36" s="45"/>
      <c r="X36" s="36"/>
      <c r="Y36" s="35"/>
      <c r="Z36" s="31"/>
      <c r="AA36" s="19"/>
      <c r="AB36" s="31"/>
      <c r="AC36" s="45"/>
      <c r="AD36" s="36"/>
      <c r="AE36" s="35"/>
      <c r="AF36" s="31"/>
      <c r="AG36" s="81">
        <f t="shared" si="53"/>
        <v>0</v>
      </c>
      <c r="AH36" s="31"/>
      <c r="AI36" s="45"/>
      <c r="AJ36" s="36"/>
      <c r="AK36" s="35"/>
      <c r="AL36" s="31"/>
      <c r="AM36" s="19">
        <f t="shared" si="54"/>
        <v>0</v>
      </c>
      <c r="AN36" s="31"/>
      <c r="AO36" s="45"/>
      <c r="AP36" s="36"/>
      <c r="AQ36" s="35"/>
      <c r="AR36" s="31"/>
      <c r="AS36" s="19">
        <f t="shared" si="55"/>
        <v>0</v>
      </c>
      <c r="AT36" s="31"/>
      <c r="AU36" s="45"/>
      <c r="AV36" s="36"/>
      <c r="AW36" s="35"/>
      <c r="AX36" s="31"/>
      <c r="AY36" s="19">
        <f t="shared" si="56"/>
        <v>0</v>
      </c>
      <c r="AZ36" s="31"/>
      <c r="BA36" s="45"/>
      <c r="BB36" s="36"/>
      <c r="BC36" s="35"/>
      <c r="BD36" s="31"/>
      <c r="BE36" s="19">
        <f t="shared" si="57"/>
        <v>0</v>
      </c>
      <c r="BF36" s="31"/>
      <c r="BG36" s="45"/>
      <c r="BH36" s="36"/>
      <c r="BI36" s="35"/>
      <c r="BJ36" s="31"/>
      <c r="BK36" s="19">
        <f t="shared" si="58"/>
        <v>0</v>
      </c>
      <c r="BL36" s="31"/>
      <c r="BM36" s="45"/>
      <c r="BN36" s="36"/>
      <c r="BO36" s="35">
        <v>1.9</v>
      </c>
      <c r="BP36" s="31"/>
      <c r="BQ36" s="19">
        <f t="shared" si="59"/>
        <v>1.9</v>
      </c>
      <c r="BR36" s="31"/>
      <c r="BS36" s="45"/>
      <c r="BT36" s="36"/>
      <c r="BU36" s="82">
        <f t="shared" si="60"/>
        <v>1.9</v>
      </c>
      <c r="BV36" s="81">
        <f t="shared" si="61"/>
        <v>0</v>
      </c>
      <c r="BW36" s="19">
        <f t="shared" si="62"/>
        <v>1.9</v>
      </c>
      <c r="BX36" s="19">
        <f t="shared" si="63"/>
        <v>0</v>
      </c>
      <c r="BY36" s="19">
        <f t="shared" si="63"/>
        <v>0</v>
      </c>
      <c r="BZ36" s="37">
        <f t="shared" si="63"/>
        <v>0</v>
      </c>
      <c r="CA36" s="75"/>
      <c r="CB36" s="75"/>
    </row>
    <row r="37" spans="1:80" outlineLevel="1">
      <c r="A37" s="5" t="s">
        <v>55</v>
      </c>
      <c r="B37" s="54" t="s">
        <v>16</v>
      </c>
      <c r="C37" s="43"/>
      <c r="D37" s="23"/>
      <c r="E37" s="117"/>
      <c r="F37" s="49"/>
      <c r="G37" s="35"/>
      <c r="H37" s="31"/>
      <c r="I37" s="81">
        <f t="shared" si="3"/>
        <v>0</v>
      </c>
      <c r="J37" s="31"/>
      <c r="K37" s="31"/>
      <c r="L37" s="36"/>
      <c r="M37" s="35"/>
      <c r="N37" s="31">
        <f t="shared" si="64"/>
        <v>0</v>
      </c>
      <c r="O37" s="19">
        <f t="shared" si="65"/>
        <v>0</v>
      </c>
      <c r="P37" s="31"/>
      <c r="Q37" s="31"/>
      <c r="R37" s="36"/>
      <c r="S37" s="35"/>
      <c r="T37" s="31"/>
      <c r="U37" s="19">
        <f t="shared" si="52"/>
        <v>0</v>
      </c>
      <c r="V37" s="31"/>
      <c r="W37" s="45"/>
      <c r="X37" s="36"/>
      <c r="Y37" s="35"/>
      <c r="Z37" s="31"/>
      <c r="AA37" s="19"/>
      <c r="AB37" s="31"/>
      <c r="AC37" s="45"/>
      <c r="AD37" s="36"/>
      <c r="AE37" s="35"/>
      <c r="AF37" s="31"/>
      <c r="AG37" s="81">
        <f t="shared" si="53"/>
        <v>0</v>
      </c>
      <c r="AH37" s="31"/>
      <c r="AI37" s="45"/>
      <c r="AJ37" s="36"/>
      <c r="AK37" s="35"/>
      <c r="AL37" s="31"/>
      <c r="AM37" s="19">
        <f t="shared" si="54"/>
        <v>0</v>
      </c>
      <c r="AN37" s="31"/>
      <c r="AO37" s="45"/>
      <c r="AP37" s="36"/>
      <c r="AQ37" s="35"/>
      <c r="AR37" s="31"/>
      <c r="AS37" s="19">
        <f t="shared" si="55"/>
        <v>0</v>
      </c>
      <c r="AT37" s="31"/>
      <c r="AU37" s="45"/>
      <c r="AV37" s="36"/>
      <c r="AW37" s="35"/>
      <c r="AX37" s="31"/>
      <c r="AY37" s="19">
        <f t="shared" si="56"/>
        <v>0</v>
      </c>
      <c r="AZ37" s="31"/>
      <c r="BA37" s="45"/>
      <c r="BB37" s="36"/>
      <c r="BC37" s="35"/>
      <c r="BD37" s="31"/>
      <c r="BE37" s="19">
        <f t="shared" si="57"/>
        <v>0</v>
      </c>
      <c r="BF37" s="31"/>
      <c r="BG37" s="45"/>
      <c r="BH37" s="36"/>
      <c r="BI37" s="35"/>
      <c r="BJ37" s="31"/>
      <c r="BK37" s="19">
        <f t="shared" si="58"/>
        <v>0</v>
      </c>
      <c r="BL37" s="31"/>
      <c r="BM37" s="45"/>
      <c r="BN37" s="36"/>
      <c r="BO37" s="35"/>
      <c r="BP37" s="31"/>
      <c r="BQ37" s="19">
        <f t="shared" si="59"/>
        <v>0</v>
      </c>
      <c r="BR37" s="31"/>
      <c r="BS37" s="45"/>
      <c r="BT37" s="36"/>
      <c r="BU37" s="82">
        <f t="shared" si="60"/>
        <v>0</v>
      </c>
      <c r="BV37" s="81">
        <f t="shared" si="61"/>
        <v>0</v>
      </c>
      <c r="BW37" s="19">
        <f t="shared" si="62"/>
        <v>0</v>
      </c>
      <c r="BX37" s="19">
        <f t="shared" si="63"/>
        <v>0</v>
      </c>
      <c r="BY37" s="19">
        <f t="shared" si="63"/>
        <v>0</v>
      </c>
      <c r="BZ37" s="37">
        <f t="shared" si="63"/>
        <v>0</v>
      </c>
      <c r="CA37" s="75"/>
      <c r="CB37" s="75"/>
    </row>
    <row r="38" spans="1:80" outlineLevel="1">
      <c r="A38" s="5" t="s">
        <v>56</v>
      </c>
      <c r="B38" s="54" t="s">
        <v>23</v>
      </c>
      <c r="C38" s="43"/>
      <c r="D38" s="23"/>
      <c r="E38" s="117"/>
      <c r="F38" s="49"/>
      <c r="G38" s="35"/>
      <c r="H38" s="31"/>
      <c r="I38" s="81">
        <f t="shared" si="3"/>
        <v>0</v>
      </c>
      <c r="J38" s="31"/>
      <c r="K38" s="31"/>
      <c r="L38" s="36"/>
      <c r="M38" s="35"/>
      <c r="N38" s="31">
        <f t="shared" si="64"/>
        <v>0</v>
      </c>
      <c r="O38" s="19">
        <f t="shared" si="65"/>
        <v>0</v>
      </c>
      <c r="P38" s="31"/>
      <c r="Q38" s="31"/>
      <c r="R38" s="36"/>
      <c r="S38" s="35"/>
      <c r="T38" s="31"/>
      <c r="U38" s="19">
        <f t="shared" si="52"/>
        <v>0</v>
      </c>
      <c r="V38" s="31"/>
      <c r="W38" s="45"/>
      <c r="X38" s="36"/>
      <c r="Y38" s="35"/>
      <c r="Z38" s="31"/>
      <c r="AA38" s="19"/>
      <c r="AB38" s="31"/>
      <c r="AC38" s="45"/>
      <c r="AD38" s="36"/>
      <c r="AE38" s="35"/>
      <c r="AF38" s="31"/>
      <c r="AG38" s="81">
        <f t="shared" si="53"/>
        <v>0</v>
      </c>
      <c r="AH38" s="31"/>
      <c r="AI38" s="45"/>
      <c r="AJ38" s="36"/>
      <c r="AK38" s="35"/>
      <c r="AL38" s="31"/>
      <c r="AM38" s="19">
        <f t="shared" si="54"/>
        <v>0</v>
      </c>
      <c r="AN38" s="31"/>
      <c r="AO38" s="45"/>
      <c r="AP38" s="36"/>
      <c r="AQ38" s="35"/>
      <c r="AR38" s="31"/>
      <c r="AS38" s="19">
        <f t="shared" si="55"/>
        <v>0</v>
      </c>
      <c r="AT38" s="31"/>
      <c r="AU38" s="45"/>
      <c r="AV38" s="36"/>
      <c r="AW38" s="35"/>
      <c r="AX38" s="31"/>
      <c r="AY38" s="19">
        <f t="shared" si="56"/>
        <v>0</v>
      </c>
      <c r="AZ38" s="31"/>
      <c r="BA38" s="45"/>
      <c r="BB38" s="36"/>
      <c r="BC38" s="35"/>
      <c r="BD38" s="31"/>
      <c r="BE38" s="19">
        <f t="shared" si="57"/>
        <v>0</v>
      </c>
      <c r="BF38" s="31"/>
      <c r="BG38" s="45"/>
      <c r="BH38" s="36"/>
      <c r="BI38" s="35"/>
      <c r="BJ38" s="31"/>
      <c r="BK38" s="19">
        <f t="shared" si="58"/>
        <v>0</v>
      </c>
      <c r="BL38" s="31"/>
      <c r="BM38" s="45"/>
      <c r="BN38" s="36"/>
      <c r="BO38" s="35"/>
      <c r="BP38" s="31"/>
      <c r="BQ38" s="19">
        <f t="shared" si="59"/>
        <v>0</v>
      </c>
      <c r="BR38" s="31"/>
      <c r="BS38" s="45"/>
      <c r="BT38" s="36"/>
      <c r="BU38" s="82">
        <f t="shared" si="60"/>
        <v>0</v>
      </c>
      <c r="BV38" s="81">
        <f t="shared" si="61"/>
        <v>0</v>
      </c>
      <c r="BW38" s="19">
        <f t="shared" si="62"/>
        <v>0</v>
      </c>
      <c r="BX38" s="19">
        <f t="shared" si="63"/>
        <v>0</v>
      </c>
      <c r="BY38" s="19">
        <f t="shared" si="63"/>
        <v>0</v>
      </c>
      <c r="BZ38" s="37">
        <f t="shared" si="63"/>
        <v>0</v>
      </c>
      <c r="CA38" s="75"/>
      <c r="CB38" s="75"/>
    </row>
    <row r="39" spans="1:80" outlineLevel="1">
      <c r="A39" s="5" t="s">
        <v>57</v>
      </c>
      <c r="B39" s="54" t="s">
        <v>8</v>
      </c>
      <c r="C39" s="43"/>
      <c r="D39" s="23"/>
      <c r="E39" s="117"/>
      <c r="F39" s="49"/>
      <c r="G39" s="35"/>
      <c r="H39" s="31"/>
      <c r="I39" s="81">
        <f t="shared" si="3"/>
        <v>0</v>
      </c>
      <c r="J39" s="31"/>
      <c r="K39" s="31"/>
      <c r="L39" s="36"/>
      <c r="M39" s="35"/>
      <c r="N39" s="31">
        <f t="shared" si="64"/>
        <v>0</v>
      </c>
      <c r="O39" s="19">
        <f t="shared" si="65"/>
        <v>0</v>
      </c>
      <c r="P39" s="31"/>
      <c r="Q39" s="31"/>
      <c r="R39" s="36"/>
      <c r="S39" s="35"/>
      <c r="T39" s="31"/>
      <c r="U39" s="19">
        <f t="shared" si="52"/>
        <v>0</v>
      </c>
      <c r="V39" s="31"/>
      <c r="W39" s="45"/>
      <c r="X39" s="36"/>
      <c r="Y39" s="35"/>
      <c r="Z39" s="31"/>
      <c r="AA39" s="19"/>
      <c r="AB39" s="31"/>
      <c r="AC39" s="45"/>
      <c r="AD39" s="36"/>
      <c r="AE39" s="35"/>
      <c r="AF39" s="31"/>
      <c r="AG39" s="81">
        <f t="shared" si="53"/>
        <v>0</v>
      </c>
      <c r="AH39" s="31"/>
      <c r="AI39" s="45"/>
      <c r="AJ39" s="36"/>
      <c r="AK39" s="35"/>
      <c r="AL39" s="31"/>
      <c r="AM39" s="19">
        <f t="shared" si="54"/>
        <v>0</v>
      </c>
      <c r="AN39" s="31"/>
      <c r="AO39" s="45"/>
      <c r="AP39" s="36"/>
      <c r="AQ39" s="35"/>
      <c r="AR39" s="31"/>
      <c r="AS39" s="19">
        <f t="shared" si="55"/>
        <v>0</v>
      </c>
      <c r="AT39" s="31"/>
      <c r="AU39" s="45"/>
      <c r="AV39" s="36"/>
      <c r="AW39" s="35"/>
      <c r="AX39" s="31"/>
      <c r="AY39" s="19">
        <f t="shared" si="56"/>
        <v>0</v>
      </c>
      <c r="AZ39" s="31"/>
      <c r="BA39" s="45"/>
      <c r="BB39" s="36"/>
      <c r="BC39" s="35"/>
      <c r="BD39" s="31"/>
      <c r="BE39" s="19">
        <f t="shared" si="57"/>
        <v>0</v>
      </c>
      <c r="BF39" s="31"/>
      <c r="BG39" s="45"/>
      <c r="BH39" s="36"/>
      <c r="BI39" s="35"/>
      <c r="BJ39" s="31"/>
      <c r="BK39" s="19">
        <f t="shared" si="58"/>
        <v>0</v>
      </c>
      <c r="BL39" s="31"/>
      <c r="BM39" s="45"/>
      <c r="BN39" s="36"/>
      <c r="BO39" s="35"/>
      <c r="BP39" s="31"/>
      <c r="BQ39" s="19">
        <f t="shared" si="59"/>
        <v>0</v>
      </c>
      <c r="BR39" s="31"/>
      <c r="BS39" s="45"/>
      <c r="BT39" s="36"/>
      <c r="BU39" s="82">
        <f t="shared" si="60"/>
        <v>0</v>
      </c>
      <c r="BV39" s="81">
        <f t="shared" si="61"/>
        <v>0</v>
      </c>
      <c r="BW39" s="19">
        <f t="shared" si="62"/>
        <v>0</v>
      </c>
      <c r="BX39" s="19">
        <f t="shared" si="63"/>
        <v>0</v>
      </c>
      <c r="BY39" s="19">
        <f t="shared" si="63"/>
        <v>0</v>
      </c>
      <c r="BZ39" s="37">
        <f t="shared" si="63"/>
        <v>0</v>
      </c>
      <c r="CA39" s="75"/>
      <c r="CB39" s="75"/>
    </row>
    <row r="40" spans="1:80" outlineLevel="1">
      <c r="A40" s="5" t="s">
        <v>58</v>
      </c>
      <c r="B40" s="54" t="s">
        <v>12</v>
      </c>
      <c r="C40" s="43"/>
      <c r="D40" s="23"/>
      <c r="E40" s="117"/>
      <c r="F40" s="49"/>
      <c r="G40" s="35"/>
      <c r="H40" s="31"/>
      <c r="I40" s="81">
        <f t="shared" si="3"/>
        <v>0</v>
      </c>
      <c r="J40" s="31"/>
      <c r="K40" s="31"/>
      <c r="L40" s="36"/>
      <c r="M40" s="35"/>
      <c r="N40" s="31">
        <f t="shared" si="64"/>
        <v>0</v>
      </c>
      <c r="O40" s="19">
        <f t="shared" si="65"/>
        <v>0</v>
      </c>
      <c r="P40" s="31"/>
      <c r="Q40" s="31"/>
      <c r="R40" s="36"/>
      <c r="S40" s="35"/>
      <c r="T40" s="31"/>
      <c r="U40" s="19">
        <f t="shared" si="52"/>
        <v>0</v>
      </c>
      <c r="V40" s="31"/>
      <c r="W40" s="45"/>
      <c r="X40" s="36"/>
      <c r="Y40" s="35"/>
      <c r="Z40" s="31"/>
      <c r="AA40" s="19"/>
      <c r="AB40" s="31"/>
      <c r="AC40" s="45"/>
      <c r="AD40" s="36"/>
      <c r="AE40" s="35"/>
      <c r="AF40" s="31"/>
      <c r="AG40" s="81">
        <f t="shared" si="53"/>
        <v>0</v>
      </c>
      <c r="AH40" s="31"/>
      <c r="AI40" s="45"/>
      <c r="AJ40" s="36"/>
      <c r="AK40" s="35"/>
      <c r="AL40" s="31"/>
      <c r="AM40" s="19">
        <f t="shared" si="54"/>
        <v>0</v>
      </c>
      <c r="AN40" s="31"/>
      <c r="AO40" s="45"/>
      <c r="AP40" s="36"/>
      <c r="AQ40" s="35"/>
      <c r="AR40" s="31"/>
      <c r="AS40" s="19">
        <f t="shared" si="55"/>
        <v>0</v>
      </c>
      <c r="AT40" s="31"/>
      <c r="AU40" s="45"/>
      <c r="AV40" s="36"/>
      <c r="AW40" s="35"/>
      <c r="AX40" s="31"/>
      <c r="AY40" s="19">
        <f t="shared" si="56"/>
        <v>0</v>
      </c>
      <c r="AZ40" s="31"/>
      <c r="BA40" s="45"/>
      <c r="BB40" s="36"/>
      <c r="BC40" s="35"/>
      <c r="BD40" s="31"/>
      <c r="BE40" s="19">
        <f t="shared" si="57"/>
        <v>0</v>
      </c>
      <c r="BF40" s="31"/>
      <c r="BG40" s="45"/>
      <c r="BH40" s="36"/>
      <c r="BI40" s="35"/>
      <c r="BJ40" s="31"/>
      <c r="BK40" s="19">
        <f t="shared" si="58"/>
        <v>0</v>
      </c>
      <c r="BL40" s="31"/>
      <c r="BM40" s="45"/>
      <c r="BN40" s="36"/>
      <c r="BO40" s="35"/>
      <c r="BP40" s="31"/>
      <c r="BQ40" s="19">
        <f t="shared" si="59"/>
        <v>0</v>
      </c>
      <c r="BR40" s="31"/>
      <c r="BS40" s="45"/>
      <c r="BT40" s="36"/>
      <c r="BU40" s="82">
        <f t="shared" si="60"/>
        <v>0</v>
      </c>
      <c r="BV40" s="81">
        <f t="shared" si="61"/>
        <v>0</v>
      </c>
      <c r="BW40" s="19">
        <f t="shared" si="62"/>
        <v>0</v>
      </c>
      <c r="BX40" s="19">
        <f t="shared" si="63"/>
        <v>0</v>
      </c>
      <c r="BY40" s="19">
        <f t="shared" si="63"/>
        <v>0</v>
      </c>
      <c r="BZ40" s="37">
        <f t="shared" si="63"/>
        <v>0</v>
      </c>
      <c r="CA40" s="75"/>
      <c r="CB40" s="75"/>
    </row>
    <row r="41" spans="1:80" outlineLevel="1">
      <c r="A41" s="5" t="s">
        <v>59</v>
      </c>
      <c r="B41" s="54" t="s">
        <v>24</v>
      </c>
      <c r="C41" s="43"/>
      <c r="D41" s="23"/>
      <c r="E41" s="117"/>
      <c r="F41" s="49"/>
      <c r="G41" s="35"/>
      <c r="H41" s="31"/>
      <c r="I41" s="81">
        <f t="shared" si="3"/>
        <v>0</v>
      </c>
      <c r="J41" s="31"/>
      <c r="K41" s="31"/>
      <c r="L41" s="36"/>
      <c r="M41" s="35"/>
      <c r="N41" s="31">
        <f t="shared" si="64"/>
        <v>0</v>
      </c>
      <c r="O41" s="19">
        <f t="shared" si="65"/>
        <v>0</v>
      </c>
      <c r="P41" s="31"/>
      <c r="Q41" s="31"/>
      <c r="R41" s="36"/>
      <c r="S41" s="35"/>
      <c r="T41" s="31"/>
      <c r="U41" s="19">
        <f t="shared" si="52"/>
        <v>0</v>
      </c>
      <c r="V41" s="31"/>
      <c r="W41" s="45"/>
      <c r="X41" s="36"/>
      <c r="Y41" s="35"/>
      <c r="Z41" s="31"/>
      <c r="AA41" s="19"/>
      <c r="AB41" s="31"/>
      <c r="AC41" s="45"/>
      <c r="AD41" s="36"/>
      <c r="AE41" s="35"/>
      <c r="AF41" s="31"/>
      <c r="AG41" s="81">
        <f t="shared" si="53"/>
        <v>0</v>
      </c>
      <c r="AH41" s="31"/>
      <c r="AI41" s="45"/>
      <c r="AJ41" s="36"/>
      <c r="AK41" s="35"/>
      <c r="AL41" s="31"/>
      <c r="AM41" s="19">
        <f t="shared" si="54"/>
        <v>0</v>
      </c>
      <c r="AN41" s="31"/>
      <c r="AO41" s="45"/>
      <c r="AP41" s="36"/>
      <c r="AQ41" s="35"/>
      <c r="AR41" s="31"/>
      <c r="AS41" s="19">
        <f t="shared" si="55"/>
        <v>0</v>
      </c>
      <c r="AT41" s="31"/>
      <c r="AU41" s="45"/>
      <c r="AV41" s="36"/>
      <c r="AW41" s="35"/>
      <c r="AX41" s="31"/>
      <c r="AY41" s="19">
        <f t="shared" si="56"/>
        <v>0</v>
      </c>
      <c r="AZ41" s="31"/>
      <c r="BA41" s="45"/>
      <c r="BB41" s="36"/>
      <c r="BC41" s="35"/>
      <c r="BD41" s="31"/>
      <c r="BE41" s="19">
        <f t="shared" si="57"/>
        <v>0</v>
      </c>
      <c r="BF41" s="31"/>
      <c r="BG41" s="45"/>
      <c r="BH41" s="36"/>
      <c r="BI41" s="35"/>
      <c r="BJ41" s="31"/>
      <c r="BK41" s="19">
        <f t="shared" si="58"/>
        <v>0</v>
      </c>
      <c r="BL41" s="31"/>
      <c r="BM41" s="45"/>
      <c r="BN41" s="36"/>
      <c r="BO41" s="35"/>
      <c r="BP41" s="31"/>
      <c r="BQ41" s="19">
        <f t="shared" si="59"/>
        <v>0</v>
      </c>
      <c r="BR41" s="31"/>
      <c r="BS41" s="45"/>
      <c r="BT41" s="36"/>
      <c r="BU41" s="82">
        <f t="shared" si="60"/>
        <v>0</v>
      </c>
      <c r="BV41" s="81">
        <f t="shared" si="61"/>
        <v>0</v>
      </c>
      <c r="BW41" s="19">
        <f t="shared" si="62"/>
        <v>0</v>
      </c>
      <c r="BX41" s="19">
        <f t="shared" si="63"/>
        <v>0</v>
      </c>
      <c r="BY41" s="19">
        <f t="shared" si="63"/>
        <v>0</v>
      </c>
      <c r="BZ41" s="37">
        <f t="shared" si="63"/>
        <v>0</v>
      </c>
      <c r="CA41" s="75"/>
      <c r="CB41" s="75"/>
    </row>
    <row r="42" spans="1:80" outlineLevel="1">
      <c r="A42" s="5" t="s">
        <v>44</v>
      </c>
      <c r="B42" s="54" t="s">
        <v>10</v>
      </c>
      <c r="C42" s="43"/>
      <c r="D42" s="23"/>
      <c r="E42" s="117"/>
      <c r="F42" s="49"/>
      <c r="G42" s="35"/>
      <c r="H42" s="31"/>
      <c r="I42" s="81">
        <f t="shared" si="3"/>
        <v>0</v>
      </c>
      <c r="J42" s="31"/>
      <c r="K42" s="31"/>
      <c r="L42" s="36"/>
      <c r="M42" s="35"/>
      <c r="N42" s="31">
        <f t="shared" si="64"/>
        <v>0</v>
      </c>
      <c r="O42" s="19">
        <f t="shared" si="65"/>
        <v>0</v>
      </c>
      <c r="P42" s="31"/>
      <c r="Q42" s="31"/>
      <c r="R42" s="36"/>
      <c r="S42" s="35"/>
      <c r="T42" s="31"/>
      <c r="U42" s="19">
        <f t="shared" si="52"/>
        <v>0</v>
      </c>
      <c r="V42" s="31"/>
      <c r="W42" s="45"/>
      <c r="X42" s="36"/>
      <c r="Y42" s="35"/>
      <c r="Z42" s="31"/>
      <c r="AA42" s="19"/>
      <c r="AB42" s="31"/>
      <c r="AC42" s="45"/>
      <c r="AD42" s="36"/>
      <c r="AE42" s="35"/>
      <c r="AF42" s="31"/>
      <c r="AG42" s="81">
        <f t="shared" si="53"/>
        <v>0</v>
      </c>
      <c r="AH42" s="31"/>
      <c r="AI42" s="45"/>
      <c r="AJ42" s="36"/>
      <c r="AK42" s="35"/>
      <c r="AL42" s="31"/>
      <c r="AM42" s="19">
        <f t="shared" si="54"/>
        <v>0</v>
      </c>
      <c r="AN42" s="31"/>
      <c r="AO42" s="45"/>
      <c r="AP42" s="36"/>
      <c r="AQ42" s="35"/>
      <c r="AR42" s="31"/>
      <c r="AS42" s="19">
        <f t="shared" si="55"/>
        <v>0</v>
      </c>
      <c r="AT42" s="31"/>
      <c r="AU42" s="45"/>
      <c r="AV42" s="36"/>
      <c r="AW42" s="35"/>
      <c r="AX42" s="31"/>
      <c r="AY42" s="19">
        <f t="shared" si="56"/>
        <v>0</v>
      </c>
      <c r="AZ42" s="31"/>
      <c r="BA42" s="45"/>
      <c r="BB42" s="36"/>
      <c r="BC42" s="35"/>
      <c r="BD42" s="31"/>
      <c r="BE42" s="19">
        <f t="shared" si="57"/>
        <v>0</v>
      </c>
      <c r="BF42" s="31"/>
      <c r="BG42" s="45"/>
      <c r="BH42" s="36"/>
      <c r="BI42" s="35"/>
      <c r="BJ42" s="31"/>
      <c r="BK42" s="19">
        <f t="shared" si="58"/>
        <v>0</v>
      </c>
      <c r="BL42" s="31"/>
      <c r="BM42" s="45"/>
      <c r="BN42" s="36"/>
      <c r="BO42" s="35"/>
      <c r="BP42" s="31"/>
      <c r="BQ42" s="19">
        <f t="shared" si="59"/>
        <v>0</v>
      </c>
      <c r="BR42" s="31"/>
      <c r="BS42" s="45"/>
      <c r="BT42" s="36"/>
      <c r="BU42" s="82">
        <f t="shared" si="60"/>
        <v>0</v>
      </c>
      <c r="BV42" s="81">
        <f t="shared" si="61"/>
        <v>0</v>
      </c>
      <c r="BW42" s="19">
        <f t="shared" si="62"/>
        <v>0</v>
      </c>
      <c r="BX42" s="19">
        <f t="shared" si="63"/>
        <v>0</v>
      </c>
      <c r="BY42" s="19">
        <f t="shared" si="63"/>
        <v>0</v>
      </c>
      <c r="BZ42" s="37">
        <f t="shared" si="63"/>
        <v>0</v>
      </c>
      <c r="CA42" s="75"/>
      <c r="CB42" s="75"/>
    </row>
    <row r="43" spans="1:80" outlineLevel="1">
      <c r="A43" s="5" t="s">
        <v>45</v>
      </c>
      <c r="B43" s="54" t="s">
        <v>7</v>
      </c>
      <c r="C43" s="43"/>
      <c r="D43" s="23"/>
      <c r="E43" s="117"/>
      <c r="F43" s="49"/>
      <c r="G43" s="35"/>
      <c r="H43" s="31"/>
      <c r="I43" s="81">
        <f t="shared" si="3"/>
        <v>0</v>
      </c>
      <c r="J43" s="31"/>
      <c r="K43" s="31"/>
      <c r="L43" s="36"/>
      <c r="M43" s="35"/>
      <c r="N43" s="31">
        <f t="shared" si="64"/>
        <v>0</v>
      </c>
      <c r="O43" s="19">
        <f t="shared" si="65"/>
        <v>0</v>
      </c>
      <c r="P43" s="31"/>
      <c r="Q43" s="31"/>
      <c r="R43" s="36"/>
      <c r="S43" s="35"/>
      <c r="T43" s="31"/>
      <c r="U43" s="19">
        <f t="shared" si="52"/>
        <v>0</v>
      </c>
      <c r="V43" s="31"/>
      <c r="W43" s="45"/>
      <c r="X43" s="36"/>
      <c r="Y43" s="35"/>
      <c r="Z43" s="31"/>
      <c r="AA43" s="19"/>
      <c r="AB43" s="31"/>
      <c r="AC43" s="45"/>
      <c r="AD43" s="36"/>
      <c r="AE43" s="35"/>
      <c r="AF43" s="31"/>
      <c r="AG43" s="81">
        <f t="shared" si="53"/>
        <v>0</v>
      </c>
      <c r="AH43" s="31"/>
      <c r="AI43" s="45"/>
      <c r="AJ43" s="36"/>
      <c r="AK43" s="35"/>
      <c r="AL43" s="31"/>
      <c r="AM43" s="19">
        <f t="shared" si="54"/>
        <v>0</v>
      </c>
      <c r="AN43" s="31"/>
      <c r="AO43" s="45"/>
      <c r="AP43" s="36"/>
      <c r="AQ43" s="35"/>
      <c r="AR43" s="31"/>
      <c r="AS43" s="19">
        <f t="shared" si="55"/>
        <v>0</v>
      </c>
      <c r="AT43" s="31"/>
      <c r="AU43" s="45"/>
      <c r="AV43" s="36"/>
      <c r="AW43" s="35"/>
      <c r="AX43" s="31"/>
      <c r="AY43" s="19">
        <f t="shared" si="56"/>
        <v>0</v>
      </c>
      <c r="AZ43" s="31"/>
      <c r="BA43" s="45"/>
      <c r="BB43" s="36"/>
      <c r="BC43" s="35"/>
      <c r="BD43" s="31"/>
      <c r="BE43" s="19">
        <f t="shared" si="57"/>
        <v>0</v>
      </c>
      <c r="BF43" s="31"/>
      <c r="BG43" s="45"/>
      <c r="BH43" s="36"/>
      <c r="BI43" s="35"/>
      <c r="BJ43" s="31"/>
      <c r="BK43" s="19">
        <f t="shared" si="58"/>
        <v>0</v>
      </c>
      <c r="BL43" s="31"/>
      <c r="BM43" s="45"/>
      <c r="BN43" s="36"/>
      <c r="BO43" s="35"/>
      <c r="BP43" s="31"/>
      <c r="BQ43" s="19">
        <f t="shared" si="59"/>
        <v>0</v>
      </c>
      <c r="BR43" s="31"/>
      <c r="BS43" s="45"/>
      <c r="BT43" s="36"/>
      <c r="BU43" s="82">
        <f t="shared" si="60"/>
        <v>0</v>
      </c>
      <c r="BV43" s="81">
        <f t="shared" si="61"/>
        <v>0</v>
      </c>
      <c r="BW43" s="19">
        <f t="shared" si="62"/>
        <v>0</v>
      </c>
      <c r="BX43" s="19">
        <f t="shared" si="63"/>
        <v>0</v>
      </c>
      <c r="BY43" s="19">
        <f t="shared" si="63"/>
        <v>0</v>
      </c>
      <c r="BZ43" s="37">
        <f t="shared" si="63"/>
        <v>0</v>
      </c>
      <c r="CA43" s="75"/>
      <c r="CB43" s="75"/>
    </row>
    <row r="44" spans="1:80" outlineLevel="1">
      <c r="A44" s="5" t="s">
        <v>46</v>
      </c>
      <c r="B44" s="54" t="s">
        <v>19</v>
      </c>
      <c r="C44" s="43"/>
      <c r="D44" s="23"/>
      <c r="E44" s="117"/>
      <c r="F44" s="49"/>
      <c r="G44" s="35"/>
      <c r="H44" s="31"/>
      <c r="I44" s="81">
        <f t="shared" si="3"/>
        <v>0</v>
      </c>
      <c r="J44" s="31"/>
      <c r="K44" s="31"/>
      <c r="L44" s="36"/>
      <c r="M44" s="35"/>
      <c r="N44" s="31">
        <f t="shared" si="64"/>
        <v>0</v>
      </c>
      <c r="O44" s="19">
        <f t="shared" si="65"/>
        <v>0</v>
      </c>
      <c r="P44" s="31"/>
      <c r="Q44" s="31"/>
      <c r="R44" s="36"/>
      <c r="S44" s="35"/>
      <c r="T44" s="31"/>
      <c r="U44" s="19">
        <f t="shared" si="52"/>
        <v>0</v>
      </c>
      <c r="V44" s="31"/>
      <c r="W44" s="45"/>
      <c r="X44" s="36"/>
      <c r="Y44" s="35"/>
      <c r="Z44" s="31"/>
      <c r="AA44" s="19"/>
      <c r="AB44" s="31"/>
      <c r="AC44" s="45"/>
      <c r="AD44" s="36"/>
      <c r="AE44" s="35"/>
      <c r="AF44" s="31"/>
      <c r="AG44" s="81">
        <f t="shared" si="53"/>
        <v>0</v>
      </c>
      <c r="AH44" s="31"/>
      <c r="AI44" s="45"/>
      <c r="AJ44" s="36"/>
      <c r="AK44" s="35"/>
      <c r="AL44" s="31"/>
      <c r="AM44" s="19">
        <f t="shared" si="54"/>
        <v>0</v>
      </c>
      <c r="AN44" s="31"/>
      <c r="AO44" s="45"/>
      <c r="AP44" s="36"/>
      <c r="AQ44" s="35"/>
      <c r="AR44" s="31"/>
      <c r="AS44" s="19">
        <f t="shared" si="55"/>
        <v>0</v>
      </c>
      <c r="AT44" s="31"/>
      <c r="AU44" s="45"/>
      <c r="AV44" s="36"/>
      <c r="AW44" s="35"/>
      <c r="AX44" s="31"/>
      <c r="AY44" s="19">
        <f t="shared" si="56"/>
        <v>0</v>
      </c>
      <c r="AZ44" s="31"/>
      <c r="BA44" s="45"/>
      <c r="BB44" s="36"/>
      <c r="BC44" s="35"/>
      <c r="BD44" s="31"/>
      <c r="BE44" s="19">
        <f t="shared" si="57"/>
        <v>0</v>
      </c>
      <c r="BF44" s="31"/>
      <c r="BG44" s="45"/>
      <c r="BH44" s="36"/>
      <c r="BI44" s="35"/>
      <c r="BJ44" s="31"/>
      <c r="BK44" s="19">
        <f t="shared" si="58"/>
        <v>0</v>
      </c>
      <c r="BL44" s="31"/>
      <c r="BM44" s="45"/>
      <c r="BN44" s="36"/>
      <c r="BO44" s="35"/>
      <c r="BP44" s="31"/>
      <c r="BQ44" s="19">
        <f t="shared" si="59"/>
        <v>0</v>
      </c>
      <c r="BR44" s="31"/>
      <c r="BS44" s="45"/>
      <c r="BT44" s="36"/>
      <c r="BU44" s="82">
        <f t="shared" si="60"/>
        <v>0</v>
      </c>
      <c r="BV44" s="81">
        <f t="shared" si="61"/>
        <v>0</v>
      </c>
      <c r="BW44" s="19">
        <f t="shared" si="62"/>
        <v>0</v>
      </c>
      <c r="BX44" s="19">
        <f t="shared" si="63"/>
        <v>0</v>
      </c>
      <c r="BY44" s="19">
        <f t="shared" si="63"/>
        <v>0</v>
      </c>
      <c r="BZ44" s="37">
        <f t="shared" si="63"/>
        <v>0</v>
      </c>
      <c r="CA44" s="75"/>
      <c r="CB44" s="75"/>
    </row>
    <row r="45" spans="1:80" outlineLevel="1">
      <c r="A45" s="5" t="s">
        <v>47</v>
      </c>
      <c r="B45" s="54" t="s">
        <v>15</v>
      </c>
      <c r="C45" s="43"/>
      <c r="D45" s="23"/>
      <c r="E45" s="117"/>
      <c r="F45" s="49"/>
      <c r="G45" s="35"/>
      <c r="H45" s="31"/>
      <c r="I45" s="81">
        <f t="shared" si="3"/>
        <v>0</v>
      </c>
      <c r="J45" s="31"/>
      <c r="K45" s="31"/>
      <c r="L45" s="36"/>
      <c r="M45" s="35"/>
      <c r="N45" s="31">
        <f t="shared" si="64"/>
        <v>0</v>
      </c>
      <c r="O45" s="19">
        <f t="shared" si="65"/>
        <v>0</v>
      </c>
      <c r="P45" s="31"/>
      <c r="Q45" s="31"/>
      <c r="R45" s="36"/>
      <c r="S45" s="35"/>
      <c r="T45" s="31"/>
      <c r="U45" s="19">
        <f t="shared" si="52"/>
        <v>0</v>
      </c>
      <c r="V45" s="31"/>
      <c r="W45" s="45"/>
      <c r="X45" s="36"/>
      <c r="Y45" s="35"/>
      <c r="Z45" s="31"/>
      <c r="AA45" s="19"/>
      <c r="AB45" s="31"/>
      <c r="AC45" s="45"/>
      <c r="AD45" s="36"/>
      <c r="AE45" s="35"/>
      <c r="AF45" s="31"/>
      <c r="AG45" s="81">
        <f t="shared" si="53"/>
        <v>0</v>
      </c>
      <c r="AH45" s="31"/>
      <c r="AI45" s="45"/>
      <c r="AJ45" s="36"/>
      <c r="AK45" s="35"/>
      <c r="AL45" s="31"/>
      <c r="AM45" s="19">
        <f t="shared" si="54"/>
        <v>0</v>
      </c>
      <c r="AN45" s="31"/>
      <c r="AO45" s="45"/>
      <c r="AP45" s="36"/>
      <c r="AQ45" s="35"/>
      <c r="AR45" s="31"/>
      <c r="AS45" s="19">
        <f t="shared" si="55"/>
        <v>0</v>
      </c>
      <c r="AT45" s="31"/>
      <c r="AU45" s="45"/>
      <c r="AV45" s="36"/>
      <c r="AW45" s="35"/>
      <c r="AX45" s="31"/>
      <c r="AY45" s="19">
        <f t="shared" si="56"/>
        <v>0</v>
      </c>
      <c r="AZ45" s="31"/>
      <c r="BA45" s="45"/>
      <c r="BB45" s="36"/>
      <c r="BC45" s="35"/>
      <c r="BD45" s="31"/>
      <c r="BE45" s="19">
        <f t="shared" si="57"/>
        <v>0</v>
      </c>
      <c r="BF45" s="31"/>
      <c r="BG45" s="45"/>
      <c r="BH45" s="36"/>
      <c r="BI45" s="35"/>
      <c r="BJ45" s="31"/>
      <c r="BK45" s="19">
        <f t="shared" si="58"/>
        <v>0</v>
      </c>
      <c r="BL45" s="31"/>
      <c r="BM45" s="45"/>
      <c r="BN45" s="36"/>
      <c r="BO45" s="35"/>
      <c r="BP45" s="31"/>
      <c r="BQ45" s="19">
        <f t="shared" si="59"/>
        <v>0</v>
      </c>
      <c r="BR45" s="31"/>
      <c r="BS45" s="45"/>
      <c r="BT45" s="36"/>
      <c r="BU45" s="82">
        <f t="shared" si="60"/>
        <v>0</v>
      </c>
      <c r="BV45" s="81">
        <f t="shared" si="61"/>
        <v>0</v>
      </c>
      <c r="BW45" s="19">
        <f t="shared" si="62"/>
        <v>0</v>
      </c>
      <c r="BX45" s="19">
        <f t="shared" si="63"/>
        <v>0</v>
      </c>
      <c r="BY45" s="19">
        <f t="shared" si="63"/>
        <v>0</v>
      </c>
      <c r="BZ45" s="37">
        <f t="shared" si="63"/>
        <v>0</v>
      </c>
      <c r="CA45" s="75"/>
      <c r="CB45" s="75"/>
    </row>
    <row r="46" spans="1:80" outlineLevel="1">
      <c r="A46" s="5" t="s">
        <v>60</v>
      </c>
      <c r="B46" s="54" t="s">
        <v>25</v>
      </c>
      <c r="C46" s="43">
        <v>0.19</v>
      </c>
      <c r="D46" s="23"/>
      <c r="E46" s="117"/>
      <c r="F46" s="49"/>
      <c r="G46" s="35">
        <v>0.2</v>
      </c>
      <c r="H46" s="31"/>
      <c r="I46" s="81">
        <f t="shared" si="3"/>
        <v>0.2</v>
      </c>
      <c r="J46" s="31"/>
      <c r="K46" s="31"/>
      <c r="L46" s="36"/>
      <c r="M46" s="35">
        <f>2.77+2.08</f>
        <v>4.8499999999999996</v>
      </c>
      <c r="N46" s="31"/>
      <c r="O46" s="19">
        <f t="shared" si="65"/>
        <v>4.8499999999999996</v>
      </c>
      <c r="P46" s="31"/>
      <c r="Q46" s="31">
        <f>M46</f>
        <v>4.8499999999999996</v>
      </c>
      <c r="R46" s="36">
        <f>M46</f>
        <v>4.8499999999999996</v>
      </c>
      <c r="S46" s="35">
        <f>1.35+1.46+0.68</f>
        <v>3.49</v>
      </c>
      <c r="T46" s="31"/>
      <c r="U46" s="19">
        <f t="shared" si="52"/>
        <v>3.49</v>
      </c>
      <c r="V46" s="31"/>
      <c r="W46" s="45"/>
      <c r="X46" s="36">
        <f>S46</f>
        <v>3.49</v>
      </c>
      <c r="Y46" s="35">
        <v>0.36</v>
      </c>
      <c r="Z46" s="31"/>
      <c r="AA46" s="19"/>
      <c r="AB46" s="31"/>
      <c r="AC46" s="45"/>
      <c r="AD46" s="36"/>
      <c r="AE46" s="35">
        <v>1.35</v>
      </c>
      <c r="AF46" s="31"/>
      <c r="AG46" s="81">
        <f t="shared" si="53"/>
        <v>1.35</v>
      </c>
      <c r="AH46" s="31"/>
      <c r="AI46" s="45">
        <v>1.5</v>
      </c>
      <c r="AJ46" s="36">
        <f>AE46</f>
        <v>1.35</v>
      </c>
      <c r="AK46" s="35">
        <v>1.21</v>
      </c>
      <c r="AL46" s="31"/>
      <c r="AM46" s="19">
        <f t="shared" si="54"/>
        <v>1.21</v>
      </c>
      <c r="AN46" s="31"/>
      <c r="AO46" s="45"/>
      <c r="AP46" s="36">
        <f>AK46</f>
        <v>1.21</v>
      </c>
      <c r="AQ46" s="35"/>
      <c r="AR46" s="31"/>
      <c r="AS46" s="19">
        <f t="shared" si="55"/>
        <v>0</v>
      </c>
      <c r="AT46" s="31"/>
      <c r="AU46" s="45"/>
      <c r="AV46" s="36"/>
      <c r="AW46" s="35"/>
      <c r="AX46" s="31"/>
      <c r="AY46" s="19">
        <f t="shared" si="56"/>
        <v>0</v>
      </c>
      <c r="AZ46" s="31"/>
      <c r="BA46" s="45"/>
      <c r="BB46" s="36"/>
      <c r="BC46" s="35"/>
      <c r="BD46" s="31"/>
      <c r="BE46" s="19">
        <f t="shared" si="57"/>
        <v>0</v>
      </c>
      <c r="BF46" s="31"/>
      <c r="BG46" s="45"/>
      <c r="BH46" s="36"/>
      <c r="BI46" s="35"/>
      <c r="BJ46" s="31"/>
      <c r="BK46" s="19">
        <f t="shared" si="58"/>
        <v>0</v>
      </c>
      <c r="BL46" s="31"/>
      <c r="BM46" s="45"/>
      <c r="BN46" s="36"/>
      <c r="BO46" s="35"/>
      <c r="BP46" s="31"/>
      <c r="BQ46" s="19">
        <f t="shared" si="59"/>
        <v>0</v>
      </c>
      <c r="BR46" s="31"/>
      <c r="BS46" s="45"/>
      <c r="BT46" s="36"/>
      <c r="BU46" s="82">
        <f t="shared" si="60"/>
        <v>11.649999999999999</v>
      </c>
      <c r="BV46" s="81">
        <f t="shared" si="61"/>
        <v>0</v>
      </c>
      <c r="BW46" s="19">
        <f t="shared" si="62"/>
        <v>11.649999999999999</v>
      </c>
      <c r="BX46" s="19">
        <f t="shared" si="63"/>
        <v>0</v>
      </c>
      <c r="BY46" s="19">
        <f t="shared" si="63"/>
        <v>6.35</v>
      </c>
      <c r="BZ46" s="37">
        <f t="shared" si="63"/>
        <v>10.899999999999999</v>
      </c>
      <c r="CA46" s="75"/>
      <c r="CB46" s="75"/>
    </row>
    <row r="47" spans="1:80" s="12" customFormat="1" ht="14.5" thickBot="1">
      <c r="A47" s="6" t="s">
        <v>1</v>
      </c>
      <c r="B47" s="59"/>
      <c r="C47" s="22">
        <f>C29-C30</f>
        <v>-115.37</v>
      </c>
      <c r="D47" s="17">
        <f t="shared" ref="D47:L47" si="66">D29-D30</f>
        <v>0</v>
      </c>
      <c r="E47" s="17">
        <f t="shared" si="66"/>
        <v>-115.18</v>
      </c>
      <c r="F47" s="42">
        <f t="shared" si="66"/>
        <v>-115.18</v>
      </c>
      <c r="G47" s="22">
        <f t="shared" si="66"/>
        <v>-188.77999999999997</v>
      </c>
      <c r="H47" s="17">
        <f t="shared" si="66"/>
        <v>0</v>
      </c>
      <c r="I47" s="17">
        <f t="shared" si="66"/>
        <v>-188.77999999999997</v>
      </c>
      <c r="J47" s="17">
        <f t="shared" si="66"/>
        <v>0</v>
      </c>
      <c r="K47" s="17">
        <f t="shared" si="66"/>
        <v>-188.57999999999998</v>
      </c>
      <c r="L47" s="42">
        <f t="shared" si="66"/>
        <v>-188.57999999999998</v>
      </c>
      <c r="M47" s="22">
        <f t="shared" ref="M47:R47" si="67">M29-M30</f>
        <v>-142.06000000000003</v>
      </c>
      <c r="N47" s="17">
        <f t="shared" si="67"/>
        <v>0</v>
      </c>
      <c r="O47" s="17">
        <f t="shared" si="67"/>
        <v>-142.06000000000003</v>
      </c>
      <c r="P47" s="17">
        <f t="shared" si="67"/>
        <v>0</v>
      </c>
      <c r="Q47" s="17">
        <f t="shared" si="67"/>
        <v>-142.06000000000003</v>
      </c>
      <c r="R47" s="42">
        <f t="shared" si="67"/>
        <v>-142.06000000000003</v>
      </c>
      <c r="S47" s="22">
        <f>S29-S30</f>
        <v>-128.28</v>
      </c>
      <c r="T47" s="17">
        <f>T29-T30</f>
        <v>0</v>
      </c>
      <c r="U47" s="17">
        <f t="shared" ref="U47:Z47" si="68">U29-U30</f>
        <v>-128.28</v>
      </c>
      <c r="V47" s="17">
        <f t="shared" si="68"/>
        <v>0</v>
      </c>
      <c r="W47" s="48">
        <f t="shared" si="68"/>
        <v>-94.954999999999984</v>
      </c>
      <c r="X47" s="42">
        <f t="shared" si="68"/>
        <v>-128.28</v>
      </c>
      <c r="Y47" s="22">
        <f t="shared" si="68"/>
        <v>-149.23000000000002</v>
      </c>
      <c r="Z47" s="17">
        <f t="shared" si="68"/>
        <v>0</v>
      </c>
      <c r="AA47" s="17">
        <f t="shared" ref="AA47:BT47" si="69">AA29-AA30</f>
        <v>-148.87</v>
      </c>
      <c r="AB47" s="17">
        <f t="shared" si="69"/>
        <v>0</v>
      </c>
      <c r="AC47" s="48">
        <f t="shared" si="69"/>
        <v>-44.878000000000014</v>
      </c>
      <c r="AD47" s="42">
        <f t="shared" si="69"/>
        <v>-148.87</v>
      </c>
      <c r="AE47" s="22">
        <f t="shared" si="69"/>
        <v>-53.060000000000009</v>
      </c>
      <c r="AF47" s="17">
        <f t="shared" si="69"/>
        <v>0</v>
      </c>
      <c r="AG47" s="17">
        <f t="shared" si="69"/>
        <v>-53.060000000000009</v>
      </c>
      <c r="AH47" s="17">
        <f t="shared" si="69"/>
        <v>0</v>
      </c>
      <c r="AI47" s="48">
        <f t="shared" si="69"/>
        <v>-5.0579999999999927</v>
      </c>
      <c r="AJ47" s="42">
        <f t="shared" si="69"/>
        <v>-53.060000000000009</v>
      </c>
      <c r="AK47" s="22">
        <f t="shared" si="69"/>
        <v>-40.729999999999983</v>
      </c>
      <c r="AL47" s="17">
        <f t="shared" si="69"/>
        <v>0</v>
      </c>
      <c r="AM47" s="17">
        <f t="shared" si="69"/>
        <v>-40.729999999999983</v>
      </c>
      <c r="AN47" s="17">
        <f t="shared" si="69"/>
        <v>0</v>
      </c>
      <c r="AO47" s="48">
        <f t="shared" si="69"/>
        <v>22.294000000000011</v>
      </c>
      <c r="AP47" s="42">
        <f t="shared" si="69"/>
        <v>-40.729999999999983</v>
      </c>
      <c r="AQ47" s="22">
        <f t="shared" si="69"/>
        <v>-86.16</v>
      </c>
      <c r="AR47" s="17">
        <f t="shared" si="69"/>
        <v>0</v>
      </c>
      <c r="AS47" s="17">
        <f t="shared" si="69"/>
        <v>-86.16</v>
      </c>
      <c r="AT47" s="17">
        <f t="shared" si="69"/>
        <v>2.87</v>
      </c>
      <c r="AU47" s="48">
        <f t="shared" si="69"/>
        <v>-32.899999999999977</v>
      </c>
      <c r="AV47" s="42">
        <f t="shared" si="69"/>
        <v>-43.3</v>
      </c>
      <c r="AW47" s="22">
        <f t="shared" si="69"/>
        <v>-43.789999999999992</v>
      </c>
      <c r="AX47" s="17">
        <f t="shared" si="69"/>
        <v>0</v>
      </c>
      <c r="AY47" s="17">
        <f t="shared" si="69"/>
        <v>-43.789999999999992</v>
      </c>
      <c r="AZ47" s="17">
        <f t="shared" si="69"/>
        <v>-2.1799999999999997</v>
      </c>
      <c r="BA47" s="48">
        <f t="shared" si="69"/>
        <v>-29.770078477208209</v>
      </c>
      <c r="BB47" s="42">
        <f t="shared" si="69"/>
        <v>-13</v>
      </c>
      <c r="BC47" s="22">
        <f t="shared" si="69"/>
        <v>-112.19000000000001</v>
      </c>
      <c r="BD47" s="17">
        <f t="shared" si="69"/>
        <v>0</v>
      </c>
      <c r="BE47" s="17">
        <f t="shared" si="69"/>
        <v>-112.19000000000001</v>
      </c>
      <c r="BF47" s="17">
        <f t="shared" si="69"/>
        <v>-15.62</v>
      </c>
      <c r="BG47" s="48">
        <f t="shared" si="69"/>
        <v>-43.982300884955748</v>
      </c>
      <c r="BH47" s="42">
        <f t="shared" si="69"/>
        <v>-39.43</v>
      </c>
      <c r="BI47" s="22">
        <f t="shared" si="69"/>
        <v>58.240000000000009</v>
      </c>
      <c r="BJ47" s="17">
        <f t="shared" si="69"/>
        <v>0</v>
      </c>
      <c r="BK47" s="17">
        <f t="shared" si="69"/>
        <v>58.240000000000009</v>
      </c>
      <c r="BL47" s="17">
        <f t="shared" si="69"/>
        <v>-107.95000000000002</v>
      </c>
      <c r="BM47" s="48">
        <f t="shared" si="69"/>
        <v>31.631150442477917</v>
      </c>
      <c r="BN47" s="42">
        <f t="shared" si="69"/>
        <v>52.680000000000007</v>
      </c>
      <c r="BO47" s="22">
        <f t="shared" si="69"/>
        <v>-19.809999999999995</v>
      </c>
      <c r="BP47" s="17">
        <f t="shared" si="69"/>
        <v>0</v>
      </c>
      <c r="BQ47" s="17">
        <f t="shared" si="69"/>
        <v>-19.809999999999995</v>
      </c>
      <c r="BR47" s="17">
        <f t="shared" si="69"/>
        <v>-83.860000000000014</v>
      </c>
      <c r="BS47" s="48">
        <f t="shared" si="69"/>
        <v>-35.543539823008835</v>
      </c>
      <c r="BT47" s="42">
        <f t="shared" si="69"/>
        <v>-45.77000000000001</v>
      </c>
      <c r="BU47" s="22">
        <f t="shared" ref="BU47:BZ47" si="70">BU29-BU30</f>
        <v>-1021.2200000000001</v>
      </c>
      <c r="BV47" s="17">
        <f t="shared" si="70"/>
        <v>0</v>
      </c>
      <c r="BW47" s="17">
        <f t="shared" si="70"/>
        <v>-1021.2200000000001</v>
      </c>
      <c r="BX47" s="17">
        <f t="shared" si="70"/>
        <v>-206.73999999999995</v>
      </c>
      <c r="BY47" s="17">
        <f t="shared" si="70"/>
        <v>-678.98176874269495</v>
      </c>
      <c r="BZ47" s="42">
        <f t="shared" si="70"/>
        <v>-905.58000000000027</v>
      </c>
      <c r="CA47" s="75"/>
      <c r="CB47" s="75"/>
    </row>
    <row r="48" spans="1:80">
      <c r="L48" s="26"/>
    </row>
    <row r="49" spans="3:13">
      <c r="L49" s="16"/>
    </row>
    <row r="50" spans="3:13">
      <c r="C50" s="26"/>
      <c r="F50" s="26"/>
      <c r="I50" s="26"/>
    </row>
    <row r="52" spans="3:13">
      <c r="M52" s="24"/>
    </row>
  </sheetData>
  <sheetProtection autoFilter="0"/>
  <mergeCells count="14">
    <mergeCell ref="BI2:BN2"/>
    <mergeCell ref="BO2:BT2"/>
    <mergeCell ref="BU2:BZ2"/>
    <mergeCell ref="AE2:AJ2"/>
    <mergeCell ref="AK2:AP2"/>
    <mergeCell ref="AQ2:AV2"/>
    <mergeCell ref="AW2:BB2"/>
    <mergeCell ref="BC2:BH2"/>
    <mergeCell ref="A2:A3"/>
    <mergeCell ref="G2:L2"/>
    <mergeCell ref="M2:R2"/>
    <mergeCell ref="S2:X2"/>
    <mergeCell ref="Y2:AD2"/>
    <mergeCell ref="C2:F2"/>
  </mergeCells>
  <phoneticPr fontId="2" type="noConversion"/>
  <hyperlinks>
    <hyperlink ref="L1" location="目录!A1" display="返回目录"/>
  </hyperlinks>
  <pageMargins left="0.7" right="0.7" top="0.75" bottom="0.75" header="0.3" footer="0.3"/>
  <pageSetup paperSize="9" orientation="portrait" r:id="rId1"/>
  <customProperties>
    <customPr name="_pios_id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CC"/>
    <outlinePr summaryBelow="0"/>
  </sheetPr>
  <dimension ref="A1:CB52"/>
  <sheetViews>
    <sheetView showGridLines="0" zoomScale="90" zoomScaleNormal="90" workbookViewId="0">
      <pane xSplit="1" ySplit="3" topLeftCell="BO4" activePane="bottomRight" state="frozen"/>
      <selection activeCell="E6" sqref="E6"/>
      <selection pane="topRight" activeCell="E6" sqref="E6"/>
      <selection pane="bottomLeft" activeCell="E6" sqref="E6"/>
      <selection pane="bottomRight" activeCell="CA13" sqref="CA13"/>
    </sheetView>
  </sheetViews>
  <sheetFormatPr defaultRowHeight="14" outlineLevelRow="1" outlineLevelCol="1"/>
  <cols>
    <col min="1" max="1" width="24.58203125" style="7" customWidth="1"/>
    <col min="2" max="2" width="19.75" style="15" hidden="1" customWidth="1"/>
    <col min="3" max="10" width="10" style="8" customWidth="1"/>
    <col min="11" max="11" width="10" style="27" customWidth="1"/>
    <col min="12" max="12" width="10" style="8" customWidth="1"/>
    <col min="13" max="14" width="10" style="11" customWidth="1" outlineLevel="1"/>
    <col min="15" max="18" width="10" style="11" customWidth="1"/>
    <col min="19" max="20" width="10" style="11" customWidth="1" outlineLevel="1"/>
    <col min="21" max="22" width="10" style="11" customWidth="1"/>
    <col min="23" max="23" width="10" style="11" customWidth="1" outlineLevel="1"/>
    <col min="24" max="24" width="10" style="11" customWidth="1"/>
    <col min="25" max="26" width="10" style="11" customWidth="1" outlineLevel="1"/>
    <col min="27" max="28" width="10" style="11" customWidth="1"/>
    <col min="29" max="29" width="10" style="11" customWidth="1" outlineLevel="1"/>
    <col min="30" max="30" width="10" style="11" customWidth="1"/>
    <col min="31" max="32" width="10" style="11" customWidth="1" outlineLevel="1"/>
    <col min="33" max="34" width="10" style="11" customWidth="1"/>
    <col min="35" max="35" width="10" style="11" customWidth="1" outlineLevel="1"/>
    <col min="36" max="36" width="10" style="11" customWidth="1"/>
    <col min="37" max="38" width="10" style="11" customWidth="1" outlineLevel="1"/>
    <col min="39" max="40" width="10" style="11" customWidth="1"/>
    <col min="41" max="41" width="10" style="11" customWidth="1" outlineLevel="1"/>
    <col min="42" max="42" width="10" style="11" customWidth="1"/>
    <col min="43" max="44" width="10" style="11" customWidth="1" outlineLevel="1"/>
    <col min="45" max="46" width="10" style="11" customWidth="1"/>
    <col min="47" max="47" width="10" style="11" customWidth="1" outlineLevel="1"/>
    <col min="48" max="48" width="10" style="11" customWidth="1"/>
    <col min="49" max="50" width="10" style="11" customWidth="1" outlineLevel="1"/>
    <col min="51" max="52" width="10" style="11" customWidth="1"/>
    <col min="53" max="53" width="10" style="11" customWidth="1" outlineLevel="1"/>
    <col min="54" max="54" width="10" style="11" customWidth="1"/>
    <col min="55" max="56" width="10" style="11" customWidth="1" outlineLevel="1"/>
    <col min="57" max="58" width="10" style="11" customWidth="1"/>
    <col min="59" max="59" width="10" style="11" customWidth="1" outlineLevel="1"/>
    <col min="60" max="60" width="10" style="11" customWidth="1"/>
    <col min="61" max="62" width="10" style="11" customWidth="1" outlineLevel="1"/>
    <col min="63" max="64" width="10" style="11" customWidth="1"/>
    <col min="65" max="65" width="10" style="11" customWidth="1" outlineLevel="1"/>
    <col min="66" max="66" width="10" style="11" customWidth="1"/>
    <col min="67" max="68" width="10" style="11" customWidth="1" outlineLevel="1"/>
    <col min="69" max="70" width="10" style="11" customWidth="1"/>
    <col min="71" max="71" width="10" style="11" customWidth="1" outlineLevel="1"/>
    <col min="72" max="72" width="10" style="11" customWidth="1"/>
    <col min="73" max="74" width="10" style="11" customWidth="1" outlineLevel="1"/>
    <col min="75" max="78" width="10" style="11" customWidth="1"/>
    <col min="79" max="16384" width="8.6640625" style="11"/>
  </cols>
  <sheetData>
    <row r="1" spans="1:80" ht="18" thickBot="1">
      <c r="A1" s="1" t="s">
        <v>88</v>
      </c>
      <c r="B1" s="14"/>
      <c r="C1" s="29"/>
      <c r="D1" s="29"/>
      <c r="E1" s="29"/>
      <c r="F1" s="29"/>
      <c r="G1" s="29"/>
      <c r="H1" s="29"/>
      <c r="I1" s="29"/>
      <c r="J1" s="29"/>
      <c r="K1" s="28" t="s">
        <v>27</v>
      </c>
      <c r="L1" s="25" t="s">
        <v>62</v>
      </c>
    </row>
    <row r="2" spans="1:80" s="12" customFormat="1">
      <c r="A2" s="139" t="s">
        <v>72</v>
      </c>
      <c r="B2" s="52"/>
      <c r="C2" s="136" t="s">
        <v>69</v>
      </c>
      <c r="D2" s="137"/>
      <c r="E2" s="141"/>
      <c r="F2" s="138"/>
      <c r="G2" s="136" t="s">
        <v>67</v>
      </c>
      <c r="H2" s="137"/>
      <c r="I2" s="137"/>
      <c r="J2" s="137"/>
      <c r="K2" s="137"/>
      <c r="L2" s="138"/>
      <c r="M2" s="136" t="s">
        <v>68</v>
      </c>
      <c r="N2" s="137"/>
      <c r="O2" s="137"/>
      <c r="P2" s="137"/>
      <c r="Q2" s="137"/>
      <c r="R2" s="138"/>
      <c r="S2" s="136" t="s">
        <v>73</v>
      </c>
      <c r="T2" s="137"/>
      <c r="U2" s="137"/>
      <c r="V2" s="137"/>
      <c r="W2" s="137"/>
      <c r="X2" s="138"/>
      <c r="Y2" s="136" t="s">
        <v>74</v>
      </c>
      <c r="Z2" s="137"/>
      <c r="AA2" s="137"/>
      <c r="AB2" s="137"/>
      <c r="AC2" s="137"/>
      <c r="AD2" s="138"/>
      <c r="AE2" s="136" t="s">
        <v>75</v>
      </c>
      <c r="AF2" s="137"/>
      <c r="AG2" s="137"/>
      <c r="AH2" s="137"/>
      <c r="AI2" s="137"/>
      <c r="AJ2" s="138"/>
      <c r="AK2" s="136" t="s">
        <v>76</v>
      </c>
      <c r="AL2" s="137"/>
      <c r="AM2" s="137"/>
      <c r="AN2" s="137"/>
      <c r="AO2" s="137"/>
      <c r="AP2" s="138"/>
      <c r="AQ2" s="136" t="s">
        <v>77</v>
      </c>
      <c r="AR2" s="137"/>
      <c r="AS2" s="137"/>
      <c r="AT2" s="137"/>
      <c r="AU2" s="137"/>
      <c r="AV2" s="138"/>
      <c r="AW2" s="136" t="s">
        <v>78</v>
      </c>
      <c r="AX2" s="137"/>
      <c r="AY2" s="137"/>
      <c r="AZ2" s="137"/>
      <c r="BA2" s="137"/>
      <c r="BB2" s="138"/>
      <c r="BC2" s="136" t="s">
        <v>79</v>
      </c>
      <c r="BD2" s="137"/>
      <c r="BE2" s="137"/>
      <c r="BF2" s="137"/>
      <c r="BG2" s="137"/>
      <c r="BH2" s="138"/>
      <c r="BI2" s="136" t="s">
        <v>80</v>
      </c>
      <c r="BJ2" s="137"/>
      <c r="BK2" s="137"/>
      <c r="BL2" s="137"/>
      <c r="BM2" s="137"/>
      <c r="BN2" s="138"/>
      <c r="BO2" s="136" t="s">
        <v>81</v>
      </c>
      <c r="BP2" s="137"/>
      <c r="BQ2" s="137"/>
      <c r="BR2" s="137"/>
      <c r="BS2" s="137"/>
      <c r="BT2" s="138"/>
      <c r="BU2" s="136" t="s">
        <v>82</v>
      </c>
      <c r="BV2" s="137"/>
      <c r="BW2" s="137"/>
      <c r="BX2" s="137"/>
      <c r="BY2" s="137"/>
      <c r="BZ2" s="138"/>
    </row>
    <row r="3" spans="1:80" s="12" customFormat="1">
      <c r="A3" s="140"/>
      <c r="B3" s="53"/>
      <c r="C3" s="33" t="s">
        <v>70</v>
      </c>
      <c r="D3" s="32" t="s">
        <v>71</v>
      </c>
      <c r="E3" s="116" t="s">
        <v>106</v>
      </c>
      <c r="F3" s="34" t="s">
        <v>65</v>
      </c>
      <c r="G3" s="33" t="s">
        <v>66</v>
      </c>
      <c r="H3" s="32" t="s">
        <v>64</v>
      </c>
      <c r="I3" s="32" t="s">
        <v>86</v>
      </c>
      <c r="J3" s="32" t="s">
        <v>63</v>
      </c>
      <c r="K3" s="116" t="s">
        <v>106</v>
      </c>
      <c r="L3" s="34" t="s">
        <v>65</v>
      </c>
      <c r="M3" s="33" t="s">
        <v>66</v>
      </c>
      <c r="N3" s="32" t="s">
        <v>64</v>
      </c>
      <c r="O3" s="32" t="s">
        <v>86</v>
      </c>
      <c r="P3" s="32" t="s">
        <v>63</v>
      </c>
      <c r="Q3" s="116" t="s">
        <v>106</v>
      </c>
      <c r="R3" s="34" t="s">
        <v>65</v>
      </c>
      <c r="S3" s="33" t="s">
        <v>66</v>
      </c>
      <c r="T3" s="32" t="s">
        <v>64</v>
      </c>
      <c r="U3" s="32" t="s">
        <v>86</v>
      </c>
      <c r="V3" s="32" t="s">
        <v>63</v>
      </c>
      <c r="W3" s="32" t="s">
        <v>97</v>
      </c>
      <c r="X3" s="34" t="s">
        <v>65</v>
      </c>
      <c r="Y3" s="33" t="s">
        <v>66</v>
      </c>
      <c r="Z3" s="32" t="s">
        <v>64</v>
      </c>
      <c r="AA3" s="32" t="s">
        <v>86</v>
      </c>
      <c r="AB3" s="32" t="s">
        <v>63</v>
      </c>
      <c r="AC3" s="32" t="s">
        <v>98</v>
      </c>
      <c r="AD3" s="34" t="s">
        <v>65</v>
      </c>
      <c r="AE3" s="33" t="s">
        <v>66</v>
      </c>
      <c r="AF3" s="32" t="s">
        <v>64</v>
      </c>
      <c r="AG3" s="32" t="s">
        <v>86</v>
      </c>
      <c r="AH3" s="32" t="s">
        <v>63</v>
      </c>
      <c r="AI3" s="32" t="s">
        <v>98</v>
      </c>
      <c r="AJ3" s="34" t="s">
        <v>65</v>
      </c>
      <c r="AK3" s="33" t="s">
        <v>66</v>
      </c>
      <c r="AL3" s="32" t="s">
        <v>64</v>
      </c>
      <c r="AM3" s="32" t="s">
        <v>86</v>
      </c>
      <c r="AN3" s="32" t="s">
        <v>63</v>
      </c>
      <c r="AO3" s="32" t="s">
        <v>98</v>
      </c>
      <c r="AP3" s="34" t="s">
        <v>65</v>
      </c>
      <c r="AQ3" s="33" t="s">
        <v>66</v>
      </c>
      <c r="AR3" s="32" t="s">
        <v>64</v>
      </c>
      <c r="AS3" s="32" t="s">
        <v>86</v>
      </c>
      <c r="AT3" s="32" t="s">
        <v>63</v>
      </c>
      <c r="AU3" s="32" t="s">
        <v>98</v>
      </c>
      <c r="AV3" s="34" t="s">
        <v>65</v>
      </c>
      <c r="AW3" s="33" t="s">
        <v>66</v>
      </c>
      <c r="AX3" s="32" t="s">
        <v>64</v>
      </c>
      <c r="AY3" s="32" t="s">
        <v>86</v>
      </c>
      <c r="AZ3" s="32" t="s">
        <v>63</v>
      </c>
      <c r="BA3" s="32" t="s">
        <v>98</v>
      </c>
      <c r="BB3" s="34" t="s">
        <v>65</v>
      </c>
      <c r="BC3" s="33" t="s">
        <v>66</v>
      </c>
      <c r="BD3" s="32" t="s">
        <v>64</v>
      </c>
      <c r="BE3" s="32" t="s">
        <v>86</v>
      </c>
      <c r="BF3" s="32" t="s">
        <v>63</v>
      </c>
      <c r="BG3" s="32" t="s">
        <v>98</v>
      </c>
      <c r="BH3" s="34" t="s">
        <v>65</v>
      </c>
      <c r="BI3" s="33" t="s">
        <v>66</v>
      </c>
      <c r="BJ3" s="32" t="s">
        <v>64</v>
      </c>
      <c r="BK3" s="32" t="s">
        <v>86</v>
      </c>
      <c r="BL3" s="32" t="s">
        <v>63</v>
      </c>
      <c r="BM3" s="32" t="s">
        <v>98</v>
      </c>
      <c r="BN3" s="34" t="s">
        <v>65</v>
      </c>
      <c r="BO3" s="33" t="s">
        <v>66</v>
      </c>
      <c r="BP3" s="32" t="s">
        <v>64</v>
      </c>
      <c r="BQ3" s="32" t="s">
        <v>86</v>
      </c>
      <c r="BR3" s="32" t="s">
        <v>63</v>
      </c>
      <c r="BS3" s="32" t="s">
        <v>98</v>
      </c>
      <c r="BT3" s="34" t="s">
        <v>65</v>
      </c>
      <c r="BU3" s="33" t="s">
        <v>84</v>
      </c>
      <c r="BV3" s="32" t="s">
        <v>64</v>
      </c>
      <c r="BW3" s="32" t="s">
        <v>85</v>
      </c>
      <c r="BX3" s="32" t="s">
        <v>63</v>
      </c>
      <c r="BY3" s="32" t="s">
        <v>98</v>
      </c>
      <c r="BZ3" s="34" t="s">
        <v>65</v>
      </c>
    </row>
    <row r="4" spans="1:80">
      <c r="A4" s="2" t="s">
        <v>30</v>
      </c>
      <c r="B4" s="54"/>
      <c r="C4" s="43">
        <v>147.31</v>
      </c>
      <c r="D4" s="23"/>
      <c r="E4" s="117">
        <f t="shared" ref="E4:E9" si="0">C4</f>
        <v>147.31</v>
      </c>
      <c r="F4" s="49">
        <f t="shared" ref="F4:F9" si="1">C4</f>
        <v>147.31</v>
      </c>
      <c r="G4" s="35">
        <f>48.22+60.09</f>
        <v>108.31</v>
      </c>
      <c r="H4" s="31"/>
      <c r="I4" s="19">
        <f>G4</f>
        <v>108.31</v>
      </c>
      <c r="J4" s="31"/>
      <c r="K4" s="31">
        <f>G4</f>
        <v>108.31</v>
      </c>
      <c r="L4" s="36">
        <f>G4</f>
        <v>108.31</v>
      </c>
      <c r="M4" s="35">
        <v>299.08</v>
      </c>
      <c r="N4" s="111"/>
      <c r="O4" s="19">
        <f>M4</f>
        <v>299.08</v>
      </c>
      <c r="P4" s="31"/>
      <c r="Q4" s="31">
        <f>M4</f>
        <v>299.08</v>
      </c>
      <c r="R4" s="36">
        <f>M4</f>
        <v>299.08</v>
      </c>
      <c r="S4" s="35">
        <f>12.13+28.27+104.27</f>
        <v>144.66999999999999</v>
      </c>
      <c r="T4" s="31"/>
      <c r="U4" s="19">
        <f>SUM(S4:T4)</f>
        <v>144.66999999999999</v>
      </c>
      <c r="V4" s="31"/>
      <c r="W4" s="45">
        <v>144.66999999999999</v>
      </c>
      <c r="X4" s="36">
        <f>S4</f>
        <v>144.66999999999999</v>
      </c>
      <c r="Y4" s="35">
        <v>455.09</v>
      </c>
      <c r="Z4" s="31"/>
      <c r="AA4" s="19">
        <f>Y4</f>
        <v>455.09</v>
      </c>
      <c r="AB4" s="31"/>
      <c r="AC4" s="45">
        <f>AD4</f>
        <v>455.09</v>
      </c>
      <c r="AD4" s="36">
        <f>Y4</f>
        <v>455.09</v>
      </c>
      <c r="AE4" s="35">
        <v>200.4</v>
      </c>
      <c r="AF4" s="31"/>
      <c r="AG4" s="19">
        <f>SUM(AE4:AF4)</f>
        <v>200.4</v>
      </c>
      <c r="AH4" s="31">
        <v>21.43</v>
      </c>
      <c r="AI4" s="45">
        <v>165</v>
      </c>
      <c r="AJ4" s="36">
        <f>AE4</f>
        <v>200.4</v>
      </c>
      <c r="AK4" s="35">
        <v>156.35</v>
      </c>
      <c r="AL4" s="31"/>
      <c r="AM4" s="19">
        <f>SUM(AK4:AL4)</f>
        <v>156.35</v>
      </c>
      <c r="AN4" s="31">
        <v>25.93</v>
      </c>
      <c r="AO4" s="45">
        <v>150</v>
      </c>
      <c r="AP4" s="36">
        <f>AK4</f>
        <v>156.35</v>
      </c>
      <c r="AQ4" s="35">
        <v>247.7</v>
      </c>
      <c r="AR4" s="31"/>
      <c r="AS4" s="19">
        <f>SUM(AQ4:AR4)</f>
        <v>247.7</v>
      </c>
      <c r="AT4" s="31">
        <v>20.89</v>
      </c>
      <c r="AU4" s="45">
        <v>200</v>
      </c>
      <c r="AV4" s="36">
        <v>150</v>
      </c>
      <c r="AW4" s="35">
        <v>162.44</v>
      </c>
      <c r="AX4" s="31"/>
      <c r="AY4" s="19">
        <f>SUM(AW4:AX4)</f>
        <v>162.44</v>
      </c>
      <c r="AZ4" s="31">
        <v>50.7</v>
      </c>
      <c r="BA4" s="45">
        <v>160</v>
      </c>
      <c r="BB4" s="36">
        <v>160</v>
      </c>
      <c r="BC4" s="35">
        <v>136.87</v>
      </c>
      <c r="BD4" s="31"/>
      <c r="BE4" s="19">
        <f>SUM(BC4:BD4)</f>
        <v>136.87</v>
      </c>
      <c r="BF4" s="31">
        <v>58.36</v>
      </c>
      <c r="BG4" s="45">
        <v>120</v>
      </c>
      <c r="BH4" s="36">
        <v>120</v>
      </c>
      <c r="BI4" s="35">
        <v>667.81</v>
      </c>
      <c r="BJ4" s="31"/>
      <c r="BK4" s="19">
        <f>SUM(BI4:BJ4)</f>
        <v>667.81</v>
      </c>
      <c r="BL4" s="31">
        <v>188.99</v>
      </c>
      <c r="BM4" s="45">
        <v>350</v>
      </c>
      <c r="BN4" s="36">
        <v>400</v>
      </c>
      <c r="BO4" s="35">
        <v>141.52000000000001</v>
      </c>
      <c r="BP4" s="31"/>
      <c r="BQ4" s="19">
        <f>SUM(BO4:BP4)</f>
        <v>141.52000000000001</v>
      </c>
      <c r="BR4" s="31">
        <v>295.67</v>
      </c>
      <c r="BS4" s="45">
        <v>140</v>
      </c>
      <c r="BT4" s="36">
        <v>120</v>
      </c>
      <c r="BU4" s="18">
        <f>C4+G4+M4+S4+Y4+AE4+AK4+AQ4+AW4+BC4+BI4+BO4</f>
        <v>2867.55</v>
      </c>
      <c r="BV4" s="19">
        <f t="shared" ref="BV4:BV9" si="2">BP4+BJ4</f>
        <v>0</v>
      </c>
      <c r="BW4" s="19">
        <f>SUM(BU4:BV4)</f>
        <v>2867.55</v>
      </c>
      <c r="BX4" s="19">
        <f>SUMIF($C$3:$BT$3,BX$3,$C4:$BT4)</f>
        <v>661.97</v>
      </c>
      <c r="BY4" s="19">
        <f>SUMIF($C$3:$BT$3,BY$3,$C4:$BT4)</f>
        <v>2439.46</v>
      </c>
      <c r="BZ4" s="37">
        <f>SUMIF($C$3:$BT$3,BZ$3,$C4:$BT4)</f>
        <v>2461.21</v>
      </c>
    </row>
    <row r="5" spans="1:80">
      <c r="A5" s="2" t="s">
        <v>0</v>
      </c>
      <c r="B5" s="54"/>
      <c r="C5" s="43">
        <v>102.8</v>
      </c>
      <c r="D5" s="23"/>
      <c r="E5" s="117">
        <f t="shared" si="0"/>
        <v>102.8</v>
      </c>
      <c r="F5" s="49">
        <f t="shared" si="1"/>
        <v>102.8</v>
      </c>
      <c r="G5" s="35">
        <v>91.45</v>
      </c>
      <c r="H5" s="31"/>
      <c r="I5" s="19">
        <f t="shared" ref="I5:I8" si="3">G5</f>
        <v>91.45</v>
      </c>
      <c r="J5" s="31"/>
      <c r="K5" s="31">
        <f>G5</f>
        <v>91.45</v>
      </c>
      <c r="L5" s="36">
        <f>G5</f>
        <v>91.45</v>
      </c>
      <c r="M5" s="35">
        <v>144.18</v>
      </c>
      <c r="N5" s="111"/>
      <c r="O5" s="19">
        <f t="shared" ref="O5:O8" si="4">M5</f>
        <v>144.18</v>
      </c>
      <c r="P5" s="31"/>
      <c r="Q5" s="31">
        <f>M5</f>
        <v>144.18</v>
      </c>
      <c r="R5" s="36">
        <f>M5</f>
        <v>144.18</v>
      </c>
      <c r="S5" s="35">
        <f>12.1+20.26+104.27</f>
        <v>136.63</v>
      </c>
      <c r="T5" s="31"/>
      <c r="U5" s="19">
        <f>SUM(S5:T5)</f>
        <v>136.63</v>
      </c>
      <c r="V5" s="31"/>
      <c r="W5" s="45">
        <v>136.63</v>
      </c>
      <c r="X5" s="36">
        <f>S5</f>
        <v>136.63</v>
      </c>
      <c r="Y5" s="35">
        <v>262.16000000000003</v>
      </c>
      <c r="Z5" s="31"/>
      <c r="AA5" s="19">
        <f t="shared" ref="AA5:AA8" si="5">Y5</f>
        <v>262.16000000000003</v>
      </c>
      <c r="AB5" s="31"/>
      <c r="AC5" s="45">
        <f>AD5</f>
        <v>262.16000000000003</v>
      </c>
      <c r="AD5" s="36">
        <f>Y5</f>
        <v>262.16000000000003</v>
      </c>
      <c r="AE5" s="35">
        <v>102.67</v>
      </c>
      <c r="AF5" s="31"/>
      <c r="AG5" s="19">
        <f>SUM(AE5:AF5)</f>
        <v>102.67</v>
      </c>
      <c r="AH5" s="31">
        <v>17.28</v>
      </c>
      <c r="AI5" s="45">
        <v>165</v>
      </c>
      <c r="AJ5" s="36">
        <f>AE5</f>
        <v>102.67</v>
      </c>
      <c r="AK5" s="35">
        <v>97.41</v>
      </c>
      <c r="AL5" s="31"/>
      <c r="AM5" s="19">
        <f>SUM(AK5:AL5)</f>
        <v>97.41</v>
      </c>
      <c r="AN5" s="31">
        <v>18.38</v>
      </c>
      <c r="AO5" s="45">
        <v>150.02000000000001</v>
      </c>
      <c r="AP5" s="36">
        <f>AK5</f>
        <v>97.41</v>
      </c>
      <c r="AQ5" s="35">
        <v>136.94999999999999</v>
      </c>
      <c r="AR5" s="31"/>
      <c r="AS5" s="19">
        <f>SUM(AQ5:AR5)</f>
        <v>136.94999999999999</v>
      </c>
      <c r="AT5" s="31">
        <v>15.57</v>
      </c>
      <c r="AU5" s="45">
        <v>200</v>
      </c>
      <c r="AV5" s="36">
        <v>150</v>
      </c>
      <c r="AW5" s="35">
        <v>139.35</v>
      </c>
      <c r="AX5" s="31"/>
      <c r="AY5" s="19">
        <f>SUM(AW5:AX5)</f>
        <v>139.35</v>
      </c>
      <c r="AZ5" s="31">
        <v>40.36</v>
      </c>
      <c r="BA5" s="45">
        <f>BB5</f>
        <v>160</v>
      </c>
      <c r="BB5" s="36">
        <v>160</v>
      </c>
      <c r="BC5" s="35">
        <v>130.85</v>
      </c>
      <c r="BD5" s="31"/>
      <c r="BE5" s="19">
        <f>SUM(BC5:BD5)</f>
        <v>130.85</v>
      </c>
      <c r="BF5" s="31">
        <v>48.54</v>
      </c>
      <c r="BG5" s="45">
        <v>120</v>
      </c>
      <c r="BH5" s="36">
        <v>120</v>
      </c>
      <c r="BI5" s="35">
        <v>365.97</v>
      </c>
      <c r="BJ5" s="31"/>
      <c r="BK5" s="19">
        <f>SUM(BI5:BJ5)</f>
        <v>365.97</v>
      </c>
      <c r="BL5" s="31">
        <v>174.44</v>
      </c>
      <c r="BM5" s="45">
        <v>350</v>
      </c>
      <c r="BN5" s="36">
        <v>400</v>
      </c>
      <c r="BO5" s="35">
        <v>102.51</v>
      </c>
      <c r="BP5" s="31"/>
      <c r="BQ5" s="19">
        <f>SUM(BO5:BP5)</f>
        <v>102.51</v>
      </c>
      <c r="BR5" s="31">
        <v>268</v>
      </c>
      <c r="BS5" s="45">
        <v>140</v>
      </c>
      <c r="BT5" s="36">
        <v>120</v>
      </c>
      <c r="BU5" s="18">
        <f>C5+G5+M5+S5+Y5+AE5+AK5+AQ5+AW5+BC5+BI5+BO5</f>
        <v>1812.9299999999998</v>
      </c>
      <c r="BV5" s="19">
        <f t="shared" si="2"/>
        <v>0</v>
      </c>
      <c r="BW5" s="19">
        <f>SUM(BU5:BV5)</f>
        <v>1812.9299999999998</v>
      </c>
      <c r="BX5" s="19">
        <f>SUMIF($C$3:$BT$3,BX$3,$C5:$BT5)</f>
        <v>582.56999999999994</v>
      </c>
      <c r="BY5" s="19">
        <f t="shared" ref="BY5:BZ8" si="6">SUMIF($C$3:$BT$3,BY$3,$C5:$BT5)</f>
        <v>2022.24</v>
      </c>
      <c r="BZ5" s="37">
        <f t="shared" si="6"/>
        <v>1887.3</v>
      </c>
      <c r="CA5" s="24"/>
      <c r="CB5" s="24"/>
    </row>
    <row r="6" spans="1:80">
      <c r="A6" s="85" t="s">
        <v>2</v>
      </c>
      <c r="B6" s="54"/>
      <c r="C6" s="43">
        <v>101.58</v>
      </c>
      <c r="D6" s="23"/>
      <c r="E6" s="117">
        <f t="shared" si="0"/>
        <v>101.58</v>
      </c>
      <c r="F6" s="49">
        <f t="shared" si="1"/>
        <v>101.58</v>
      </c>
      <c r="G6" s="35">
        <f>48.35+37.84</f>
        <v>86.19</v>
      </c>
      <c r="H6" s="31"/>
      <c r="I6" s="19">
        <f t="shared" si="3"/>
        <v>86.19</v>
      </c>
      <c r="J6" s="31"/>
      <c r="K6" s="31">
        <f>G6</f>
        <v>86.19</v>
      </c>
      <c r="L6" s="36">
        <f>G6</f>
        <v>86.19</v>
      </c>
      <c r="M6" s="114">
        <f>71.12+47.39</f>
        <v>118.51</v>
      </c>
      <c r="N6" s="111"/>
      <c r="O6" s="19">
        <f t="shared" si="4"/>
        <v>118.51</v>
      </c>
      <c r="P6" s="31"/>
      <c r="Q6" s="31">
        <f>M6</f>
        <v>118.51</v>
      </c>
      <c r="R6" s="36">
        <f>M6</f>
        <v>118.51</v>
      </c>
      <c r="S6" s="35">
        <f>57.56+53.94</f>
        <v>111.5</v>
      </c>
      <c r="T6" s="31"/>
      <c r="U6" s="19">
        <f>SUM(S6:T6)</f>
        <v>111.5</v>
      </c>
      <c r="V6" s="31"/>
      <c r="W6" s="45">
        <v>111.5</v>
      </c>
      <c r="X6" s="36">
        <f>S6</f>
        <v>111.5</v>
      </c>
      <c r="Y6" s="35">
        <v>224.99</v>
      </c>
      <c r="Z6" s="31"/>
      <c r="AA6" s="19">
        <f t="shared" si="5"/>
        <v>224.99</v>
      </c>
      <c r="AB6" s="31"/>
      <c r="AC6" s="45">
        <f>AD6</f>
        <v>224.99</v>
      </c>
      <c r="AD6" s="36">
        <f>Y6</f>
        <v>224.99</v>
      </c>
      <c r="AE6" s="35">
        <v>88.47</v>
      </c>
      <c r="AF6" s="31"/>
      <c r="AG6" s="19">
        <f>SUM(AE6:AF6)</f>
        <v>88.47</v>
      </c>
      <c r="AH6" s="31">
        <v>0</v>
      </c>
      <c r="AI6" s="45">
        <f>AI7*1.13</f>
        <v>96.264699999999991</v>
      </c>
      <c r="AJ6" s="36">
        <f>AE6</f>
        <v>88.47</v>
      </c>
      <c r="AK6" s="35">
        <v>100.98</v>
      </c>
      <c r="AL6" s="31"/>
      <c r="AM6" s="19">
        <f>SUM(AK6:AL6)</f>
        <v>100.98</v>
      </c>
      <c r="AN6" s="31">
        <v>0</v>
      </c>
      <c r="AO6" s="45">
        <f>AO7*1.13</f>
        <v>92.953799999999987</v>
      </c>
      <c r="AP6" s="36">
        <f>AK6</f>
        <v>100.98</v>
      </c>
      <c r="AQ6" s="35">
        <v>114</v>
      </c>
      <c r="AR6" s="31"/>
      <c r="AS6" s="19">
        <f>SUM(AQ6:AR6)</f>
        <v>114</v>
      </c>
      <c r="AT6" s="31">
        <v>11.87</v>
      </c>
      <c r="AU6" s="45">
        <v>179.4</v>
      </c>
      <c r="AV6" s="36">
        <v>143.18</v>
      </c>
      <c r="AW6" s="35">
        <v>107.08</v>
      </c>
      <c r="AX6" s="31"/>
      <c r="AY6" s="19">
        <f>SUM(AW6:AX6)</f>
        <v>107.08</v>
      </c>
      <c r="AZ6" s="31">
        <v>43.99</v>
      </c>
      <c r="BA6" s="45">
        <f>BB6</f>
        <v>153</v>
      </c>
      <c r="BB6" s="36">
        <v>153</v>
      </c>
      <c r="BC6" s="35">
        <v>112.19</v>
      </c>
      <c r="BD6" s="31"/>
      <c r="BE6" s="19">
        <f>SUM(BC6:BD6)</f>
        <v>112.19</v>
      </c>
      <c r="BF6" s="31">
        <v>29.79</v>
      </c>
      <c r="BG6" s="45">
        <v>115</v>
      </c>
      <c r="BH6" s="36">
        <v>114.9</v>
      </c>
      <c r="BI6" s="35">
        <f>60.76+282.32</f>
        <v>343.08</v>
      </c>
      <c r="BJ6" s="31"/>
      <c r="BK6" s="19">
        <f>SUM(BI6:BJ6)</f>
        <v>343.08</v>
      </c>
      <c r="BL6" s="31">
        <v>87.2</v>
      </c>
      <c r="BM6" s="45">
        <v>348</v>
      </c>
      <c r="BN6" s="36">
        <v>378.6</v>
      </c>
      <c r="BO6" s="35">
        <v>120.01</v>
      </c>
      <c r="BP6" s="31"/>
      <c r="BQ6" s="19">
        <f>SUM(BO6:BP6)</f>
        <v>120.01</v>
      </c>
      <c r="BR6" s="31">
        <v>97.77</v>
      </c>
      <c r="BS6" s="45">
        <v>140</v>
      </c>
      <c r="BT6" s="36">
        <v>114.9</v>
      </c>
      <c r="BU6" s="18">
        <f>C6+G6+M6+S6+Y6+AE6+AK6+AQ6+AW6+BC6+BI6+BO6</f>
        <v>1628.58</v>
      </c>
      <c r="BV6" s="19">
        <f t="shared" si="2"/>
        <v>0</v>
      </c>
      <c r="BW6" s="19">
        <f>SUM(BU6:BV6)</f>
        <v>1628.58</v>
      </c>
      <c r="BX6" s="19">
        <f>SUMIF($C$3:$BT$3,BX$3,$C6:$BT6)</f>
        <v>270.62</v>
      </c>
      <c r="BY6" s="19">
        <f t="shared" si="6"/>
        <v>1767.3885</v>
      </c>
      <c r="BZ6" s="37">
        <f t="shared" si="6"/>
        <v>1736.8000000000002</v>
      </c>
      <c r="CA6" s="24"/>
      <c r="CB6" s="24"/>
    </row>
    <row r="7" spans="1:80">
      <c r="A7" s="2" t="s">
        <v>28</v>
      </c>
      <c r="B7" s="54"/>
      <c r="C7" s="43">
        <f>89.82-39.24</f>
        <v>50.579999999999991</v>
      </c>
      <c r="D7" s="23"/>
      <c r="E7" s="117">
        <f t="shared" si="0"/>
        <v>50.579999999999991</v>
      </c>
      <c r="F7" s="49">
        <f t="shared" si="1"/>
        <v>50.579999999999991</v>
      </c>
      <c r="G7" s="35">
        <f>37.72+27.47-32.48</f>
        <v>32.71</v>
      </c>
      <c r="H7" s="31"/>
      <c r="I7" s="19">
        <f t="shared" si="3"/>
        <v>32.71</v>
      </c>
      <c r="J7" s="31"/>
      <c r="K7" s="31">
        <f>G7</f>
        <v>32.71</v>
      </c>
      <c r="L7" s="36">
        <f>G7</f>
        <v>32.71</v>
      </c>
      <c r="M7" s="35">
        <f>120.12-9.58</f>
        <v>110.54</v>
      </c>
      <c r="N7" s="111"/>
      <c r="O7" s="19">
        <f t="shared" si="4"/>
        <v>110.54</v>
      </c>
      <c r="P7" s="31"/>
      <c r="Q7" s="31">
        <f>M7</f>
        <v>110.54</v>
      </c>
      <c r="R7" s="36">
        <f>M7</f>
        <v>110.54</v>
      </c>
      <c r="S7" s="35">
        <f>10.74+16.25+36.94-32.98</f>
        <v>30.950000000000003</v>
      </c>
      <c r="T7" s="31"/>
      <c r="U7" s="19">
        <f>SUM(S7:T7)</f>
        <v>30.950000000000003</v>
      </c>
      <c r="V7" s="31"/>
      <c r="W7" s="45">
        <f>63.93-32.98</f>
        <v>30.950000000000003</v>
      </c>
      <c r="X7" s="36">
        <f>S7</f>
        <v>30.950000000000003</v>
      </c>
      <c r="Y7" s="35">
        <f>232-34</f>
        <v>198</v>
      </c>
      <c r="Z7" s="31"/>
      <c r="AA7" s="19">
        <f t="shared" si="5"/>
        <v>198</v>
      </c>
      <c r="AB7" s="31"/>
      <c r="AC7" s="45">
        <f>AD7</f>
        <v>198</v>
      </c>
      <c r="AD7" s="36">
        <f>Y7</f>
        <v>198</v>
      </c>
      <c r="AE7" s="35">
        <f>81.62-51.52</f>
        <v>30.1</v>
      </c>
      <c r="AF7" s="31"/>
      <c r="AG7" s="19">
        <f>SUM(AE7:AF7)</f>
        <v>30.1</v>
      </c>
      <c r="AH7" s="31">
        <v>15.27</v>
      </c>
      <c r="AI7" s="45">
        <f>130.19-45</f>
        <v>85.19</v>
      </c>
      <c r="AJ7" s="36">
        <f>AE7</f>
        <v>30.1</v>
      </c>
      <c r="AK7" s="35">
        <f>89.32-36.37</f>
        <v>52.949999999999996</v>
      </c>
      <c r="AL7" s="31"/>
      <c r="AM7" s="19">
        <f>SUM(AK7:AL7)</f>
        <v>52.949999999999996</v>
      </c>
      <c r="AN7" s="31">
        <v>16.079999999999998</v>
      </c>
      <c r="AO7" s="45">
        <f>119.16-36.9</f>
        <v>82.259999999999991</v>
      </c>
      <c r="AP7" s="36">
        <f>89.32-36.37</f>
        <v>52.949999999999996</v>
      </c>
      <c r="AQ7" s="35">
        <f>110.2-35.87</f>
        <v>74.330000000000013</v>
      </c>
      <c r="AR7" s="31"/>
      <c r="AS7" s="19">
        <f>SUM(AQ7:AR7)</f>
        <v>74.330000000000013</v>
      </c>
      <c r="AT7" s="31">
        <v>13.62</v>
      </c>
      <c r="AU7" s="45">
        <f>158.8-35</f>
        <v>123.80000000000001</v>
      </c>
      <c r="AV7" s="36">
        <f>126.7-36.3</f>
        <v>90.4</v>
      </c>
      <c r="AW7" s="35">
        <f>110.23-33.85</f>
        <v>76.38</v>
      </c>
      <c r="AX7" s="31"/>
      <c r="AY7" s="19">
        <f>SUM(AW7:AX7)</f>
        <v>76.38</v>
      </c>
      <c r="AZ7" s="31">
        <v>34.31</v>
      </c>
      <c r="BA7" s="45">
        <f>BA6/1.13-30</f>
        <v>105.39823008849558</v>
      </c>
      <c r="BB7" s="36">
        <f>135.04-29.88</f>
        <v>105.16</v>
      </c>
      <c r="BC7" s="35">
        <f>102.45-33.38</f>
        <v>69.069999999999993</v>
      </c>
      <c r="BD7" s="31"/>
      <c r="BE7" s="19">
        <f>SUM(BC7:BD7)</f>
        <v>69.069999999999993</v>
      </c>
      <c r="BF7" s="31">
        <v>40.880000000000003</v>
      </c>
      <c r="BG7" s="45">
        <f>101.7-32</f>
        <v>69.7</v>
      </c>
      <c r="BH7" s="36">
        <f>101.7-22.4</f>
        <v>79.300000000000011</v>
      </c>
      <c r="BI7" s="35">
        <f>313.57-92</f>
        <v>221.57</v>
      </c>
      <c r="BJ7" s="31"/>
      <c r="BK7" s="19">
        <f>SUM(BI7:BJ7)</f>
        <v>221.57</v>
      </c>
      <c r="BL7" s="31">
        <v>111.75</v>
      </c>
      <c r="BM7" s="45">
        <f>308-51</f>
        <v>257</v>
      </c>
      <c r="BN7" s="36">
        <f>335-75</f>
        <v>260</v>
      </c>
      <c r="BO7" s="35">
        <f>84.48+20.6</f>
        <v>105.08000000000001</v>
      </c>
      <c r="BP7" s="31"/>
      <c r="BQ7" s="19">
        <f>SUM(BO7:BP7)</f>
        <v>105.08000000000001</v>
      </c>
      <c r="BR7" s="31">
        <v>151.13999999999999</v>
      </c>
      <c r="BS7" s="45">
        <f>117.86-27.5</f>
        <v>90.36</v>
      </c>
      <c r="BT7" s="36">
        <f>101.7-22.4+6+9</f>
        <v>94.300000000000011</v>
      </c>
      <c r="BU7" s="18">
        <f>C7+G7+M7+S7+Y7+AE7+AK7+AQ7+AW7+BC7+BI7+BO7</f>
        <v>1052.2599999999998</v>
      </c>
      <c r="BV7" s="19">
        <f t="shared" si="2"/>
        <v>0</v>
      </c>
      <c r="BW7" s="19">
        <f>SUM(BU7:BV7)</f>
        <v>1052.2599999999998</v>
      </c>
      <c r="BX7" s="19">
        <f>SUMIF($C$3:$BT$3,BX$3,$C7:$BT7)</f>
        <v>383.04999999999995</v>
      </c>
      <c r="BY7" s="19">
        <f t="shared" si="6"/>
        <v>1236.4882300884954</v>
      </c>
      <c r="BZ7" s="37">
        <f t="shared" si="6"/>
        <v>1134.99</v>
      </c>
      <c r="CA7" s="24"/>
      <c r="CB7" s="24"/>
    </row>
    <row r="8" spans="1:80" s="74" customFormat="1">
      <c r="A8" s="65" t="s">
        <v>29</v>
      </c>
      <c r="B8" s="66"/>
      <c r="C8" s="67">
        <v>7.32</v>
      </c>
      <c r="D8" s="68"/>
      <c r="E8" s="117">
        <f t="shared" si="0"/>
        <v>7.32</v>
      </c>
      <c r="F8" s="49">
        <f t="shared" si="1"/>
        <v>7.32</v>
      </c>
      <c r="G8" s="69">
        <v>4.67</v>
      </c>
      <c r="H8" s="64"/>
      <c r="I8" s="19">
        <f t="shared" si="3"/>
        <v>4.67</v>
      </c>
      <c r="J8" s="64"/>
      <c r="K8" s="31">
        <f>G8</f>
        <v>4.67</v>
      </c>
      <c r="L8" s="36">
        <f>G8</f>
        <v>4.67</v>
      </c>
      <c r="M8" s="69">
        <v>12.17</v>
      </c>
      <c r="N8" s="112"/>
      <c r="O8" s="19">
        <f t="shared" si="4"/>
        <v>12.17</v>
      </c>
      <c r="P8" s="64"/>
      <c r="Q8" s="31">
        <f>M8</f>
        <v>12.17</v>
      </c>
      <c r="R8" s="36">
        <f>M8</f>
        <v>12.17</v>
      </c>
      <c r="S8" s="69">
        <f>0.36+1+4.18</f>
        <v>5.5399999999999991</v>
      </c>
      <c r="T8" s="64"/>
      <c r="U8" s="70">
        <f>SUM(S8:T8)</f>
        <v>5.5399999999999991</v>
      </c>
      <c r="V8" s="64"/>
      <c r="W8" s="45">
        <v>5.5399999999999991</v>
      </c>
      <c r="X8" s="36">
        <f>S8</f>
        <v>5.5399999999999991</v>
      </c>
      <c r="Y8" s="69">
        <v>23.03</v>
      </c>
      <c r="Z8" s="64"/>
      <c r="AA8" s="19">
        <f t="shared" si="5"/>
        <v>23.03</v>
      </c>
      <c r="AB8" s="64"/>
      <c r="AC8" s="45">
        <f>AD8</f>
        <v>23.03</v>
      </c>
      <c r="AD8" s="36">
        <f>Y8</f>
        <v>23.03</v>
      </c>
      <c r="AE8" s="69">
        <v>6.06</v>
      </c>
      <c r="AF8" s="31"/>
      <c r="AG8" s="70">
        <f>SUM(AE8:AF8)</f>
        <v>6.06</v>
      </c>
      <c r="AH8" s="64">
        <v>0.76</v>
      </c>
      <c r="AI8" s="45">
        <v>8</v>
      </c>
      <c r="AJ8" s="36">
        <f>AE8</f>
        <v>6.06</v>
      </c>
      <c r="AK8" s="69">
        <v>4.5</v>
      </c>
      <c r="AL8" s="64"/>
      <c r="AM8" s="70">
        <f>SUM(AK8:AL8)</f>
        <v>4.5</v>
      </c>
      <c r="AN8" s="64">
        <v>0.8</v>
      </c>
      <c r="AO8" s="72">
        <v>8</v>
      </c>
      <c r="AP8" s="36">
        <f>AK8</f>
        <v>4.5</v>
      </c>
      <c r="AQ8" s="69">
        <v>6.88</v>
      </c>
      <c r="AR8" s="64"/>
      <c r="AS8" s="70">
        <f>SUM(AQ8:AR8)</f>
        <v>6.88</v>
      </c>
      <c r="AT8" s="64">
        <v>0.9</v>
      </c>
      <c r="AU8" s="45">
        <v>12.23</v>
      </c>
      <c r="AV8" s="36">
        <v>12.15</v>
      </c>
      <c r="AW8" s="69">
        <v>6.31</v>
      </c>
      <c r="AX8" s="64"/>
      <c r="AY8" s="70">
        <f>SUM(AW8:AX8)</f>
        <v>6.31</v>
      </c>
      <c r="AZ8" s="64">
        <v>1.48</v>
      </c>
      <c r="BA8" s="45">
        <v>11</v>
      </c>
      <c r="BB8" s="36">
        <v>12.95</v>
      </c>
      <c r="BC8" s="69">
        <v>7.75</v>
      </c>
      <c r="BD8" s="64"/>
      <c r="BE8" s="70">
        <f>SUM(BC8:BD8)</f>
        <v>7.75</v>
      </c>
      <c r="BF8" s="64">
        <v>1.87</v>
      </c>
      <c r="BG8" s="45">
        <v>10</v>
      </c>
      <c r="BH8" s="36">
        <v>9.6999999999999993</v>
      </c>
      <c r="BI8" s="69">
        <v>25.47</v>
      </c>
      <c r="BJ8" s="64"/>
      <c r="BK8" s="70">
        <f>SUM(BI8:BJ8)</f>
        <v>25.47</v>
      </c>
      <c r="BL8" s="64">
        <v>6.72</v>
      </c>
      <c r="BM8" s="45">
        <v>33.5</v>
      </c>
      <c r="BN8" s="36">
        <v>32.24</v>
      </c>
      <c r="BO8" s="69">
        <v>8.17</v>
      </c>
      <c r="BP8" s="64"/>
      <c r="BQ8" s="70">
        <f>SUM(BO8:BP8)</f>
        <v>8.17</v>
      </c>
      <c r="BR8" s="64">
        <v>23.19</v>
      </c>
      <c r="BS8" s="45">
        <v>11.15</v>
      </c>
      <c r="BT8" s="36">
        <v>18</v>
      </c>
      <c r="BU8" s="18">
        <f>C8+G8+M8+S8+Y8+AE8+AK8+AQ8+AW8+BC8+BI8+BO8</f>
        <v>117.87</v>
      </c>
      <c r="BV8" s="19">
        <f t="shared" si="2"/>
        <v>0</v>
      </c>
      <c r="BW8" s="70">
        <f>SUM(BU8:BV8)</f>
        <v>117.87</v>
      </c>
      <c r="BX8" s="70">
        <f>SUMIF($C$3:$BT$3,BX$3,$C8:$BT8)</f>
        <v>35.72</v>
      </c>
      <c r="BY8" s="70">
        <f t="shared" si="6"/>
        <v>146.61000000000001</v>
      </c>
      <c r="BZ8" s="73">
        <f t="shared" si="6"/>
        <v>148.33000000000001</v>
      </c>
      <c r="CA8" s="24"/>
      <c r="CB8" s="24"/>
    </row>
    <row r="9" spans="1:80">
      <c r="A9" s="2" t="s">
        <v>3</v>
      </c>
      <c r="B9" s="54"/>
      <c r="C9" s="18">
        <f>C7-C8</f>
        <v>43.259999999999991</v>
      </c>
      <c r="D9" s="19"/>
      <c r="E9" s="117">
        <f t="shared" si="0"/>
        <v>43.259999999999991</v>
      </c>
      <c r="F9" s="49">
        <f t="shared" si="1"/>
        <v>43.259999999999991</v>
      </c>
      <c r="G9" s="18">
        <f t="shared" ref="G9:BN9" si="7">G7-G8</f>
        <v>28.04</v>
      </c>
      <c r="H9" s="19">
        <f t="shared" si="7"/>
        <v>0</v>
      </c>
      <c r="I9" s="19">
        <f t="shared" si="7"/>
        <v>28.04</v>
      </c>
      <c r="J9" s="19">
        <f t="shared" si="7"/>
        <v>0</v>
      </c>
      <c r="K9" s="19">
        <f t="shared" si="7"/>
        <v>28.04</v>
      </c>
      <c r="L9" s="37">
        <f t="shared" si="7"/>
        <v>28.04</v>
      </c>
      <c r="M9" s="18">
        <f t="shared" si="7"/>
        <v>98.37</v>
      </c>
      <c r="N9" s="19">
        <f t="shared" si="7"/>
        <v>0</v>
      </c>
      <c r="O9" s="19">
        <f t="shared" si="7"/>
        <v>98.37</v>
      </c>
      <c r="P9" s="19">
        <f t="shared" si="7"/>
        <v>0</v>
      </c>
      <c r="Q9" s="19">
        <f t="shared" si="7"/>
        <v>98.37</v>
      </c>
      <c r="R9" s="37">
        <f t="shared" si="7"/>
        <v>98.37</v>
      </c>
      <c r="S9" s="18">
        <f>S7-S8</f>
        <v>25.410000000000004</v>
      </c>
      <c r="T9" s="19">
        <f>T7-T8</f>
        <v>0</v>
      </c>
      <c r="U9" s="19">
        <f t="shared" si="7"/>
        <v>25.410000000000004</v>
      </c>
      <c r="V9" s="19">
        <f t="shared" si="7"/>
        <v>0</v>
      </c>
      <c r="W9" s="45">
        <f t="shared" si="7"/>
        <v>25.410000000000004</v>
      </c>
      <c r="X9" s="37">
        <f t="shared" si="7"/>
        <v>25.410000000000004</v>
      </c>
      <c r="Y9" s="18">
        <f>Y7-Y8</f>
        <v>174.97</v>
      </c>
      <c r="Z9" s="19">
        <f>Z7-Z8</f>
        <v>0</v>
      </c>
      <c r="AA9" s="19">
        <f t="shared" si="7"/>
        <v>174.97</v>
      </c>
      <c r="AB9" s="19">
        <f t="shared" si="7"/>
        <v>0</v>
      </c>
      <c r="AC9" s="45">
        <f t="shared" si="7"/>
        <v>174.97</v>
      </c>
      <c r="AD9" s="37">
        <f t="shared" si="7"/>
        <v>174.97</v>
      </c>
      <c r="AE9" s="18">
        <f>AE7-AE8</f>
        <v>24.040000000000003</v>
      </c>
      <c r="AF9" s="19">
        <f>AF7-AF8</f>
        <v>0</v>
      </c>
      <c r="AG9" s="19">
        <f t="shared" si="7"/>
        <v>24.040000000000003</v>
      </c>
      <c r="AH9" s="19">
        <f t="shared" si="7"/>
        <v>14.51</v>
      </c>
      <c r="AI9" s="45">
        <f t="shared" si="7"/>
        <v>77.19</v>
      </c>
      <c r="AJ9" s="37">
        <f t="shared" si="7"/>
        <v>24.040000000000003</v>
      </c>
      <c r="AK9" s="18">
        <f>AK7-AK8</f>
        <v>48.449999999999996</v>
      </c>
      <c r="AL9" s="19">
        <f>AL7-AL8</f>
        <v>0</v>
      </c>
      <c r="AM9" s="19">
        <f t="shared" si="7"/>
        <v>48.449999999999996</v>
      </c>
      <c r="AN9" s="19">
        <f t="shared" si="7"/>
        <v>15.279999999999998</v>
      </c>
      <c r="AO9" s="45">
        <f t="shared" si="7"/>
        <v>74.259999999999991</v>
      </c>
      <c r="AP9" s="37">
        <f t="shared" si="7"/>
        <v>48.449999999999996</v>
      </c>
      <c r="AQ9" s="18">
        <f>AQ7-AQ8</f>
        <v>67.450000000000017</v>
      </c>
      <c r="AR9" s="19">
        <f>AR7-AR8</f>
        <v>0</v>
      </c>
      <c r="AS9" s="19">
        <f t="shared" si="7"/>
        <v>67.450000000000017</v>
      </c>
      <c r="AT9" s="19">
        <f t="shared" si="7"/>
        <v>12.719999999999999</v>
      </c>
      <c r="AU9" s="45">
        <f t="shared" si="7"/>
        <v>111.57000000000001</v>
      </c>
      <c r="AV9" s="37">
        <f t="shared" si="7"/>
        <v>78.25</v>
      </c>
      <c r="AW9" s="18">
        <f>AW7-AW8</f>
        <v>70.069999999999993</v>
      </c>
      <c r="AX9" s="19">
        <f>AX7-AX8</f>
        <v>0</v>
      </c>
      <c r="AY9" s="19">
        <f t="shared" si="7"/>
        <v>70.069999999999993</v>
      </c>
      <c r="AZ9" s="19">
        <f t="shared" si="7"/>
        <v>32.830000000000005</v>
      </c>
      <c r="BA9" s="45">
        <f t="shared" si="7"/>
        <v>94.398230088495581</v>
      </c>
      <c r="BB9" s="37">
        <f t="shared" si="7"/>
        <v>92.21</v>
      </c>
      <c r="BC9" s="18">
        <f>BC7-BC8</f>
        <v>61.319999999999993</v>
      </c>
      <c r="BD9" s="19">
        <f>BD7-BD8</f>
        <v>0</v>
      </c>
      <c r="BE9" s="19">
        <f t="shared" si="7"/>
        <v>61.319999999999993</v>
      </c>
      <c r="BF9" s="19">
        <f t="shared" si="7"/>
        <v>39.010000000000005</v>
      </c>
      <c r="BG9" s="45">
        <f>BG7-BG8</f>
        <v>59.7</v>
      </c>
      <c r="BH9" s="37">
        <f t="shared" si="7"/>
        <v>69.600000000000009</v>
      </c>
      <c r="BI9" s="18">
        <f>BI7-BI8</f>
        <v>196.1</v>
      </c>
      <c r="BJ9" s="19">
        <f>BJ7-BJ8</f>
        <v>0</v>
      </c>
      <c r="BK9" s="19">
        <f t="shared" si="7"/>
        <v>196.1</v>
      </c>
      <c r="BL9" s="19">
        <f t="shared" si="7"/>
        <v>105.03</v>
      </c>
      <c r="BM9" s="45">
        <f t="shared" si="7"/>
        <v>223.5</v>
      </c>
      <c r="BN9" s="37">
        <f t="shared" si="7"/>
        <v>227.76</v>
      </c>
      <c r="BO9" s="18">
        <f>BO7-BO8</f>
        <v>96.910000000000011</v>
      </c>
      <c r="BP9" s="19">
        <f>BP7-BP8</f>
        <v>0</v>
      </c>
      <c r="BQ9" s="19">
        <f t="shared" ref="BQ9:BZ9" si="8">BQ7-BQ8</f>
        <v>96.910000000000011</v>
      </c>
      <c r="BR9" s="19">
        <f t="shared" si="8"/>
        <v>127.94999999999999</v>
      </c>
      <c r="BS9" s="45">
        <f t="shared" si="8"/>
        <v>79.209999999999994</v>
      </c>
      <c r="BT9" s="37">
        <f t="shared" si="8"/>
        <v>76.300000000000011</v>
      </c>
      <c r="BU9" s="18">
        <f t="shared" si="8"/>
        <v>934.38999999999976</v>
      </c>
      <c r="BV9" s="19">
        <f t="shared" si="2"/>
        <v>0</v>
      </c>
      <c r="BW9" s="19">
        <f t="shared" si="8"/>
        <v>934.38999999999976</v>
      </c>
      <c r="BX9" s="19">
        <f t="shared" si="8"/>
        <v>347.32999999999993</v>
      </c>
      <c r="BY9" s="19">
        <f t="shared" si="8"/>
        <v>1089.8782300884955</v>
      </c>
      <c r="BZ9" s="37">
        <f t="shared" si="8"/>
        <v>986.66</v>
      </c>
      <c r="CA9" s="24"/>
      <c r="CB9" s="24"/>
    </row>
    <row r="10" spans="1:80" s="13" customFormat="1">
      <c r="A10" s="60" t="s">
        <v>4</v>
      </c>
      <c r="B10" s="55"/>
      <c r="C10" s="38">
        <f>IFERROR(C9/C7,"/")</f>
        <v>0.8552787663107948</v>
      </c>
      <c r="D10" s="9" t="str">
        <f t="shared" ref="D10:BN10" si="9">IFERROR(D9/D7,"/")</f>
        <v>/</v>
      </c>
      <c r="E10" s="9">
        <f t="shared" si="9"/>
        <v>0.8552787663107948</v>
      </c>
      <c r="F10" s="10">
        <f t="shared" si="9"/>
        <v>0.8552787663107948</v>
      </c>
      <c r="G10" s="38">
        <f t="shared" si="9"/>
        <v>0.85723020483032708</v>
      </c>
      <c r="H10" s="9" t="str">
        <f t="shared" si="9"/>
        <v>/</v>
      </c>
      <c r="I10" s="9">
        <f t="shared" si="9"/>
        <v>0.85723020483032708</v>
      </c>
      <c r="J10" s="9" t="str">
        <f t="shared" si="9"/>
        <v>/</v>
      </c>
      <c r="K10" s="9">
        <f t="shared" si="9"/>
        <v>0.85723020483032708</v>
      </c>
      <c r="L10" s="10">
        <f t="shared" si="9"/>
        <v>0.85723020483032708</v>
      </c>
      <c r="M10" s="38">
        <f t="shared" si="9"/>
        <v>0.88990410711054824</v>
      </c>
      <c r="N10" s="9" t="str">
        <f t="shared" si="9"/>
        <v>/</v>
      </c>
      <c r="O10" s="9">
        <f t="shared" si="9"/>
        <v>0.88990410711054824</v>
      </c>
      <c r="P10" s="9" t="str">
        <f t="shared" si="9"/>
        <v>/</v>
      </c>
      <c r="Q10" s="9">
        <f t="shared" si="9"/>
        <v>0.88990410711054824</v>
      </c>
      <c r="R10" s="10">
        <f t="shared" si="9"/>
        <v>0.88990410711054824</v>
      </c>
      <c r="S10" s="38">
        <f>IFERROR(S9/S7,"/")</f>
        <v>0.8210016155088854</v>
      </c>
      <c r="T10" s="9" t="str">
        <f>IFERROR(T9/T7,"/")</f>
        <v>/</v>
      </c>
      <c r="U10" s="9">
        <f t="shared" si="9"/>
        <v>0.8210016155088854</v>
      </c>
      <c r="V10" s="9" t="str">
        <f t="shared" si="9"/>
        <v>/</v>
      </c>
      <c r="W10" s="46">
        <f t="shared" si="9"/>
        <v>0.8210016155088854</v>
      </c>
      <c r="X10" s="10">
        <f t="shared" si="9"/>
        <v>0.8210016155088854</v>
      </c>
      <c r="Y10" s="38">
        <f>IFERROR(Y9/Y7,"/")</f>
        <v>0.88368686868686863</v>
      </c>
      <c r="Z10" s="9" t="str">
        <f>IFERROR(Z9/Z7,"/")</f>
        <v>/</v>
      </c>
      <c r="AA10" s="9">
        <f t="shared" si="9"/>
        <v>0.88368686868686863</v>
      </c>
      <c r="AB10" s="9" t="str">
        <f t="shared" si="9"/>
        <v>/</v>
      </c>
      <c r="AC10" s="46">
        <f t="shared" si="9"/>
        <v>0.88368686868686863</v>
      </c>
      <c r="AD10" s="10">
        <f t="shared" si="9"/>
        <v>0.88368686868686863</v>
      </c>
      <c r="AE10" s="38">
        <f>IFERROR(AE9/AE7,"/")</f>
        <v>0.79867109634551503</v>
      </c>
      <c r="AF10" s="9" t="str">
        <f>IFERROR(AF9/AF7,"/")</f>
        <v>/</v>
      </c>
      <c r="AG10" s="9">
        <f t="shared" si="9"/>
        <v>0.79867109634551503</v>
      </c>
      <c r="AH10" s="9">
        <f t="shared" si="9"/>
        <v>0.95022920759659468</v>
      </c>
      <c r="AI10" s="46">
        <f t="shared" si="9"/>
        <v>0.9060922643502759</v>
      </c>
      <c r="AJ10" s="10">
        <f t="shared" si="9"/>
        <v>0.79867109634551503</v>
      </c>
      <c r="AK10" s="38">
        <f>IFERROR(AK9/AK7,"/")</f>
        <v>0.91501416430594895</v>
      </c>
      <c r="AL10" s="9" t="str">
        <f>IFERROR(AL9/AL7,"/")</f>
        <v>/</v>
      </c>
      <c r="AM10" s="9">
        <f t="shared" si="9"/>
        <v>0.91501416430594895</v>
      </c>
      <c r="AN10" s="9">
        <f t="shared" si="9"/>
        <v>0.95024875621890548</v>
      </c>
      <c r="AO10" s="46">
        <f t="shared" si="9"/>
        <v>0.90274738633600782</v>
      </c>
      <c r="AP10" s="10">
        <f t="shared" si="9"/>
        <v>0.91501416430594895</v>
      </c>
      <c r="AQ10" s="38">
        <f>IFERROR(AQ9/AQ7,"/")</f>
        <v>0.90743979550652498</v>
      </c>
      <c r="AR10" s="9" t="str">
        <f>IFERROR(AR9/AR7,"/")</f>
        <v>/</v>
      </c>
      <c r="AS10" s="9">
        <f t="shared" si="9"/>
        <v>0.90743979550652498</v>
      </c>
      <c r="AT10" s="9">
        <f t="shared" si="9"/>
        <v>0.93392070484581491</v>
      </c>
      <c r="AU10" s="46">
        <f t="shared" si="9"/>
        <v>0.90121163166397411</v>
      </c>
      <c r="AV10" s="10">
        <f t="shared" si="9"/>
        <v>0.86559734513274333</v>
      </c>
      <c r="AW10" s="38">
        <f>IFERROR(AW9/AW7,"/")</f>
        <v>0.91738675045823515</v>
      </c>
      <c r="AX10" s="9" t="str">
        <f>IFERROR(AX9/AX7,"/")</f>
        <v>/</v>
      </c>
      <c r="AY10" s="9">
        <f t="shared" si="9"/>
        <v>0.91738675045823515</v>
      </c>
      <c r="AZ10" s="9">
        <f t="shared" si="9"/>
        <v>0.95686388807927725</v>
      </c>
      <c r="BA10" s="46">
        <f t="shared" si="9"/>
        <v>0.89563392107472717</v>
      </c>
      <c r="BB10" s="10">
        <f t="shared" si="9"/>
        <v>0.87685431723088625</v>
      </c>
      <c r="BC10" s="38">
        <f>IFERROR(BC9/BC7,"/")</f>
        <v>0.88779499058925726</v>
      </c>
      <c r="BD10" s="9" t="str">
        <f>IFERROR(BD9/BD7,"/")</f>
        <v>/</v>
      </c>
      <c r="BE10" s="9">
        <f t="shared" si="9"/>
        <v>0.88779499058925726</v>
      </c>
      <c r="BF10" s="9">
        <f t="shared" si="9"/>
        <v>0.95425636007827797</v>
      </c>
      <c r="BG10" s="46">
        <f>IFERROR(BG9/BG7,"/")</f>
        <v>0.85652797704447636</v>
      </c>
      <c r="BH10" s="10">
        <f t="shared" si="9"/>
        <v>0.87767969735182849</v>
      </c>
      <c r="BI10" s="38">
        <f>IFERROR(BI9/BI7,"/")</f>
        <v>0.88504761474928917</v>
      </c>
      <c r="BJ10" s="9" t="str">
        <f>IFERROR(BJ9/BJ7,"/")</f>
        <v>/</v>
      </c>
      <c r="BK10" s="9">
        <f t="shared" si="9"/>
        <v>0.88504761474928917</v>
      </c>
      <c r="BL10" s="9">
        <f t="shared" si="9"/>
        <v>0.93986577181208053</v>
      </c>
      <c r="BM10" s="46">
        <f t="shared" si="9"/>
        <v>0.86964980544747084</v>
      </c>
      <c r="BN10" s="10">
        <f t="shared" si="9"/>
        <v>0.876</v>
      </c>
      <c r="BO10" s="38">
        <f>IFERROR(BO9/BO7,"/")</f>
        <v>0.92224971450323567</v>
      </c>
      <c r="BP10" s="9" t="str">
        <f>IFERROR(BP9/BP7,"/")</f>
        <v>/</v>
      </c>
      <c r="BQ10" s="9">
        <f t="shared" ref="BQ10:BZ10" si="10">IFERROR(BQ9/BQ7,"/")</f>
        <v>0.92224971450323567</v>
      </c>
      <c r="BR10" s="9">
        <f t="shared" si="10"/>
        <v>0.84656609765780066</v>
      </c>
      <c r="BS10" s="46">
        <f t="shared" si="10"/>
        <v>0.8766046923417441</v>
      </c>
      <c r="BT10" s="10">
        <f t="shared" si="10"/>
        <v>0.80911983032873813</v>
      </c>
      <c r="BU10" s="38">
        <f t="shared" si="10"/>
        <v>0.88798395833729304</v>
      </c>
      <c r="BV10" s="9" t="str">
        <f t="shared" si="10"/>
        <v>/</v>
      </c>
      <c r="BW10" s="9">
        <f t="shared" si="10"/>
        <v>0.88798395833729304</v>
      </c>
      <c r="BX10" s="9">
        <f t="shared" si="10"/>
        <v>0.90674846625766858</v>
      </c>
      <c r="BY10" s="9">
        <f t="shared" si="10"/>
        <v>0.8814303311326247</v>
      </c>
      <c r="BZ10" s="10">
        <f t="shared" si="10"/>
        <v>0.8693116238909594</v>
      </c>
      <c r="CA10" s="24"/>
      <c r="CB10" s="24"/>
    </row>
    <row r="11" spans="1:80">
      <c r="A11" s="3" t="s">
        <v>5</v>
      </c>
      <c r="B11" s="56"/>
      <c r="C11" s="20">
        <f>SUM(C12:C28)</f>
        <v>102.80999999999999</v>
      </c>
      <c r="D11" s="21">
        <f t="shared" ref="D11:BN11" si="11">SUM(D12:D28)</f>
        <v>0</v>
      </c>
      <c r="E11" s="21">
        <f t="shared" si="11"/>
        <v>102.80999999999999</v>
      </c>
      <c r="F11" s="39">
        <f t="shared" si="11"/>
        <v>102.80999999999999</v>
      </c>
      <c r="G11" s="20">
        <f t="shared" si="11"/>
        <v>181.54000000000002</v>
      </c>
      <c r="H11" s="21">
        <f t="shared" si="11"/>
        <v>0</v>
      </c>
      <c r="I11" s="21">
        <f t="shared" si="11"/>
        <v>181.54000000000002</v>
      </c>
      <c r="J11" s="21">
        <f t="shared" si="11"/>
        <v>0</v>
      </c>
      <c r="K11" s="21">
        <f t="shared" si="11"/>
        <v>181.54000000000002</v>
      </c>
      <c r="L11" s="39">
        <f t="shared" si="11"/>
        <v>181.54000000000002</v>
      </c>
      <c r="M11" s="20">
        <f t="shared" si="11"/>
        <v>296.56</v>
      </c>
      <c r="N11" s="21">
        <f t="shared" si="11"/>
        <v>0</v>
      </c>
      <c r="O11" s="21">
        <f t="shared" si="11"/>
        <v>296.56</v>
      </c>
      <c r="P11" s="21">
        <f t="shared" si="11"/>
        <v>0</v>
      </c>
      <c r="Q11" s="21">
        <f t="shared" si="11"/>
        <v>296.56</v>
      </c>
      <c r="R11" s="39">
        <f t="shared" si="11"/>
        <v>296.56</v>
      </c>
      <c r="S11" s="20">
        <f>SUM(S12:S28)</f>
        <v>155.43</v>
      </c>
      <c r="T11" s="21">
        <f>SUM(T12:T28)</f>
        <v>0</v>
      </c>
      <c r="U11" s="21">
        <f t="shared" si="11"/>
        <v>155.43</v>
      </c>
      <c r="V11" s="21">
        <f t="shared" si="11"/>
        <v>0</v>
      </c>
      <c r="W11" s="45">
        <f t="shared" si="11"/>
        <v>196.31299999999999</v>
      </c>
      <c r="X11" s="39">
        <f t="shared" si="11"/>
        <v>155.43</v>
      </c>
      <c r="Y11" s="20">
        <f>SUM(Y12:Y28)</f>
        <v>194.32000000000002</v>
      </c>
      <c r="Z11" s="21">
        <f>SUM(Z12:Z28)</f>
        <v>0</v>
      </c>
      <c r="AA11" s="21">
        <f t="shared" si="11"/>
        <v>194.32000000000002</v>
      </c>
      <c r="AB11" s="21">
        <f t="shared" si="11"/>
        <v>0</v>
      </c>
      <c r="AC11" s="45">
        <f t="shared" si="11"/>
        <v>362.65</v>
      </c>
      <c r="AD11" s="39">
        <f t="shared" si="11"/>
        <v>194.32000000000002</v>
      </c>
      <c r="AE11" s="20">
        <f>SUM(AE12:AE28)</f>
        <v>248.31</v>
      </c>
      <c r="AF11" s="21">
        <f>SUM(AF12:AF28)</f>
        <v>0</v>
      </c>
      <c r="AG11" s="21">
        <f t="shared" si="11"/>
        <v>248.31</v>
      </c>
      <c r="AH11" s="21">
        <f t="shared" si="11"/>
        <v>10.36</v>
      </c>
      <c r="AI11" s="45">
        <f t="shared" si="11"/>
        <v>207.5</v>
      </c>
      <c r="AJ11" s="39">
        <f t="shared" si="11"/>
        <v>248.31</v>
      </c>
      <c r="AK11" s="20">
        <f>SUM(AK12:AK28)</f>
        <v>124</v>
      </c>
      <c r="AL11" s="21">
        <f>SUM(AL12:AL28)</f>
        <v>0</v>
      </c>
      <c r="AM11" s="21">
        <f t="shared" si="11"/>
        <v>124</v>
      </c>
      <c r="AN11" s="21">
        <f t="shared" si="11"/>
        <v>38.42</v>
      </c>
      <c r="AO11" s="45">
        <f t="shared" si="11"/>
        <v>214.226</v>
      </c>
      <c r="AP11" s="39">
        <f t="shared" si="11"/>
        <v>124</v>
      </c>
      <c r="AQ11" s="20">
        <f>SUM(AQ12:AQ28)</f>
        <v>257.66000000000003</v>
      </c>
      <c r="AR11" s="21">
        <f>SUM(AR12:AR28)</f>
        <v>0</v>
      </c>
      <c r="AS11" s="21">
        <f t="shared" si="11"/>
        <v>257.66000000000003</v>
      </c>
      <c r="AT11" s="21">
        <f t="shared" si="11"/>
        <v>31.94</v>
      </c>
      <c r="AU11" s="45">
        <f t="shared" si="11"/>
        <v>201.1</v>
      </c>
      <c r="AV11" s="39">
        <f t="shared" si="11"/>
        <v>192.10000000000002</v>
      </c>
      <c r="AW11" s="20">
        <f>SUM(AW12:AW28)</f>
        <v>244.57</v>
      </c>
      <c r="AX11" s="21">
        <f>SUM(AX12:AX28)</f>
        <v>0</v>
      </c>
      <c r="AY11" s="21">
        <f t="shared" si="11"/>
        <v>244.57</v>
      </c>
      <c r="AZ11" s="21">
        <f t="shared" si="11"/>
        <v>111.41</v>
      </c>
      <c r="BA11" s="45">
        <f t="shared" si="11"/>
        <v>164.5</v>
      </c>
      <c r="BB11" s="39">
        <f t="shared" si="11"/>
        <v>164.12</v>
      </c>
      <c r="BC11" s="20">
        <f>SUM(BC12:BC28)</f>
        <v>203.43</v>
      </c>
      <c r="BD11" s="21">
        <f>SUM(BD12:BD28)</f>
        <v>0</v>
      </c>
      <c r="BE11" s="21">
        <f t="shared" si="11"/>
        <v>203.43</v>
      </c>
      <c r="BF11" s="21">
        <f t="shared" si="11"/>
        <v>134.11000000000001</v>
      </c>
      <c r="BG11" s="45">
        <f t="shared" si="11"/>
        <v>168</v>
      </c>
      <c r="BH11" s="39">
        <f t="shared" si="11"/>
        <v>168.1</v>
      </c>
      <c r="BI11" s="20">
        <f>SUM(BI12:BI28)</f>
        <v>156.82</v>
      </c>
      <c r="BJ11" s="21">
        <f>SUM(BJ12:BJ28)</f>
        <v>0</v>
      </c>
      <c r="BK11" s="21">
        <f t="shared" si="11"/>
        <v>156.82</v>
      </c>
      <c r="BL11" s="21">
        <f t="shared" si="11"/>
        <v>104.99000000000001</v>
      </c>
      <c r="BM11" s="45">
        <f t="shared" si="11"/>
        <v>230.5</v>
      </c>
      <c r="BN11" s="39">
        <f t="shared" si="11"/>
        <v>233.5</v>
      </c>
      <c r="BO11" s="20">
        <f>SUM(BO12:BO28)</f>
        <v>252.76999999999998</v>
      </c>
      <c r="BP11" s="21">
        <f>SUM(BP12:BP28)</f>
        <v>0</v>
      </c>
      <c r="BQ11" s="21">
        <f t="shared" ref="BQ11:BZ11" si="12">SUM(BQ12:BQ28)</f>
        <v>252.76999999999998</v>
      </c>
      <c r="BR11" s="21">
        <f t="shared" si="12"/>
        <v>176.04</v>
      </c>
      <c r="BS11" s="45">
        <f t="shared" si="12"/>
        <v>272</v>
      </c>
      <c r="BT11" s="39">
        <f t="shared" si="12"/>
        <v>295.60000000000002</v>
      </c>
      <c r="BU11" s="20">
        <f t="shared" si="12"/>
        <v>2418.2200000000003</v>
      </c>
      <c r="BV11" s="21">
        <f t="shared" si="12"/>
        <v>0</v>
      </c>
      <c r="BW11" s="21">
        <f t="shared" si="12"/>
        <v>2418.2200000000003</v>
      </c>
      <c r="BX11" s="21">
        <f t="shared" si="12"/>
        <v>607.27</v>
      </c>
      <c r="BY11" s="21">
        <f t="shared" si="12"/>
        <v>2597.6990000000001</v>
      </c>
      <c r="BZ11" s="39">
        <f t="shared" si="12"/>
        <v>2356.39</v>
      </c>
      <c r="CA11" s="24"/>
      <c r="CB11" s="24"/>
    </row>
    <row r="12" spans="1:80" outlineLevel="1">
      <c r="A12" s="4" t="s">
        <v>61</v>
      </c>
      <c r="B12" s="57" t="s">
        <v>20</v>
      </c>
      <c r="C12" s="43">
        <v>0</v>
      </c>
      <c r="D12" s="23"/>
      <c r="E12" s="117"/>
      <c r="F12" s="49">
        <v>0</v>
      </c>
      <c r="G12" s="35"/>
      <c r="H12" s="31"/>
      <c r="I12" s="19">
        <f t="shared" ref="I12:I28" si="13">G12</f>
        <v>0</v>
      </c>
      <c r="J12" s="31"/>
      <c r="K12" s="31"/>
      <c r="L12" s="36"/>
      <c r="M12" s="35"/>
      <c r="N12" s="31"/>
      <c r="O12" s="19">
        <f t="shared" ref="O12:O28" si="14">M12</f>
        <v>0</v>
      </c>
      <c r="P12" s="31"/>
      <c r="Q12" s="31"/>
      <c r="R12" s="36"/>
      <c r="S12" s="35"/>
      <c r="T12" s="31"/>
      <c r="U12" s="19">
        <f t="shared" ref="U12:U28" si="15">SUM(S12:T12)</f>
        <v>0</v>
      </c>
      <c r="V12" s="31"/>
      <c r="W12" s="45"/>
      <c r="X12" s="36"/>
      <c r="Y12" s="35"/>
      <c r="Z12" s="31"/>
      <c r="AA12" s="19">
        <f t="shared" ref="AA12:AA28" si="16">Y12</f>
        <v>0</v>
      </c>
      <c r="AB12" s="31"/>
      <c r="AC12" s="45"/>
      <c r="AD12" s="36"/>
      <c r="AE12" s="35"/>
      <c r="AF12" s="31"/>
      <c r="AG12" s="19">
        <f>AE12</f>
        <v>0</v>
      </c>
      <c r="AH12" s="31"/>
      <c r="AI12" s="45"/>
      <c r="AJ12" s="36"/>
      <c r="AK12" s="35"/>
      <c r="AL12" s="31"/>
      <c r="AM12" s="19">
        <f t="shared" ref="AM12:AM28" si="17">SUM(AK12:AL12)</f>
        <v>0</v>
      </c>
      <c r="AN12" s="31"/>
      <c r="AO12" s="45"/>
      <c r="AP12" s="36"/>
      <c r="AQ12" s="35"/>
      <c r="AR12" s="31"/>
      <c r="AS12" s="19">
        <f t="shared" ref="AS12:AS28" si="18">SUM(AQ12:AR12)</f>
        <v>0</v>
      </c>
      <c r="AT12" s="31"/>
      <c r="AU12" s="45"/>
      <c r="AV12" s="36"/>
      <c r="AW12" s="35"/>
      <c r="AX12" s="31"/>
      <c r="AY12" s="19"/>
      <c r="AZ12" s="31"/>
      <c r="BA12" s="45"/>
      <c r="BB12" s="36"/>
      <c r="BC12" s="35"/>
      <c r="BD12" s="31"/>
      <c r="BE12" s="19">
        <f t="shared" ref="BE12:BE28" si="19">SUM(BC12:BD12)</f>
        <v>0</v>
      </c>
      <c r="BF12" s="31"/>
      <c r="BG12" s="45"/>
      <c r="BH12" s="36"/>
      <c r="BI12" s="35"/>
      <c r="BJ12" s="31"/>
      <c r="BK12" s="19">
        <f t="shared" ref="BK12:BK28" si="20">SUM(BI12:BJ12)</f>
        <v>0</v>
      </c>
      <c r="BL12" s="31"/>
      <c r="BM12" s="45"/>
      <c r="BN12" s="36"/>
      <c r="BO12" s="35"/>
      <c r="BP12" s="31"/>
      <c r="BQ12" s="19">
        <f t="shared" ref="BQ12:BQ28" si="21">SUM(BO12:BP12)</f>
        <v>0</v>
      </c>
      <c r="BR12" s="31"/>
      <c r="BS12" s="45"/>
      <c r="BT12" s="36"/>
      <c r="BU12" s="18">
        <f t="shared" ref="BU12:BU28" si="22">C12+G12+M12+S12+Y12+AE12+AK12+AQ12+AW12+BC12+BI12+BO12</f>
        <v>0</v>
      </c>
      <c r="BV12" s="19">
        <f t="shared" ref="BV12:BV28" si="23">BP12+BJ12</f>
        <v>0</v>
      </c>
      <c r="BW12" s="19">
        <f t="shared" ref="BW12:BW28" si="24">SUM(BU12:BV12)</f>
        <v>0</v>
      </c>
      <c r="BX12" s="19">
        <f t="shared" ref="BX12:BZ28" si="25">SUMIF($C$3:$BT$3,BX$3,$C12:$BT12)</f>
        <v>0</v>
      </c>
      <c r="BY12" s="19">
        <f t="shared" si="25"/>
        <v>0</v>
      </c>
      <c r="BZ12" s="37">
        <f t="shared" si="25"/>
        <v>0</v>
      </c>
      <c r="CA12" s="24"/>
      <c r="CB12" s="24"/>
    </row>
    <row r="13" spans="1:80" outlineLevel="1">
      <c r="A13" s="4" t="s">
        <v>34</v>
      </c>
      <c r="B13" s="57" t="s">
        <v>13</v>
      </c>
      <c r="C13" s="43"/>
      <c r="D13" s="23"/>
      <c r="E13" s="117"/>
      <c r="F13" s="49"/>
      <c r="G13" s="35"/>
      <c r="H13" s="31"/>
      <c r="I13" s="19">
        <f t="shared" si="13"/>
        <v>0</v>
      </c>
      <c r="J13" s="31"/>
      <c r="K13" s="31"/>
      <c r="L13" s="36"/>
      <c r="M13" s="35"/>
      <c r="N13" s="31"/>
      <c r="O13" s="19">
        <f t="shared" si="14"/>
        <v>0</v>
      </c>
      <c r="P13" s="31"/>
      <c r="Q13" s="31"/>
      <c r="R13" s="36"/>
      <c r="S13" s="35"/>
      <c r="T13" s="31"/>
      <c r="U13" s="19">
        <f t="shared" si="15"/>
        <v>0</v>
      </c>
      <c r="V13" s="31"/>
      <c r="W13" s="45"/>
      <c r="X13" s="36"/>
      <c r="Y13" s="35"/>
      <c r="Z13" s="31"/>
      <c r="AA13" s="19">
        <f t="shared" si="16"/>
        <v>0</v>
      </c>
      <c r="AB13" s="31"/>
      <c r="AC13" s="45"/>
      <c r="AD13" s="36"/>
      <c r="AE13" s="35"/>
      <c r="AF13" s="31"/>
      <c r="AG13" s="19">
        <f t="shared" ref="AG13:AG28" si="26">AE13</f>
        <v>0</v>
      </c>
      <c r="AH13" s="31"/>
      <c r="AI13" s="45"/>
      <c r="AJ13" s="36"/>
      <c r="AK13" s="35"/>
      <c r="AL13" s="31"/>
      <c r="AM13" s="19">
        <f t="shared" si="17"/>
        <v>0</v>
      </c>
      <c r="AN13" s="31"/>
      <c r="AO13" s="45"/>
      <c r="AP13" s="36"/>
      <c r="AQ13" s="35"/>
      <c r="AR13" s="31"/>
      <c r="AS13" s="19">
        <f t="shared" si="18"/>
        <v>0</v>
      </c>
      <c r="AT13" s="31"/>
      <c r="AU13" s="45"/>
      <c r="AV13" s="36"/>
      <c r="AW13" s="35"/>
      <c r="AX13" s="31"/>
      <c r="AY13" s="19"/>
      <c r="AZ13" s="31"/>
      <c r="BA13" s="45"/>
      <c r="BB13" s="36"/>
      <c r="BC13" s="35"/>
      <c r="BD13" s="31"/>
      <c r="BE13" s="19">
        <f t="shared" si="19"/>
        <v>0</v>
      </c>
      <c r="BF13" s="31"/>
      <c r="BG13" s="45"/>
      <c r="BH13" s="36"/>
      <c r="BI13" s="35"/>
      <c r="BJ13" s="31"/>
      <c r="BK13" s="19">
        <f t="shared" si="20"/>
        <v>0</v>
      </c>
      <c r="BL13" s="31"/>
      <c r="BM13" s="45"/>
      <c r="BN13" s="36"/>
      <c r="BO13" s="35"/>
      <c r="BP13" s="31"/>
      <c r="BQ13" s="19">
        <f t="shared" si="21"/>
        <v>0</v>
      </c>
      <c r="BR13" s="31"/>
      <c r="BS13" s="45"/>
      <c r="BT13" s="36"/>
      <c r="BU13" s="18">
        <f t="shared" si="22"/>
        <v>0</v>
      </c>
      <c r="BV13" s="19">
        <f t="shared" si="23"/>
        <v>0</v>
      </c>
      <c r="BW13" s="19">
        <f t="shared" si="24"/>
        <v>0</v>
      </c>
      <c r="BX13" s="19">
        <f t="shared" si="25"/>
        <v>0</v>
      </c>
      <c r="BY13" s="19">
        <f t="shared" si="25"/>
        <v>0</v>
      </c>
      <c r="BZ13" s="37">
        <f t="shared" si="25"/>
        <v>0</v>
      </c>
      <c r="CA13" s="24"/>
      <c r="CB13" s="24"/>
    </row>
    <row r="14" spans="1:80" outlineLevel="1">
      <c r="A14" s="4" t="s">
        <v>35</v>
      </c>
      <c r="B14" s="58" t="s">
        <v>9</v>
      </c>
      <c r="C14" s="43">
        <v>0.06</v>
      </c>
      <c r="D14" s="23"/>
      <c r="E14" s="117">
        <f>C14</f>
        <v>0.06</v>
      </c>
      <c r="F14" s="49">
        <f>C14</f>
        <v>0.06</v>
      </c>
      <c r="G14" s="35">
        <v>0.72</v>
      </c>
      <c r="H14" s="31"/>
      <c r="I14" s="19">
        <f t="shared" si="13"/>
        <v>0.72</v>
      </c>
      <c r="J14" s="31"/>
      <c r="K14" s="31">
        <f>G14</f>
        <v>0.72</v>
      </c>
      <c r="L14" s="36">
        <f>G14</f>
        <v>0.72</v>
      </c>
      <c r="M14" s="35">
        <v>3.1</v>
      </c>
      <c r="N14" s="31"/>
      <c r="O14" s="19">
        <f t="shared" si="14"/>
        <v>3.1</v>
      </c>
      <c r="P14" s="31"/>
      <c r="Q14" s="31">
        <f>M14</f>
        <v>3.1</v>
      </c>
      <c r="R14" s="36">
        <f>M14</f>
        <v>3.1</v>
      </c>
      <c r="S14" s="35">
        <v>1.3</v>
      </c>
      <c r="T14" s="31"/>
      <c r="U14" s="19">
        <f t="shared" si="15"/>
        <v>1.3</v>
      </c>
      <c r="V14" s="31"/>
      <c r="W14" s="45"/>
      <c r="X14" s="36">
        <f>S14</f>
        <v>1.3</v>
      </c>
      <c r="Y14" s="35"/>
      <c r="Z14" s="31"/>
      <c r="AA14" s="19">
        <f t="shared" si="16"/>
        <v>0</v>
      </c>
      <c r="AB14" s="31"/>
      <c r="AC14" s="45"/>
      <c r="AD14" s="36"/>
      <c r="AE14" s="35"/>
      <c r="AF14" s="31"/>
      <c r="AG14" s="19">
        <f t="shared" si="26"/>
        <v>0</v>
      </c>
      <c r="AH14" s="31"/>
      <c r="AI14" s="45"/>
      <c r="AJ14" s="36"/>
      <c r="AK14" s="35"/>
      <c r="AL14" s="31"/>
      <c r="AM14" s="19">
        <f t="shared" si="17"/>
        <v>0</v>
      </c>
      <c r="AN14" s="31"/>
      <c r="AO14" s="45"/>
      <c r="AP14" s="36"/>
      <c r="AQ14" s="35">
        <v>0.45</v>
      </c>
      <c r="AR14" s="31"/>
      <c r="AS14" s="19">
        <f t="shared" si="18"/>
        <v>0.45</v>
      </c>
      <c r="AT14" s="31"/>
      <c r="AU14" s="45"/>
      <c r="AV14" s="36"/>
      <c r="AW14" s="35"/>
      <c r="AX14" s="31"/>
      <c r="AY14" s="19"/>
      <c r="AZ14" s="31"/>
      <c r="BA14" s="45"/>
      <c r="BB14" s="36"/>
      <c r="BC14" s="35">
        <f>0.6+15.68</f>
        <v>16.28</v>
      </c>
      <c r="BD14" s="31"/>
      <c r="BE14" s="19">
        <f t="shared" si="19"/>
        <v>16.28</v>
      </c>
      <c r="BF14" s="31"/>
      <c r="BG14" s="45"/>
      <c r="BH14" s="36"/>
      <c r="BI14" s="35">
        <f>1.8-1.7</f>
        <v>0.10000000000000009</v>
      </c>
      <c r="BJ14" s="31"/>
      <c r="BK14" s="19">
        <f t="shared" si="20"/>
        <v>0.10000000000000009</v>
      </c>
      <c r="BL14" s="31"/>
      <c r="BM14" s="45"/>
      <c r="BN14" s="36"/>
      <c r="BO14" s="35"/>
      <c r="BP14" s="31"/>
      <c r="BQ14" s="19">
        <f t="shared" si="21"/>
        <v>0</v>
      </c>
      <c r="BR14" s="31"/>
      <c r="BS14" s="45"/>
      <c r="BT14" s="36"/>
      <c r="BU14" s="18">
        <f t="shared" si="22"/>
        <v>22.01</v>
      </c>
      <c r="BV14" s="19">
        <f t="shared" si="23"/>
        <v>0</v>
      </c>
      <c r="BW14" s="19">
        <f t="shared" si="24"/>
        <v>22.01</v>
      </c>
      <c r="BX14" s="19">
        <f t="shared" si="25"/>
        <v>0</v>
      </c>
      <c r="BY14" s="19">
        <f t="shared" si="25"/>
        <v>3.88</v>
      </c>
      <c r="BZ14" s="37">
        <f t="shared" si="25"/>
        <v>5.18</v>
      </c>
      <c r="CA14" s="24"/>
      <c r="CB14" s="24"/>
    </row>
    <row r="15" spans="1:80" s="93" customFormat="1" outlineLevel="1">
      <c r="A15" s="99" t="s">
        <v>36</v>
      </c>
      <c r="B15" s="109" t="s">
        <v>14</v>
      </c>
      <c r="C15" s="87">
        <v>2.41</v>
      </c>
      <c r="D15" s="88"/>
      <c r="E15" s="117">
        <f t="shared" ref="E15:E26" si="27">C15</f>
        <v>2.41</v>
      </c>
      <c r="F15" s="49">
        <f t="shared" ref="F15:F24" si="28">C15</f>
        <v>2.41</v>
      </c>
      <c r="G15" s="101"/>
      <c r="H15" s="102"/>
      <c r="I15" s="19">
        <f t="shared" si="13"/>
        <v>0</v>
      </c>
      <c r="J15" s="102"/>
      <c r="K15" s="31">
        <f t="shared" ref="K15:K24" si="29">G15</f>
        <v>0</v>
      </c>
      <c r="L15" s="36">
        <f t="shared" ref="L15:L22" si="30">G15</f>
        <v>0</v>
      </c>
      <c r="M15" s="101">
        <v>2.16</v>
      </c>
      <c r="N15" s="31"/>
      <c r="O15" s="19">
        <f t="shared" si="14"/>
        <v>2.16</v>
      </c>
      <c r="P15" s="102"/>
      <c r="Q15" s="31">
        <f t="shared" ref="Q15:Q24" si="31">M15</f>
        <v>2.16</v>
      </c>
      <c r="R15" s="36">
        <f t="shared" ref="R15:R24" si="32">M15</f>
        <v>2.16</v>
      </c>
      <c r="S15" s="101">
        <v>2</v>
      </c>
      <c r="T15" s="102"/>
      <c r="U15" s="90">
        <f t="shared" si="15"/>
        <v>2</v>
      </c>
      <c r="V15" s="102"/>
      <c r="W15" s="104">
        <v>2</v>
      </c>
      <c r="X15" s="36">
        <f t="shared" ref="X15:X28" si="33">S15</f>
        <v>2</v>
      </c>
      <c r="Y15" s="101">
        <v>4</v>
      </c>
      <c r="Z15" s="102"/>
      <c r="AA15" s="19">
        <f t="shared" si="16"/>
        <v>4</v>
      </c>
      <c r="AB15" s="102"/>
      <c r="AC15" s="104">
        <v>2</v>
      </c>
      <c r="AD15" s="103">
        <f>Y15</f>
        <v>4</v>
      </c>
      <c r="AE15" s="101">
        <v>1.52</v>
      </c>
      <c r="AF15" s="102"/>
      <c r="AG15" s="19">
        <f t="shared" si="26"/>
        <v>1.52</v>
      </c>
      <c r="AH15" s="102">
        <v>0.39</v>
      </c>
      <c r="AI15" s="104">
        <v>2</v>
      </c>
      <c r="AJ15" s="103">
        <f>AE15</f>
        <v>1.52</v>
      </c>
      <c r="AK15" s="101">
        <v>-0.4</v>
      </c>
      <c r="AL15" s="102"/>
      <c r="AM15" s="90">
        <f t="shared" si="17"/>
        <v>-0.4</v>
      </c>
      <c r="AN15" s="102">
        <v>0.02</v>
      </c>
      <c r="AO15" s="104">
        <v>2</v>
      </c>
      <c r="AP15" s="103">
        <f>AK15</f>
        <v>-0.4</v>
      </c>
      <c r="AQ15" s="101">
        <v>1.35</v>
      </c>
      <c r="AR15" s="102"/>
      <c r="AS15" s="90">
        <f t="shared" si="18"/>
        <v>1.35</v>
      </c>
      <c r="AT15" s="102">
        <v>0.4</v>
      </c>
      <c r="AU15" s="104">
        <v>2</v>
      </c>
      <c r="AV15" s="103">
        <v>1.5</v>
      </c>
      <c r="AW15" s="101">
        <v>1.21</v>
      </c>
      <c r="AX15" s="102"/>
      <c r="AY15" s="90">
        <f>AX15+AW15</f>
        <v>1.21</v>
      </c>
      <c r="AZ15" s="102">
        <v>9.0399999999999991</v>
      </c>
      <c r="BA15" s="104">
        <v>2</v>
      </c>
      <c r="BB15" s="103">
        <v>1.5</v>
      </c>
      <c r="BC15" s="101"/>
      <c r="BD15" s="102"/>
      <c r="BE15" s="90">
        <f t="shared" si="19"/>
        <v>0</v>
      </c>
      <c r="BF15" s="102"/>
      <c r="BG15" s="104">
        <v>2</v>
      </c>
      <c r="BH15" s="103">
        <v>1.5</v>
      </c>
      <c r="BI15" s="101">
        <v>0.55000000000000004</v>
      </c>
      <c r="BJ15" s="102"/>
      <c r="BK15" s="19">
        <f t="shared" si="20"/>
        <v>0.55000000000000004</v>
      </c>
      <c r="BL15" s="102">
        <v>0.77</v>
      </c>
      <c r="BM15" s="104">
        <v>2</v>
      </c>
      <c r="BN15" s="103">
        <v>1.5</v>
      </c>
      <c r="BO15" s="101">
        <v>1.1299999999999999</v>
      </c>
      <c r="BP15" s="102"/>
      <c r="BQ15" s="19">
        <f t="shared" si="21"/>
        <v>1.1299999999999999</v>
      </c>
      <c r="BR15" s="102">
        <v>0.35</v>
      </c>
      <c r="BS15" s="104">
        <v>1</v>
      </c>
      <c r="BT15" s="103">
        <v>1.5</v>
      </c>
      <c r="BU15" s="18">
        <f t="shared" si="22"/>
        <v>15.93</v>
      </c>
      <c r="BV15" s="19">
        <f t="shared" si="23"/>
        <v>0</v>
      </c>
      <c r="BW15" s="90">
        <f t="shared" si="24"/>
        <v>15.93</v>
      </c>
      <c r="BX15" s="90">
        <f t="shared" si="25"/>
        <v>10.969999999999999</v>
      </c>
      <c r="BY15" s="90">
        <f t="shared" si="25"/>
        <v>21.57</v>
      </c>
      <c r="BZ15" s="92">
        <f t="shared" si="25"/>
        <v>19.189999999999998</v>
      </c>
      <c r="CA15" s="24"/>
      <c r="CB15" s="24"/>
    </row>
    <row r="16" spans="1:80" outlineLevel="1">
      <c r="A16" s="4" t="s">
        <v>37</v>
      </c>
      <c r="B16" s="58" t="s">
        <v>22</v>
      </c>
      <c r="C16" s="43">
        <v>0</v>
      </c>
      <c r="D16" s="23"/>
      <c r="E16" s="117">
        <f t="shared" si="27"/>
        <v>0</v>
      </c>
      <c r="F16" s="49">
        <f t="shared" si="28"/>
        <v>0</v>
      </c>
      <c r="G16" s="35"/>
      <c r="H16" s="31"/>
      <c r="I16" s="19">
        <f t="shared" si="13"/>
        <v>0</v>
      </c>
      <c r="J16" s="31"/>
      <c r="K16" s="31">
        <f t="shared" si="29"/>
        <v>0</v>
      </c>
      <c r="L16" s="36">
        <f t="shared" si="30"/>
        <v>0</v>
      </c>
      <c r="M16" s="35"/>
      <c r="N16" s="31"/>
      <c r="O16" s="19">
        <f t="shared" si="14"/>
        <v>0</v>
      </c>
      <c r="P16" s="31"/>
      <c r="Q16" s="31">
        <f t="shared" si="31"/>
        <v>0</v>
      </c>
      <c r="R16" s="36">
        <f t="shared" si="32"/>
        <v>0</v>
      </c>
      <c r="S16" s="35"/>
      <c r="T16" s="102"/>
      <c r="U16" s="19">
        <f t="shared" si="15"/>
        <v>0</v>
      </c>
      <c r="V16" s="31"/>
      <c r="W16" s="45"/>
      <c r="X16" s="36">
        <f t="shared" si="33"/>
        <v>0</v>
      </c>
      <c r="Y16" s="35"/>
      <c r="Z16" s="31"/>
      <c r="AA16" s="19">
        <f t="shared" si="16"/>
        <v>0</v>
      </c>
      <c r="AB16" s="31"/>
      <c r="AC16" s="104"/>
      <c r="AD16" s="103">
        <f t="shared" ref="AD16:AD28" si="34">Y16</f>
        <v>0</v>
      </c>
      <c r="AE16" s="35"/>
      <c r="AF16" s="31"/>
      <c r="AG16" s="19">
        <f t="shared" si="26"/>
        <v>0</v>
      </c>
      <c r="AH16" s="31"/>
      <c r="AI16" s="45"/>
      <c r="AJ16" s="103">
        <f t="shared" ref="AJ16:AJ28" si="35">AE16</f>
        <v>0</v>
      </c>
      <c r="AK16" s="35"/>
      <c r="AL16" s="31"/>
      <c r="AM16" s="19">
        <f t="shared" si="17"/>
        <v>0</v>
      </c>
      <c r="AN16" s="31"/>
      <c r="AO16" s="45"/>
      <c r="AP16" s="103">
        <f t="shared" ref="AP16:AP28" si="36">AK16</f>
        <v>0</v>
      </c>
      <c r="AQ16" s="35"/>
      <c r="AR16" s="31"/>
      <c r="AS16" s="19">
        <f t="shared" si="18"/>
        <v>0</v>
      </c>
      <c r="AT16" s="31"/>
      <c r="AU16" s="45"/>
      <c r="AV16" s="36"/>
      <c r="AW16" s="35"/>
      <c r="AX16" s="31"/>
      <c r="AY16" s="90">
        <f t="shared" ref="AY16:AY28" si="37">AX16+AW16</f>
        <v>0</v>
      </c>
      <c r="AZ16" s="31"/>
      <c r="BA16" s="45"/>
      <c r="BB16" s="36"/>
      <c r="BC16" s="35"/>
      <c r="BD16" s="31"/>
      <c r="BE16" s="19">
        <f t="shared" si="19"/>
        <v>0</v>
      </c>
      <c r="BF16" s="31"/>
      <c r="BG16" s="45"/>
      <c r="BH16" s="36"/>
      <c r="BI16" s="35"/>
      <c r="BJ16" s="31"/>
      <c r="BK16" s="19">
        <f t="shared" si="20"/>
        <v>0</v>
      </c>
      <c r="BL16" s="31"/>
      <c r="BM16" s="45"/>
      <c r="BN16" s="103"/>
      <c r="BO16" s="35"/>
      <c r="BP16" s="102"/>
      <c r="BQ16" s="19">
        <f t="shared" si="21"/>
        <v>0</v>
      </c>
      <c r="BR16" s="31"/>
      <c r="BS16" s="45"/>
      <c r="BT16" s="36"/>
      <c r="BU16" s="18">
        <f t="shared" si="22"/>
        <v>0</v>
      </c>
      <c r="BV16" s="19">
        <f t="shared" si="23"/>
        <v>0</v>
      </c>
      <c r="BW16" s="19">
        <f t="shared" si="24"/>
        <v>0</v>
      </c>
      <c r="BX16" s="19">
        <f t="shared" si="25"/>
        <v>0</v>
      </c>
      <c r="BY16" s="19">
        <f t="shared" si="25"/>
        <v>0</v>
      </c>
      <c r="BZ16" s="37">
        <f t="shared" si="25"/>
        <v>0</v>
      </c>
      <c r="CA16" s="24"/>
      <c r="CB16" s="24"/>
    </row>
    <row r="17" spans="1:80" outlineLevel="1">
      <c r="A17" s="4" t="s">
        <v>38</v>
      </c>
      <c r="B17" s="58" t="s">
        <v>23</v>
      </c>
      <c r="C17" s="43">
        <v>0</v>
      </c>
      <c r="D17" s="23"/>
      <c r="E17" s="117">
        <f t="shared" si="27"/>
        <v>0</v>
      </c>
      <c r="F17" s="49">
        <f t="shared" si="28"/>
        <v>0</v>
      </c>
      <c r="G17" s="35">
        <v>0.04</v>
      </c>
      <c r="H17" s="31"/>
      <c r="I17" s="19">
        <f t="shared" si="13"/>
        <v>0.04</v>
      </c>
      <c r="J17" s="31"/>
      <c r="K17" s="31">
        <f t="shared" si="29"/>
        <v>0.04</v>
      </c>
      <c r="L17" s="36">
        <f t="shared" si="30"/>
        <v>0.04</v>
      </c>
      <c r="M17" s="35"/>
      <c r="N17" s="31"/>
      <c r="O17" s="19">
        <f t="shared" si="14"/>
        <v>0</v>
      </c>
      <c r="P17" s="31"/>
      <c r="Q17" s="31">
        <f t="shared" si="31"/>
        <v>0</v>
      </c>
      <c r="R17" s="36">
        <f t="shared" si="32"/>
        <v>0</v>
      </c>
      <c r="S17" s="35"/>
      <c r="T17" s="102"/>
      <c r="U17" s="19">
        <f t="shared" si="15"/>
        <v>0</v>
      </c>
      <c r="V17" s="31"/>
      <c r="W17" s="45"/>
      <c r="X17" s="36">
        <f t="shared" si="33"/>
        <v>0</v>
      </c>
      <c r="Y17" s="35"/>
      <c r="Z17" s="31"/>
      <c r="AA17" s="19">
        <f t="shared" si="16"/>
        <v>0</v>
      </c>
      <c r="AB17" s="31"/>
      <c r="AC17" s="104"/>
      <c r="AD17" s="103">
        <f t="shared" si="34"/>
        <v>0</v>
      </c>
      <c r="AE17" s="35"/>
      <c r="AF17" s="31"/>
      <c r="AG17" s="19">
        <f t="shared" si="26"/>
        <v>0</v>
      </c>
      <c r="AH17" s="31"/>
      <c r="AI17" s="45"/>
      <c r="AJ17" s="103">
        <f t="shared" si="35"/>
        <v>0</v>
      </c>
      <c r="AK17" s="35"/>
      <c r="AL17" s="31"/>
      <c r="AM17" s="19">
        <f t="shared" si="17"/>
        <v>0</v>
      </c>
      <c r="AN17" s="31"/>
      <c r="AO17" s="45"/>
      <c r="AP17" s="103">
        <f t="shared" si="36"/>
        <v>0</v>
      </c>
      <c r="AQ17" s="35"/>
      <c r="AR17" s="31"/>
      <c r="AS17" s="19">
        <f t="shared" si="18"/>
        <v>0</v>
      </c>
      <c r="AT17" s="31"/>
      <c r="AU17" s="45"/>
      <c r="AV17" s="36"/>
      <c r="AW17" s="35"/>
      <c r="AX17" s="31"/>
      <c r="AY17" s="90">
        <f t="shared" si="37"/>
        <v>0</v>
      </c>
      <c r="AZ17" s="31"/>
      <c r="BA17" s="45"/>
      <c r="BB17" s="36"/>
      <c r="BC17" s="35"/>
      <c r="BD17" s="31"/>
      <c r="BE17" s="19">
        <f t="shared" si="19"/>
        <v>0</v>
      </c>
      <c r="BF17" s="31"/>
      <c r="BG17" s="45"/>
      <c r="BH17" s="36"/>
      <c r="BI17" s="35"/>
      <c r="BJ17" s="31"/>
      <c r="BK17" s="19">
        <f t="shared" si="20"/>
        <v>0</v>
      </c>
      <c r="BL17" s="31"/>
      <c r="BM17" s="45"/>
      <c r="BN17" s="103"/>
      <c r="BO17" s="35"/>
      <c r="BP17" s="102"/>
      <c r="BQ17" s="19">
        <f t="shared" si="21"/>
        <v>0</v>
      </c>
      <c r="BR17" s="31"/>
      <c r="BS17" s="45"/>
      <c r="BT17" s="36"/>
      <c r="BU17" s="18">
        <f t="shared" si="22"/>
        <v>0.04</v>
      </c>
      <c r="BV17" s="19">
        <f t="shared" si="23"/>
        <v>0</v>
      </c>
      <c r="BW17" s="19">
        <f t="shared" si="24"/>
        <v>0.04</v>
      </c>
      <c r="BX17" s="19">
        <f t="shared" si="25"/>
        <v>0</v>
      </c>
      <c r="BY17" s="19">
        <f t="shared" si="25"/>
        <v>0.04</v>
      </c>
      <c r="BZ17" s="37">
        <f t="shared" si="25"/>
        <v>0.04</v>
      </c>
      <c r="CA17" s="24"/>
      <c r="CB17" s="24"/>
    </row>
    <row r="18" spans="1:80" s="84" customFormat="1" outlineLevel="1">
      <c r="A18" s="94" t="s">
        <v>39</v>
      </c>
      <c r="B18" s="108" t="s">
        <v>26</v>
      </c>
      <c r="C18" s="78">
        <v>6</v>
      </c>
      <c r="D18" s="79"/>
      <c r="E18" s="117">
        <f t="shared" si="27"/>
        <v>6</v>
      </c>
      <c r="F18" s="49">
        <f t="shared" si="28"/>
        <v>6</v>
      </c>
      <c r="G18" s="95">
        <v>11.57</v>
      </c>
      <c r="H18" s="96"/>
      <c r="I18" s="19">
        <f t="shared" si="13"/>
        <v>11.57</v>
      </c>
      <c r="J18" s="96"/>
      <c r="K18" s="31">
        <f t="shared" si="29"/>
        <v>11.57</v>
      </c>
      <c r="L18" s="36">
        <f t="shared" si="30"/>
        <v>11.57</v>
      </c>
      <c r="M18" s="95">
        <f>0.61+0.33+18.3</f>
        <v>19.240000000000002</v>
      </c>
      <c r="N18" s="64"/>
      <c r="O18" s="19">
        <f t="shared" si="14"/>
        <v>19.240000000000002</v>
      </c>
      <c r="P18" s="96"/>
      <c r="Q18" s="31">
        <f t="shared" si="31"/>
        <v>19.240000000000002</v>
      </c>
      <c r="R18" s="36">
        <f t="shared" si="32"/>
        <v>19.240000000000002</v>
      </c>
      <c r="S18" s="95">
        <f>0.53+0.84+1.56+0.14</f>
        <v>3.0700000000000003</v>
      </c>
      <c r="T18" s="102"/>
      <c r="U18" s="81">
        <f t="shared" si="15"/>
        <v>3.0700000000000003</v>
      </c>
      <c r="V18" s="96"/>
      <c r="W18" s="115">
        <v>13.663</v>
      </c>
      <c r="X18" s="36">
        <f t="shared" si="33"/>
        <v>3.0700000000000003</v>
      </c>
      <c r="Y18" s="95">
        <f>0.05+25.28</f>
        <v>25.330000000000002</v>
      </c>
      <c r="Z18" s="96">
        <f>Z7*0.1</f>
        <v>0</v>
      </c>
      <c r="AA18" s="19">
        <f t="shared" si="16"/>
        <v>25.330000000000002</v>
      </c>
      <c r="AB18" s="96"/>
      <c r="AC18" s="104">
        <v>23.200000000000003</v>
      </c>
      <c r="AD18" s="103">
        <f t="shared" si="34"/>
        <v>25.330000000000002</v>
      </c>
      <c r="AE18" s="95">
        <f>2.02+0.78+5.86+10.95</f>
        <v>19.61</v>
      </c>
      <c r="AF18" s="96"/>
      <c r="AG18" s="19">
        <f t="shared" si="26"/>
        <v>19.61</v>
      </c>
      <c r="AH18" s="96">
        <v>2.27</v>
      </c>
      <c r="AI18" s="98">
        <v>17</v>
      </c>
      <c r="AJ18" s="103">
        <f t="shared" si="35"/>
        <v>19.61</v>
      </c>
      <c r="AK18" s="95">
        <f>21.41+1.14</f>
        <v>22.55</v>
      </c>
      <c r="AL18" s="96"/>
      <c r="AM18" s="81">
        <f t="shared" si="17"/>
        <v>22.55</v>
      </c>
      <c r="AN18" s="96">
        <v>5.24</v>
      </c>
      <c r="AO18" s="98">
        <f>0.1*AO7</f>
        <v>8.2259999999999991</v>
      </c>
      <c r="AP18" s="103">
        <f t="shared" si="36"/>
        <v>22.55</v>
      </c>
      <c r="AQ18" s="95">
        <f>0.54+12.2</f>
        <v>12.739999999999998</v>
      </c>
      <c r="AR18" s="96"/>
      <c r="AS18" s="81">
        <f t="shared" si="18"/>
        <v>12.739999999999998</v>
      </c>
      <c r="AT18" s="96">
        <v>4.72</v>
      </c>
      <c r="AU18" s="98">
        <v>15.8</v>
      </c>
      <c r="AV18" s="97">
        <v>13</v>
      </c>
      <c r="AW18" s="95">
        <f>0.5+12.89</f>
        <v>13.39</v>
      </c>
      <c r="AX18" s="96"/>
      <c r="AY18" s="90">
        <f t="shared" si="37"/>
        <v>13.39</v>
      </c>
      <c r="AZ18" s="96">
        <v>6.53</v>
      </c>
      <c r="BA18" s="98">
        <v>12</v>
      </c>
      <c r="BB18" s="97">
        <v>12</v>
      </c>
      <c r="BC18" s="95">
        <f>12.23+0.08+0.5</f>
        <v>12.81</v>
      </c>
      <c r="BD18" s="96"/>
      <c r="BE18" s="81">
        <f t="shared" si="19"/>
        <v>12.81</v>
      </c>
      <c r="BF18" s="96">
        <v>7.7</v>
      </c>
      <c r="BG18" s="98">
        <v>13</v>
      </c>
      <c r="BH18" s="97">
        <v>11</v>
      </c>
      <c r="BI18" s="95">
        <f>1.39+11.34+0.17+0.58</f>
        <v>13.48</v>
      </c>
      <c r="BJ18" s="110"/>
      <c r="BK18" s="19">
        <f t="shared" si="20"/>
        <v>13.48</v>
      </c>
      <c r="BL18" s="96">
        <v>6.59</v>
      </c>
      <c r="BM18" s="98">
        <v>30</v>
      </c>
      <c r="BN18" s="103">
        <v>29</v>
      </c>
      <c r="BO18" s="95">
        <f>3.51+0.38+0.4+1.14</f>
        <v>5.43</v>
      </c>
      <c r="BP18" s="135"/>
      <c r="BQ18" s="19">
        <f t="shared" si="21"/>
        <v>5.43</v>
      </c>
      <c r="BR18" s="96">
        <v>1.62</v>
      </c>
      <c r="BS18" s="98">
        <v>9</v>
      </c>
      <c r="BT18" s="97">
        <v>11</v>
      </c>
      <c r="BU18" s="18">
        <f t="shared" si="22"/>
        <v>165.22</v>
      </c>
      <c r="BV18" s="19">
        <f t="shared" si="23"/>
        <v>0</v>
      </c>
      <c r="BW18" s="81">
        <f t="shared" si="24"/>
        <v>165.22</v>
      </c>
      <c r="BX18" s="81">
        <f t="shared" si="25"/>
        <v>34.669999999999995</v>
      </c>
      <c r="BY18" s="81">
        <f t="shared" si="25"/>
        <v>178.69900000000001</v>
      </c>
      <c r="BZ18" s="83">
        <f t="shared" si="25"/>
        <v>183.37</v>
      </c>
      <c r="CA18" s="24"/>
      <c r="CB18" s="24"/>
    </row>
    <row r="19" spans="1:80" s="84" customFormat="1" outlineLevel="1">
      <c r="A19" s="94" t="s">
        <v>40</v>
      </c>
      <c r="B19" s="108" t="s">
        <v>12</v>
      </c>
      <c r="C19" s="78">
        <v>36.979999999999997</v>
      </c>
      <c r="D19" s="79"/>
      <c r="E19" s="117">
        <f t="shared" si="27"/>
        <v>36.979999999999997</v>
      </c>
      <c r="F19" s="49">
        <f t="shared" si="28"/>
        <v>36.979999999999997</v>
      </c>
      <c r="G19" s="95">
        <v>-0.98</v>
      </c>
      <c r="H19" s="96"/>
      <c r="I19" s="19">
        <f t="shared" si="13"/>
        <v>-0.98</v>
      </c>
      <c r="J19" s="96"/>
      <c r="K19" s="31">
        <f t="shared" si="29"/>
        <v>-0.98</v>
      </c>
      <c r="L19" s="36">
        <f t="shared" si="30"/>
        <v>-0.98</v>
      </c>
      <c r="M19" s="95">
        <v>23.02</v>
      </c>
      <c r="N19" s="31"/>
      <c r="O19" s="19">
        <f t="shared" si="14"/>
        <v>23.02</v>
      </c>
      <c r="P19" s="96"/>
      <c r="Q19" s="31">
        <f t="shared" si="31"/>
        <v>23.02</v>
      </c>
      <c r="R19" s="36">
        <f t="shared" si="32"/>
        <v>23.02</v>
      </c>
      <c r="S19" s="95">
        <f>3.39+0.46</f>
        <v>3.85</v>
      </c>
      <c r="T19" s="102"/>
      <c r="U19" s="81">
        <f t="shared" si="15"/>
        <v>3.85</v>
      </c>
      <c r="V19" s="96"/>
      <c r="W19" s="115">
        <v>6</v>
      </c>
      <c r="X19" s="36">
        <f t="shared" si="33"/>
        <v>3.85</v>
      </c>
      <c r="Y19" s="95">
        <f>35-34</f>
        <v>1</v>
      </c>
      <c r="Z19" s="96"/>
      <c r="AA19" s="19">
        <f t="shared" si="16"/>
        <v>1</v>
      </c>
      <c r="AB19" s="96"/>
      <c r="AC19" s="104">
        <v>70</v>
      </c>
      <c r="AD19" s="103">
        <f t="shared" si="34"/>
        <v>1</v>
      </c>
      <c r="AE19" s="95">
        <f>1.08+24.65-0.32+7.54</f>
        <v>32.949999999999996</v>
      </c>
      <c r="AF19" s="96"/>
      <c r="AG19" s="19">
        <f t="shared" si="26"/>
        <v>32.949999999999996</v>
      </c>
      <c r="AH19" s="96">
        <v>6.82</v>
      </c>
      <c r="AI19" s="98">
        <v>38.6</v>
      </c>
      <c r="AJ19" s="103">
        <f t="shared" si="35"/>
        <v>32.949999999999996</v>
      </c>
      <c r="AK19" s="95">
        <f>0.13+8.78</f>
        <v>8.91</v>
      </c>
      <c r="AL19" s="96"/>
      <c r="AM19" s="81">
        <f t="shared" si="17"/>
        <v>8.91</v>
      </c>
      <c r="AN19" s="96">
        <v>0.12</v>
      </c>
      <c r="AO19" s="98">
        <v>4</v>
      </c>
      <c r="AP19" s="103">
        <f t="shared" si="36"/>
        <v>8.91</v>
      </c>
      <c r="AQ19" s="95">
        <v>38.200000000000003</v>
      </c>
      <c r="AR19" s="96"/>
      <c r="AS19" s="81">
        <f t="shared" si="18"/>
        <v>38.200000000000003</v>
      </c>
      <c r="AT19" s="96">
        <v>15.88</v>
      </c>
      <c r="AU19" s="98">
        <v>30</v>
      </c>
      <c r="AV19" s="97">
        <f>34.7</f>
        <v>34.700000000000003</v>
      </c>
      <c r="AW19" s="95">
        <v>35.049999999999997</v>
      </c>
      <c r="AX19" s="96"/>
      <c r="AY19" s="90">
        <f t="shared" si="37"/>
        <v>35.049999999999997</v>
      </c>
      <c r="AZ19" s="96">
        <v>18.350000000000001</v>
      </c>
      <c r="BA19" s="98">
        <f>2.5+30</f>
        <v>32.5</v>
      </c>
      <c r="BB19" s="97">
        <v>32.5</v>
      </c>
      <c r="BC19" s="95">
        <v>0.3</v>
      </c>
      <c r="BD19" s="96"/>
      <c r="BE19" s="81">
        <f t="shared" si="19"/>
        <v>0.3</v>
      </c>
      <c r="BF19" s="96">
        <v>44.180000000000007</v>
      </c>
      <c r="BG19" s="98">
        <v>1</v>
      </c>
      <c r="BH19" s="97">
        <v>24</v>
      </c>
      <c r="BI19" s="95">
        <v>0.87</v>
      </c>
      <c r="BJ19" s="96"/>
      <c r="BK19" s="19">
        <f t="shared" si="20"/>
        <v>0.87</v>
      </c>
      <c r="BL19" s="96">
        <v>24.589999999999996</v>
      </c>
      <c r="BM19" s="98">
        <v>0.5</v>
      </c>
      <c r="BN19" s="103">
        <v>1</v>
      </c>
      <c r="BO19" s="95"/>
      <c r="BP19" s="102"/>
      <c r="BQ19" s="19">
        <f t="shared" si="21"/>
        <v>0</v>
      </c>
      <c r="BR19" s="96">
        <v>118.82999999999998</v>
      </c>
      <c r="BS19" s="98">
        <v>1</v>
      </c>
      <c r="BT19" s="97">
        <v>25</v>
      </c>
      <c r="BU19" s="18">
        <f t="shared" si="22"/>
        <v>180.15000000000003</v>
      </c>
      <c r="BV19" s="19">
        <f t="shared" si="23"/>
        <v>0</v>
      </c>
      <c r="BW19" s="81">
        <f t="shared" si="24"/>
        <v>180.15000000000003</v>
      </c>
      <c r="BX19" s="81">
        <f t="shared" si="25"/>
        <v>228.76999999999998</v>
      </c>
      <c r="BY19" s="81">
        <f t="shared" si="25"/>
        <v>242.61999999999998</v>
      </c>
      <c r="BZ19" s="83">
        <f t="shared" si="25"/>
        <v>222.93</v>
      </c>
      <c r="CA19" s="24"/>
      <c r="CB19" s="24"/>
    </row>
    <row r="20" spans="1:80" s="84" customFormat="1" outlineLevel="1">
      <c r="A20" s="94" t="s">
        <v>41</v>
      </c>
      <c r="B20" s="108" t="s">
        <v>11</v>
      </c>
      <c r="C20" s="78">
        <f>46.54-39.24</f>
        <v>7.2999999999999972</v>
      </c>
      <c r="D20" s="79"/>
      <c r="E20" s="117">
        <f t="shared" si="27"/>
        <v>7.2999999999999972</v>
      </c>
      <c r="F20" s="49">
        <f t="shared" si="28"/>
        <v>7.2999999999999972</v>
      </c>
      <c r="G20" s="95">
        <f>37.63-32.48</f>
        <v>5.1500000000000057</v>
      </c>
      <c r="H20" s="96"/>
      <c r="I20" s="19">
        <f t="shared" si="13"/>
        <v>5.1500000000000057</v>
      </c>
      <c r="J20" s="96"/>
      <c r="K20" s="31">
        <f t="shared" si="29"/>
        <v>5.1500000000000057</v>
      </c>
      <c r="L20" s="36">
        <f t="shared" si="30"/>
        <v>5.1500000000000057</v>
      </c>
      <c r="M20" s="95">
        <f>16.77-9.58</f>
        <v>7.1899999999999995</v>
      </c>
      <c r="N20" s="31"/>
      <c r="O20" s="19">
        <f t="shared" si="14"/>
        <v>7.1899999999999995</v>
      </c>
      <c r="P20" s="96"/>
      <c r="Q20" s="31">
        <f t="shared" si="31"/>
        <v>7.1899999999999995</v>
      </c>
      <c r="R20" s="36">
        <f t="shared" si="32"/>
        <v>7.1899999999999995</v>
      </c>
      <c r="S20" s="95">
        <f>38.01-32.98</f>
        <v>5.0300000000000011</v>
      </c>
      <c r="T20" s="102"/>
      <c r="U20" s="81">
        <f t="shared" si="15"/>
        <v>5.0300000000000011</v>
      </c>
      <c r="V20" s="96"/>
      <c r="W20" s="115">
        <f>71.1-32.98</f>
        <v>38.119999999999997</v>
      </c>
      <c r="X20" s="36">
        <f t="shared" si="33"/>
        <v>5.0300000000000011</v>
      </c>
      <c r="Y20" s="95">
        <v>12.59</v>
      </c>
      <c r="Z20" s="96"/>
      <c r="AA20" s="19">
        <f t="shared" si="16"/>
        <v>12.59</v>
      </c>
      <c r="AB20" s="96"/>
      <c r="AC20" s="104">
        <f>103.4-34</f>
        <v>69.400000000000006</v>
      </c>
      <c r="AD20" s="103">
        <f t="shared" si="34"/>
        <v>12.59</v>
      </c>
      <c r="AE20" s="95">
        <f>1.07+60.65-51.52</f>
        <v>10.199999999999996</v>
      </c>
      <c r="AF20" s="96"/>
      <c r="AG20" s="19">
        <f t="shared" si="26"/>
        <v>10.199999999999996</v>
      </c>
      <c r="AH20" s="96">
        <v>0.04</v>
      </c>
      <c r="AI20" s="98">
        <f>50.4-45</f>
        <v>5.3999999999999986</v>
      </c>
      <c r="AJ20" s="103">
        <f t="shared" si="35"/>
        <v>10.199999999999996</v>
      </c>
      <c r="AK20" s="95">
        <f>42.2-36.37</f>
        <v>5.8300000000000054</v>
      </c>
      <c r="AL20" s="96"/>
      <c r="AM20" s="81">
        <f t="shared" si="17"/>
        <v>5.8300000000000054</v>
      </c>
      <c r="AN20" s="96">
        <v>30.95</v>
      </c>
      <c r="AO20" s="98">
        <f>17+8</f>
        <v>25</v>
      </c>
      <c r="AP20" s="103">
        <f>42.2-36.37</f>
        <v>5.8300000000000054</v>
      </c>
      <c r="AQ20" s="95">
        <f>43.5-35.87</f>
        <v>7.6300000000000026</v>
      </c>
      <c r="AR20" s="96"/>
      <c r="AS20" s="81">
        <f t="shared" si="18"/>
        <v>7.6300000000000026</v>
      </c>
      <c r="AT20" s="96">
        <v>6.09</v>
      </c>
      <c r="AU20" s="98">
        <f>43-35</f>
        <v>8</v>
      </c>
      <c r="AV20" s="97">
        <f>8+28-36.3</f>
        <v>-0.29999999999999716</v>
      </c>
      <c r="AW20" s="95">
        <f>52.88-33.85</f>
        <v>19.03</v>
      </c>
      <c r="AX20" s="96"/>
      <c r="AY20" s="90">
        <f t="shared" si="37"/>
        <v>19.03</v>
      </c>
      <c r="AZ20" s="96">
        <v>29.56</v>
      </c>
      <c r="BA20" s="98">
        <f>33-30</f>
        <v>3</v>
      </c>
      <c r="BB20" s="97">
        <f>33-29.88</f>
        <v>3.120000000000001</v>
      </c>
      <c r="BC20" s="95">
        <f>68.2-33.28</f>
        <v>34.92</v>
      </c>
      <c r="BD20" s="96"/>
      <c r="BE20" s="81">
        <f t="shared" si="19"/>
        <v>34.92</v>
      </c>
      <c r="BF20" s="96">
        <v>41.57</v>
      </c>
      <c r="BG20" s="98">
        <f>62-32</f>
        <v>30</v>
      </c>
      <c r="BH20" s="97">
        <f>30-22.4</f>
        <v>7.6000000000000014</v>
      </c>
      <c r="BI20" s="95">
        <f>25.82+4.93</f>
        <v>30.75</v>
      </c>
      <c r="BJ20" s="96"/>
      <c r="BK20" s="19">
        <f t="shared" si="20"/>
        <v>30.75</v>
      </c>
      <c r="BL20" s="96">
        <v>25.83</v>
      </c>
      <c r="BM20" s="98">
        <f>36</f>
        <v>36</v>
      </c>
      <c r="BN20" s="97">
        <f>115-75</f>
        <v>40</v>
      </c>
      <c r="BO20" s="95">
        <f>5.96+32.77+0.1</f>
        <v>38.830000000000005</v>
      </c>
      <c r="BP20" s="102"/>
      <c r="BQ20" s="19">
        <f t="shared" si="21"/>
        <v>38.830000000000005</v>
      </c>
      <c r="BR20" s="96">
        <v>38.909999999999997</v>
      </c>
      <c r="BS20" s="98">
        <v>27</v>
      </c>
      <c r="BT20" s="97">
        <f>30-1.5-22.4+6</f>
        <v>12.100000000000001</v>
      </c>
      <c r="BU20" s="18">
        <f t="shared" si="22"/>
        <v>184.45000000000002</v>
      </c>
      <c r="BV20" s="19">
        <f t="shared" si="23"/>
        <v>0</v>
      </c>
      <c r="BW20" s="81">
        <f t="shared" si="24"/>
        <v>184.45000000000002</v>
      </c>
      <c r="BX20" s="81">
        <f t="shared" si="25"/>
        <v>172.95000000000002</v>
      </c>
      <c r="BY20" s="81">
        <f t="shared" si="25"/>
        <v>261.56</v>
      </c>
      <c r="BZ20" s="83">
        <f t="shared" si="25"/>
        <v>115.81</v>
      </c>
      <c r="CA20" s="24"/>
      <c r="CB20" s="24"/>
    </row>
    <row r="21" spans="1:80" s="93" customFormat="1" outlineLevel="1">
      <c r="A21" s="99" t="s">
        <v>42</v>
      </c>
      <c r="B21" s="100" t="s">
        <v>31</v>
      </c>
      <c r="C21" s="87">
        <v>0</v>
      </c>
      <c r="D21" s="88"/>
      <c r="E21" s="117">
        <f t="shared" si="27"/>
        <v>0</v>
      </c>
      <c r="F21" s="49">
        <f t="shared" si="28"/>
        <v>0</v>
      </c>
      <c r="G21" s="101">
        <v>32.29</v>
      </c>
      <c r="H21" s="102"/>
      <c r="I21" s="19">
        <f t="shared" si="13"/>
        <v>32.29</v>
      </c>
      <c r="J21" s="102"/>
      <c r="K21" s="31">
        <f t="shared" si="29"/>
        <v>32.29</v>
      </c>
      <c r="L21" s="36">
        <f t="shared" si="30"/>
        <v>32.29</v>
      </c>
      <c r="M21" s="101">
        <v>70.02</v>
      </c>
      <c r="N21" s="31"/>
      <c r="O21" s="19">
        <f t="shared" si="14"/>
        <v>70.02</v>
      </c>
      <c r="P21" s="102"/>
      <c r="Q21" s="31">
        <f t="shared" si="31"/>
        <v>70.02</v>
      </c>
      <c r="R21" s="36">
        <f t="shared" si="32"/>
        <v>70.02</v>
      </c>
      <c r="S21" s="101">
        <f>0.94+23.96</f>
        <v>24.900000000000002</v>
      </c>
      <c r="T21" s="102"/>
      <c r="U21" s="90">
        <f t="shared" si="15"/>
        <v>24.900000000000002</v>
      </c>
      <c r="V21" s="102"/>
      <c r="W21" s="115">
        <v>26.2</v>
      </c>
      <c r="X21" s="36">
        <f t="shared" si="33"/>
        <v>24.900000000000002</v>
      </c>
      <c r="Y21" s="101">
        <v>23.33</v>
      </c>
      <c r="Z21" s="96"/>
      <c r="AA21" s="19">
        <f t="shared" si="16"/>
        <v>23.33</v>
      </c>
      <c r="AB21" s="102"/>
      <c r="AC21" s="104">
        <v>34.6</v>
      </c>
      <c r="AD21" s="103">
        <f t="shared" si="34"/>
        <v>23.33</v>
      </c>
      <c r="AE21" s="101">
        <v>17.77</v>
      </c>
      <c r="AF21" s="102"/>
      <c r="AG21" s="19">
        <f t="shared" si="26"/>
        <v>17.77</v>
      </c>
      <c r="AH21" s="102"/>
      <c r="AI21" s="104">
        <v>34</v>
      </c>
      <c r="AJ21" s="103">
        <f t="shared" si="35"/>
        <v>17.77</v>
      </c>
      <c r="AK21" s="101">
        <v>22.98</v>
      </c>
      <c r="AL21" s="102"/>
      <c r="AM21" s="90">
        <f t="shared" si="17"/>
        <v>22.98</v>
      </c>
      <c r="AN21" s="102"/>
      <c r="AO21" s="104">
        <v>30</v>
      </c>
      <c r="AP21" s="103">
        <f t="shared" si="36"/>
        <v>22.98</v>
      </c>
      <c r="AQ21" s="101">
        <v>31.6</v>
      </c>
      <c r="AR21" s="102"/>
      <c r="AS21" s="90">
        <f t="shared" si="18"/>
        <v>31.6</v>
      </c>
      <c r="AT21" s="102"/>
      <c r="AU21" s="104">
        <v>30</v>
      </c>
      <c r="AV21" s="103">
        <v>27.8</v>
      </c>
      <c r="AW21" s="101">
        <v>36.700000000000003</v>
      </c>
      <c r="AX21" s="102"/>
      <c r="AY21" s="90">
        <f t="shared" si="37"/>
        <v>36.700000000000003</v>
      </c>
      <c r="AZ21" s="102">
        <v>42.75</v>
      </c>
      <c r="BA21" s="104">
        <v>30</v>
      </c>
      <c r="BB21" s="103">
        <v>30</v>
      </c>
      <c r="BC21" s="101">
        <v>34.799999999999997</v>
      </c>
      <c r="BD21" s="102"/>
      <c r="BE21" s="90">
        <f t="shared" si="19"/>
        <v>34.799999999999997</v>
      </c>
      <c r="BF21" s="102">
        <v>34.75</v>
      </c>
      <c r="BG21" s="104">
        <v>30</v>
      </c>
      <c r="BH21" s="103">
        <v>33</v>
      </c>
      <c r="BI21" s="101">
        <v>30.56</v>
      </c>
      <c r="BJ21" s="102"/>
      <c r="BK21" s="19">
        <f t="shared" si="20"/>
        <v>30.56</v>
      </c>
      <c r="BL21" s="102">
        <v>39.56</v>
      </c>
      <c r="BM21" s="104">
        <v>30</v>
      </c>
      <c r="BN21" s="103">
        <v>35</v>
      </c>
      <c r="BO21" s="101">
        <f>0.1+45.73</f>
        <v>45.83</v>
      </c>
      <c r="BP21" s="102"/>
      <c r="BQ21" s="19">
        <f t="shared" si="21"/>
        <v>45.83</v>
      </c>
      <c r="BR21" s="102"/>
      <c r="BS21" s="104">
        <v>63</v>
      </c>
      <c r="BT21" s="103">
        <v>59</v>
      </c>
      <c r="BU21" s="18">
        <f t="shared" si="22"/>
        <v>370.78000000000003</v>
      </c>
      <c r="BV21" s="19">
        <f t="shared" si="23"/>
        <v>0</v>
      </c>
      <c r="BW21" s="90">
        <f t="shared" si="24"/>
        <v>370.78000000000003</v>
      </c>
      <c r="BX21" s="90">
        <f t="shared" si="25"/>
        <v>117.06</v>
      </c>
      <c r="BY21" s="90">
        <f t="shared" si="25"/>
        <v>410.11</v>
      </c>
      <c r="BZ21" s="92">
        <f t="shared" si="25"/>
        <v>376.09000000000003</v>
      </c>
      <c r="CA21" s="24"/>
      <c r="CB21" s="24"/>
    </row>
    <row r="22" spans="1:80" s="93" customFormat="1" outlineLevel="1">
      <c r="A22" s="99" t="s">
        <v>43</v>
      </c>
      <c r="B22" s="100" t="s">
        <v>32</v>
      </c>
      <c r="C22" s="87">
        <v>47.85</v>
      </c>
      <c r="D22" s="88"/>
      <c r="E22" s="117">
        <f t="shared" si="27"/>
        <v>47.85</v>
      </c>
      <c r="F22" s="49">
        <f t="shared" si="28"/>
        <v>47.85</v>
      </c>
      <c r="G22" s="101">
        <v>131.76</v>
      </c>
      <c r="H22" s="102"/>
      <c r="I22" s="19">
        <f t="shared" si="13"/>
        <v>131.76</v>
      </c>
      <c r="J22" s="102"/>
      <c r="K22" s="31">
        <f t="shared" si="29"/>
        <v>131.76</v>
      </c>
      <c r="L22" s="36">
        <f t="shared" si="30"/>
        <v>131.76</v>
      </c>
      <c r="M22" s="101">
        <f>133.66+0.93</f>
        <v>134.59</v>
      </c>
      <c r="N22" s="31"/>
      <c r="O22" s="19">
        <f t="shared" si="14"/>
        <v>134.59</v>
      </c>
      <c r="P22" s="102"/>
      <c r="Q22" s="31">
        <f t="shared" si="31"/>
        <v>134.59</v>
      </c>
      <c r="R22" s="36">
        <f t="shared" si="32"/>
        <v>134.59</v>
      </c>
      <c r="S22" s="101">
        <f>114.48</f>
        <v>114.48</v>
      </c>
      <c r="T22" s="102"/>
      <c r="U22" s="90">
        <f t="shared" si="15"/>
        <v>114.48</v>
      </c>
      <c r="V22" s="102"/>
      <c r="W22" s="115">
        <v>108.33</v>
      </c>
      <c r="X22" s="36">
        <f t="shared" si="33"/>
        <v>114.48</v>
      </c>
      <c r="Y22" s="101">
        <v>121.05</v>
      </c>
      <c r="Z22" s="96"/>
      <c r="AA22" s="19">
        <f t="shared" si="16"/>
        <v>121.05</v>
      </c>
      <c r="AB22" s="102"/>
      <c r="AC22" s="104">
        <v>160.44999999999999</v>
      </c>
      <c r="AD22" s="103">
        <f t="shared" si="34"/>
        <v>121.05</v>
      </c>
      <c r="AE22" s="101">
        <v>159.82</v>
      </c>
      <c r="AF22" s="102"/>
      <c r="AG22" s="19">
        <f t="shared" si="26"/>
        <v>159.82</v>
      </c>
      <c r="AH22" s="102"/>
      <c r="AI22" s="104">
        <v>108.5</v>
      </c>
      <c r="AJ22" s="103">
        <f t="shared" si="35"/>
        <v>159.82</v>
      </c>
      <c r="AK22" s="101">
        <v>63.05</v>
      </c>
      <c r="AL22" s="102"/>
      <c r="AM22" s="90">
        <f t="shared" si="17"/>
        <v>63.05</v>
      </c>
      <c r="AN22" s="102"/>
      <c r="AO22" s="104">
        <v>142</v>
      </c>
      <c r="AP22" s="103">
        <f t="shared" si="36"/>
        <v>63.05</v>
      </c>
      <c r="AQ22" s="101">
        <v>115.2</v>
      </c>
      <c r="AR22" s="102"/>
      <c r="AS22" s="90">
        <f t="shared" si="18"/>
        <v>115.2</v>
      </c>
      <c r="AT22" s="102">
        <v>3.89</v>
      </c>
      <c r="AU22" s="104">
        <v>112.3</v>
      </c>
      <c r="AV22" s="103">
        <v>112.4</v>
      </c>
      <c r="AW22" s="101">
        <v>88.24</v>
      </c>
      <c r="AX22" s="102"/>
      <c r="AY22" s="90">
        <f t="shared" si="37"/>
        <v>88.24</v>
      </c>
      <c r="AZ22" s="102">
        <v>4.21</v>
      </c>
      <c r="BA22" s="104">
        <v>82</v>
      </c>
      <c r="BB22" s="103">
        <v>82</v>
      </c>
      <c r="BC22" s="101">
        <v>93.2</v>
      </c>
      <c r="BD22" s="102"/>
      <c r="BE22" s="90">
        <f t="shared" si="19"/>
        <v>93.2</v>
      </c>
      <c r="BF22" s="102">
        <v>3.99</v>
      </c>
      <c r="BG22" s="104">
        <v>89</v>
      </c>
      <c r="BH22" s="103">
        <v>88</v>
      </c>
      <c r="BI22" s="101">
        <v>79.97</v>
      </c>
      <c r="BJ22" s="102"/>
      <c r="BK22" s="19">
        <f t="shared" si="20"/>
        <v>79.97</v>
      </c>
      <c r="BL22" s="102">
        <v>4.6500000000000004</v>
      </c>
      <c r="BM22" s="104">
        <v>129</v>
      </c>
      <c r="BN22" s="103">
        <v>107</v>
      </c>
      <c r="BO22" s="101">
        <f>0.2+143.23</f>
        <v>143.42999999999998</v>
      </c>
      <c r="BP22" s="102"/>
      <c r="BQ22" s="19">
        <f t="shared" si="21"/>
        <v>143.42999999999998</v>
      </c>
      <c r="BR22" s="102">
        <v>3.92</v>
      </c>
      <c r="BS22" s="104">
        <v>168</v>
      </c>
      <c r="BT22" s="103">
        <v>184</v>
      </c>
      <c r="BU22" s="18">
        <f t="shared" si="22"/>
        <v>1292.6400000000001</v>
      </c>
      <c r="BV22" s="19">
        <f t="shared" si="23"/>
        <v>0</v>
      </c>
      <c r="BW22" s="90">
        <f t="shared" si="24"/>
        <v>1292.6400000000001</v>
      </c>
      <c r="BX22" s="90">
        <f t="shared" si="25"/>
        <v>20.660000000000004</v>
      </c>
      <c r="BY22" s="90">
        <f t="shared" si="25"/>
        <v>1413.78</v>
      </c>
      <c r="BZ22" s="92">
        <f t="shared" si="25"/>
        <v>1346</v>
      </c>
      <c r="CA22" s="24"/>
      <c r="CB22" s="24"/>
    </row>
    <row r="23" spans="1:80" outlineLevel="1">
      <c r="A23" s="4" t="s">
        <v>44</v>
      </c>
      <c r="B23" s="58" t="s">
        <v>10</v>
      </c>
      <c r="C23" s="43">
        <v>0</v>
      </c>
      <c r="D23" s="23"/>
      <c r="E23" s="117">
        <f t="shared" si="27"/>
        <v>0</v>
      </c>
      <c r="F23" s="49">
        <f t="shared" si="28"/>
        <v>0</v>
      </c>
      <c r="G23" s="35"/>
      <c r="H23" s="31"/>
      <c r="I23" s="19">
        <f t="shared" si="13"/>
        <v>0</v>
      </c>
      <c r="J23" s="31"/>
      <c r="K23" s="31">
        <f t="shared" si="29"/>
        <v>0</v>
      </c>
      <c r="L23" s="36"/>
      <c r="M23" s="35">
        <v>1.52</v>
      </c>
      <c r="N23" s="31"/>
      <c r="O23" s="19">
        <f t="shared" si="14"/>
        <v>1.52</v>
      </c>
      <c r="P23" s="31"/>
      <c r="Q23" s="31">
        <f t="shared" si="31"/>
        <v>1.52</v>
      </c>
      <c r="R23" s="36">
        <f t="shared" si="32"/>
        <v>1.52</v>
      </c>
      <c r="S23" s="35"/>
      <c r="T23" s="102"/>
      <c r="U23" s="19">
        <f t="shared" si="15"/>
        <v>0</v>
      </c>
      <c r="V23" s="31"/>
      <c r="W23" s="115"/>
      <c r="X23" s="36">
        <f t="shared" si="33"/>
        <v>0</v>
      </c>
      <c r="Y23" s="35"/>
      <c r="Z23" s="96"/>
      <c r="AA23" s="19">
        <f t="shared" si="16"/>
        <v>0</v>
      </c>
      <c r="AB23" s="31"/>
      <c r="AC23" s="104"/>
      <c r="AD23" s="103">
        <f t="shared" si="34"/>
        <v>0</v>
      </c>
      <c r="AE23" s="35">
        <v>2.68</v>
      </c>
      <c r="AF23" s="31"/>
      <c r="AG23" s="19">
        <f t="shared" si="26"/>
        <v>2.68</v>
      </c>
      <c r="AH23" s="31"/>
      <c r="AI23" s="45"/>
      <c r="AJ23" s="103">
        <f t="shared" si="35"/>
        <v>2.68</v>
      </c>
      <c r="AK23" s="35"/>
      <c r="AL23" s="31"/>
      <c r="AM23" s="19">
        <f t="shared" si="17"/>
        <v>0</v>
      </c>
      <c r="AN23" s="31"/>
      <c r="AO23" s="45"/>
      <c r="AP23" s="103">
        <f t="shared" si="36"/>
        <v>0</v>
      </c>
      <c r="AQ23" s="35"/>
      <c r="AR23" s="31"/>
      <c r="AS23" s="19">
        <f t="shared" si="18"/>
        <v>0</v>
      </c>
      <c r="AT23" s="31"/>
      <c r="AU23" s="45"/>
      <c r="AV23" s="36"/>
      <c r="AW23" s="35">
        <v>6.93</v>
      </c>
      <c r="AX23" s="31"/>
      <c r="AY23" s="90">
        <f t="shared" si="37"/>
        <v>6.93</v>
      </c>
      <c r="AZ23" s="31"/>
      <c r="BA23" s="45"/>
      <c r="BB23" s="36"/>
      <c r="BC23" s="35">
        <v>7.5</v>
      </c>
      <c r="BD23" s="31"/>
      <c r="BE23" s="19">
        <f t="shared" si="19"/>
        <v>7.5</v>
      </c>
      <c r="BF23" s="31"/>
      <c r="BG23" s="45"/>
      <c r="BH23" s="36"/>
      <c r="BI23" s="35"/>
      <c r="BJ23" s="31"/>
      <c r="BK23" s="19">
        <f t="shared" si="20"/>
        <v>0</v>
      </c>
      <c r="BL23" s="31"/>
      <c r="BM23" s="45"/>
      <c r="BN23" s="36"/>
      <c r="BO23" s="35">
        <v>6.9</v>
      </c>
      <c r="BP23" s="102"/>
      <c r="BQ23" s="19">
        <f t="shared" si="21"/>
        <v>6.9</v>
      </c>
      <c r="BR23" s="31"/>
      <c r="BS23" s="45"/>
      <c r="BT23" s="36"/>
      <c r="BU23" s="18">
        <f t="shared" si="22"/>
        <v>25.53</v>
      </c>
      <c r="BV23" s="19">
        <f t="shared" si="23"/>
        <v>0</v>
      </c>
      <c r="BW23" s="19">
        <f t="shared" si="24"/>
        <v>25.53</v>
      </c>
      <c r="BX23" s="19">
        <f t="shared" si="25"/>
        <v>0</v>
      </c>
      <c r="BY23" s="19">
        <f t="shared" si="25"/>
        <v>1.52</v>
      </c>
      <c r="BZ23" s="37">
        <f t="shared" si="25"/>
        <v>4.2</v>
      </c>
      <c r="CA23" s="24"/>
      <c r="CB23" s="24"/>
    </row>
    <row r="24" spans="1:80" outlineLevel="1">
      <c r="A24" s="5" t="s">
        <v>45</v>
      </c>
      <c r="B24" s="54" t="s">
        <v>7</v>
      </c>
      <c r="C24" s="43">
        <v>2.21</v>
      </c>
      <c r="D24" s="23"/>
      <c r="E24" s="117">
        <f t="shared" si="27"/>
        <v>2.21</v>
      </c>
      <c r="F24" s="49">
        <f t="shared" si="28"/>
        <v>2.21</v>
      </c>
      <c r="G24" s="35">
        <v>0.99</v>
      </c>
      <c r="H24" s="31"/>
      <c r="I24" s="19">
        <f t="shared" si="13"/>
        <v>0.99</v>
      </c>
      <c r="J24" s="31"/>
      <c r="K24" s="31">
        <f t="shared" si="29"/>
        <v>0.99</v>
      </c>
      <c r="L24" s="36">
        <f>G24</f>
        <v>0.99</v>
      </c>
      <c r="M24" s="35">
        <f>1.78+0.04+0.4</f>
        <v>2.2200000000000002</v>
      </c>
      <c r="N24" s="31"/>
      <c r="O24" s="19">
        <f t="shared" si="14"/>
        <v>2.2200000000000002</v>
      </c>
      <c r="P24" s="31"/>
      <c r="Q24" s="31">
        <f t="shared" si="31"/>
        <v>2.2200000000000002</v>
      </c>
      <c r="R24" s="36">
        <f t="shared" si="32"/>
        <v>2.2200000000000002</v>
      </c>
      <c r="S24" s="35">
        <f>0.76+0.04</f>
        <v>0.8</v>
      </c>
      <c r="T24" s="102"/>
      <c r="U24" s="19">
        <f t="shared" si="15"/>
        <v>0.8</v>
      </c>
      <c r="V24" s="31"/>
      <c r="W24" s="115">
        <v>2</v>
      </c>
      <c r="X24" s="36">
        <f t="shared" si="33"/>
        <v>0.8</v>
      </c>
      <c r="Y24" s="35">
        <v>7.02</v>
      </c>
      <c r="Z24" s="96"/>
      <c r="AA24" s="19">
        <f t="shared" si="16"/>
        <v>7.02</v>
      </c>
      <c r="AB24" s="31"/>
      <c r="AC24" s="104">
        <v>3</v>
      </c>
      <c r="AD24" s="103">
        <f t="shared" si="34"/>
        <v>7.02</v>
      </c>
      <c r="AE24" s="35">
        <f>0.94+2.82</f>
        <v>3.76</v>
      </c>
      <c r="AF24" s="31"/>
      <c r="AG24" s="19">
        <f t="shared" si="26"/>
        <v>3.76</v>
      </c>
      <c r="AH24" s="31">
        <v>0.84</v>
      </c>
      <c r="AI24" s="45">
        <v>2</v>
      </c>
      <c r="AJ24" s="103">
        <f t="shared" si="35"/>
        <v>3.76</v>
      </c>
      <c r="AK24" s="35">
        <f>0.22+0.86</f>
        <v>1.08</v>
      </c>
      <c r="AL24" s="31"/>
      <c r="AM24" s="19">
        <f t="shared" si="17"/>
        <v>1.08</v>
      </c>
      <c r="AN24" s="31">
        <v>2.0900000000000003</v>
      </c>
      <c r="AO24" s="45">
        <v>3</v>
      </c>
      <c r="AP24" s="103">
        <f t="shared" si="36"/>
        <v>1.08</v>
      </c>
      <c r="AQ24" s="35">
        <f>0.14+0.67</f>
        <v>0.81</v>
      </c>
      <c r="AR24" s="31"/>
      <c r="AS24" s="19">
        <f t="shared" si="18"/>
        <v>0.81</v>
      </c>
      <c r="AT24" s="31">
        <v>0.96</v>
      </c>
      <c r="AU24" s="45">
        <v>3</v>
      </c>
      <c r="AV24" s="36">
        <v>3</v>
      </c>
      <c r="AW24" s="35">
        <f>0.47+0.44</f>
        <v>0.90999999999999992</v>
      </c>
      <c r="AX24" s="31"/>
      <c r="AY24" s="90">
        <f t="shared" si="37"/>
        <v>0.90999999999999992</v>
      </c>
      <c r="AZ24" s="31">
        <v>0.97</v>
      </c>
      <c r="BA24" s="45">
        <v>3</v>
      </c>
      <c r="BB24" s="36">
        <v>3</v>
      </c>
      <c r="BC24" s="35">
        <f>0.82+2.8</f>
        <v>3.6199999999999997</v>
      </c>
      <c r="BD24" s="31"/>
      <c r="BE24" s="19">
        <f t="shared" si="19"/>
        <v>3.6199999999999997</v>
      </c>
      <c r="BF24" s="31">
        <v>1.92</v>
      </c>
      <c r="BG24" s="45">
        <v>3</v>
      </c>
      <c r="BH24" s="36">
        <v>3</v>
      </c>
      <c r="BI24" s="35">
        <f>0.84-0.3</f>
        <v>0.54</v>
      </c>
      <c r="BJ24" s="31"/>
      <c r="BK24" s="19">
        <f t="shared" si="20"/>
        <v>0.54</v>
      </c>
      <c r="BL24" s="31">
        <v>3</v>
      </c>
      <c r="BM24" s="45">
        <v>3</v>
      </c>
      <c r="BN24" s="36">
        <v>20</v>
      </c>
      <c r="BO24" s="35">
        <f>9.31+1.64+0.27</f>
        <v>11.22</v>
      </c>
      <c r="BP24" s="102"/>
      <c r="BQ24" s="19">
        <f t="shared" si="21"/>
        <v>11.22</v>
      </c>
      <c r="BR24" s="31">
        <v>2.9800000000000111</v>
      </c>
      <c r="BS24" s="45">
        <v>3</v>
      </c>
      <c r="BT24" s="36">
        <v>3</v>
      </c>
      <c r="BU24" s="18">
        <f t="shared" si="22"/>
        <v>35.18</v>
      </c>
      <c r="BV24" s="19">
        <f t="shared" si="23"/>
        <v>0</v>
      </c>
      <c r="BW24" s="19">
        <f t="shared" si="24"/>
        <v>35.18</v>
      </c>
      <c r="BX24" s="19">
        <f t="shared" si="25"/>
        <v>12.760000000000012</v>
      </c>
      <c r="BY24" s="19">
        <f t="shared" si="25"/>
        <v>30.42</v>
      </c>
      <c r="BZ24" s="37">
        <f t="shared" si="25"/>
        <v>50.08</v>
      </c>
      <c r="CA24" s="24"/>
      <c r="CB24" s="24"/>
    </row>
    <row r="25" spans="1:80" outlineLevel="1">
      <c r="A25" s="5" t="s">
        <v>46</v>
      </c>
      <c r="B25" s="54" t="s">
        <v>19</v>
      </c>
      <c r="C25" s="43">
        <v>0</v>
      </c>
      <c r="D25" s="23"/>
      <c r="E25" s="117">
        <f t="shared" si="27"/>
        <v>0</v>
      </c>
      <c r="F25" s="49">
        <v>0</v>
      </c>
      <c r="G25" s="35"/>
      <c r="H25" s="31"/>
      <c r="I25" s="19">
        <f t="shared" si="13"/>
        <v>0</v>
      </c>
      <c r="J25" s="31"/>
      <c r="K25" s="31"/>
      <c r="L25" s="36"/>
      <c r="M25" s="35"/>
      <c r="N25" s="31"/>
      <c r="O25" s="19">
        <f t="shared" si="14"/>
        <v>0</v>
      </c>
      <c r="P25" s="31"/>
      <c r="Q25" s="31">
        <f>M25</f>
        <v>0</v>
      </c>
      <c r="R25" s="36">
        <f>M25</f>
        <v>0</v>
      </c>
      <c r="S25" s="35"/>
      <c r="T25" s="31"/>
      <c r="U25" s="19">
        <f t="shared" si="15"/>
        <v>0</v>
      </c>
      <c r="V25" s="31"/>
      <c r="W25" s="45"/>
      <c r="X25" s="36">
        <f t="shared" si="33"/>
        <v>0</v>
      </c>
      <c r="Y25" s="35"/>
      <c r="Z25" s="31"/>
      <c r="AA25" s="19">
        <f t="shared" si="16"/>
        <v>0</v>
      </c>
      <c r="AB25" s="31"/>
      <c r="AC25" s="104"/>
      <c r="AD25" s="103">
        <f t="shared" si="34"/>
        <v>0</v>
      </c>
      <c r="AE25" s="35"/>
      <c r="AF25" s="31"/>
      <c r="AG25" s="19">
        <f t="shared" si="26"/>
        <v>0</v>
      </c>
      <c r="AH25" s="31"/>
      <c r="AI25" s="45"/>
      <c r="AJ25" s="103">
        <f t="shared" si="35"/>
        <v>0</v>
      </c>
      <c r="AK25" s="35"/>
      <c r="AL25" s="31"/>
      <c r="AM25" s="19">
        <f t="shared" si="17"/>
        <v>0</v>
      </c>
      <c r="AN25" s="31"/>
      <c r="AO25" s="45"/>
      <c r="AP25" s="103">
        <f t="shared" si="36"/>
        <v>0</v>
      </c>
      <c r="AQ25" s="35"/>
      <c r="AR25" s="31"/>
      <c r="AS25" s="19">
        <f t="shared" si="18"/>
        <v>0</v>
      </c>
      <c r="AT25" s="31"/>
      <c r="AU25" s="45"/>
      <c r="AV25" s="36"/>
      <c r="AW25" s="35"/>
      <c r="AX25" s="31"/>
      <c r="AY25" s="90">
        <f t="shared" si="37"/>
        <v>0</v>
      </c>
      <c r="AZ25" s="31"/>
      <c r="BA25" s="45"/>
      <c r="BB25" s="36"/>
      <c r="BC25" s="35"/>
      <c r="BD25" s="31"/>
      <c r="BE25" s="19">
        <f t="shared" si="19"/>
        <v>0</v>
      </c>
      <c r="BF25" s="31"/>
      <c r="BG25" s="45"/>
      <c r="BH25" s="36"/>
      <c r="BI25" s="35"/>
      <c r="BJ25" s="31"/>
      <c r="BK25" s="19">
        <f t="shared" si="20"/>
        <v>0</v>
      </c>
      <c r="BL25" s="31"/>
      <c r="BM25" s="45"/>
      <c r="BN25" s="36"/>
      <c r="BO25" s="35"/>
      <c r="BP25" s="102"/>
      <c r="BQ25" s="19">
        <f t="shared" si="21"/>
        <v>0</v>
      </c>
      <c r="BR25" s="31"/>
      <c r="BS25" s="45"/>
      <c r="BT25" s="36"/>
      <c r="BU25" s="18">
        <f t="shared" si="22"/>
        <v>0</v>
      </c>
      <c r="BV25" s="19">
        <f t="shared" si="23"/>
        <v>0</v>
      </c>
      <c r="BW25" s="19">
        <f t="shared" si="24"/>
        <v>0</v>
      </c>
      <c r="BX25" s="19">
        <f t="shared" si="25"/>
        <v>0</v>
      </c>
      <c r="BY25" s="19">
        <f t="shared" si="25"/>
        <v>0</v>
      </c>
      <c r="BZ25" s="37">
        <f t="shared" si="25"/>
        <v>0</v>
      </c>
      <c r="CA25" s="24"/>
      <c r="CB25" s="24"/>
    </row>
    <row r="26" spans="1:80" outlineLevel="1">
      <c r="A26" s="5" t="s">
        <v>47</v>
      </c>
      <c r="B26" s="54" t="s">
        <v>15</v>
      </c>
      <c r="C26" s="43">
        <v>0</v>
      </c>
      <c r="D26" s="23"/>
      <c r="E26" s="117">
        <f t="shared" si="27"/>
        <v>0</v>
      </c>
      <c r="F26" s="49">
        <v>0</v>
      </c>
      <c r="G26" s="35"/>
      <c r="H26" s="31"/>
      <c r="I26" s="19">
        <f t="shared" si="13"/>
        <v>0</v>
      </c>
      <c r="J26" s="31"/>
      <c r="K26" s="31"/>
      <c r="L26" s="36"/>
      <c r="M26" s="35">
        <v>33.5</v>
      </c>
      <c r="N26" s="31"/>
      <c r="O26" s="19">
        <f t="shared" si="14"/>
        <v>33.5</v>
      </c>
      <c r="P26" s="31"/>
      <c r="Q26" s="31">
        <f>M26</f>
        <v>33.5</v>
      </c>
      <c r="R26" s="36">
        <f>M26</f>
        <v>33.5</v>
      </c>
      <c r="S26" s="35"/>
      <c r="T26" s="31"/>
      <c r="U26" s="19">
        <f t="shared" si="15"/>
        <v>0</v>
      </c>
      <c r="V26" s="31"/>
      <c r="W26" s="45"/>
      <c r="X26" s="36">
        <f t="shared" si="33"/>
        <v>0</v>
      </c>
      <c r="Y26" s="35"/>
      <c r="Z26" s="31"/>
      <c r="AA26" s="19">
        <f t="shared" si="16"/>
        <v>0</v>
      </c>
      <c r="AB26" s="31"/>
      <c r="AC26" s="104"/>
      <c r="AD26" s="103">
        <f t="shared" si="34"/>
        <v>0</v>
      </c>
      <c r="AE26" s="35"/>
      <c r="AF26" s="31"/>
      <c r="AG26" s="19">
        <f t="shared" si="26"/>
        <v>0</v>
      </c>
      <c r="AH26" s="31"/>
      <c r="AI26" s="45"/>
      <c r="AJ26" s="103">
        <f t="shared" si="35"/>
        <v>0</v>
      </c>
      <c r="AK26" s="35"/>
      <c r="AL26" s="31"/>
      <c r="AM26" s="19">
        <f t="shared" si="17"/>
        <v>0</v>
      </c>
      <c r="AN26" s="31"/>
      <c r="AO26" s="45"/>
      <c r="AP26" s="103">
        <f t="shared" si="36"/>
        <v>0</v>
      </c>
      <c r="AQ26" s="35"/>
      <c r="AR26" s="31"/>
      <c r="AS26" s="19">
        <f t="shared" si="18"/>
        <v>0</v>
      </c>
      <c r="AT26" s="31"/>
      <c r="AU26" s="45"/>
      <c r="AV26" s="36"/>
      <c r="AW26" s="35"/>
      <c r="AX26" s="31"/>
      <c r="AY26" s="90">
        <f t="shared" si="37"/>
        <v>0</v>
      </c>
      <c r="AZ26" s="31"/>
      <c r="BA26" s="45"/>
      <c r="BB26" s="36"/>
      <c r="BC26" s="35"/>
      <c r="BD26" s="31"/>
      <c r="BE26" s="19">
        <f t="shared" si="19"/>
        <v>0</v>
      </c>
      <c r="BF26" s="31"/>
      <c r="BG26" s="45"/>
      <c r="BH26" s="36"/>
      <c r="BI26" s="35"/>
      <c r="BJ26" s="31"/>
      <c r="BK26" s="19">
        <f t="shared" si="20"/>
        <v>0</v>
      </c>
      <c r="BL26" s="31"/>
      <c r="BM26" s="45"/>
      <c r="BN26" s="36"/>
      <c r="BO26" s="35"/>
      <c r="BP26" s="102"/>
      <c r="BQ26" s="19">
        <f t="shared" si="21"/>
        <v>0</v>
      </c>
      <c r="BR26" s="31">
        <v>9.43</v>
      </c>
      <c r="BS26" s="45"/>
      <c r="BT26" s="36"/>
      <c r="BU26" s="18">
        <f t="shared" si="22"/>
        <v>33.5</v>
      </c>
      <c r="BV26" s="19">
        <f t="shared" si="23"/>
        <v>0</v>
      </c>
      <c r="BW26" s="19">
        <f t="shared" si="24"/>
        <v>33.5</v>
      </c>
      <c r="BX26" s="19">
        <f t="shared" si="25"/>
        <v>9.43</v>
      </c>
      <c r="BY26" s="19">
        <f t="shared" si="25"/>
        <v>33.5</v>
      </c>
      <c r="BZ26" s="37">
        <f t="shared" si="25"/>
        <v>33.5</v>
      </c>
      <c r="CA26" s="24"/>
      <c r="CB26" s="24"/>
    </row>
    <row r="27" spans="1:80" outlineLevel="1">
      <c r="A27" s="5" t="s">
        <v>48</v>
      </c>
      <c r="B27" s="54" t="s">
        <v>33</v>
      </c>
      <c r="C27" s="43">
        <v>0</v>
      </c>
      <c r="D27" s="23"/>
      <c r="E27" s="117"/>
      <c r="F27" s="49">
        <v>0</v>
      </c>
      <c r="G27" s="35"/>
      <c r="H27" s="31"/>
      <c r="I27" s="19">
        <f t="shared" si="13"/>
        <v>0</v>
      </c>
      <c r="J27" s="31"/>
      <c r="K27" s="31"/>
      <c r="L27" s="36"/>
      <c r="M27" s="35"/>
      <c r="N27" s="31">
        <f>Q27</f>
        <v>0</v>
      </c>
      <c r="O27" s="19">
        <f t="shared" si="14"/>
        <v>0</v>
      </c>
      <c r="P27" s="31"/>
      <c r="Q27" s="31"/>
      <c r="R27" s="36"/>
      <c r="S27" s="35"/>
      <c r="T27" s="31"/>
      <c r="U27" s="19">
        <f t="shared" si="15"/>
        <v>0</v>
      </c>
      <c r="V27" s="31"/>
      <c r="W27" s="45"/>
      <c r="X27" s="36">
        <f t="shared" si="33"/>
        <v>0</v>
      </c>
      <c r="Y27" s="35"/>
      <c r="Z27" s="31"/>
      <c r="AA27" s="19">
        <f t="shared" si="16"/>
        <v>0</v>
      </c>
      <c r="AB27" s="31"/>
      <c r="AC27" s="104"/>
      <c r="AD27" s="103">
        <f t="shared" si="34"/>
        <v>0</v>
      </c>
      <c r="AE27" s="35"/>
      <c r="AF27" s="31"/>
      <c r="AG27" s="19">
        <f t="shared" si="26"/>
        <v>0</v>
      </c>
      <c r="AH27" s="31"/>
      <c r="AI27" s="45"/>
      <c r="AJ27" s="103">
        <f t="shared" si="35"/>
        <v>0</v>
      </c>
      <c r="AK27" s="35"/>
      <c r="AL27" s="31"/>
      <c r="AM27" s="19">
        <f t="shared" si="17"/>
        <v>0</v>
      </c>
      <c r="AN27" s="31"/>
      <c r="AO27" s="45"/>
      <c r="AP27" s="103">
        <f t="shared" si="36"/>
        <v>0</v>
      </c>
      <c r="AQ27" s="35"/>
      <c r="AR27" s="31"/>
      <c r="AS27" s="19">
        <f t="shared" si="18"/>
        <v>0</v>
      </c>
      <c r="AT27" s="31"/>
      <c r="AU27" s="45"/>
      <c r="AV27" s="36"/>
      <c r="AW27" s="35"/>
      <c r="AX27" s="31"/>
      <c r="AY27" s="90">
        <f t="shared" si="37"/>
        <v>0</v>
      </c>
      <c r="AZ27" s="31"/>
      <c r="BA27" s="45"/>
      <c r="BB27" s="36"/>
      <c r="BC27" s="35"/>
      <c r="BD27" s="31"/>
      <c r="BE27" s="19">
        <f t="shared" si="19"/>
        <v>0</v>
      </c>
      <c r="BF27" s="31"/>
      <c r="BG27" s="45"/>
      <c r="BH27" s="36"/>
      <c r="BI27" s="35"/>
      <c r="BJ27" s="31"/>
      <c r="BK27" s="19">
        <f t="shared" si="20"/>
        <v>0</v>
      </c>
      <c r="BL27" s="31"/>
      <c r="BM27" s="45"/>
      <c r="BN27" s="36"/>
      <c r="BO27" s="35"/>
      <c r="BP27" s="102"/>
      <c r="BQ27" s="19">
        <f t="shared" si="21"/>
        <v>0</v>
      </c>
      <c r="BR27" s="31"/>
      <c r="BS27" s="45"/>
      <c r="BT27" s="36"/>
      <c r="BU27" s="18">
        <f t="shared" si="22"/>
        <v>0</v>
      </c>
      <c r="BV27" s="19">
        <f t="shared" si="23"/>
        <v>0</v>
      </c>
      <c r="BW27" s="19">
        <f t="shared" si="24"/>
        <v>0</v>
      </c>
      <c r="BX27" s="19">
        <f t="shared" si="25"/>
        <v>0</v>
      </c>
      <c r="BY27" s="19">
        <f t="shared" si="25"/>
        <v>0</v>
      </c>
      <c r="BZ27" s="37">
        <f t="shared" si="25"/>
        <v>0</v>
      </c>
      <c r="CA27" s="24"/>
      <c r="CB27" s="24"/>
    </row>
    <row r="28" spans="1:80" outlineLevel="1">
      <c r="A28" s="5" t="s">
        <v>49</v>
      </c>
      <c r="B28" s="54" t="s">
        <v>25</v>
      </c>
      <c r="C28" s="43">
        <v>0</v>
      </c>
      <c r="D28" s="23"/>
      <c r="E28" s="117"/>
      <c r="F28" s="49">
        <v>0</v>
      </c>
      <c r="G28" s="35"/>
      <c r="H28" s="31"/>
      <c r="I28" s="19">
        <f t="shared" si="13"/>
        <v>0</v>
      </c>
      <c r="J28" s="31"/>
      <c r="K28" s="31"/>
      <c r="L28" s="36"/>
      <c r="M28" s="35"/>
      <c r="N28" s="31">
        <f>Q28</f>
        <v>0</v>
      </c>
      <c r="O28" s="19">
        <f t="shared" si="14"/>
        <v>0</v>
      </c>
      <c r="P28" s="31"/>
      <c r="Q28" s="31"/>
      <c r="R28" s="36"/>
      <c r="S28" s="35"/>
      <c r="T28" s="31"/>
      <c r="U28" s="19">
        <f t="shared" si="15"/>
        <v>0</v>
      </c>
      <c r="V28" s="31"/>
      <c r="W28" s="45"/>
      <c r="X28" s="36">
        <f t="shared" si="33"/>
        <v>0</v>
      </c>
      <c r="Y28" s="35"/>
      <c r="Z28" s="31"/>
      <c r="AA28" s="19">
        <f t="shared" si="16"/>
        <v>0</v>
      </c>
      <c r="AB28" s="31"/>
      <c r="AC28" s="104"/>
      <c r="AD28" s="103">
        <f t="shared" si="34"/>
        <v>0</v>
      </c>
      <c r="AE28" s="35"/>
      <c r="AF28" s="31"/>
      <c r="AG28" s="19">
        <f t="shared" si="26"/>
        <v>0</v>
      </c>
      <c r="AH28" s="31"/>
      <c r="AI28" s="45"/>
      <c r="AJ28" s="103">
        <f t="shared" si="35"/>
        <v>0</v>
      </c>
      <c r="AK28" s="35"/>
      <c r="AL28" s="31"/>
      <c r="AM28" s="19">
        <f t="shared" si="17"/>
        <v>0</v>
      </c>
      <c r="AN28" s="31"/>
      <c r="AO28" s="45"/>
      <c r="AP28" s="103">
        <f t="shared" si="36"/>
        <v>0</v>
      </c>
      <c r="AQ28" s="35">
        <v>49.68</v>
      </c>
      <c r="AR28" s="31"/>
      <c r="AS28" s="19">
        <f t="shared" si="18"/>
        <v>49.68</v>
      </c>
      <c r="AT28" s="31"/>
      <c r="AU28" s="45"/>
      <c r="AV28" s="36"/>
      <c r="AW28" s="35">
        <v>43.11</v>
      </c>
      <c r="AX28" s="31"/>
      <c r="AY28" s="90">
        <f t="shared" si="37"/>
        <v>43.11</v>
      </c>
      <c r="AZ28" s="31"/>
      <c r="BA28" s="45"/>
      <c r="BB28" s="36"/>
      <c r="BC28" s="35"/>
      <c r="BD28" s="31"/>
      <c r="BE28" s="19">
        <f t="shared" si="19"/>
        <v>0</v>
      </c>
      <c r="BF28" s="31"/>
      <c r="BG28" s="45"/>
      <c r="BH28" s="36"/>
      <c r="BI28" s="35"/>
      <c r="BJ28" s="31"/>
      <c r="BK28" s="19">
        <f t="shared" si="20"/>
        <v>0</v>
      </c>
      <c r="BL28" s="31"/>
      <c r="BM28" s="45"/>
      <c r="BN28" s="36"/>
      <c r="BO28" s="35"/>
      <c r="BP28" s="102"/>
      <c r="BQ28" s="19">
        <f t="shared" si="21"/>
        <v>0</v>
      </c>
      <c r="BR28" s="31"/>
      <c r="BS28" s="45"/>
      <c r="BT28" s="36"/>
      <c r="BU28" s="18">
        <f t="shared" si="22"/>
        <v>92.789999999999992</v>
      </c>
      <c r="BV28" s="19">
        <f t="shared" si="23"/>
        <v>0</v>
      </c>
      <c r="BW28" s="19">
        <f t="shared" si="24"/>
        <v>92.789999999999992</v>
      </c>
      <c r="BX28" s="19">
        <f t="shared" si="25"/>
        <v>0</v>
      </c>
      <c r="BY28" s="19">
        <f t="shared" si="25"/>
        <v>0</v>
      </c>
      <c r="BZ28" s="37">
        <f t="shared" si="25"/>
        <v>0</v>
      </c>
      <c r="CA28" s="24"/>
      <c r="CB28" s="24"/>
    </row>
    <row r="29" spans="1:80" s="12" customFormat="1">
      <c r="A29" s="61" t="s">
        <v>6</v>
      </c>
      <c r="B29" s="59"/>
      <c r="C29" s="40">
        <f>C9-C11</f>
        <v>-59.55</v>
      </c>
      <c r="D29" s="30">
        <f t="shared" ref="D29:BN29" si="38">D9-D11</f>
        <v>0</v>
      </c>
      <c r="E29" s="30">
        <f t="shared" si="38"/>
        <v>-59.55</v>
      </c>
      <c r="F29" s="41">
        <f t="shared" si="38"/>
        <v>-59.55</v>
      </c>
      <c r="G29" s="40">
        <f t="shared" si="38"/>
        <v>-153.50000000000003</v>
      </c>
      <c r="H29" s="30">
        <f t="shared" si="38"/>
        <v>0</v>
      </c>
      <c r="I29" s="30">
        <f t="shared" si="38"/>
        <v>-153.50000000000003</v>
      </c>
      <c r="J29" s="30">
        <f t="shared" si="38"/>
        <v>0</v>
      </c>
      <c r="K29" s="30">
        <f t="shared" si="38"/>
        <v>-153.50000000000003</v>
      </c>
      <c r="L29" s="41">
        <f t="shared" si="38"/>
        <v>-153.50000000000003</v>
      </c>
      <c r="M29" s="40">
        <f t="shared" si="38"/>
        <v>-198.19</v>
      </c>
      <c r="N29" s="30">
        <f t="shared" si="38"/>
        <v>0</v>
      </c>
      <c r="O29" s="30">
        <f t="shared" si="38"/>
        <v>-198.19</v>
      </c>
      <c r="P29" s="30">
        <f t="shared" si="38"/>
        <v>0</v>
      </c>
      <c r="Q29" s="30">
        <f t="shared" si="38"/>
        <v>-198.19</v>
      </c>
      <c r="R29" s="41">
        <f t="shared" si="38"/>
        <v>-198.19</v>
      </c>
      <c r="S29" s="40">
        <f>S9-S11</f>
        <v>-130.02000000000001</v>
      </c>
      <c r="T29" s="30">
        <f>T9-T11</f>
        <v>0</v>
      </c>
      <c r="U29" s="30">
        <f t="shared" si="38"/>
        <v>-130.02000000000001</v>
      </c>
      <c r="V29" s="30">
        <f t="shared" si="38"/>
        <v>0</v>
      </c>
      <c r="W29" s="47">
        <f t="shared" si="38"/>
        <v>-170.90299999999999</v>
      </c>
      <c r="X29" s="41">
        <f t="shared" si="38"/>
        <v>-130.02000000000001</v>
      </c>
      <c r="Y29" s="40">
        <f>Y9-Y11</f>
        <v>-19.350000000000023</v>
      </c>
      <c r="Z29" s="30">
        <f>Z9-Z11</f>
        <v>0</v>
      </c>
      <c r="AA29" s="30">
        <f t="shared" si="38"/>
        <v>-19.350000000000023</v>
      </c>
      <c r="AB29" s="30">
        <f t="shared" si="38"/>
        <v>0</v>
      </c>
      <c r="AC29" s="47">
        <f t="shared" si="38"/>
        <v>-187.67999999999998</v>
      </c>
      <c r="AD29" s="41">
        <f t="shared" si="38"/>
        <v>-19.350000000000023</v>
      </c>
      <c r="AE29" s="40">
        <f>AE9-AE11</f>
        <v>-224.27</v>
      </c>
      <c r="AF29" s="30">
        <f>AF9-AF11</f>
        <v>0</v>
      </c>
      <c r="AG29" s="30">
        <f t="shared" si="38"/>
        <v>-224.27</v>
      </c>
      <c r="AH29" s="30">
        <f t="shared" si="38"/>
        <v>4.1500000000000004</v>
      </c>
      <c r="AI29" s="47">
        <f t="shared" si="38"/>
        <v>-130.31</v>
      </c>
      <c r="AJ29" s="41">
        <f t="shared" si="38"/>
        <v>-224.27</v>
      </c>
      <c r="AK29" s="40">
        <f>AK9-AK11</f>
        <v>-75.550000000000011</v>
      </c>
      <c r="AL29" s="30">
        <f>AL9-AL11</f>
        <v>0</v>
      </c>
      <c r="AM29" s="30">
        <f t="shared" si="38"/>
        <v>-75.550000000000011</v>
      </c>
      <c r="AN29" s="30">
        <f t="shared" si="38"/>
        <v>-23.140000000000004</v>
      </c>
      <c r="AO29" s="47">
        <f t="shared" si="38"/>
        <v>-139.96600000000001</v>
      </c>
      <c r="AP29" s="41">
        <f t="shared" si="38"/>
        <v>-75.550000000000011</v>
      </c>
      <c r="AQ29" s="40">
        <f>AQ9-AQ11</f>
        <v>-190.21</v>
      </c>
      <c r="AR29" s="30">
        <f>AR9-AR11</f>
        <v>0</v>
      </c>
      <c r="AS29" s="30">
        <f t="shared" si="38"/>
        <v>-190.21</v>
      </c>
      <c r="AT29" s="30">
        <f t="shared" si="38"/>
        <v>-19.220000000000002</v>
      </c>
      <c r="AU29" s="47">
        <f t="shared" si="38"/>
        <v>-89.529999999999987</v>
      </c>
      <c r="AV29" s="41">
        <f t="shared" si="38"/>
        <v>-113.85000000000002</v>
      </c>
      <c r="AW29" s="40">
        <f>AW9-AW11</f>
        <v>-174.5</v>
      </c>
      <c r="AX29" s="30">
        <f>AX9-AX11</f>
        <v>0</v>
      </c>
      <c r="AY29" s="30">
        <f t="shared" si="38"/>
        <v>-174.5</v>
      </c>
      <c r="AZ29" s="30">
        <f t="shared" si="38"/>
        <v>-78.579999999999984</v>
      </c>
      <c r="BA29" s="47">
        <f t="shared" si="38"/>
        <v>-70.101769911504419</v>
      </c>
      <c r="BB29" s="41">
        <f t="shared" si="38"/>
        <v>-71.910000000000011</v>
      </c>
      <c r="BC29" s="40">
        <f>BC9-BC11</f>
        <v>-142.11000000000001</v>
      </c>
      <c r="BD29" s="30">
        <f>BD9-BD11</f>
        <v>0</v>
      </c>
      <c r="BE29" s="30">
        <f t="shared" si="38"/>
        <v>-142.11000000000001</v>
      </c>
      <c r="BF29" s="30">
        <f t="shared" si="38"/>
        <v>-95.100000000000009</v>
      </c>
      <c r="BG29" s="47">
        <f t="shared" si="38"/>
        <v>-108.3</v>
      </c>
      <c r="BH29" s="41">
        <f t="shared" si="38"/>
        <v>-98.499999999999986</v>
      </c>
      <c r="BI29" s="40">
        <f>BI9-BI11</f>
        <v>39.28</v>
      </c>
      <c r="BJ29" s="30">
        <f>BJ9-BJ11</f>
        <v>0</v>
      </c>
      <c r="BK29" s="30">
        <f t="shared" si="38"/>
        <v>39.28</v>
      </c>
      <c r="BL29" s="30">
        <f t="shared" si="38"/>
        <v>3.9999999999992042E-2</v>
      </c>
      <c r="BM29" s="47">
        <f t="shared" si="38"/>
        <v>-7</v>
      </c>
      <c r="BN29" s="41">
        <f t="shared" si="38"/>
        <v>-5.7400000000000091</v>
      </c>
      <c r="BO29" s="40">
        <f>BO9-BO11</f>
        <v>-155.85999999999996</v>
      </c>
      <c r="BP29" s="30">
        <f>BP9-BP11</f>
        <v>0</v>
      </c>
      <c r="BQ29" s="30">
        <f t="shared" ref="BQ29:BZ29" si="39">BQ9-BQ11</f>
        <v>-155.85999999999996</v>
      </c>
      <c r="BR29" s="30">
        <f t="shared" si="39"/>
        <v>-48.09</v>
      </c>
      <c r="BS29" s="47">
        <f t="shared" si="39"/>
        <v>-192.79000000000002</v>
      </c>
      <c r="BT29" s="41">
        <f t="shared" si="39"/>
        <v>-219.3</v>
      </c>
      <c r="BU29" s="40">
        <f t="shared" si="39"/>
        <v>-1483.8300000000004</v>
      </c>
      <c r="BV29" s="30">
        <f t="shared" si="39"/>
        <v>0</v>
      </c>
      <c r="BW29" s="30">
        <f t="shared" si="39"/>
        <v>-1483.8300000000004</v>
      </c>
      <c r="BX29" s="30">
        <f t="shared" si="39"/>
        <v>-259.94000000000005</v>
      </c>
      <c r="BY29" s="30">
        <f t="shared" si="39"/>
        <v>-1507.8207699115046</v>
      </c>
      <c r="BZ29" s="41">
        <f t="shared" si="39"/>
        <v>-1369.73</v>
      </c>
      <c r="CA29" s="24"/>
      <c r="CB29" s="24"/>
    </row>
    <row r="30" spans="1:80">
      <c r="A30" s="62" t="s">
        <v>83</v>
      </c>
      <c r="B30" s="56"/>
      <c r="C30" s="20">
        <f>SUM(C31:C46)</f>
        <v>289.52999999999997</v>
      </c>
      <c r="D30" s="21">
        <f t="shared" ref="D30:BN30" si="40">SUM(D31:D46)</f>
        <v>26.81</v>
      </c>
      <c r="E30" s="21">
        <f t="shared" si="40"/>
        <v>289.52999999999997</v>
      </c>
      <c r="F30" s="39">
        <f t="shared" si="40"/>
        <v>289.52999999999997</v>
      </c>
      <c r="G30" s="20">
        <f t="shared" si="40"/>
        <v>80.710000000000008</v>
      </c>
      <c r="H30" s="21">
        <f t="shared" si="40"/>
        <v>0</v>
      </c>
      <c r="I30" s="21">
        <f t="shared" si="40"/>
        <v>80.710000000000008</v>
      </c>
      <c r="J30" s="21">
        <f t="shared" si="40"/>
        <v>28.13</v>
      </c>
      <c r="K30" s="21">
        <f t="shared" si="40"/>
        <v>80.710000000000008</v>
      </c>
      <c r="L30" s="39">
        <f t="shared" si="40"/>
        <v>80.710000000000008</v>
      </c>
      <c r="M30" s="20">
        <f t="shared" si="40"/>
        <v>132.18</v>
      </c>
      <c r="N30" s="21">
        <f t="shared" si="40"/>
        <v>0</v>
      </c>
      <c r="O30" s="21">
        <f t="shared" si="40"/>
        <v>132.18</v>
      </c>
      <c r="P30" s="21">
        <f t="shared" si="40"/>
        <v>31.64</v>
      </c>
      <c r="Q30" s="21">
        <f t="shared" si="40"/>
        <v>132.18</v>
      </c>
      <c r="R30" s="39">
        <f t="shared" si="40"/>
        <v>132.18</v>
      </c>
      <c r="S30" s="20">
        <f>SUM(S31:S46)</f>
        <v>113.93</v>
      </c>
      <c r="T30" s="21">
        <f>SUM(T31:T46)</f>
        <v>0</v>
      </c>
      <c r="U30" s="21">
        <f t="shared" si="40"/>
        <v>113.93</v>
      </c>
      <c r="V30" s="21">
        <f t="shared" si="40"/>
        <v>50.1</v>
      </c>
      <c r="W30" s="45">
        <f t="shared" si="40"/>
        <v>97.62</v>
      </c>
      <c r="X30" s="39">
        <f t="shared" si="40"/>
        <v>113.93</v>
      </c>
      <c r="Y30" s="20">
        <f>SUM(Y31:Y46)</f>
        <v>83.87</v>
      </c>
      <c r="Z30" s="21">
        <f>SUM(Z31:Z46)</f>
        <v>0</v>
      </c>
      <c r="AA30" s="21">
        <f t="shared" si="40"/>
        <v>83.87</v>
      </c>
      <c r="AB30" s="21">
        <f t="shared" si="40"/>
        <v>73.400000000000006</v>
      </c>
      <c r="AC30" s="45">
        <f t="shared" si="40"/>
        <v>112.59</v>
      </c>
      <c r="AD30" s="39">
        <f t="shared" si="40"/>
        <v>83.87</v>
      </c>
      <c r="AE30" s="20">
        <f>SUM(AE31:AE46)</f>
        <v>130.73000000000002</v>
      </c>
      <c r="AF30" s="21">
        <f>SUM(AF31:AF46)</f>
        <v>0</v>
      </c>
      <c r="AG30" s="21">
        <f t="shared" si="40"/>
        <v>130.73000000000002</v>
      </c>
      <c r="AH30" s="21">
        <f t="shared" si="40"/>
        <v>121</v>
      </c>
      <c r="AI30" s="45">
        <f t="shared" si="40"/>
        <v>140.69999999999999</v>
      </c>
      <c r="AJ30" s="39">
        <f t="shared" si="40"/>
        <v>130.73000000000002</v>
      </c>
      <c r="AK30" s="20">
        <f>SUM(AK31:AK46)</f>
        <v>94.56</v>
      </c>
      <c r="AL30" s="21">
        <f>SUM(AL31:AL46)</f>
        <v>0</v>
      </c>
      <c r="AM30" s="21">
        <f t="shared" si="40"/>
        <v>94.56</v>
      </c>
      <c r="AN30" s="21">
        <f t="shared" si="40"/>
        <v>234.38000000000002</v>
      </c>
      <c r="AO30" s="45">
        <f t="shared" si="40"/>
        <v>91.4</v>
      </c>
      <c r="AP30" s="39">
        <f t="shared" si="40"/>
        <v>94.56</v>
      </c>
      <c r="AQ30" s="20">
        <f>SUM(AQ31:AQ46)</f>
        <v>49.739999999999995</v>
      </c>
      <c r="AR30" s="21">
        <f>SUM(AR31:AR46)</f>
        <v>0</v>
      </c>
      <c r="AS30" s="21">
        <f t="shared" si="40"/>
        <v>49.739999999999995</v>
      </c>
      <c r="AT30" s="21">
        <f t="shared" si="40"/>
        <v>234.88</v>
      </c>
      <c r="AU30" s="45">
        <f t="shared" si="40"/>
        <v>103.4</v>
      </c>
      <c r="AV30" s="39">
        <f t="shared" si="40"/>
        <v>75.7</v>
      </c>
      <c r="AW30" s="20">
        <f>SUM(AW31:AW46)</f>
        <v>85.47</v>
      </c>
      <c r="AX30" s="21">
        <f>SUM(AX31:AX46)</f>
        <v>0</v>
      </c>
      <c r="AY30" s="21">
        <f t="shared" si="40"/>
        <v>85.19</v>
      </c>
      <c r="AZ30" s="21">
        <f t="shared" si="40"/>
        <v>279.66000000000003</v>
      </c>
      <c r="BA30" s="45">
        <f t="shared" si="40"/>
        <v>96.5</v>
      </c>
      <c r="BB30" s="39">
        <f t="shared" si="40"/>
        <v>96.5</v>
      </c>
      <c r="BC30" s="20">
        <f>SUM(BC31:BC46)</f>
        <v>85.85</v>
      </c>
      <c r="BD30" s="21">
        <f>SUM(BD31:BD46)</f>
        <v>0</v>
      </c>
      <c r="BE30" s="21">
        <f t="shared" si="40"/>
        <v>85.85</v>
      </c>
      <c r="BF30" s="21">
        <f t="shared" si="40"/>
        <v>321.09000000000003</v>
      </c>
      <c r="BG30" s="45">
        <f t="shared" si="40"/>
        <v>75.5</v>
      </c>
      <c r="BH30" s="39">
        <f t="shared" si="40"/>
        <v>81.2</v>
      </c>
      <c r="BI30" s="20">
        <f>SUM(BI31:BI46)</f>
        <v>88.509999999999991</v>
      </c>
      <c r="BJ30" s="21">
        <f>SUM(BJ31:BJ46)</f>
        <v>0</v>
      </c>
      <c r="BK30" s="21">
        <f t="shared" si="40"/>
        <v>88.509999999999991</v>
      </c>
      <c r="BL30" s="21">
        <f t="shared" si="40"/>
        <v>277.75</v>
      </c>
      <c r="BM30" s="45">
        <f t="shared" si="40"/>
        <v>82.5</v>
      </c>
      <c r="BN30" s="39">
        <f t="shared" si="40"/>
        <v>76.7</v>
      </c>
      <c r="BO30" s="20">
        <f>SUM(BO31:BO46)</f>
        <v>218.52999999999997</v>
      </c>
      <c r="BP30" s="21">
        <f>SUM(BP31:BP46)</f>
        <v>0</v>
      </c>
      <c r="BQ30" s="21">
        <f t="shared" ref="BQ30:BZ30" si="41">SUM(BQ31:BQ46)</f>
        <v>218.52999999999997</v>
      </c>
      <c r="BR30" s="21">
        <f t="shared" si="41"/>
        <v>397.85999999999996</v>
      </c>
      <c r="BS30" s="45">
        <f t="shared" si="41"/>
        <v>113.5</v>
      </c>
      <c r="BT30" s="39">
        <f t="shared" si="41"/>
        <v>135.19999999999999</v>
      </c>
      <c r="BU30" s="20">
        <f t="shared" si="41"/>
        <v>1453.6100000000001</v>
      </c>
      <c r="BV30" s="21">
        <f t="shared" si="41"/>
        <v>0</v>
      </c>
      <c r="BW30" s="21">
        <f t="shared" si="41"/>
        <v>1453.6100000000001</v>
      </c>
      <c r="BX30" s="21">
        <f t="shared" si="41"/>
        <v>2076.6999999999998</v>
      </c>
      <c r="BY30" s="21">
        <f t="shared" si="41"/>
        <v>1416.1299999999999</v>
      </c>
      <c r="BZ30" s="39">
        <f t="shared" si="41"/>
        <v>1390.81</v>
      </c>
      <c r="CA30" s="24"/>
      <c r="CB30" s="24"/>
    </row>
    <row r="31" spans="1:80" outlineLevel="1">
      <c r="A31" s="5" t="s">
        <v>50</v>
      </c>
      <c r="B31" s="54" t="s">
        <v>9</v>
      </c>
      <c r="C31" s="43">
        <v>0</v>
      </c>
      <c r="D31" s="23"/>
      <c r="E31" s="117"/>
      <c r="F31" s="49">
        <v>0</v>
      </c>
      <c r="G31" s="35"/>
      <c r="H31" s="31"/>
      <c r="I31" s="19">
        <f t="shared" ref="I31:I46" si="42">G31</f>
        <v>0</v>
      </c>
      <c r="J31" s="31"/>
      <c r="K31" s="31"/>
      <c r="L31" s="36"/>
      <c r="M31" s="35"/>
      <c r="N31" s="31"/>
      <c r="O31" s="19">
        <f t="shared" ref="O31:O46" si="43">M31</f>
        <v>0</v>
      </c>
      <c r="P31" s="31"/>
      <c r="Q31" s="31"/>
      <c r="R31" s="36"/>
      <c r="S31" s="35"/>
      <c r="T31" s="31"/>
      <c r="U31" s="19">
        <f t="shared" ref="U31:U46" si="44">SUM(S31:T31)</f>
        <v>0</v>
      </c>
      <c r="V31" s="31"/>
      <c r="W31" s="45"/>
      <c r="X31" s="36"/>
      <c r="Y31" s="35"/>
      <c r="Z31" s="31"/>
      <c r="AA31" s="19">
        <f t="shared" ref="AA31:AA46" si="45">Y31</f>
        <v>0</v>
      </c>
      <c r="AB31" s="31"/>
      <c r="AC31" s="45"/>
      <c r="AD31" s="36">
        <f>Y31</f>
        <v>0</v>
      </c>
      <c r="AE31" s="35"/>
      <c r="AF31" s="31"/>
      <c r="AG31" s="19">
        <f>AE31</f>
        <v>0</v>
      </c>
      <c r="AH31" s="31"/>
      <c r="AI31" s="45"/>
      <c r="AJ31" s="36"/>
      <c r="AK31" s="35"/>
      <c r="AL31" s="31"/>
      <c r="AM31" s="19">
        <f t="shared" ref="AM31:AM46" si="46">SUM(AK31:AL31)</f>
        <v>0</v>
      </c>
      <c r="AN31" s="31">
        <v>0.12</v>
      </c>
      <c r="AO31" s="45"/>
      <c r="AP31" s="36"/>
      <c r="AQ31" s="35"/>
      <c r="AR31" s="31"/>
      <c r="AS31" s="19">
        <f t="shared" ref="AS31:AS46" si="47">SUM(AQ31:AR31)</f>
        <v>0</v>
      </c>
      <c r="AT31" s="31"/>
      <c r="AU31" s="45"/>
      <c r="AV31" s="36"/>
      <c r="AW31" s="35"/>
      <c r="AX31" s="31"/>
      <c r="AY31" s="19"/>
      <c r="AZ31" s="31">
        <v>2.14</v>
      </c>
      <c r="BA31" s="45"/>
      <c r="BB31" s="36"/>
      <c r="BC31" s="35"/>
      <c r="BD31" s="31"/>
      <c r="BE31" s="19">
        <f t="shared" ref="BE31:BE46" si="48">SUM(BC31:BD31)</f>
        <v>0</v>
      </c>
      <c r="BF31" s="31"/>
      <c r="BG31" s="45"/>
      <c r="BH31" s="36"/>
      <c r="BI31" s="35"/>
      <c r="BJ31" s="31"/>
      <c r="BK31" s="19">
        <f t="shared" ref="BK31:BK46" si="49">SUM(BI31:BJ31)</f>
        <v>0</v>
      </c>
      <c r="BL31" s="31"/>
      <c r="BM31" s="45"/>
      <c r="BN31" s="36"/>
      <c r="BO31" s="35">
        <f>41.36+2.96+9.47+10.55+1</f>
        <v>65.34</v>
      </c>
      <c r="BP31" s="31"/>
      <c r="BQ31" s="19">
        <f t="shared" ref="BQ31:BQ46" si="50">SUM(BO31:BP31)</f>
        <v>65.34</v>
      </c>
      <c r="BR31" s="31"/>
      <c r="BS31" s="45"/>
      <c r="BT31" s="36"/>
      <c r="BU31" s="18">
        <f t="shared" ref="BU31:BU46" si="51">C31+G31+M31+S31+Y31+AE31+AK31+AQ31+AW31+BC31+BI31+BO31</f>
        <v>65.34</v>
      </c>
      <c r="BV31" s="19">
        <f t="shared" ref="BV31:BV46" si="52">BP31+BJ31</f>
        <v>0</v>
      </c>
      <c r="BW31" s="19">
        <f t="shared" ref="BW31:BW46" si="53">SUM(BU31:BV31)</f>
        <v>65.34</v>
      </c>
      <c r="BX31" s="19">
        <f t="shared" ref="BX31:BZ46" si="54">SUMIF($C$3:$BT$3,BX$3,$C31:$BT31)</f>
        <v>2.2600000000000002</v>
      </c>
      <c r="BY31" s="19">
        <f t="shared" si="54"/>
        <v>0</v>
      </c>
      <c r="BZ31" s="37">
        <f t="shared" si="54"/>
        <v>0</v>
      </c>
      <c r="CA31" s="24"/>
      <c r="CB31" s="24"/>
    </row>
    <row r="32" spans="1:80" outlineLevel="1">
      <c r="A32" s="5" t="s">
        <v>51</v>
      </c>
      <c r="B32" s="54" t="s">
        <v>17</v>
      </c>
      <c r="C32" s="43">
        <v>0</v>
      </c>
      <c r="D32" s="23"/>
      <c r="E32" s="117"/>
      <c r="F32" s="49">
        <v>0</v>
      </c>
      <c r="G32" s="35"/>
      <c r="H32" s="31"/>
      <c r="I32" s="19">
        <f t="shared" si="42"/>
        <v>0</v>
      </c>
      <c r="J32" s="31"/>
      <c r="K32" s="31"/>
      <c r="L32" s="36"/>
      <c r="M32" s="35"/>
      <c r="N32" s="31"/>
      <c r="O32" s="19">
        <f t="shared" si="43"/>
        <v>0</v>
      </c>
      <c r="P32" s="31"/>
      <c r="Q32" s="31"/>
      <c r="R32" s="36"/>
      <c r="S32" s="35"/>
      <c r="T32" s="31"/>
      <c r="U32" s="19">
        <f t="shared" si="44"/>
        <v>0</v>
      </c>
      <c r="V32" s="31"/>
      <c r="W32" s="45"/>
      <c r="X32" s="36"/>
      <c r="Y32" s="35"/>
      <c r="Z32" s="31"/>
      <c r="AA32" s="19">
        <f t="shared" si="45"/>
        <v>0</v>
      </c>
      <c r="AB32" s="31"/>
      <c r="AC32" s="45"/>
      <c r="AD32" s="36">
        <f t="shared" ref="AD32:AD46" si="55">Y32</f>
        <v>0</v>
      </c>
      <c r="AE32" s="35"/>
      <c r="AF32" s="31"/>
      <c r="AG32" s="19">
        <f t="shared" ref="AG32:AG46" si="56">AE32</f>
        <v>0</v>
      </c>
      <c r="AH32" s="31"/>
      <c r="AI32" s="45"/>
      <c r="AJ32" s="36"/>
      <c r="AK32" s="35"/>
      <c r="AL32" s="31"/>
      <c r="AM32" s="19">
        <f t="shared" si="46"/>
        <v>0</v>
      </c>
      <c r="AN32" s="31"/>
      <c r="AO32" s="45"/>
      <c r="AP32" s="36"/>
      <c r="AQ32" s="35"/>
      <c r="AR32" s="31"/>
      <c r="AS32" s="19">
        <f t="shared" si="47"/>
        <v>0</v>
      </c>
      <c r="AT32" s="31"/>
      <c r="AU32" s="45"/>
      <c r="AV32" s="36"/>
      <c r="AW32" s="35"/>
      <c r="AX32" s="31"/>
      <c r="AY32" s="19"/>
      <c r="AZ32" s="31">
        <v>33.33</v>
      </c>
      <c r="BA32" s="45"/>
      <c r="BB32" s="36"/>
      <c r="BC32" s="35"/>
      <c r="BD32" s="31"/>
      <c r="BE32" s="19">
        <f t="shared" si="48"/>
        <v>0</v>
      </c>
      <c r="BF32" s="31"/>
      <c r="BG32" s="45"/>
      <c r="BH32" s="36"/>
      <c r="BI32" s="35"/>
      <c r="BJ32" s="31"/>
      <c r="BK32" s="19">
        <f t="shared" si="49"/>
        <v>0</v>
      </c>
      <c r="BL32" s="31"/>
      <c r="BM32" s="45"/>
      <c r="BN32" s="36"/>
      <c r="BO32" s="35"/>
      <c r="BP32" s="31"/>
      <c r="BQ32" s="19">
        <f t="shared" si="50"/>
        <v>0</v>
      </c>
      <c r="BR32" s="31">
        <v>-33</v>
      </c>
      <c r="BS32" s="45"/>
      <c r="BT32" s="36"/>
      <c r="BU32" s="18">
        <f t="shared" si="51"/>
        <v>0</v>
      </c>
      <c r="BV32" s="19">
        <f t="shared" si="52"/>
        <v>0</v>
      </c>
      <c r="BW32" s="19">
        <f t="shared" si="53"/>
        <v>0</v>
      </c>
      <c r="BX32" s="19">
        <f t="shared" si="54"/>
        <v>0.32999999999999829</v>
      </c>
      <c r="BY32" s="19">
        <f t="shared" si="54"/>
        <v>0</v>
      </c>
      <c r="BZ32" s="37">
        <f t="shared" si="54"/>
        <v>0</v>
      </c>
      <c r="CA32" s="24"/>
      <c r="CB32" s="24"/>
    </row>
    <row r="33" spans="1:80" s="93" customFormat="1" outlineLevel="1">
      <c r="A33" s="105" t="s">
        <v>52</v>
      </c>
      <c r="B33" s="86" t="s">
        <v>18</v>
      </c>
      <c r="C33" s="87">
        <v>0</v>
      </c>
      <c r="D33" s="88"/>
      <c r="E33" s="118"/>
      <c r="F33" s="89">
        <v>0</v>
      </c>
      <c r="G33" s="101"/>
      <c r="H33" s="102"/>
      <c r="I33" s="19">
        <f t="shared" si="42"/>
        <v>0</v>
      </c>
      <c r="J33" s="102"/>
      <c r="K33" s="102"/>
      <c r="L33" s="103"/>
      <c r="M33" s="101"/>
      <c r="N33" s="31"/>
      <c r="O33" s="19">
        <f t="shared" si="43"/>
        <v>0</v>
      </c>
      <c r="P33" s="102"/>
      <c r="Q33" s="102"/>
      <c r="R33" s="103"/>
      <c r="S33" s="101">
        <v>0.94</v>
      </c>
      <c r="T33" s="102"/>
      <c r="U33" s="90">
        <f t="shared" si="44"/>
        <v>0.94</v>
      </c>
      <c r="V33" s="102"/>
      <c r="W33" s="104"/>
      <c r="X33" s="103">
        <f>S33</f>
        <v>0.94</v>
      </c>
      <c r="Y33" s="101">
        <v>1.78</v>
      </c>
      <c r="Z33" s="102"/>
      <c r="AA33" s="19">
        <f t="shared" si="45"/>
        <v>1.78</v>
      </c>
      <c r="AB33" s="102">
        <v>0.02</v>
      </c>
      <c r="AC33" s="104"/>
      <c r="AD33" s="36">
        <f t="shared" si="55"/>
        <v>1.78</v>
      </c>
      <c r="AE33" s="101"/>
      <c r="AF33" s="102"/>
      <c r="AG33" s="19">
        <f t="shared" si="56"/>
        <v>0</v>
      </c>
      <c r="AH33" s="102"/>
      <c r="AI33" s="104">
        <v>2.2999999999999998</v>
      </c>
      <c r="AJ33" s="103">
        <f>AE33</f>
        <v>0</v>
      </c>
      <c r="AK33" s="101"/>
      <c r="AL33" s="102"/>
      <c r="AM33" s="90">
        <f t="shared" si="46"/>
        <v>0</v>
      </c>
      <c r="AN33" s="102"/>
      <c r="AO33" s="104"/>
      <c r="AP33" s="103"/>
      <c r="AQ33" s="101">
        <v>4.5999999999999996</v>
      </c>
      <c r="AR33" s="102"/>
      <c r="AS33" s="90">
        <f t="shared" si="47"/>
        <v>4.5999999999999996</v>
      </c>
      <c r="AT33" s="102"/>
      <c r="AU33" s="104"/>
      <c r="AV33" s="103">
        <v>1.8</v>
      </c>
      <c r="AW33" s="101">
        <v>0.28000000000000003</v>
      </c>
      <c r="AX33" s="102"/>
      <c r="AY33" s="90"/>
      <c r="AZ33" s="102">
        <v>1.7</v>
      </c>
      <c r="BA33" s="104"/>
      <c r="BB33" s="103"/>
      <c r="BC33" s="101"/>
      <c r="BD33" s="102"/>
      <c r="BE33" s="90">
        <f t="shared" si="48"/>
        <v>0</v>
      </c>
      <c r="BF33" s="102">
        <v>0.62</v>
      </c>
      <c r="BG33" s="104"/>
      <c r="BH33" s="103"/>
      <c r="BI33" s="101"/>
      <c r="BJ33" s="102"/>
      <c r="BK33" s="19">
        <f t="shared" si="49"/>
        <v>0</v>
      </c>
      <c r="BL33" s="102">
        <v>5.57</v>
      </c>
      <c r="BM33" s="104"/>
      <c r="BN33" s="103"/>
      <c r="BO33" s="101"/>
      <c r="BP33" s="102"/>
      <c r="BQ33" s="19">
        <f t="shared" si="50"/>
        <v>0</v>
      </c>
      <c r="BR33" s="102">
        <v>5.47</v>
      </c>
      <c r="BS33" s="104"/>
      <c r="BT33" s="103"/>
      <c r="BU33" s="18">
        <f t="shared" si="51"/>
        <v>7.6</v>
      </c>
      <c r="BV33" s="19">
        <f t="shared" si="52"/>
        <v>0</v>
      </c>
      <c r="BW33" s="90">
        <f t="shared" si="53"/>
        <v>7.6</v>
      </c>
      <c r="BX33" s="90">
        <f t="shared" si="54"/>
        <v>13.379999999999999</v>
      </c>
      <c r="BY33" s="90">
        <f t="shared" si="54"/>
        <v>2.2999999999999998</v>
      </c>
      <c r="BZ33" s="92">
        <f t="shared" si="54"/>
        <v>4.5199999999999996</v>
      </c>
      <c r="CA33" s="24"/>
      <c r="CB33" s="24"/>
    </row>
    <row r="34" spans="1:80" outlineLevel="1">
      <c r="A34" s="5" t="s">
        <v>36</v>
      </c>
      <c r="B34" s="54" t="s">
        <v>14</v>
      </c>
      <c r="C34" s="43">
        <v>0</v>
      </c>
      <c r="D34" s="23"/>
      <c r="E34" s="117"/>
      <c r="F34" s="49">
        <v>0</v>
      </c>
      <c r="G34" s="35"/>
      <c r="H34" s="31"/>
      <c r="I34" s="19">
        <f t="shared" si="42"/>
        <v>0</v>
      </c>
      <c r="J34" s="31"/>
      <c r="K34" s="31"/>
      <c r="L34" s="36"/>
      <c r="M34" s="35"/>
      <c r="N34" s="31"/>
      <c r="O34" s="19">
        <f t="shared" si="43"/>
        <v>0</v>
      </c>
      <c r="P34" s="31"/>
      <c r="Q34" s="31"/>
      <c r="R34" s="36"/>
      <c r="S34" s="35"/>
      <c r="T34" s="31"/>
      <c r="U34" s="19">
        <f t="shared" si="44"/>
        <v>0</v>
      </c>
      <c r="V34" s="31"/>
      <c r="W34" s="104"/>
      <c r="X34" s="103">
        <f t="shared" ref="X34:X46" si="57">S34</f>
        <v>0</v>
      </c>
      <c r="Y34" s="35"/>
      <c r="Z34" s="31"/>
      <c r="AA34" s="19">
        <f t="shared" si="45"/>
        <v>0</v>
      </c>
      <c r="AB34" s="31"/>
      <c r="AC34" s="104"/>
      <c r="AD34" s="36">
        <f t="shared" si="55"/>
        <v>0</v>
      </c>
      <c r="AE34" s="35"/>
      <c r="AF34" s="31"/>
      <c r="AG34" s="19">
        <f t="shared" si="56"/>
        <v>0</v>
      </c>
      <c r="AH34" s="31"/>
      <c r="AI34" s="45"/>
      <c r="AJ34" s="103">
        <f t="shared" ref="AJ34:AJ46" si="58">AE34</f>
        <v>0</v>
      </c>
      <c r="AK34" s="35"/>
      <c r="AL34" s="31"/>
      <c r="AM34" s="19">
        <f t="shared" si="46"/>
        <v>0</v>
      </c>
      <c r="AN34" s="31"/>
      <c r="AO34" s="45"/>
      <c r="AP34" s="36"/>
      <c r="AQ34" s="35"/>
      <c r="AR34" s="31"/>
      <c r="AS34" s="19">
        <f t="shared" si="47"/>
        <v>0</v>
      </c>
      <c r="AT34" s="31"/>
      <c r="AU34" s="45"/>
      <c r="AV34" s="36"/>
      <c r="AW34" s="35"/>
      <c r="AX34" s="31"/>
      <c r="AY34" s="19"/>
      <c r="AZ34" s="31"/>
      <c r="BA34" s="45"/>
      <c r="BB34" s="36"/>
      <c r="BC34" s="35"/>
      <c r="BD34" s="31"/>
      <c r="BE34" s="19">
        <f t="shared" si="48"/>
        <v>0</v>
      </c>
      <c r="BF34" s="31"/>
      <c r="BG34" s="45"/>
      <c r="BH34" s="36"/>
      <c r="BI34" s="35"/>
      <c r="BJ34" s="31"/>
      <c r="BK34" s="19">
        <f t="shared" si="49"/>
        <v>0</v>
      </c>
      <c r="BL34" s="31"/>
      <c r="BM34" s="45"/>
      <c r="BN34" s="36"/>
      <c r="BO34" s="35"/>
      <c r="BP34" s="31"/>
      <c r="BQ34" s="19">
        <f t="shared" si="50"/>
        <v>0</v>
      </c>
      <c r="BR34" s="31"/>
      <c r="BS34" s="45"/>
      <c r="BT34" s="36"/>
      <c r="BU34" s="18">
        <f t="shared" si="51"/>
        <v>0</v>
      </c>
      <c r="BV34" s="19">
        <f t="shared" si="52"/>
        <v>0</v>
      </c>
      <c r="BW34" s="19">
        <f t="shared" si="53"/>
        <v>0</v>
      </c>
      <c r="BX34" s="19">
        <f t="shared" si="54"/>
        <v>0</v>
      </c>
      <c r="BY34" s="19">
        <f t="shared" si="54"/>
        <v>0</v>
      </c>
      <c r="BZ34" s="37">
        <f t="shared" si="54"/>
        <v>0</v>
      </c>
      <c r="CA34" s="24"/>
      <c r="CB34" s="24"/>
    </row>
    <row r="35" spans="1:80" outlineLevel="1">
      <c r="A35" s="5" t="s">
        <v>53</v>
      </c>
      <c r="B35" s="54" t="s">
        <v>21</v>
      </c>
      <c r="C35" s="43">
        <v>0</v>
      </c>
      <c r="D35" s="23"/>
      <c r="E35" s="117"/>
      <c r="F35" s="49">
        <v>0</v>
      </c>
      <c r="G35" s="35"/>
      <c r="H35" s="31"/>
      <c r="I35" s="19">
        <f t="shared" si="42"/>
        <v>0</v>
      </c>
      <c r="J35" s="31"/>
      <c r="K35" s="31"/>
      <c r="L35" s="36"/>
      <c r="M35" s="35"/>
      <c r="N35" s="31"/>
      <c r="O35" s="19">
        <f t="shared" si="43"/>
        <v>0</v>
      </c>
      <c r="P35" s="31"/>
      <c r="Q35" s="31"/>
      <c r="R35" s="36"/>
      <c r="S35" s="35"/>
      <c r="T35" s="31"/>
      <c r="U35" s="19">
        <f t="shared" si="44"/>
        <v>0</v>
      </c>
      <c r="V35" s="31"/>
      <c r="W35" s="104"/>
      <c r="X35" s="103">
        <f t="shared" si="57"/>
        <v>0</v>
      </c>
      <c r="Y35" s="35"/>
      <c r="Z35" s="31"/>
      <c r="AA35" s="19">
        <f t="shared" si="45"/>
        <v>0</v>
      </c>
      <c r="AB35" s="31"/>
      <c r="AC35" s="104"/>
      <c r="AD35" s="36">
        <f t="shared" si="55"/>
        <v>0</v>
      </c>
      <c r="AE35" s="35"/>
      <c r="AF35" s="31"/>
      <c r="AG35" s="19">
        <f t="shared" si="56"/>
        <v>0</v>
      </c>
      <c r="AH35" s="31"/>
      <c r="AI35" s="45"/>
      <c r="AJ35" s="103">
        <f t="shared" si="58"/>
        <v>0</v>
      </c>
      <c r="AK35" s="35"/>
      <c r="AL35" s="31"/>
      <c r="AM35" s="19">
        <f t="shared" si="46"/>
        <v>0</v>
      </c>
      <c r="AN35" s="31"/>
      <c r="AO35" s="45"/>
      <c r="AP35" s="36"/>
      <c r="AQ35" s="35"/>
      <c r="AR35" s="31"/>
      <c r="AS35" s="19">
        <f t="shared" si="47"/>
        <v>0</v>
      </c>
      <c r="AT35" s="31"/>
      <c r="AU35" s="45"/>
      <c r="AV35" s="36"/>
      <c r="AW35" s="35"/>
      <c r="AX35" s="31"/>
      <c r="AY35" s="19"/>
      <c r="AZ35" s="31"/>
      <c r="BA35" s="45"/>
      <c r="BB35" s="36"/>
      <c r="BC35" s="35"/>
      <c r="BD35" s="31"/>
      <c r="BE35" s="19">
        <f t="shared" si="48"/>
        <v>0</v>
      </c>
      <c r="BF35" s="31"/>
      <c r="BG35" s="45"/>
      <c r="BH35" s="36"/>
      <c r="BI35" s="35"/>
      <c r="BJ35" s="31"/>
      <c r="BK35" s="19">
        <f t="shared" si="49"/>
        <v>0</v>
      </c>
      <c r="BL35" s="31"/>
      <c r="BM35" s="45"/>
      <c r="BN35" s="36"/>
      <c r="BO35" s="35"/>
      <c r="BP35" s="31"/>
      <c r="BQ35" s="19">
        <f t="shared" si="50"/>
        <v>0</v>
      </c>
      <c r="BR35" s="31"/>
      <c r="BS35" s="45"/>
      <c r="BT35" s="36"/>
      <c r="BU35" s="18">
        <f t="shared" si="51"/>
        <v>0</v>
      </c>
      <c r="BV35" s="19">
        <f t="shared" si="52"/>
        <v>0</v>
      </c>
      <c r="BW35" s="19">
        <f t="shared" si="53"/>
        <v>0</v>
      </c>
      <c r="BX35" s="19">
        <f t="shared" si="54"/>
        <v>0</v>
      </c>
      <c r="BY35" s="19">
        <f t="shared" si="54"/>
        <v>0</v>
      </c>
      <c r="BZ35" s="37">
        <f t="shared" si="54"/>
        <v>0</v>
      </c>
      <c r="CA35" s="24"/>
      <c r="CB35" s="24"/>
    </row>
    <row r="36" spans="1:80" s="84" customFormat="1" outlineLevel="1">
      <c r="A36" s="107" t="s">
        <v>54</v>
      </c>
      <c r="B36" s="77" t="s">
        <v>22</v>
      </c>
      <c r="C36" s="78">
        <v>0</v>
      </c>
      <c r="D36" s="79"/>
      <c r="E36" s="119"/>
      <c r="F36" s="80">
        <v>0</v>
      </c>
      <c r="G36" s="95"/>
      <c r="H36" s="96"/>
      <c r="I36" s="19">
        <f t="shared" si="42"/>
        <v>0</v>
      </c>
      <c r="J36" s="96"/>
      <c r="K36" s="96"/>
      <c r="L36" s="97"/>
      <c r="M36" s="95">
        <v>21.8</v>
      </c>
      <c r="N36" s="31"/>
      <c r="O36" s="19">
        <f t="shared" si="43"/>
        <v>21.8</v>
      </c>
      <c r="P36" s="96"/>
      <c r="Q36" s="96">
        <f>M36</f>
        <v>21.8</v>
      </c>
      <c r="R36" s="97">
        <f>M36</f>
        <v>21.8</v>
      </c>
      <c r="S36" s="95">
        <v>0.8</v>
      </c>
      <c r="T36" s="96"/>
      <c r="U36" s="81">
        <f t="shared" si="44"/>
        <v>0.8</v>
      </c>
      <c r="V36" s="96"/>
      <c r="W36" s="104"/>
      <c r="X36" s="103">
        <f t="shared" si="57"/>
        <v>0.8</v>
      </c>
      <c r="Y36" s="95">
        <v>-7.5</v>
      </c>
      <c r="Z36" s="96"/>
      <c r="AA36" s="19">
        <f t="shared" si="45"/>
        <v>-7.5</v>
      </c>
      <c r="AB36" s="96"/>
      <c r="AC36" s="104"/>
      <c r="AD36" s="36">
        <f t="shared" si="55"/>
        <v>-7.5</v>
      </c>
      <c r="AE36" s="95">
        <v>15.57</v>
      </c>
      <c r="AF36" s="96"/>
      <c r="AG36" s="19">
        <f t="shared" si="56"/>
        <v>15.57</v>
      </c>
      <c r="AH36" s="96"/>
      <c r="AI36" s="98">
        <v>33.5</v>
      </c>
      <c r="AJ36" s="103">
        <f t="shared" si="58"/>
        <v>15.57</v>
      </c>
      <c r="AK36" s="95">
        <v>0.5</v>
      </c>
      <c r="AL36" s="96"/>
      <c r="AM36" s="81">
        <f t="shared" si="46"/>
        <v>0.5</v>
      </c>
      <c r="AN36" s="96">
        <v>10.34</v>
      </c>
      <c r="AO36" s="98"/>
      <c r="AP36" s="97">
        <f>AK36</f>
        <v>0.5</v>
      </c>
      <c r="AQ36" s="95"/>
      <c r="AR36" s="96"/>
      <c r="AS36" s="81">
        <f t="shared" si="47"/>
        <v>0</v>
      </c>
      <c r="AT36" s="96">
        <v>0.28999999999999998</v>
      </c>
      <c r="AU36" s="98"/>
      <c r="AV36" s="97"/>
      <c r="AW36" s="95">
        <f>24+0.7</f>
        <v>24.7</v>
      </c>
      <c r="AX36" s="96"/>
      <c r="AY36" s="81">
        <f>AX36+AW36</f>
        <v>24.7</v>
      </c>
      <c r="AZ36" s="96">
        <v>7.57</v>
      </c>
      <c r="BA36" s="98">
        <v>15</v>
      </c>
      <c r="BB36" s="97">
        <v>15</v>
      </c>
      <c r="BC36" s="95">
        <v>0.47</v>
      </c>
      <c r="BD36" s="96"/>
      <c r="BE36" s="81">
        <f t="shared" si="48"/>
        <v>0.47</v>
      </c>
      <c r="BF36" s="96">
        <v>9.42</v>
      </c>
      <c r="BG36" s="98"/>
      <c r="BH36" s="97"/>
      <c r="BI36" s="95">
        <v>0.24</v>
      </c>
      <c r="BJ36" s="96"/>
      <c r="BK36" s="19">
        <f t="shared" si="49"/>
        <v>0.24</v>
      </c>
      <c r="BL36" s="96"/>
      <c r="BM36" s="98"/>
      <c r="BN36" s="97"/>
      <c r="BO36" s="95">
        <v>16.27</v>
      </c>
      <c r="BP36" s="96"/>
      <c r="BQ36" s="19">
        <f t="shared" si="50"/>
        <v>16.27</v>
      </c>
      <c r="BR36" s="96">
        <v>0.78</v>
      </c>
      <c r="BS36" s="98"/>
      <c r="BT36" s="97">
        <v>15</v>
      </c>
      <c r="BU36" s="18">
        <f t="shared" si="51"/>
        <v>72.850000000000009</v>
      </c>
      <c r="BV36" s="19">
        <f t="shared" si="52"/>
        <v>0</v>
      </c>
      <c r="BW36" s="81">
        <f t="shared" si="53"/>
        <v>72.850000000000009</v>
      </c>
      <c r="BX36" s="81">
        <f t="shared" si="54"/>
        <v>28.4</v>
      </c>
      <c r="BY36" s="81">
        <f t="shared" si="54"/>
        <v>70.3</v>
      </c>
      <c r="BZ36" s="83">
        <f t="shared" si="54"/>
        <v>61.17</v>
      </c>
      <c r="CA36" s="24"/>
      <c r="CB36" s="24"/>
    </row>
    <row r="37" spans="1:80" outlineLevel="1">
      <c r="A37" s="5" t="s">
        <v>55</v>
      </c>
      <c r="B37" s="54" t="s">
        <v>16</v>
      </c>
      <c r="C37" s="43">
        <v>0</v>
      </c>
      <c r="D37" s="23"/>
      <c r="E37" s="117"/>
      <c r="F37" s="49">
        <v>0</v>
      </c>
      <c r="G37" s="35">
        <v>7.52</v>
      </c>
      <c r="H37" s="31"/>
      <c r="I37" s="19">
        <f t="shared" si="42"/>
        <v>7.52</v>
      </c>
      <c r="J37" s="31"/>
      <c r="K37" s="31">
        <f>G37</f>
        <v>7.52</v>
      </c>
      <c r="L37" s="36">
        <f>G37</f>
        <v>7.52</v>
      </c>
      <c r="M37" s="35">
        <v>0.7</v>
      </c>
      <c r="N37" s="31"/>
      <c r="O37" s="19">
        <f t="shared" si="43"/>
        <v>0.7</v>
      </c>
      <c r="P37" s="31"/>
      <c r="Q37" s="96">
        <f t="shared" ref="Q37:Q46" si="59">M37</f>
        <v>0.7</v>
      </c>
      <c r="R37" s="97">
        <f t="shared" ref="R37:R46" si="60">M37</f>
        <v>0.7</v>
      </c>
      <c r="S37" s="35"/>
      <c r="T37" s="31"/>
      <c r="U37" s="19">
        <f t="shared" si="44"/>
        <v>0</v>
      </c>
      <c r="V37" s="31"/>
      <c r="W37" s="104"/>
      <c r="X37" s="103">
        <f t="shared" si="57"/>
        <v>0</v>
      </c>
      <c r="Y37" s="35"/>
      <c r="Z37" s="31"/>
      <c r="AA37" s="19">
        <f t="shared" si="45"/>
        <v>0</v>
      </c>
      <c r="AB37" s="31"/>
      <c r="AC37" s="104"/>
      <c r="AD37" s="36">
        <f t="shared" si="55"/>
        <v>0</v>
      </c>
      <c r="AE37" s="35"/>
      <c r="AF37" s="31"/>
      <c r="AG37" s="19">
        <f t="shared" si="56"/>
        <v>0</v>
      </c>
      <c r="AH37" s="31"/>
      <c r="AI37" s="45"/>
      <c r="AJ37" s="103">
        <f t="shared" si="58"/>
        <v>0</v>
      </c>
      <c r="AK37" s="35"/>
      <c r="AL37" s="31"/>
      <c r="AM37" s="19">
        <f t="shared" si="46"/>
        <v>0</v>
      </c>
      <c r="AN37" s="31"/>
      <c r="AO37" s="45"/>
      <c r="AP37" s="97">
        <f t="shared" ref="AP37:AP46" si="61">AK37</f>
        <v>0</v>
      </c>
      <c r="AQ37" s="35"/>
      <c r="AR37" s="31"/>
      <c r="AS37" s="19">
        <f t="shared" si="47"/>
        <v>0</v>
      </c>
      <c r="AT37" s="31"/>
      <c r="AU37" s="45"/>
      <c r="AV37" s="36"/>
      <c r="AW37" s="35"/>
      <c r="AX37" s="31"/>
      <c r="AY37" s="81">
        <f t="shared" ref="AY37:AY46" si="62">AX37+AW37</f>
        <v>0</v>
      </c>
      <c r="AZ37" s="31"/>
      <c r="BA37" s="45"/>
      <c r="BB37" s="36"/>
      <c r="BC37" s="35"/>
      <c r="BD37" s="31"/>
      <c r="BE37" s="19">
        <f t="shared" si="48"/>
        <v>0</v>
      </c>
      <c r="BF37" s="31"/>
      <c r="BG37" s="45"/>
      <c r="BH37" s="36"/>
      <c r="BI37" s="35"/>
      <c r="BJ37" s="31"/>
      <c r="BK37" s="19">
        <f t="shared" si="49"/>
        <v>0</v>
      </c>
      <c r="BL37" s="31"/>
      <c r="BM37" s="45"/>
      <c r="BN37" s="36"/>
      <c r="BO37" s="35"/>
      <c r="BP37" s="31"/>
      <c r="BQ37" s="19">
        <f t="shared" si="50"/>
        <v>0</v>
      </c>
      <c r="BR37" s="31"/>
      <c r="BS37" s="45"/>
      <c r="BT37" s="36"/>
      <c r="BU37" s="18">
        <f t="shared" si="51"/>
        <v>8.2199999999999989</v>
      </c>
      <c r="BV37" s="19">
        <f t="shared" si="52"/>
        <v>0</v>
      </c>
      <c r="BW37" s="19">
        <f t="shared" si="53"/>
        <v>8.2199999999999989</v>
      </c>
      <c r="BX37" s="19">
        <f t="shared" si="54"/>
        <v>0</v>
      </c>
      <c r="BY37" s="19">
        <f t="shared" si="54"/>
        <v>8.2199999999999989</v>
      </c>
      <c r="BZ37" s="37">
        <f t="shared" si="54"/>
        <v>8.2199999999999989</v>
      </c>
      <c r="CA37" s="24"/>
      <c r="CB37" s="24"/>
    </row>
    <row r="38" spans="1:80" s="93" customFormat="1" outlineLevel="1">
      <c r="A38" s="105" t="s">
        <v>56</v>
      </c>
      <c r="B38" s="86" t="s">
        <v>23</v>
      </c>
      <c r="C38" s="87">
        <v>14.44</v>
      </c>
      <c r="D38" s="88">
        <v>1.65</v>
      </c>
      <c r="E38" s="118">
        <f>C38</f>
        <v>14.44</v>
      </c>
      <c r="F38" s="89">
        <f>C38</f>
        <v>14.44</v>
      </c>
      <c r="G38" s="101"/>
      <c r="H38" s="102"/>
      <c r="I38" s="19">
        <f t="shared" si="42"/>
        <v>0</v>
      </c>
      <c r="J38" s="102">
        <v>1.0900000000000001</v>
      </c>
      <c r="K38" s="31">
        <f t="shared" ref="K38:K46" si="63">G38</f>
        <v>0</v>
      </c>
      <c r="L38" s="36">
        <f t="shared" ref="L38:L46" si="64">G38</f>
        <v>0</v>
      </c>
      <c r="M38" s="101">
        <v>0.2</v>
      </c>
      <c r="N38" s="31"/>
      <c r="O38" s="19">
        <f t="shared" si="43"/>
        <v>0.2</v>
      </c>
      <c r="P38" s="102">
        <v>0.52</v>
      </c>
      <c r="Q38" s="96">
        <f t="shared" si="59"/>
        <v>0.2</v>
      </c>
      <c r="R38" s="97">
        <f t="shared" si="60"/>
        <v>0.2</v>
      </c>
      <c r="S38" s="101">
        <v>6.93</v>
      </c>
      <c r="T38" s="102"/>
      <c r="U38" s="90">
        <f t="shared" si="44"/>
        <v>6.93</v>
      </c>
      <c r="V38" s="102">
        <v>2.08</v>
      </c>
      <c r="W38" s="104"/>
      <c r="X38" s="103">
        <f t="shared" si="57"/>
        <v>6.93</v>
      </c>
      <c r="Y38" s="101">
        <v>0.55000000000000004</v>
      </c>
      <c r="Z38" s="102"/>
      <c r="AA38" s="19">
        <f t="shared" si="45"/>
        <v>0.55000000000000004</v>
      </c>
      <c r="AB38" s="102">
        <v>0.08</v>
      </c>
      <c r="AC38" s="104"/>
      <c r="AD38" s="36">
        <f t="shared" si="55"/>
        <v>0.55000000000000004</v>
      </c>
      <c r="AE38" s="101">
        <v>0.31</v>
      </c>
      <c r="AF38" s="102"/>
      <c r="AG38" s="19">
        <f t="shared" si="56"/>
        <v>0.31</v>
      </c>
      <c r="AH38" s="102"/>
      <c r="AI38" s="104">
        <v>2.5</v>
      </c>
      <c r="AJ38" s="103">
        <f t="shared" si="58"/>
        <v>0.31</v>
      </c>
      <c r="AK38" s="101">
        <v>1.33</v>
      </c>
      <c r="AL38" s="102"/>
      <c r="AM38" s="90">
        <f t="shared" si="46"/>
        <v>1.33</v>
      </c>
      <c r="AN38" s="102">
        <v>4.03</v>
      </c>
      <c r="AO38" s="104"/>
      <c r="AP38" s="97">
        <f t="shared" si="61"/>
        <v>1.33</v>
      </c>
      <c r="AQ38" s="101"/>
      <c r="AR38" s="102"/>
      <c r="AS38" s="90">
        <f t="shared" si="47"/>
        <v>0</v>
      </c>
      <c r="AT38" s="102">
        <v>0.65</v>
      </c>
      <c r="AU38" s="104"/>
      <c r="AV38" s="103"/>
      <c r="AW38" s="101">
        <v>0.43</v>
      </c>
      <c r="AX38" s="102"/>
      <c r="AY38" s="81">
        <f t="shared" si="62"/>
        <v>0.43</v>
      </c>
      <c r="AZ38" s="102"/>
      <c r="BA38" s="104">
        <v>3</v>
      </c>
      <c r="BB38" s="103">
        <v>3</v>
      </c>
      <c r="BC38" s="101">
        <v>0.25</v>
      </c>
      <c r="BD38" s="102"/>
      <c r="BE38" s="90">
        <f t="shared" si="48"/>
        <v>0.25</v>
      </c>
      <c r="BF38" s="102"/>
      <c r="BG38" s="104"/>
      <c r="BH38" s="103"/>
      <c r="BI38" s="101">
        <v>0.13</v>
      </c>
      <c r="BJ38" s="102"/>
      <c r="BK38" s="19">
        <f t="shared" si="49"/>
        <v>0.13</v>
      </c>
      <c r="BL38" s="102"/>
      <c r="BM38" s="104"/>
      <c r="BN38" s="103"/>
      <c r="BO38" s="101">
        <f>0.43+-3.3</f>
        <v>-2.8699999999999997</v>
      </c>
      <c r="BP38" s="102"/>
      <c r="BQ38" s="19">
        <f t="shared" si="50"/>
        <v>-2.8699999999999997</v>
      </c>
      <c r="BR38" s="102">
        <v>3.77</v>
      </c>
      <c r="BS38" s="104"/>
      <c r="BT38" s="103">
        <v>2.5</v>
      </c>
      <c r="BU38" s="18">
        <f t="shared" si="51"/>
        <v>21.699999999999996</v>
      </c>
      <c r="BV38" s="19">
        <f t="shared" si="52"/>
        <v>0</v>
      </c>
      <c r="BW38" s="90">
        <f t="shared" si="53"/>
        <v>21.699999999999996</v>
      </c>
      <c r="BX38" s="90">
        <f t="shared" si="54"/>
        <v>13.87</v>
      </c>
      <c r="BY38" s="90">
        <f t="shared" si="54"/>
        <v>20.14</v>
      </c>
      <c r="BZ38" s="92">
        <f t="shared" si="54"/>
        <v>29.259999999999998</v>
      </c>
      <c r="CA38" s="24"/>
      <c r="CB38" s="24"/>
    </row>
    <row r="39" spans="1:80" outlineLevel="1">
      <c r="A39" s="5" t="s">
        <v>57</v>
      </c>
      <c r="B39" s="54" t="s">
        <v>8</v>
      </c>
      <c r="C39" s="43">
        <v>0</v>
      </c>
      <c r="D39" s="23"/>
      <c r="E39" s="118">
        <f t="shared" ref="E39:E46" si="65">C39</f>
        <v>0</v>
      </c>
      <c r="F39" s="89">
        <f t="shared" ref="F39:F46" si="66">C39</f>
        <v>0</v>
      </c>
      <c r="G39" s="35"/>
      <c r="H39" s="31"/>
      <c r="I39" s="19">
        <f t="shared" si="42"/>
        <v>0</v>
      </c>
      <c r="J39" s="31"/>
      <c r="K39" s="31">
        <f t="shared" si="63"/>
        <v>0</v>
      </c>
      <c r="L39" s="36">
        <f t="shared" si="64"/>
        <v>0</v>
      </c>
      <c r="M39" s="35"/>
      <c r="N39" s="31"/>
      <c r="O39" s="19">
        <f t="shared" si="43"/>
        <v>0</v>
      </c>
      <c r="P39" s="31"/>
      <c r="Q39" s="96">
        <f t="shared" si="59"/>
        <v>0</v>
      </c>
      <c r="R39" s="97">
        <f t="shared" si="60"/>
        <v>0</v>
      </c>
      <c r="S39" s="35"/>
      <c r="T39" s="31"/>
      <c r="U39" s="19">
        <f t="shared" si="44"/>
        <v>0</v>
      </c>
      <c r="V39" s="31"/>
      <c r="W39" s="104"/>
      <c r="X39" s="103">
        <f t="shared" si="57"/>
        <v>0</v>
      </c>
      <c r="Y39" s="35"/>
      <c r="Z39" s="31"/>
      <c r="AA39" s="19">
        <f t="shared" si="45"/>
        <v>0</v>
      </c>
      <c r="AB39" s="31">
        <v>0.86</v>
      </c>
      <c r="AC39" s="104"/>
      <c r="AD39" s="36">
        <f t="shared" si="55"/>
        <v>0</v>
      </c>
      <c r="AE39" s="35"/>
      <c r="AF39" s="31"/>
      <c r="AG39" s="19">
        <f t="shared" si="56"/>
        <v>0</v>
      </c>
      <c r="AH39" s="31"/>
      <c r="AI39" s="45"/>
      <c r="AJ39" s="103">
        <f t="shared" si="58"/>
        <v>0</v>
      </c>
      <c r="AK39" s="35"/>
      <c r="AL39" s="31"/>
      <c r="AM39" s="19">
        <f t="shared" si="46"/>
        <v>0</v>
      </c>
      <c r="AN39" s="31"/>
      <c r="AO39" s="45"/>
      <c r="AP39" s="97">
        <f t="shared" si="61"/>
        <v>0</v>
      </c>
      <c r="AQ39" s="35">
        <v>0.12</v>
      </c>
      <c r="AR39" s="31"/>
      <c r="AS39" s="19">
        <f t="shared" si="47"/>
        <v>0.12</v>
      </c>
      <c r="AT39" s="31"/>
      <c r="AU39" s="45"/>
      <c r="AV39" s="36"/>
      <c r="AW39" s="35"/>
      <c r="AX39" s="31"/>
      <c r="AY39" s="81">
        <f t="shared" si="62"/>
        <v>0</v>
      </c>
      <c r="AZ39" s="31"/>
      <c r="BA39" s="45"/>
      <c r="BB39" s="36"/>
      <c r="BC39" s="35"/>
      <c r="BD39" s="31"/>
      <c r="BE39" s="19">
        <f t="shared" si="48"/>
        <v>0</v>
      </c>
      <c r="BF39" s="31"/>
      <c r="BG39" s="45"/>
      <c r="BH39" s="36"/>
      <c r="BI39" s="35"/>
      <c r="BJ39" s="31"/>
      <c r="BK39" s="19">
        <f t="shared" si="49"/>
        <v>0</v>
      </c>
      <c r="BL39" s="31"/>
      <c r="BM39" s="45"/>
      <c r="BN39" s="36"/>
      <c r="BO39" s="35"/>
      <c r="BP39" s="31"/>
      <c r="BQ39" s="19">
        <f t="shared" si="50"/>
        <v>0</v>
      </c>
      <c r="BR39" s="31"/>
      <c r="BS39" s="45"/>
      <c r="BT39" s="36"/>
      <c r="BU39" s="18">
        <f t="shared" si="51"/>
        <v>0.12</v>
      </c>
      <c r="BV39" s="19">
        <f t="shared" si="52"/>
        <v>0</v>
      </c>
      <c r="BW39" s="19">
        <f t="shared" si="53"/>
        <v>0.12</v>
      </c>
      <c r="BX39" s="19">
        <f t="shared" si="54"/>
        <v>0.86</v>
      </c>
      <c r="BY39" s="19">
        <f t="shared" si="54"/>
        <v>0</v>
      </c>
      <c r="BZ39" s="37">
        <f t="shared" si="54"/>
        <v>0</v>
      </c>
      <c r="CA39" s="24"/>
      <c r="CB39" s="24"/>
    </row>
    <row r="40" spans="1:80" outlineLevel="1">
      <c r="A40" s="5" t="s">
        <v>58</v>
      </c>
      <c r="B40" s="54" t="s">
        <v>12</v>
      </c>
      <c r="C40" s="43">
        <v>0</v>
      </c>
      <c r="D40" s="23"/>
      <c r="E40" s="118">
        <f t="shared" si="65"/>
        <v>0</v>
      </c>
      <c r="F40" s="89">
        <f t="shared" si="66"/>
        <v>0</v>
      </c>
      <c r="G40" s="35"/>
      <c r="H40" s="31"/>
      <c r="I40" s="19">
        <f t="shared" si="42"/>
        <v>0</v>
      </c>
      <c r="J40" s="31"/>
      <c r="K40" s="31">
        <f t="shared" si="63"/>
        <v>0</v>
      </c>
      <c r="L40" s="36">
        <f t="shared" si="64"/>
        <v>0</v>
      </c>
      <c r="M40" s="35"/>
      <c r="N40" s="31"/>
      <c r="O40" s="19">
        <f t="shared" si="43"/>
        <v>0</v>
      </c>
      <c r="P40" s="31"/>
      <c r="Q40" s="96">
        <f t="shared" si="59"/>
        <v>0</v>
      </c>
      <c r="R40" s="97">
        <f t="shared" si="60"/>
        <v>0</v>
      </c>
      <c r="S40" s="35"/>
      <c r="T40" s="31"/>
      <c r="U40" s="19">
        <f t="shared" si="44"/>
        <v>0</v>
      </c>
      <c r="V40" s="31"/>
      <c r="W40" s="104"/>
      <c r="X40" s="103">
        <f t="shared" si="57"/>
        <v>0</v>
      </c>
      <c r="Y40" s="35"/>
      <c r="Z40" s="31"/>
      <c r="AA40" s="19">
        <f t="shared" si="45"/>
        <v>0</v>
      </c>
      <c r="AB40" s="31"/>
      <c r="AC40" s="104"/>
      <c r="AD40" s="36">
        <f t="shared" si="55"/>
        <v>0</v>
      </c>
      <c r="AE40" s="35"/>
      <c r="AF40" s="31"/>
      <c r="AG40" s="19">
        <f t="shared" si="56"/>
        <v>0</v>
      </c>
      <c r="AH40" s="31"/>
      <c r="AI40" s="45"/>
      <c r="AJ40" s="103">
        <f t="shared" si="58"/>
        <v>0</v>
      </c>
      <c r="AK40" s="35"/>
      <c r="AL40" s="31"/>
      <c r="AM40" s="19">
        <f t="shared" si="46"/>
        <v>0</v>
      </c>
      <c r="AN40" s="31"/>
      <c r="AO40" s="45"/>
      <c r="AP40" s="97">
        <f t="shared" si="61"/>
        <v>0</v>
      </c>
      <c r="AQ40" s="35"/>
      <c r="AR40" s="31"/>
      <c r="AS40" s="19">
        <f t="shared" si="47"/>
        <v>0</v>
      </c>
      <c r="AT40" s="31"/>
      <c r="AU40" s="45"/>
      <c r="AV40" s="36"/>
      <c r="AW40" s="35"/>
      <c r="AX40" s="31"/>
      <c r="AY40" s="81">
        <f t="shared" si="62"/>
        <v>0</v>
      </c>
      <c r="AZ40" s="31"/>
      <c r="BA40" s="45"/>
      <c r="BB40" s="36"/>
      <c r="BC40" s="35"/>
      <c r="BD40" s="31"/>
      <c r="BE40" s="19">
        <f t="shared" si="48"/>
        <v>0</v>
      </c>
      <c r="BF40" s="31"/>
      <c r="BG40" s="45"/>
      <c r="BH40" s="36"/>
      <c r="BI40" s="35"/>
      <c r="BJ40" s="31"/>
      <c r="BK40" s="19">
        <f t="shared" si="49"/>
        <v>0</v>
      </c>
      <c r="BL40" s="31"/>
      <c r="BM40" s="45"/>
      <c r="BN40" s="36"/>
      <c r="BO40" s="35"/>
      <c r="BP40" s="31"/>
      <c r="BQ40" s="19">
        <f t="shared" si="50"/>
        <v>0</v>
      </c>
      <c r="BR40" s="31"/>
      <c r="BS40" s="45"/>
      <c r="BT40" s="36"/>
      <c r="BU40" s="18">
        <f t="shared" si="51"/>
        <v>0</v>
      </c>
      <c r="BV40" s="19">
        <f t="shared" si="52"/>
        <v>0</v>
      </c>
      <c r="BW40" s="19">
        <f t="shared" si="53"/>
        <v>0</v>
      </c>
      <c r="BX40" s="19">
        <f t="shared" si="54"/>
        <v>0</v>
      </c>
      <c r="BY40" s="19">
        <f t="shared" si="54"/>
        <v>0</v>
      </c>
      <c r="BZ40" s="37">
        <f t="shared" si="54"/>
        <v>0</v>
      </c>
      <c r="CA40" s="24"/>
      <c r="CB40" s="24"/>
    </row>
    <row r="41" spans="1:80" s="93" customFormat="1" outlineLevel="1">
      <c r="A41" s="105" t="s">
        <v>59</v>
      </c>
      <c r="B41" s="86" t="s">
        <v>24</v>
      </c>
      <c r="C41" s="87">
        <v>190.54</v>
      </c>
      <c r="D41" s="88">
        <v>22.03</v>
      </c>
      <c r="E41" s="118">
        <f t="shared" si="65"/>
        <v>190.54</v>
      </c>
      <c r="F41" s="89">
        <f t="shared" si="66"/>
        <v>190.54</v>
      </c>
      <c r="G41" s="101">
        <v>33.36</v>
      </c>
      <c r="H41" s="102"/>
      <c r="I41" s="19">
        <f t="shared" si="42"/>
        <v>33.36</v>
      </c>
      <c r="J41" s="102">
        <v>25.58</v>
      </c>
      <c r="K41" s="31">
        <f t="shared" si="63"/>
        <v>33.36</v>
      </c>
      <c r="L41" s="36">
        <f t="shared" si="64"/>
        <v>33.36</v>
      </c>
      <c r="M41" s="101">
        <v>42.9</v>
      </c>
      <c r="N41" s="31"/>
      <c r="O41" s="19">
        <f t="shared" si="43"/>
        <v>42.9</v>
      </c>
      <c r="P41" s="102">
        <v>25.48</v>
      </c>
      <c r="Q41" s="96">
        <f t="shared" si="59"/>
        <v>42.9</v>
      </c>
      <c r="R41" s="97">
        <f t="shared" si="60"/>
        <v>42.9</v>
      </c>
      <c r="S41" s="101">
        <f>62.34</f>
        <v>62.34</v>
      </c>
      <c r="T41" s="102"/>
      <c r="U41" s="90">
        <f t="shared" si="44"/>
        <v>62.34</v>
      </c>
      <c r="V41" s="102">
        <v>43.38</v>
      </c>
      <c r="W41" s="104">
        <v>44.42</v>
      </c>
      <c r="X41" s="103">
        <f t="shared" si="57"/>
        <v>62.34</v>
      </c>
      <c r="Y41" s="101">
        <f>8+28.47</f>
        <v>36.47</v>
      </c>
      <c r="Z41" s="102"/>
      <c r="AA41" s="19">
        <f t="shared" si="45"/>
        <v>36.47</v>
      </c>
      <c r="AB41" s="102">
        <v>44.51</v>
      </c>
      <c r="AC41" s="104">
        <v>59.39</v>
      </c>
      <c r="AD41" s="36">
        <f t="shared" si="55"/>
        <v>36.47</v>
      </c>
      <c r="AE41" s="101">
        <v>42.96</v>
      </c>
      <c r="AF41" s="102"/>
      <c r="AG41" s="19">
        <f t="shared" si="56"/>
        <v>42.96</v>
      </c>
      <c r="AH41" s="102">
        <v>89.06</v>
      </c>
      <c r="AI41" s="104">
        <v>48.5</v>
      </c>
      <c r="AJ41" s="103">
        <f t="shared" si="58"/>
        <v>42.96</v>
      </c>
      <c r="AK41" s="101">
        <f>7.65+23.42</f>
        <v>31.07</v>
      </c>
      <c r="AL41" s="102"/>
      <c r="AM41" s="90">
        <f t="shared" si="46"/>
        <v>31.07</v>
      </c>
      <c r="AN41" s="102">
        <v>165.75</v>
      </c>
      <c r="AO41" s="104">
        <v>38</v>
      </c>
      <c r="AP41" s="97">
        <f t="shared" si="61"/>
        <v>31.07</v>
      </c>
      <c r="AQ41" s="101">
        <f>6.96+15.58</f>
        <v>22.54</v>
      </c>
      <c r="AR41" s="102"/>
      <c r="AS41" s="90">
        <f t="shared" si="47"/>
        <v>22.54</v>
      </c>
      <c r="AT41" s="102">
        <v>155.69</v>
      </c>
      <c r="AU41" s="104">
        <v>50</v>
      </c>
      <c r="AV41" s="103">
        <v>21</v>
      </c>
      <c r="AW41" s="101">
        <v>40.85</v>
      </c>
      <c r="AX41" s="102"/>
      <c r="AY41" s="81">
        <f t="shared" si="62"/>
        <v>40.85</v>
      </c>
      <c r="AZ41" s="102">
        <v>178.52</v>
      </c>
      <c r="BA41" s="104">
        <v>24</v>
      </c>
      <c r="BB41" s="103">
        <v>24</v>
      </c>
      <c r="BC41" s="101">
        <f>7+29.9</f>
        <v>36.9</v>
      </c>
      <c r="BD41" s="102"/>
      <c r="BE41" s="90">
        <f t="shared" si="48"/>
        <v>36.9</v>
      </c>
      <c r="BF41" s="102">
        <v>239.43</v>
      </c>
      <c r="BG41" s="104">
        <v>22</v>
      </c>
      <c r="BH41" s="103">
        <v>28</v>
      </c>
      <c r="BI41" s="101">
        <v>33.04</v>
      </c>
      <c r="BJ41" s="102"/>
      <c r="BK41" s="19">
        <f t="shared" si="49"/>
        <v>33.04</v>
      </c>
      <c r="BL41" s="102">
        <v>172.59</v>
      </c>
      <c r="BM41" s="104">
        <v>29</v>
      </c>
      <c r="BN41" s="103">
        <v>24</v>
      </c>
      <c r="BO41" s="101">
        <f>36.05+45.67</f>
        <v>81.72</v>
      </c>
      <c r="BP41" s="102"/>
      <c r="BQ41" s="19">
        <f t="shared" si="50"/>
        <v>81.72</v>
      </c>
      <c r="BR41" s="102">
        <v>318.35999999999996</v>
      </c>
      <c r="BS41" s="104">
        <v>55</v>
      </c>
      <c r="BT41" s="103">
        <v>60</v>
      </c>
      <c r="BU41" s="18">
        <f t="shared" si="51"/>
        <v>654.69000000000005</v>
      </c>
      <c r="BV41" s="19">
        <f t="shared" si="52"/>
        <v>0</v>
      </c>
      <c r="BW41" s="90">
        <f t="shared" si="53"/>
        <v>654.69000000000005</v>
      </c>
      <c r="BX41" s="90">
        <f t="shared" si="54"/>
        <v>1480.3799999999999</v>
      </c>
      <c r="BY41" s="90">
        <f t="shared" si="54"/>
        <v>637.1099999999999</v>
      </c>
      <c r="BZ41" s="92">
        <f t="shared" si="54"/>
        <v>596.64</v>
      </c>
      <c r="CA41" s="24"/>
      <c r="CB41" s="24"/>
    </row>
    <row r="42" spans="1:80" s="84" customFormat="1" outlineLevel="1">
      <c r="A42" s="107" t="s">
        <v>44</v>
      </c>
      <c r="B42" s="77" t="s">
        <v>10</v>
      </c>
      <c r="C42" s="78">
        <v>4.3600000000000003</v>
      </c>
      <c r="D42" s="79"/>
      <c r="E42" s="118">
        <f t="shared" si="65"/>
        <v>4.3600000000000003</v>
      </c>
      <c r="F42" s="89">
        <f t="shared" si="66"/>
        <v>4.3600000000000003</v>
      </c>
      <c r="G42" s="95">
        <v>0.02</v>
      </c>
      <c r="H42" s="96"/>
      <c r="I42" s="19">
        <f t="shared" si="42"/>
        <v>0.02</v>
      </c>
      <c r="J42" s="96"/>
      <c r="K42" s="31">
        <f t="shared" si="63"/>
        <v>0.02</v>
      </c>
      <c r="L42" s="36">
        <f t="shared" si="64"/>
        <v>0.02</v>
      </c>
      <c r="M42" s="95">
        <v>4.5999999999999996</v>
      </c>
      <c r="N42" s="31"/>
      <c r="O42" s="19">
        <f t="shared" si="43"/>
        <v>4.5999999999999996</v>
      </c>
      <c r="P42" s="96">
        <v>0.27</v>
      </c>
      <c r="Q42" s="96">
        <f t="shared" si="59"/>
        <v>4.5999999999999996</v>
      </c>
      <c r="R42" s="97">
        <f t="shared" si="60"/>
        <v>4.5999999999999996</v>
      </c>
      <c r="S42" s="95">
        <f>0.1+0.73</f>
        <v>0.83</v>
      </c>
      <c r="T42" s="102"/>
      <c r="U42" s="81">
        <f t="shared" si="44"/>
        <v>0.83</v>
      </c>
      <c r="V42" s="96"/>
      <c r="W42" s="104">
        <v>1.5</v>
      </c>
      <c r="X42" s="103">
        <f t="shared" si="57"/>
        <v>0.83</v>
      </c>
      <c r="Y42" s="95">
        <v>0.47</v>
      </c>
      <c r="Z42" s="102"/>
      <c r="AA42" s="19">
        <f t="shared" si="45"/>
        <v>0.47</v>
      </c>
      <c r="AB42" s="96">
        <v>12.45</v>
      </c>
      <c r="AC42" s="104">
        <v>1.5</v>
      </c>
      <c r="AD42" s="36">
        <f t="shared" si="55"/>
        <v>0.47</v>
      </c>
      <c r="AE42" s="95">
        <v>3.6</v>
      </c>
      <c r="AF42" s="96"/>
      <c r="AG42" s="19">
        <f t="shared" si="56"/>
        <v>3.6</v>
      </c>
      <c r="AH42" s="96">
        <v>5.99</v>
      </c>
      <c r="AI42" s="98">
        <v>3.5</v>
      </c>
      <c r="AJ42" s="103">
        <f t="shared" si="58"/>
        <v>3.6</v>
      </c>
      <c r="AK42" s="95">
        <f>2.7+0.18</f>
        <v>2.8800000000000003</v>
      </c>
      <c r="AL42" s="96"/>
      <c r="AM42" s="81">
        <f t="shared" si="46"/>
        <v>2.8800000000000003</v>
      </c>
      <c r="AN42" s="96">
        <v>2.37</v>
      </c>
      <c r="AO42" s="98">
        <v>1.5</v>
      </c>
      <c r="AP42" s="97">
        <f t="shared" si="61"/>
        <v>2.8800000000000003</v>
      </c>
      <c r="AQ42" s="95">
        <f>1.54+1.1</f>
        <v>2.64</v>
      </c>
      <c r="AR42" s="96"/>
      <c r="AS42" s="81">
        <f t="shared" si="47"/>
        <v>2.64</v>
      </c>
      <c r="AT42" s="96">
        <v>2.77</v>
      </c>
      <c r="AU42" s="98">
        <v>1.5</v>
      </c>
      <c r="AV42" s="97">
        <v>1.5</v>
      </c>
      <c r="AW42" s="95">
        <v>0.05</v>
      </c>
      <c r="AX42" s="96"/>
      <c r="AY42" s="81">
        <f t="shared" si="62"/>
        <v>0.05</v>
      </c>
      <c r="AZ42" s="96">
        <v>3.93</v>
      </c>
      <c r="BA42" s="98">
        <v>3</v>
      </c>
      <c r="BB42" s="97">
        <v>3</v>
      </c>
      <c r="BC42" s="95">
        <v>0.2</v>
      </c>
      <c r="BD42" s="96"/>
      <c r="BE42" s="81">
        <f t="shared" si="48"/>
        <v>0.2</v>
      </c>
      <c r="BF42" s="96">
        <v>9.94</v>
      </c>
      <c r="BG42" s="98">
        <v>2</v>
      </c>
      <c r="BH42" s="97">
        <v>1.5</v>
      </c>
      <c r="BI42" s="95">
        <f>1.83+0.11</f>
        <v>1.9400000000000002</v>
      </c>
      <c r="BJ42" s="96"/>
      <c r="BK42" s="19">
        <f t="shared" si="49"/>
        <v>1.9400000000000002</v>
      </c>
      <c r="BL42" s="96">
        <v>4.6100000000000003</v>
      </c>
      <c r="BM42" s="98">
        <v>2</v>
      </c>
      <c r="BN42" s="97">
        <v>1.5</v>
      </c>
      <c r="BO42" s="95">
        <f>0.12+0.33</f>
        <v>0.45</v>
      </c>
      <c r="BP42" s="102"/>
      <c r="BQ42" s="19">
        <f t="shared" si="50"/>
        <v>0.45</v>
      </c>
      <c r="BR42" s="96">
        <v>6.37</v>
      </c>
      <c r="BS42" s="98">
        <v>4</v>
      </c>
      <c r="BT42" s="97">
        <v>3.5</v>
      </c>
      <c r="BU42" s="18">
        <f t="shared" si="51"/>
        <v>22.040000000000003</v>
      </c>
      <c r="BV42" s="19">
        <f t="shared" si="52"/>
        <v>0</v>
      </c>
      <c r="BW42" s="81">
        <f t="shared" si="53"/>
        <v>22.040000000000003</v>
      </c>
      <c r="BX42" s="81">
        <f t="shared" si="54"/>
        <v>48.699999999999996</v>
      </c>
      <c r="BY42" s="81">
        <f t="shared" si="54"/>
        <v>29.48</v>
      </c>
      <c r="BZ42" s="83">
        <f t="shared" si="54"/>
        <v>27.76</v>
      </c>
      <c r="CA42" s="24"/>
      <c r="CB42" s="24"/>
    </row>
    <row r="43" spans="1:80" outlineLevel="1">
      <c r="A43" s="5" t="s">
        <v>45</v>
      </c>
      <c r="B43" s="54" t="s">
        <v>7</v>
      </c>
      <c r="C43" s="43">
        <v>0</v>
      </c>
      <c r="D43" s="23"/>
      <c r="E43" s="118">
        <f t="shared" si="65"/>
        <v>0</v>
      </c>
      <c r="F43" s="89">
        <f t="shared" si="66"/>
        <v>0</v>
      </c>
      <c r="G43" s="35"/>
      <c r="H43" s="31"/>
      <c r="I43" s="19">
        <f t="shared" si="42"/>
        <v>0</v>
      </c>
      <c r="J43" s="31"/>
      <c r="K43" s="31">
        <f t="shared" si="63"/>
        <v>0</v>
      </c>
      <c r="L43" s="36">
        <f t="shared" si="64"/>
        <v>0</v>
      </c>
      <c r="M43" s="35"/>
      <c r="N43" s="31"/>
      <c r="O43" s="19">
        <f t="shared" si="43"/>
        <v>0</v>
      </c>
      <c r="P43" s="31"/>
      <c r="Q43" s="96">
        <f t="shared" si="59"/>
        <v>0</v>
      </c>
      <c r="R43" s="97">
        <f t="shared" si="60"/>
        <v>0</v>
      </c>
      <c r="S43" s="35"/>
      <c r="T43" s="102"/>
      <c r="U43" s="19">
        <f t="shared" si="44"/>
        <v>0</v>
      </c>
      <c r="V43" s="31"/>
      <c r="W43" s="104"/>
      <c r="X43" s="103">
        <f t="shared" si="57"/>
        <v>0</v>
      </c>
      <c r="Y43" s="35"/>
      <c r="Z43" s="31"/>
      <c r="AA43" s="19">
        <f t="shared" si="45"/>
        <v>0</v>
      </c>
      <c r="AB43" s="31"/>
      <c r="AC43" s="104"/>
      <c r="AD43" s="36">
        <f t="shared" si="55"/>
        <v>0</v>
      </c>
      <c r="AE43" s="35"/>
      <c r="AF43" s="31"/>
      <c r="AG43" s="19">
        <f t="shared" si="56"/>
        <v>0</v>
      </c>
      <c r="AH43" s="31"/>
      <c r="AI43" s="45"/>
      <c r="AJ43" s="103">
        <f t="shared" si="58"/>
        <v>0</v>
      </c>
      <c r="AK43" s="35"/>
      <c r="AL43" s="31"/>
      <c r="AM43" s="19">
        <f t="shared" si="46"/>
        <v>0</v>
      </c>
      <c r="AN43" s="31"/>
      <c r="AO43" s="45"/>
      <c r="AP43" s="97">
        <f t="shared" si="61"/>
        <v>0</v>
      </c>
      <c r="AQ43" s="35"/>
      <c r="AR43" s="31"/>
      <c r="AS43" s="19">
        <f t="shared" si="47"/>
        <v>0</v>
      </c>
      <c r="AT43" s="31"/>
      <c r="AU43" s="45"/>
      <c r="AV43" s="36"/>
      <c r="AW43" s="35"/>
      <c r="AX43" s="31"/>
      <c r="AY43" s="81">
        <f t="shared" si="62"/>
        <v>0</v>
      </c>
      <c r="AZ43" s="31"/>
      <c r="BA43" s="45"/>
      <c r="BB43" s="36"/>
      <c r="BC43" s="35"/>
      <c r="BD43" s="31"/>
      <c r="BE43" s="19">
        <f t="shared" si="48"/>
        <v>0</v>
      </c>
      <c r="BF43" s="31"/>
      <c r="BG43" s="45"/>
      <c r="BH43" s="36"/>
      <c r="BI43" s="35"/>
      <c r="BJ43" s="31"/>
      <c r="BK43" s="19">
        <f t="shared" si="49"/>
        <v>0</v>
      </c>
      <c r="BL43" s="31"/>
      <c r="BM43" s="45"/>
      <c r="BN43" s="36"/>
      <c r="BO43" s="35"/>
      <c r="BP43" s="102"/>
      <c r="BQ43" s="19">
        <f t="shared" si="50"/>
        <v>0</v>
      </c>
      <c r="BR43" s="31"/>
      <c r="BS43" s="45"/>
      <c r="BT43" s="36"/>
      <c r="BU43" s="18">
        <f t="shared" si="51"/>
        <v>0</v>
      </c>
      <c r="BV43" s="19">
        <f t="shared" si="52"/>
        <v>0</v>
      </c>
      <c r="BW43" s="19">
        <f t="shared" si="53"/>
        <v>0</v>
      </c>
      <c r="BX43" s="19">
        <f t="shared" si="54"/>
        <v>0</v>
      </c>
      <c r="BY43" s="19">
        <f t="shared" si="54"/>
        <v>0</v>
      </c>
      <c r="BZ43" s="37">
        <f t="shared" si="54"/>
        <v>0</v>
      </c>
      <c r="CA43" s="24"/>
      <c r="CB43" s="24"/>
    </row>
    <row r="44" spans="1:80" outlineLevel="1">
      <c r="A44" s="5" t="s">
        <v>46</v>
      </c>
      <c r="B44" s="54" t="s">
        <v>19</v>
      </c>
      <c r="C44" s="43">
        <v>0.14000000000000001</v>
      </c>
      <c r="D44" s="23">
        <v>0.03</v>
      </c>
      <c r="E44" s="118">
        <f t="shared" si="65"/>
        <v>0.14000000000000001</v>
      </c>
      <c r="F44" s="89">
        <f t="shared" si="66"/>
        <v>0.14000000000000001</v>
      </c>
      <c r="G44" s="35">
        <v>0.46</v>
      </c>
      <c r="H44" s="31"/>
      <c r="I44" s="19">
        <f t="shared" si="42"/>
        <v>0.46</v>
      </c>
      <c r="J44" s="31">
        <v>0.03</v>
      </c>
      <c r="K44" s="31">
        <f t="shared" si="63"/>
        <v>0.46</v>
      </c>
      <c r="L44" s="36">
        <f t="shared" si="64"/>
        <v>0.46</v>
      </c>
      <c r="M44" s="35">
        <v>0.44</v>
      </c>
      <c r="N44" s="31"/>
      <c r="O44" s="19">
        <f t="shared" si="43"/>
        <v>0.44</v>
      </c>
      <c r="P44" s="31">
        <v>0.03</v>
      </c>
      <c r="Q44" s="96">
        <f t="shared" si="59"/>
        <v>0.44</v>
      </c>
      <c r="R44" s="97">
        <f t="shared" si="60"/>
        <v>0.44</v>
      </c>
      <c r="S44" s="35">
        <f>0.44+0.02</f>
        <v>0.46</v>
      </c>
      <c r="T44" s="102"/>
      <c r="U44" s="19">
        <f t="shared" si="44"/>
        <v>0.46</v>
      </c>
      <c r="V44" s="31">
        <v>0.03</v>
      </c>
      <c r="W44" s="104">
        <v>0.2</v>
      </c>
      <c r="X44" s="103">
        <f t="shared" si="57"/>
        <v>0.46</v>
      </c>
      <c r="Y44" s="35">
        <v>0.5</v>
      </c>
      <c r="Z44" s="31"/>
      <c r="AA44" s="19">
        <f t="shared" si="45"/>
        <v>0.5</v>
      </c>
      <c r="AB44" s="31">
        <v>0.03</v>
      </c>
      <c r="AC44" s="104">
        <v>0.2</v>
      </c>
      <c r="AD44" s="36">
        <f t="shared" si="55"/>
        <v>0.5</v>
      </c>
      <c r="AE44" s="35"/>
      <c r="AF44" s="31"/>
      <c r="AG44" s="19">
        <f t="shared" si="56"/>
        <v>0</v>
      </c>
      <c r="AH44" s="31">
        <v>0.03</v>
      </c>
      <c r="AI44" s="45">
        <v>0.4</v>
      </c>
      <c r="AJ44" s="103">
        <f t="shared" si="58"/>
        <v>0</v>
      </c>
      <c r="AK44" s="35">
        <v>0.5</v>
      </c>
      <c r="AL44" s="31"/>
      <c r="AM44" s="19">
        <f t="shared" si="46"/>
        <v>0.5</v>
      </c>
      <c r="AN44" s="31">
        <v>0.03</v>
      </c>
      <c r="AO44" s="45">
        <v>0.4</v>
      </c>
      <c r="AP44" s="97">
        <f t="shared" si="61"/>
        <v>0.5</v>
      </c>
      <c r="AQ44" s="35">
        <v>0.5</v>
      </c>
      <c r="AR44" s="31"/>
      <c r="AS44" s="19">
        <f t="shared" si="47"/>
        <v>0.5</v>
      </c>
      <c r="AT44" s="31">
        <v>0.14000000000000001</v>
      </c>
      <c r="AU44" s="45">
        <v>0.4</v>
      </c>
      <c r="AV44" s="36">
        <v>0.4</v>
      </c>
      <c r="AW44" s="35">
        <v>0.53</v>
      </c>
      <c r="AX44" s="31"/>
      <c r="AY44" s="81">
        <f t="shared" si="62"/>
        <v>0.53</v>
      </c>
      <c r="AZ44" s="31">
        <v>0.14000000000000001</v>
      </c>
      <c r="BA44" s="45">
        <v>0.5</v>
      </c>
      <c r="BB44" s="36">
        <v>0.5</v>
      </c>
      <c r="BC44" s="35">
        <v>0.53</v>
      </c>
      <c r="BD44" s="31"/>
      <c r="BE44" s="19">
        <f t="shared" si="48"/>
        <v>0.53</v>
      </c>
      <c r="BF44" s="31">
        <v>0.14000000000000001</v>
      </c>
      <c r="BG44" s="45">
        <v>0.5</v>
      </c>
      <c r="BH44" s="36">
        <v>0.2</v>
      </c>
      <c r="BI44" s="35">
        <v>0.53</v>
      </c>
      <c r="BJ44" s="31"/>
      <c r="BK44" s="19">
        <f t="shared" si="49"/>
        <v>0.53</v>
      </c>
      <c r="BL44" s="31">
        <v>0.13</v>
      </c>
      <c r="BM44" s="45">
        <v>0.5</v>
      </c>
      <c r="BN44" s="36">
        <v>0.2</v>
      </c>
      <c r="BO44" s="35">
        <v>0.53</v>
      </c>
      <c r="BP44" s="102"/>
      <c r="BQ44" s="19">
        <f t="shared" si="50"/>
        <v>0.53</v>
      </c>
      <c r="BR44" s="31">
        <v>0.13</v>
      </c>
      <c r="BS44" s="45">
        <v>0.5</v>
      </c>
      <c r="BT44" s="36">
        <v>0.2</v>
      </c>
      <c r="BU44" s="18">
        <f t="shared" si="51"/>
        <v>5.120000000000001</v>
      </c>
      <c r="BV44" s="19">
        <f t="shared" si="52"/>
        <v>0</v>
      </c>
      <c r="BW44" s="19">
        <f t="shared" si="53"/>
        <v>5.120000000000001</v>
      </c>
      <c r="BX44" s="19">
        <f t="shared" si="54"/>
        <v>0.89</v>
      </c>
      <c r="BY44" s="19">
        <f t="shared" si="54"/>
        <v>4.6399999999999997</v>
      </c>
      <c r="BZ44" s="37">
        <f t="shared" si="54"/>
        <v>4</v>
      </c>
      <c r="CA44" s="24"/>
      <c r="CB44" s="24"/>
    </row>
    <row r="45" spans="1:80" outlineLevel="1">
      <c r="A45" s="5" t="s">
        <v>47</v>
      </c>
      <c r="B45" s="54" t="s">
        <v>15</v>
      </c>
      <c r="C45" s="43">
        <v>0</v>
      </c>
      <c r="D45" s="23">
        <v>0.13</v>
      </c>
      <c r="E45" s="118">
        <f t="shared" si="65"/>
        <v>0</v>
      </c>
      <c r="F45" s="89">
        <f t="shared" si="66"/>
        <v>0</v>
      </c>
      <c r="G45" s="35"/>
      <c r="H45" s="31"/>
      <c r="I45" s="19">
        <f t="shared" si="42"/>
        <v>0</v>
      </c>
      <c r="J45" s="31"/>
      <c r="K45" s="31">
        <f t="shared" si="63"/>
        <v>0</v>
      </c>
      <c r="L45" s="36">
        <f t="shared" si="64"/>
        <v>0</v>
      </c>
      <c r="M45" s="35">
        <v>0.43</v>
      </c>
      <c r="N45" s="31"/>
      <c r="O45" s="19">
        <f t="shared" si="43"/>
        <v>0.43</v>
      </c>
      <c r="P45" s="31">
        <v>2.38</v>
      </c>
      <c r="Q45" s="96">
        <f t="shared" si="59"/>
        <v>0.43</v>
      </c>
      <c r="R45" s="97">
        <f t="shared" si="60"/>
        <v>0.43</v>
      </c>
      <c r="S45" s="35">
        <v>0.83</v>
      </c>
      <c r="T45" s="102"/>
      <c r="U45" s="19">
        <f t="shared" si="44"/>
        <v>0.83</v>
      </c>
      <c r="V45" s="31">
        <v>0.01</v>
      </c>
      <c r="W45" s="104"/>
      <c r="X45" s="103">
        <f t="shared" si="57"/>
        <v>0.83</v>
      </c>
      <c r="Y45" s="35">
        <v>1.26</v>
      </c>
      <c r="Z45" s="31"/>
      <c r="AA45" s="19">
        <f t="shared" si="45"/>
        <v>1.26</v>
      </c>
      <c r="AB45" s="31"/>
      <c r="AC45" s="104"/>
      <c r="AD45" s="36">
        <f t="shared" si="55"/>
        <v>1.26</v>
      </c>
      <c r="AE45" s="35">
        <v>0.57999999999999996</v>
      </c>
      <c r="AF45" s="31"/>
      <c r="AG45" s="19">
        <f t="shared" si="56"/>
        <v>0.57999999999999996</v>
      </c>
      <c r="AH45" s="31">
        <v>3.56</v>
      </c>
      <c r="AI45" s="45"/>
      <c r="AJ45" s="103">
        <f t="shared" si="58"/>
        <v>0.57999999999999996</v>
      </c>
      <c r="AK45" s="35"/>
      <c r="AL45" s="31"/>
      <c r="AM45" s="19">
        <f t="shared" si="46"/>
        <v>0</v>
      </c>
      <c r="AN45" s="31">
        <v>15.46</v>
      </c>
      <c r="AO45" s="45"/>
      <c r="AP45" s="97">
        <f t="shared" si="61"/>
        <v>0</v>
      </c>
      <c r="AQ45" s="35"/>
      <c r="AR45" s="31"/>
      <c r="AS45" s="19">
        <f t="shared" si="47"/>
        <v>0</v>
      </c>
      <c r="AT45" s="31">
        <v>33.47</v>
      </c>
      <c r="AU45" s="45"/>
      <c r="AV45" s="36"/>
      <c r="AW45" s="35"/>
      <c r="AX45" s="31"/>
      <c r="AY45" s="81">
        <f t="shared" si="62"/>
        <v>0</v>
      </c>
      <c r="AZ45" s="31">
        <v>4.9800000000000004</v>
      </c>
      <c r="BA45" s="45"/>
      <c r="BB45" s="36"/>
      <c r="BC45" s="35"/>
      <c r="BD45" s="31"/>
      <c r="BE45" s="19">
        <f t="shared" si="48"/>
        <v>0</v>
      </c>
      <c r="BF45" s="31"/>
      <c r="BG45" s="45"/>
      <c r="BH45" s="36"/>
      <c r="BI45" s="35">
        <v>0.4</v>
      </c>
      <c r="BJ45" s="31"/>
      <c r="BK45" s="19">
        <f t="shared" si="49"/>
        <v>0.4</v>
      </c>
      <c r="BL45" s="31">
        <v>2.39</v>
      </c>
      <c r="BM45" s="45"/>
      <c r="BN45" s="36"/>
      <c r="BO45" s="35"/>
      <c r="BP45" s="102"/>
      <c r="BQ45" s="19">
        <f t="shared" si="50"/>
        <v>0</v>
      </c>
      <c r="BR45" s="31">
        <v>0.79</v>
      </c>
      <c r="BS45" s="45"/>
      <c r="BT45" s="36"/>
      <c r="BU45" s="18">
        <f t="shared" si="51"/>
        <v>3.5</v>
      </c>
      <c r="BV45" s="19">
        <f t="shared" si="52"/>
        <v>0</v>
      </c>
      <c r="BW45" s="19">
        <f t="shared" si="53"/>
        <v>3.5</v>
      </c>
      <c r="BX45" s="19">
        <f t="shared" si="54"/>
        <v>63.169999999999995</v>
      </c>
      <c r="BY45" s="19">
        <f t="shared" si="54"/>
        <v>0.43</v>
      </c>
      <c r="BZ45" s="37">
        <f t="shared" si="54"/>
        <v>3.1</v>
      </c>
      <c r="CA45" s="24"/>
      <c r="CB45" s="24"/>
    </row>
    <row r="46" spans="1:80" outlineLevel="1">
      <c r="A46" s="5" t="s">
        <v>60</v>
      </c>
      <c r="B46" s="54" t="s">
        <v>25</v>
      </c>
      <c r="C46" s="43">
        <v>80.05</v>
      </c>
      <c r="D46" s="23">
        <v>2.97</v>
      </c>
      <c r="E46" s="118">
        <f t="shared" si="65"/>
        <v>80.05</v>
      </c>
      <c r="F46" s="89">
        <f t="shared" si="66"/>
        <v>80.05</v>
      </c>
      <c r="G46" s="35">
        <v>39.35</v>
      </c>
      <c r="H46" s="31"/>
      <c r="I46" s="19">
        <f t="shared" si="42"/>
        <v>39.35</v>
      </c>
      <c r="J46" s="31">
        <v>1.43</v>
      </c>
      <c r="K46" s="31">
        <f t="shared" si="63"/>
        <v>39.35</v>
      </c>
      <c r="L46" s="36">
        <f t="shared" si="64"/>
        <v>39.35</v>
      </c>
      <c r="M46" s="35">
        <f>17.22+0.23+43.66</f>
        <v>61.11</v>
      </c>
      <c r="N46" s="31"/>
      <c r="O46" s="19">
        <f t="shared" si="43"/>
        <v>61.11</v>
      </c>
      <c r="P46" s="31">
        <v>2.96</v>
      </c>
      <c r="Q46" s="96">
        <f t="shared" si="59"/>
        <v>61.11</v>
      </c>
      <c r="R46" s="97">
        <f t="shared" si="60"/>
        <v>61.11</v>
      </c>
      <c r="S46" s="35">
        <f>0.35+21.59+0.59+18+0.27</f>
        <v>40.800000000000004</v>
      </c>
      <c r="T46" s="102"/>
      <c r="U46" s="19">
        <f t="shared" si="44"/>
        <v>40.800000000000004</v>
      </c>
      <c r="V46" s="31">
        <v>4.5999999999999996</v>
      </c>
      <c r="W46" s="104">
        <v>51.5</v>
      </c>
      <c r="X46" s="103">
        <f t="shared" si="57"/>
        <v>40.800000000000004</v>
      </c>
      <c r="Y46" s="35">
        <v>50.34</v>
      </c>
      <c r="Z46" s="31"/>
      <c r="AA46" s="19">
        <f t="shared" si="45"/>
        <v>50.34</v>
      </c>
      <c r="AB46" s="31">
        <v>15.45</v>
      </c>
      <c r="AC46" s="104">
        <v>51.5</v>
      </c>
      <c r="AD46" s="36">
        <f t="shared" si="55"/>
        <v>50.34</v>
      </c>
      <c r="AE46" s="35">
        <f>22.03+45.68</f>
        <v>67.710000000000008</v>
      </c>
      <c r="AF46" s="31"/>
      <c r="AG46" s="19">
        <f t="shared" si="56"/>
        <v>67.710000000000008</v>
      </c>
      <c r="AH46" s="31">
        <v>22.36</v>
      </c>
      <c r="AI46" s="45">
        <f>18+32</f>
        <v>50</v>
      </c>
      <c r="AJ46" s="103">
        <f t="shared" si="58"/>
        <v>67.710000000000008</v>
      </c>
      <c r="AK46" s="35">
        <f>18.72+39.56</f>
        <v>58.28</v>
      </c>
      <c r="AL46" s="31"/>
      <c r="AM46" s="19">
        <f t="shared" si="46"/>
        <v>58.28</v>
      </c>
      <c r="AN46" s="31">
        <v>36.28</v>
      </c>
      <c r="AO46" s="45">
        <v>51.5</v>
      </c>
      <c r="AP46" s="97">
        <f t="shared" si="61"/>
        <v>58.28</v>
      </c>
      <c r="AQ46" s="35">
        <v>19.34</v>
      </c>
      <c r="AR46" s="31"/>
      <c r="AS46" s="19">
        <f t="shared" si="47"/>
        <v>19.34</v>
      </c>
      <c r="AT46" s="31">
        <v>41.87</v>
      </c>
      <c r="AU46" s="45">
        <v>51.5</v>
      </c>
      <c r="AV46" s="36">
        <v>51</v>
      </c>
      <c r="AW46" s="35">
        <v>18.63</v>
      </c>
      <c r="AX46" s="31"/>
      <c r="AY46" s="81">
        <f t="shared" si="62"/>
        <v>18.63</v>
      </c>
      <c r="AZ46" s="31">
        <v>47.35</v>
      </c>
      <c r="BA46" s="45">
        <v>51</v>
      </c>
      <c r="BB46" s="36">
        <v>51</v>
      </c>
      <c r="BC46" s="35">
        <f>27.96+19.54</f>
        <v>47.5</v>
      </c>
      <c r="BD46" s="31"/>
      <c r="BE46" s="19">
        <f t="shared" si="48"/>
        <v>47.5</v>
      </c>
      <c r="BF46" s="31">
        <v>61.54</v>
      </c>
      <c r="BG46" s="45">
        <v>51</v>
      </c>
      <c r="BH46" s="36">
        <v>51.5</v>
      </c>
      <c r="BI46" s="35">
        <f>18.01+34.22</f>
        <v>52.230000000000004</v>
      </c>
      <c r="BJ46" s="31"/>
      <c r="BK46" s="19">
        <f t="shared" si="49"/>
        <v>52.230000000000004</v>
      </c>
      <c r="BL46" s="31">
        <v>92.46</v>
      </c>
      <c r="BM46" s="45">
        <v>51</v>
      </c>
      <c r="BN46" s="36">
        <v>51</v>
      </c>
      <c r="BO46" s="35">
        <f>35.39+0.27+16.18+2.66+2.26+0.33</f>
        <v>57.089999999999996</v>
      </c>
      <c r="BP46" s="102"/>
      <c r="BQ46" s="19">
        <f t="shared" si="50"/>
        <v>57.089999999999996</v>
      </c>
      <c r="BR46" s="31">
        <v>95.190000000000012</v>
      </c>
      <c r="BS46" s="45">
        <v>54</v>
      </c>
      <c r="BT46" s="36">
        <v>54</v>
      </c>
      <c r="BU46" s="18">
        <f t="shared" si="51"/>
        <v>592.42999999999995</v>
      </c>
      <c r="BV46" s="19">
        <f t="shared" si="52"/>
        <v>0</v>
      </c>
      <c r="BW46" s="19">
        <f t="shared" si="53"/>
        <v>592.42999999999995</v>
      </c>
      <c r="BX46" s="19">
        <f t="shared" si="54"/>
        <v>424.46</v>
      </c>
      <c r="BY46" s="19">
        <f t="shared" si="54"/>
        <v>643.51</v>
      </c>
      <c r="BZ46" s="37">
        <f t="shared" si="54"/>
        <v>656.14</v>
      </c>
      <c r="CA46" s="24"/>
      <c r="CB46" s="24"/>
    </row>
    <row r="47" spans="1:80" s="12" customFormat="1" ht="14.5" thickBot="1">
      <c r="A47" s="6" t="s">
        <v>1</v>
      </c>
      <c r="B47" s="59"/>
      <c r="C47" s="22">
        <f>C29-C30</f>
        <v>-349.08</v>
      </c>
      <c r="D47" s="17">
        <f t="shared" ref="D47:BN47" si="67">D29-D30</f>
        <v>-26.81</v>
      </c>
      <c r="E47" s="17">
        <f t="shared" si="67"/>
        <v>-349.08</v>
      </c>
      <c r="F47" s="42">
        <f t="shared" si="67"/>
        <v>-349.08</v>
      </c>
      <c r="G47" s="22">
        <f t="shared" si="67"/>
        <v>-234.21000000000004</v>
      </c>
      <c r="H47" s="17">
        <f t="shared" si="67"/>
        <v>0</v>
      </c>
      <c r="I47" s="17">
        <f t="shared" si="67"/>
        <v>-234.21000000000004</v>
      </c>
      <c r="J47" s="17">
        <f t="shared" si="67"/>
        <v>-28.13</v>
      </c>
      <c r="K47" s="17">
        <f t="shared" si="67"/>
        <v>-234.21000000000004</v>
      </c>
      <c r="L47" s="42">
        <f t="shared" si="67"/>
        <v>-234.21000000000004</v>
      </c>
      <c r="M47" s="22">
        <f t="shared" si="67"/>
        <v>-330.37</v>
      </c>
      <c r="N47" s="17">
        <f t="shared" si="67"/>
        <v>0</v>
      </c>
      <c r="O47" s="17">
        <f t="shared" si="67"/>
        <v>-330.37</v>
      </c>
      <c r="P47" s="17">
        <f t="shared" si="67"/>
        <v>-31.64</v>
      </c>
      <c r="Q47" s="17">
        <f t="shared" si="67"/>
        <v>-330.37</v>
      </c>
      <c r="R47" s="42">
        <f t="shared" si="67"/>
        <v>-330.37</v>
      </c>
      <c r="S47" s="22">
        <f>S29-S30</f>
        <v>-243.95000000000002</v>
      </c>
      <c r="T47" s="17">
        <f>T29-T30</f>
        <v>0</v>
      </c>
      <c r="U47" s="17">
        <f t="shared" si="67"/>
        <v>-243.95000000000002</v>
      </c>
      <c r="V47" s="17">
        <f t="shared" si="67"/>
        <v>-50.1</v>
      </c>
      <c r="W47" s="48">
        <f t="shared" si="67"/>
        <v>-268.52300000000002</v>
      </c>
      <c r="X47" s="42">
        <f t="shared" si="67"/>
        <v>-243.95000000000002</v>
      </c>
      <c r="Y47" s="22">
        <f>Y29-Y30</f>
        <v>-103.22000000000003</v>
      </c>
      <c r="Z47" s="17">
        <f>Z29-Z30</f>
        <v>0</v>
      </c>
      <c r="AA47" s="17">
        <f t="shared" si="67"/>
        <v>-103.22000000000003</v>
      </c>
      <c r="AB47" s="17">
        <f t="shared" si="67"/>
        <v>-73.400000000000006</v>
      </c>
      <c r="AC47" s="48">
        <f t="shared" si="67"/>
        <v>-300.27</v>
      </c>
      <c r="AD47" s="42">
        <f t="shared" si="67"/>
        <v>-103.22000000000003</v>
      </c>
      <c r="AE47" s="22">
        <f>AE29-AE30</f>
        <v>-355</v>
      </c>
      <c r="AF47" s="17">
        <f>AF29-AF30</f>
        <v>0</v>
      </c>
      <c r="AG47" s="17">
        <f t="shared" si="67"/>
        <v>-355</v>
      </c>
      <c r="AH47" s="17">
        <f t="shared" si="67"/>
        <v>-116.85</v>
      </c>
      <c r="AI47" s="48">
        <f t="shared" si="67"/>
        <v>-271.01</v>
      </c>
      <c r="AJ47" s="42">
        <f t="shared" si="67"/>
        <v>-355</v>
      </c>
      <c r="AK47" s="22">
        <f>AK29-AK30</f>
        <v>-170.11</v>
      </c>
      <c r="AL47" s="17">
        <f>AL29-AL30</f>
        <v>0</v>
      </c>
      <c r="AM47" s="17">
        <f t="shared" si="67"/>
        <v>-170.11</v>
      </c>
      <c r="AN47" s="17">
        <f t="shared" si="67"/>
        <v>-257.52000000000004</v>
      </c>
      <c r="AO47" s="48">
        <f t="shared" si="67"/>
        <v>-231.36600000000001</v>
      </c>
      <c r="AP47" s="42">
        <f t="shared" si="67"/>
        <v>-170.11</v>
      </c>
      <c r="AQ47" s="22">
        <f>AQ29-AQ30</f>
        <v>-239.95</v>
      </c>
      <c r="AR47" s="17">
        <f>AR29-AR30</f>
        <v>0</v>
      </c>
      <c r="AS47" s="17">
        <f t="shared" si="67"/>
        <v>-239.95</v>
      </c>
      <c r="AT47" s="17">
        <f t="shared" si="67"/>
        <v>-254.1</v>
      </c>
      <c r="AU47" s="48">
        <f t="shared" si="67"/>
        <v>-192.93</v>
      </c>
      <c r="AV47" s="42">
        <f t="shared" si="67"/>
        <v>-189.55</v>
      </c>
      <c r="AW47" s="22">
        <f>AW29-AW30</f>
        <v>-259.97000000000003</v>
      </c>
      <c r="AX47" s="17">
        <f>AX29-AX30</f>
        <v>0</v>
      </c>
      <c r="AY47" s="17">
        <f t="shared" si="67"/>
        <v>-259.69</v>
      </c>
      <c r="AZ47" s="17">
        <f t="shared" si="67"/>
        <v>-358.24</v>
      </c>
      <c r="BA47" s="48">
        <f t="shared" si="67"/>
        <v>-166.60176991150442</v>
      </c>
      <c r="BB47" s="42">
        <f t="shared" si="67"/>
        <v>-168.41000000000003</v>
      </c>
      <c r="BC47" s="22">
        <f>BC29-BC30</f>
        <v>-227.96</v>
      </c>
      <c r="BD47" s="17">
        <f>BD29-BD30</f>
        <v>0</v>
      </c>
      <c r="BE47" s="17">
        <f t="shared" si="67"/>
        <v>-227.96</v>
      </c>
      <c r="BF47" s="17">
        <f t="shared" si="67"/>
        <v>-416.19000000000005</v>
      </c>
      <c r="BG47" s="48">
        <f t="shared" si="67"/>
        <v>-183.8</v>
      </c>
      <c r="BH47" s="42">
        <f t="shared" si="67"/>
        <v>-179.7</v>
      </c>
      <c r="BI47" s="22">
        <f>BI29-BI30</f>
        <v>-49.22999999999999</v>
      </c>
      <c r="BJ47" s="17">
        <f>BJ29-BJ30</f>
        <v>0</v>
      </c>
      <c r="BK47" s="17">
        <f t="shared" si="67"/>
        <v>-49.22999999999999</v>
      </c>
      <c r="BL47" s="17">
        <f t="shared" si="67"/>
        <v>-277.71000000000004</v>
      </c>
      <c r="BM47" s="48">
        <f t="shared" si="67"/>
        <v>-89.5</v>
      </c>
      <c r="BN47" s="42">
        <f t="shared" si="67"/>
        <v>-82.440000000000012</v>
      </c>
      <c r="BO47" s="22">
        <f>BO29-BO30</f>
        <v>-374.38999999999993</v>
      </c>
      <c r="BP47" s="17">
        <f>BP29-BP30</f>
        <v>0</v>
      </c>
      <c r="BQ47" s="17">
        <f t="shared" ref="BQ47:BZ47" si="68">BQ29-BQ30</f>
        <v>-374.38999999999993</v>
      </c>
      <c r="BR47" s="17">
        <f t="shared" si="68"/>
        <v>-445.94999999999993</v>
      </c>
      <c r="BS47" s="48">
        <f t="shared" si="68"/>
        <v>-306.29000000000002</v>
      </c>
      <c r="BT47" s="42">
        <f t="shared" si="68"/>
        <v>-354.5</v>
      </c>
      <c r="BU47" s="22">
        <f t="shared" si="68"/>
        <v>-2937.4400000000005</v>
      </c>
      <c r="BV47" s="17">
        <f t="shared" si="68"/>
        <v>0</v>
      </c>
      <c r="BW47" s="17">
        <f t="shared" si="68"/>
        <v>-2937.4400000000005</v>
      </c>
      <c r="BX47" s="17">
        <f t="shared" si="68"/>
        <v>-2336.64</v>
      </c>
      <c r="BY47" s="17">
        <f t="shared" si="68"/>
        <v>-2923.9507699115047</v>
      </c>
      <c r="BZ47" s="42">
        <f t="shared" si="68"/>
        <v>-2760.54</v>
      </c>
      <c r="CA47" s="24"/>
      <c r="CB47" s="24"/>
    </row>
    <row r="48" spans="1:80">
      <c r="L48" s="26"/>
    </row>
    <row r="49" spans="3:48">
      <c r="L49" s="16"/>
    </row>
    <row r="50" spans="3:48">
      <c r="C50" s="26">
        <f>C47+G47+M47+S47+Y47</f>
        <v>-1260.83</v>
      </c>
      <c r="M50" s="24"/>
      <c r="P50" s="24"/>
    </row>
    <row r="52" spans="3:48">
      <c r="AQ52" s="74">
        <v>-239.95000000000005</v>
      </c>
      <c r="AR52" s="74">
        <v>0</v>
      </c>
      <c r="AS52" s="74">
        <v>-239.95000000000005</v>
      </c>
      <c r="AT52" s="74">
        <v>-254.1</v>
      </c>
      <c r="AU52" s="74">
        <v>-192.9</v>
      </c>
      <c r="AV52" s="74">
        <v>-189.55</v>
      </c>
    </row>
  </sheetData>
  <sheetProtection autoFilter="0"/>
  <mergeCells count="14">
    <mergeCell ref="BO2:BT2"/>
    <mergeCell ref="BU2:BZ2"/>
    <mergeCell ref="AE2:AJ2"/>
    <mergeCell ref="AK2:AP2"/>
    <mergeCell ref="AQ2:AV2"/>
    <mergeCell ref="AW2:BB2"/>
    <mergeCell ref="BC2:BH2"/>
    <mergeCell ref="BI2:BN2"/>
    <mergeCell ref="Y2:AD2"/>
    <mergeCell ref="A2:A3"/>
    <mergeCell ref="C2:F2"/>
    <mergeCell ref="G2:L2"/>
    <mergeCell ref="M2:R2"/>
    <mergeCell ref="S2:X2"/>
  </mergeCells>
  <phoneticPr fontId="2" type="noConversion"/>
  <hyperlinks>
    <hyperlink ref="L1" location="目录!A1" display="返回目录"/>
  </hyperlinks>
  <pageMargins left="0.7" right="0.7" top="0.75" bottom="0.75" header="0.3" footer="0.3"/>
  <pageSetup paperSize="9" orientation="portrait" r:id="rId1"/>
  <customProperties>
    <customPr name="_pios_id" r:id="rId2"/>
  </customProperties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4" sqref="D4"/>
    </sheetView>
  </sheetViews>
  <sheetFormatPr defaultRowHeight="14"/>
  <sheetData>
    <row r="1" spans="1:6">
      <c r="B1" t="s">
        <v>91</v>
      </c>
      <c r="C1" t="s">
        <v>92</v>
      </c>
      <c r="D1" t="s">
        <v>93</v>
      </c>
      <c r="E1" t="s">
        <v>94</v>
      </c>
      <c r="F1" t="s">
        <v>101</v>
      </c>
    </row>
    <row r="2" spans="1:6">
      <c r="A2" t="s">
        <v>90</v>
      </c>
      <c r="B2">
        <v>1.34</v>
      </c>
      <c r="C2">
        <v>7.0000000000000007E-2</v>
      </c>
      <c r="D2">
        <v>1.51</v>
      </c>
      <c r="E2">
        <v>1.62</v>
      </c>
    </row>
    <row r="3" spans="1:6">
      <c r="A3" t="s">
        <v>95</v>
      </c>
      <c r="B3">
        <v>10.62</v>
      </c>
      <c r="C3">
        <v>1.71</v>
      </c>
      <c r="D3">
        <v>12</v>
      </c>
      <c r="E3">
        <v>34.700000000000003</v>
      </c>
      <c r="F3">
        <v>0.51</v>
      </c>
    </row>
    <row r="4" spans="1:6">
      <c r="A4" t="s">
        <v>96</v>
      </c>
      <c r="B4">
        <v>11.88</v>
      </c>
      <c r="C4">
        <v>0.44</v>
      </c>
      <c r="D4">
        <v>13.63</v>
      </c>
      <c r="E4">
        <v>16.100000000000001</v>
      </c>
      <c r="F4">
        <v>0.1</v>
      </c>
    </row>
    <row r="5" spans="1:6">
      <c r="B5">
        <f>SUM(B3:B4)</f>
        <v>22.5</v>
      </c>
      <c r="C5">
        <f>SUM(C3:C4)</f>
        <v>2.15</v>
      </c>
      <c r="D5">
        <f>SUM(D3:D4)</f>
        <v>25.630000000000003</v>
      </c>
      <c r="E5">
        <f>SUM(E3:E4)</f>
        <v>50.800000000000004</v>
      </c>
    </row>
  </sheetData>
  <phoneticPr fontId="2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珀芙研</vt:lpstr>
      <vt:lpstr>珀芙研电商</vt:lpstr>
      <vt:lpstr>珀芙研药房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李娟</dc:creator>
  <cp:lastModifiedBy>赵璇</cp:lastModifiedBy>
  <dcterms:created xsi:type="dcterms:W3CDTF">2015-06-05T18:19:34Z</dcterms:created>
  <dcterms:modified xsi:type="dcterms:W3CDTF">2021-03-11T02:24:25Z</dcterms:modified>
</cp:coreProperties>
</file>