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MO\2kurs\1sem\phys\lab1.02\"/>
    </mc:Choice>
  </mc:AlternateContent>
  <xr:revisionPtr revIDLastSave="0" documentId="13_ncr:1_{6E80CE31-ADB0-484D-AAB6-4A47A14B7203}" xr6:coauthVersionLast="47" xr6:coauthVersionMax="47" xr10:uidLastSave="{00000000-0000-0000-0000-000000000000}"/>
  <bookViews>
    <workbookView xWindow="0" yWindow="456" windowWidth="11520" windowHeight="1250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2" i="1"/>
  <c r="H13" i="1"/>
  <c r="H14" i="1"/>
  <c r="H15" i="1"/>
  <c r="H16" i="1"/>
  <c r="H12" i="1"/>
  <c r="I13" i="1" l="1"/>
  <c r="I12" i="1"/>
  <c r="M31" i="1"/>
  <c r="L31" i="1"/>
  <c r="L34" i="1" s="1"/>
  <c r="L35" i="1" s="1"/>
  <c r="K31" i="1"/>
  <c r="K34" i="1" s="1"/>
  <c r="K35" i="1" s="1"/>
  <c r="J31" i="1"/>
  <c r="J34" i="1" s="1"/>
  <c r="J35" i="1" s="1"/>
  <c r="I31" i="1"/>
  <c r="J30" i="1"/>
  <c r="J32" i="1" s="1"/>
  <c r="J33" i="1" s="1"/>
  <c r="K30" i="1"/>
  <c r="K32" i="1" s="1"/>
  <c r="K33" i="1" s="1"/>
  <c r="L30" i="1"/>
  <c r="L32" i="1" s="1"/>
  <c r="L33" i="1" s="1"/>
  <c r="M30" i="1"/>
  <c r="M32" i="1" s="1"/>
  <c r="M33" i="1" s="1"/>
  <c r="I30" i="1"/>
  <c r="J23" i="1"/>
  <c r="J27" i="1"/>
  <c r="O33" i="1" s="1"/>
  <c r="J26" i="1"/>
  <c r="O32" i="1" s="1"/>
  <c r="J25" i="1"/>
  <c r="O31" i="1" s="1"/>
  <c r="J24" i="1"/>
  <c r="O30" i="1" s="1"/>
  <c r="I32" i="1" l="1"/>
  <c r="I33" i="1" s="1"/>
  <c r="O28" i="1"/>
  <c r="P29" i="1" s="1"/>
  <c r="O29" i="1"/>
  <c r="O34" i="1" s="1"/>
  <c r="I14" i="1"/>
  <c r="P15" i="1" s="1"/>
  <c r="P13" i="1"/>
  <c r="P23" i="1"/>
  <c r="R25" i="1" s="1"/>
  <c r="M36" i="1"/>
  <c r="L36" i="1"/>
  <c r="L37" i="1" s="1"/>
  <c r="K36" i="1"/>
  <c r="I36" i="1"/>
  <c r="J36" i="1"/>
  <c r="M34" i="1"/>
  <c r="M35" i="1" s="1"/>
  <c r="I34" i="1"/>
  <c r="I35" i="1" s="1"/>
  <c r="P28" i="1" l="1"/>
  <c r="P14" i="1"/>
  <c r="P16" i="1"/>
  <c r="P12" i="1"/>
  <c r="M37" i="1"/>
  <c r="R31" i="1"/>
  <c r="J37" i="1"/>
  <c r="K37" i="1"/>
  <c r="R27" i="1"/>
  <c r="R23" i="1"/>
  <c r="R26" i="1"/>
  <c r="R24" i="1"/>
  <c r="P24" i="1"/>
  <c r="P36" i="1" s="1"/>
  <c r="S25" i="1" s="1"/>
  <c r="I37" i="1"/>
  <c r="Q12" i="1" l="1"/>
  <c r="R12" i="1" s="1"/>
  <c r="R13" i="1" s="1"/>
  <c r="Q36" i="1"/>
  <c r="S26" i="1" s="1"/>
  <c r="O36" i="1"/>
  <c r="S24" i="1" s="1"/>
  <c r="R36" i="1"/>
  <c r="S27" i="1" s="1"/>
  <c r="N36" i="1"/>
  <c r="S23" i="1" s="1"/>
  <c r="R30" i="1"/>
  <c r="R33" i="1"/>
  <c r="R32" i="1"/>
  <c r="R29" i="1"/>
  <c r="T23" i="1" l="1"/>
  <c r="U23" i="1" s="1"/>
  <c r="T38" i="1" s="1"/>
  <c r="T44" i="1" s="1"/>
  <c r="U36" i="1"/>
  <c r="T36" i="1" l="1"/>
  <c r="T42" i="1" s="1"/>
  <c r="T37" i="1"/>
  <c r="T43" i="1" s="1"/>
  <c r="T39" i="1"/>
  <c r="T45" i="1" s="1"/>
  <c r="T40" i="1"/>
  <c r="T46" i="1" s="1"/>
  <c r="V36" i="1" l="1"/>
</calcChain>
</file>

<file path=xl/sharedStrings.xml><?xml version="1.0" encoding="utf-8"?>
<sst xmlns="http://schemas.openxmlformats.org/spreadsheetml/2006/main" count="92" uniqueCount="70">
  <si>
    <t>Таблица 1</t>
  </si>
  <si>
    <t>№</t>
  </si>
  <si>
    <t>Измеренные величины</t>
  </si>
  <si>
    <t>Рассчит. Велич.</t>
  </si>
  <si>
    <t>Таблица 2</t>
  </si>
  <si>
    <r>
      <t>h</t>
    </r>
    <r>
      <rPr>
        <b/>
        <sz val="8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` (мм)</t>
    </r>
  </si>
  <si>
    <r>
      <t>h</t>
    </r>
    <r>
      <rPr>
        <b/>
        <sz val="8"/>
        <color theme="1"/>
        <rFont val="Calibri"/>
        <family val="2"/>
        <charset val="204"/>
        <scheme val="minor"/>
      </rPr>
      <t xml:space="preserve">0 </t>
    </r>
    <r>
      <rPr>
        <b/>
        <sz val="11"/>
        <color theme="1"/>
        <rFont val="Calibri"/>
        <family val="2"/>
        <charset val="204"/>
        <scheme val="minor"/>
      </rPr>
      <t>(мм)</t>
    </r>
  </si>
  <si>
    <t>t2, (с)</t>
  </si>
  <si>
    <t>t1, (с)</t>
  </si>
  <si>
    <t>x2, (м)</t>
  </si>
  <si>
    <t>x1, (м)</t>
  </si>
  <si>
    <t>(Y)</t>
  </si>
  <si>
    <t>(X)</t>
  </si>
  <si>
    <t>№ опыта</t>
  </si>
  <si>
    <t>h, (мм)</t>
  </si>
  <si>
    <t>h`, (мм)</t>
  </si>
  <si>
    <t>t1, (c)</t>
  </si>
  <si>
    <t>t2, (c)</t>
  </si>
  <si>
    <t>Таблица 3.1</t>
  </si>
  <si>
    <t>Таблица 3.2</t>
  </si>
  <si>
    <t>Таблица 3.3</t>
  </si>
  <si>
    <t>Таблица 3.4</t>
  </si>
  <si>
    <t>Таблица 3.5</t>
  </si>
  <si>
    <t>Количество пластин</t>
  </si>
  <si>
    <t>sin a</t>
  </si>
  <si>
    <t>a, (м/с^2)</t>
  </si>
  <si>
    <t>x` (мм)</t>
  </si>
  <si>
    <t>x (мм)</t>
  </si>
  <si>
    <r>
      <t>t1</t>
    </r>
    <r>
      <rPr>
        <b/>
        <sz val="8"/>
        <color theme="1"/>
        <rFont val="Calibri"/>
        <family val="2"/>
        <charset val="204"/>
        <scheme val="minor"/>
      </rPr>
      <t>ср</t>
    </r>
  </si>
  <si>
    <r>
      <t>t2</t>
    </r>
    <r>
      <rPr>
        <b/>
        <sz val="8"/>
        <color theme="1"/>
        <rFont val="Calibri"/>
        <family val="2"/>
        <charset val="204"/>
        <scheme val="minor"/>
      </rPr>
      <t>ср</t>
    </r>
  </si>
  <si>
    <t>∆t1сл</t>
  </si>
  <si>
    <t>∆t1</t>
  </si>
  <si>
    <t>∆t2сл</t>
  </si>
  <si>
    <t>Погрешности приборов</t>
  </si>
  <si>
    <t>∆t1=∆t2 (с)</t>
  </si>
  <si>
    <t>(1) для табл. 3.1</t>
  </si>
  <si>
    <t>(2) для табл. 3.2</t>
  </si>
  <si>
    <t>(3) для табл. 3.3</t>
  </si>
  <si>
    <t>(4) для табл. 3.4</t>
  </si>
  <si>
    <t>(5) для табл. 3.5</t>
  </si>
  <si>
    <t>∆t2</t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</si>
  <si>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(1)</t>
    </r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</si>
  <si>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(2)</t>
    </r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</si>
  <si>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(3)</t>
    </r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</si>
  <si>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(4)</t>
    </r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</si>
  <si>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(5)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</si>
  <si>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(1)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</si>
  <si>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(2)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</si>
  <si>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(3)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</si>
  <si>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(4)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</si>
  <si>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(5)</t>
    </r>
  </si>
  <si>
    <r>
      <t>a</t>
    </r>
    <r>
      <rPr>
        <b/>
        <sz val="8"/>
        <color theme="1"/>
        <rFont val="Calibri"/>
        <family val="2"/>
        <charset val="204"/>
        <scheme val="minor"/>
      </rPr>
      <t>ср</t>
    </r>
  </si>
  <si>
    <r>
      <t>∆a</t>
    </r>
    <r>
      <rPr>
        <b/>
        <sz val="8"/>
        <color theme="1"/>
        <rFont val="Calibri"/>
        <family val="2"/>
        <charset val="204"/>
        <scheme val="minor"/>
      </rPr>
      <t>ср</t>
    </r>
  </si>
  <si>
    <t>aср ± ∆aср (2)</t>
  </si>
  <si>
    <t>aср ± ∆aср (3)</t>
  </si>
  <si>
    <t>aср ± ∆aср (4)</t>
  </si>
  <si>
    <t>aср ± ∆aср (5)</t>
  </si>
  <si>
    <t>aср ± ∆aср (1)</t>
  </si>
  <si>
    <t>∆x1=∆x2 (м)</t>
  </si>
  <si>
    <t>(x2-x1), (м)</t>
  </si>
  <si>
    <t>(t2^2-t1^2)/2, (с^2)</t>
  </si>
  <si>
    <t>В</t>
  </si>
  <si>
    <t>А</t>
  </si>
  <si>
    <t>d</t>
  </si>
  <si>
    <t>D</t>
  </si>
  <si>
    <t>СКО B</t>
  </si>
  <si>
    <t>Задание 1, замеры вписываем в таблицы согласно методичке (все что вне таблиц, это расчет погрешностей)</t>
  </si>
  <si>
    <t>Некотрые из значений линейной фунции можно записать в отчет о расччетах погрешности по мнк(а, б, ско)</t>
  </si>
  <si>
    <t>Задание 2, аналогично все нужные значения посчитаны, смотри названия таблиц и методичку, погрешности для значений таблиц также представленны в таблице справа от таблиц с замерами</t>
  </si>
  <si>
    <t>Гафики(строятся автоматически) построены по мнк, расчет вне таблиц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</si>
</sst>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0" fillId="0" borderId="1" xfId="0" applyNumberFormat="1" applyBorder="1"/>
    <xf numFmtId="0" fontId="5" fillId="0" borderId="0" xfId="0" applyFont="1" applyAlignment="1">
      <alignment horizontal="center"/>
    </xf>
    <xf numFmtId="164" fontId="6" fillId="0" borderId="1" xfId="0" applyNumberFormat="1" applyFont="1" applyBorder="1"/>
    <xf numFmtId="0" fontId="1" fillId="2" borderId="5" xfId="0" applyFont="1" applyFill="1" applyBorder="1" applyAlignment="1">
      <alignment horizontal="right"/>
    </xf>
    <xf numFmtId="0" fontId="1" fillId="2" borderId="5" xfId="0" applyFont="1" applyFill="1" applyBorder="1"/>
    <xf numFmtId="0" fontId="1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64" fontId="0" fillId="3" borderId="11" xfId="0" applyNumberFormat="1" applyFill="1" applyBorder="1"/>
    <xf numFmtId="164" fontId="0" fillId="3" borderId="12" xfId="0" applyNumberFormat="1" applyFill="1" applyBorder="1"/>
    <xf numFmtId="164" fontId="0" fillId="3" borderId="8" xfId="0" applyNumberFormat="1" applyFill="1" applyBorder="1"/>
    <xf numFmtId="164" fontId="0" fillId="3" borderId="14" xfId="0" applyNumberFormat="1" applyFill="1" applyBorder="1"/>
    <xf numFmtId="164" fontId="0" fillId="3" borderId="15" xfId="0" applyNumberFormat="1" applyFill="1" applyBorder="1"/>
    <xf numFmtId="2" fontId="0" fillId="3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0" borderId="7" xfId="0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4" fillId="4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Лист1!$H$12:$H$16</c:f>
              <c:numCache>
                <c:formatCode>General</c:formatCode>
                <c:ptCount val="5"/>
                <c:pt idx="0">
                  <c:v>2.2799999999999998</c:v>
                </c:pt>
                <c:pt idx="1">
                  <c:v>3.36</c:v>
                </c:pt>
                <c:pt idx="2">
                  <c:v>5.6350000000000007</c:v>
                </c:pt>
                <c:pt idx="3">
                  <c:v>7.56</c:v>
                </c:pt>
                <c:pt idx="4">
                  <c:v>9.7349999999999977</c:v>
                </c:pt>
              </c:numCache>
            </c:numRef>
          </c:xVal>
          <c:yVal>
            <c:numRef>
              <c:f>Лист1!$G$12:$G$16</c:f>
              <c:numCache>
                <c:formatCode>0.00</c:formatCode>
                <c:ptCount val="5"/>
                <c:pt idx="0">
                  <c:v>0.25</c:v>
                </c:pt>
                <c:pt idx="1">
                  <c:v>0.35</c:v>
                </c:pt>
                <c:pt idx="2">
                  <c:v>0.54999999999999993</c:v>
                </c:pt>
                <c:pt idx="3">
                  <c:v>0.75</c:v>
                </c:pt>
                <c:pt idx="4">
                  <c:v>0.95000000000000007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E-45F4-85FA-448E7A989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0984"/>
        <c:axId val="296471376"/>
      </c:scatterChart>
      <c:valAx>
        <c:axId val="29647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471376"/>
        <c:crosses val="autoZero"/>
        <c:crossBetween val="midCat"/>
      </c:valAx>
      <c:valAx>
        <c:axId val="2964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47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Лист1!$J$23:$J$27</c:f>
              <c:numCache>
                <c:formatCode>General</c:formatCode>
                <c:ptCount val="5"/>
                <c:pt idx="0">
                  <c:v>1.4102564102564103E-2</c:v>
                </c:pt>
                <c:pt idx="1">
                  <c:v>2.6923076923076925E-2</c:v>
                </c:pt>
                <c:pt idx="2">
                  <c:v>3.8461538461538464E-2</c:v>
                </c:pt>
                <c:pt idx="3">
                  <c:v>0.05</c:v>
                </c:pt>
                <c:pt idx="4">
                  <c:v>6.2820512820512819E-2</c:v>
                </c:pt>
              </c:numCache>
            </c:numRef>
          </c:xVal>
          <c:yVal>
            <c:numRef>
              <c:f>Лист1!$N$23:$N$27</c:f>
              <c:numCache>
                <c:formatCode>General</c:formatCode>
                <c:ptCount val="5"/>
                <c:pt idx="0">
                  <c:v>0.11728395061728396</c:v>
                </c:pt>
                <c:pt idx="1">
                  <c:v>0.23488107600257135</c:v>
                </c:pt>
                <c:pt idx="2">
                  <c:v>0.30172139998729602</c:v>
                </c:pt>
                <c:pt idx="3">
                  <c:v>0.40319157966216801</c:v>
                </c:pt>
                <c:pt idx="4">
                  <c:v>0.55823245974850144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3-48BC-A1C2-5D9B5D7D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3336"/>
        <c:axId val="296471768"/>
      </c:scatterChart>
      <c:valAx>
        <c:axId val="29647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471768"/>
        <c:crosses val="autoZero"/>
        <c:crossBetween val="midCat"/>
      </c:valAx>
      <c:valAx>
        <c:axId val="2964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47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3</xdr:row>
      <xdr:rowOff>180975</xdr:rowOff>
    </xdr:from>
    <xdr:to>
      <xdr:col>14</xdr:col>
      <xdr:colOff>457200</xdr:colOff>
      <xdr:row>17</xdr:row>
      <xdr:rowOff>66675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072A9F8-0D61-4966-991B-B35DA1CF2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38</xdr:row>
      <xdr:rowOff>190499</xdr:rowOff>
    </xdr:from>
    <xdr:to>
      <xdr:col>13</xdr:col>
      <xdr:colOff>495300</xdr:colOff>
      <xdr:row>62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8DE6A3B-AFED-4B4E-8095-DD73D4084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63"/>
  <sheetViews>
    <sheetView tabSelected="1" topLeftCell="A35" zoomScale="66" zoomScaleNormal="80" workbookViewId="0">
      <selection activeCell="H68" sqref="H68"/>
    </sheetView>
  </sheetViews>
  <sheetFormatPr defaultRowHeight="14.4" x14ac:dyDescent="0.3"/>
  <cols>
    <col min="3" max="3" width="9.109375" customWidth="1"/>
    <col min="7" max="8" width="16.6640625" customWidth="1"/>
    <col min="9" max="9" width="19.6640625" customWidth="1"/>
    <col min="10" max="13" width="15.6640625" customWidth="1"/>
    <col min="15" max="15" width="16.109375" customWidth="1"/>
    <col min="16" max="16" width="12" bestFit="1" customWidth="1"/>
    <col min="18" max="19" width="13.6640625" bestFit="1" customWidth="1"/>
    <col min="20" max="20" width="7.6640625" customWidth="1"/>
  </cols>
  <sheetData>
    <row r="3" spans="1:18" s="30" customFormat="1" ht="18" x14ac:dyDescent="0.35">
      <c r="A3" s="30" t="s">
        <v>66</v>
      </c>
    </row>
    <row r="4" spans="1:18" x14ac:dyDescent="0.3">
      <c r="L4" t="s">
        <v>69</v>
      </c>
    </row>
    <row r="5" spans="1:18" x14ac:dyDescent="0.3">
      <c r="B5" s="26" t="s">
        <v>0</v>
      </c>
      <c r="C5" s="26"/>
      <c r="D5" s="26"/>
      <c r="E5" s="26"/>
      <c r="G5" s="26" t="s">
        <v>33</v>
      </c>
      <c r="H5" s="26"/>
    </row>
    <row r="6" spans="1:18" x14ac:dyDescent="0.3">
      <c r="B6" s="3" t="s">
        <v>27</v>
      </c>
      <c r="C6" s="3" t="s">
        <v>26</v>
      </c>
      <c r="D6" s="3" t="s">
        <v>6</v>
      </c>
      <c r="E6" s="3" t="s">
        <v>5</v>
      </c>
      <c r="G6" s="16" t="s">
        <v>58</v>
      </c>
      <c r="H6" s="16" t="s">
        <v>34</v>
      </c>
    </row>
    <row r="7" spans="1:18" x14ac:dyDescent="0.3">
      <c r="B7" s="9">
        <v>220</v>
      </c>
      <c r="C7" s="9">
        <v>1000</v>
      </c>
      <c r="D7" s="7">
        <v>204</v>
      </c>
      <c r="E7" s="7">
        <v>204</v>
      </c>
      <c r="G7" s="15">
        <v>5.0000000000000001E-3</v>
      </c>
      <c r="H7" s="15">
        <v>0.05</v>
      </c>
    </row>
    <row r="8" spans="1:18" x14ac:dyDescent="0.3">
      <c r="B8" s="8">
        <v>0.22</v>
      </c>
      <c r="C8" s="8">
        <v>1</v>
      </c>
    </row>
    <row r="9" spans="1:18" x14ac:dyDescent="0.3">
      <c r="B9" s="26" t="s">
        <v>4</v>
      </c>
      <c r="C9" s="26"/>
      <c r="D9" s="26"/>
      <c r="E9" s="26"/>
      <c r="F9" s="26"/>
      <c r="G9" s="26"/>
      <c r="H9" s="26"/>
    </row>
    <row r="10" spans="1:18" x14ac:dyDescent="0.3">
      <c r="B10" s="34" t="s">
        <v>1</v>
      </c>
      <c r="C10" s="31" t="s">
        <v>2</v>
      </c>
      <c r="D10" s="32"/>
      <c r="E10" s="32"/>
      <c r="F10" s="33"/>
      <c r="G10" s="31" t="s">
        <v>3</v>
      </c>
      <c r="H10" s="33"/>
    </row>
    <row r="11" spans="1:18" x14ac:dyDescent="0.3">
      <c r="B11" s="35"/>
      <c r="C11" s="2" t="s">
        <v>10</v>
      </c>
      <c r="D11" s="2" t="s">
        <v>9</v>
      </c>
      <c r="E11" s="2" t="s">
        <v>8</v>
      </c>
      <c r="F11" s="2" t="s">
        <v>7</v>
      </c>
      <c r="G11" s="2" t="s">
        <v>59</v>
      </c>
      <c r="H11" s="2" t="s">
        <v>60</v>
      </c>
    </row>
    <row r="12" spans="1:18" x14ac:dyDescent="0.3">
      <c r="B12" s="2">
        <v>1</v>
      </c>
      <c r="C12" s="5">
        <v>0.15</v>
      </c>
      <c r="D12" s="5">
        <v>0.4</v>
      </c>
      <c r="E12" s="5">
        <v>1.3</v>
      </c>
      <c r="F12" s="5">
        <v>2.5</v>
      </c>
      <c r="G12" s="24">
        <f>(D12-C12)</f>
        <v>0.25</v>
      </c>
      <c r="H12" s="4">
        <f>(F12^2-E12^2)/2</f>
        <v>2.2799999999999998</v>
      </c>
      <c r="I12">
        <f>G12*H12+G13*H13+G14*H14+G15*H15+G16*H16</f>
        <v>19.763500000000001</v>
      </c>
      <c r="P12">
        <f>(G12-I$14*H12)^2</f>
        <v>6.1910788911344436E-4</v>
      </c>
      <c r="Q12">
        <f>SUM(P12:P16)</f>
        <v>1.1307062596592104E-3</v>
      </c>
      <c r="R12">
        <f>Q12/(4*I13)</f>
        <v>1.4122173921711242E-6</v>
      </c>
    </row>
    <row r="13" spans="1:18" x14ac:dyDescent="0.3">
      <c r="B13" s="2">
        <v>2</v>
      </c>
      <c r="C13" s="5">
        <v>0.15</v>
      </c>
      <c r="D13" s="5">
        <v>0.5</v>
      </c>
      <c r="E13" s="5">
        <v>1.3</v>
      </c>
      <c r="F13" s="5">
        <v>2.9</v>
      </c>
      <c r="G13" s="24">
        <f t="shared" ref="G13:G16" si="0">(D13-C13)</f>
        <v>0.35</v>
      </c>
      <c r="H13" s="4">
        <f t="shared" ref="H13:H15" si="1">(F13^2-E13^2)/2</f>
        <v>3.36</v>
      </c>
      <c r="I13">
        <f>H12^2+H13^2+H14^2+H15^2+H16^2</f>
        <v>200.16504999999995</v>
      </c>
      <c r="P13">
        <f t="shared" ref="P13:P16" si="2">(G13-I$14*H13)^2</f>
        <v>3.3295224921109048E-4</v>
      </c>
      <c r="R13">
        <f>SQRT(R12)</f>
        <v>1.1883675324457178E-3</v>
      </c>
    </row>
    <row r="14" spans="1:18" x14ac:dyDescent="0.3">
      <c r="B14" s="2">
        <v>3</v>
      </c>
      <c r="C14" s="5">
        <v>0.15</v>
      </c>
      <c r="D14" s="5">
        <v>0.7</v>
      </c>
      <c r="E14" s="5">
        <v>1.3</v>
      </c>
      <c r="F14" s="5">
        <v>3.6</v>
      </c>
      <c r="G14" s="24">
        <f t="shared" si="0"/>
        <v>0.54999999999999993</v>
      </c>
      <c r="H14" s="4">
        <f t="shared" si="1"/>
        <v>5.6350000000000007</v>
      </c>
      <c r="I14">
        <f>I12/I13</f>
        <v>9.8736018101062126E-2</v>
      </c>
      <c r="P14">
        <f t="shared" si="2"/>
        <v>4.067202155487764E-5</v>
      </c>
    </row>
    <row r="15" spans="1:18" x14ac:dyDescent="0.3">
      <c r="B15" s="2">
        <v>4</v>
      </c>
      <c r="C15" s="5">
        <v>0.15</v>
      </c>
      <c r="D15" s="5">
        <v>0.9</v>
      </c>
      <c r="E15" s="5">
        <v>1.3</v>
      </c>
      <c r="F15" s="5">
        <v>4.0999999999999996</v>
      </c>
      <c r="G15" s="24">
        <f t="shared" si="0"/>
        <v>0.75</v>
      </c>
      <c r="H15" s="4">
        <f t="shared" si="1"/>
        <v>7.56</v>
      </c>
      <c r="P15">
        <f t="shared" si="2"/>
        <v>1.2643024933377246E-5</v>
      </c>
    </row>
    <row r="16" spans="1:18" x14ac:dyDescent="0.3">
      <c r="B16" s="2">
        <v>5</v>
      </c>
      <c r="C16" s="5">
        <v>0.15</v>
      </c>
      <c r="D16" s="5">
        <v>1.1000000000000001</v>
      </c>
      <c r="E16" s="5">
        <v>1.3</v>
      </c>
      <c r="F16" s="5">
        <v>4.5999999999999996</v>
      </c>
      <c r="G16" s="24">
        <f t="shared" si="0"/>
        <v>0.95000000000000007</v>
      </c>
      <c r="H16" s="4">
        <f>(F16^2-E16^2)/2</f>
        <v>9.7349999999999977</v>
      </c>
      <c r="P16">
        <f t="shared" si="2"/>
        <v>1.2533107484642052E-4</v>
      </c>
    </row>
    <row r="17" spans="1:21" x14ac:dyDescent="0.3">
      <c r="G17" s="6" t="s">
        <v>11</v>
      </c>
      <c r="H17" s="6" t="s">
        <v>12</v>
      </c>
    </row>
    <row r="19" spans="1:21" s="30" customFormat="1" ht="18" x14ac:dyDescent="0.35">
      <c r="A19" s="30" t="s">
        <v>68</v>
      </c>
    </row>
    <row r="21" spans="1:21" x14ac:dyDescent="0.3">
      <c r="B21" s="26" t="s">
        <v>18</v>
      </c>
      <c r="C21" s="26"/>
      <c r="D21" s="26"/>
      <c r="E21" s="26"/>
      <c r="F21" s="26"/>
      <c r="Q21" t="s">
        <v>67</v>
      </c>
    </row>
    <row r="22" spans="1:21" ht="15" thickBot="1" x14ac:dyDescent="0.35">
      <c r="B22" s="2" t="s">
        <v>14</v>
      </c>
      <c r="C22" s="2" t="s">
        <v>15</v>
      </c>
      <c r="D22" s="2" t="s">
        <v>13</v>
      </c>
      <c r="E22" s="2" t="s">
        <v>16</v>
      </c>
      <c r="F22" s="2" t="s">
        <v>17</v>
      </c>
      <c r="I22" s="2" t="s">
        <v>23</v>
      </c>
      <c r="J22" s="2" t="s">
        <v>24</v>
      </c>
      <c r="K22" s="2" t="s">
        <v>16</v>
      </c>
      <c r="L22" s="2" t="s">
        <v>17</v>
      </c>
      <c r="M22" s="2" t="s">
        <v>25</v>
      </c>
      <c r="T22" t="s">
        <v>61</v>
      </c>
      <c r="U22" t="s">
        <v>62</v>
      </c>
    </row>
    <row r="23" spans="1:21" ht="15" thickBot="1" x14ac:dyDescent="0.35">
      <c r="B23" s="27">
        <v>194</v>
      </c>
      <c r="C23" s="27">
        <v>205</v>
      </c>
      <c r="D23" s="2">
        <v>1</v>
      </c>
      <c r="E23" s="5">
        <v>1.3</v>
      </c>
      <c r="F23" s="5">
        <v>4</v>
      </c>
      <c r="I23" s="2">
        <v>1</v>
      </c>
      <c r="J23" s="4">
        <f>($D$7-B23-($E$7-C23))/($C$7-$B$7)</f>
        <v>1.4102564102564103E-2</v>
      </c>
      <c r="K23" s="17" t="s">
        <v>41</v>
      </c>
      <c r="L23" s="17" t="s">
        <v>46</v>
      </c>
      <c r="M23" s="18" t="s">
        <v>57</v>
      </c>
      <c r="N23">
        <v>0.11728395061728396</v>
      </c>
      <c r="P23">
        <f>AVERAGE(J23:J27)</f>
        <v>3.8461538461538457E-2</v>
      </c>
      <c r="R23">
        <f>(J23-$P$23)</f>
        <v>-2.4358974358974356E-2</v>
      </c>
      <c r="S23">
        <f>R23*N$36</f>
        <v>4.9759096855269483E-3</v>
      </c>
      <c r="T23">
        <f>SUM(S23:S27)/SUM(R29:R33)</f>
        <v>8.5283582246931537</v>
      </c>
      <c r="U23">
        <f>P24-T23*P23</f>
        <v>3.729279977222999E-3</v>
      </c>
    </row>
    <row r="24" spans="1:21" ht="15" thickBot="1" x14ac:dyDescent="0.35">
      <c r="B24" s="28"/>
      <c r="C24" s="28"/>
      <c r="D24" s="2">
        <v>2</v>
      </c>
      <c r="E24" s="5">
        <v>1.4</v>
      </c>
      <c r="F24" s="5">
        <v>4.0999999999999996</v>
      </c>
      <c r="I24" s="2">
        <v>2</v>
      </c>
      <c r="J24" s="4">
        <f>($D$7-B32-($E$7-C32))/($C$7-$B$7)</f>
        <v>2.6923076923076925E-2</v>
      </c>
      <c r="K24" s="17" t="s">
        <v>42</v>
      </c>
      <c r="L24" s="17" t="s">
        <v>47</v>
      </c>
      <c r="M24" s="18" t="s">
        <v>53</v>
      </c>
      <c r="N24">
        <v>0.23488107600257135</v>
      </c>
      <c r="P24" s="25">
        <f>AVERAGE(I36:M36)</f>
        <v>0.33174305785003655</v>
      </c>
      <c r="R24">
        <f t="shared" ref="R24:R27" si="3">(J24-$P$23)</f>
        <v>-1.1538461538461532E-2</v>
      </c>
      <c r="S24">
        <f>R24*O$36</f>
        <v>1.2179144037641574E-3</v>
      </c>
    </row>
    <row r="25" spans="1:21" ht="15" thickBot="1" x14ac:dyDescent="0.35">
      <c r="B25" s="28"/>
      <c r="C25" s="28"/>
      <c r="D25" s="2">
        <v>3</v>
      </c>
      <c r="E25" s="5">
        <v>1.3</v>
      </c>
      <c r="F25" s="5">
        <v>4</v>
      </c>
      <c r="I25" s="2">
        <v>3</v>
      </c>
      <c r="J25" s="4">
        <f>($D$7-B41-($E$7-C41))/($C$7-$B$7)</f>
        <v>3.8461538461538464E-2</v>
      </c>
      <c r="K25" s="17" t="s">
        <v>43</v>
      </c>
      <c r="L25" s="17" t="s">
        <v>48</v>
      </c>
      <c r="M25" s="18" t="s">
        <v>54</v>
      </c>
      <c r="N25">
        <v>0.30172139998729602</v>
      </c>
      <c r="R25">
        <f t="shared" si="3"/>
        <v>6.9388939039072284E-18</v>
      </c>
      <c r="S25">
        <f>R25*P$36</f>
        <v>-2.0662852186184255E-20</v>
      </c>
    </row>
    <row r="26" spans="1:21" ht="15" thickBot="1" x14ac:dyDescent="0.35">
      <c r="B26" s="28"/>
      <c r="C26" s="28"/>
      <c r="D26" s="2">
        <v>4</v>
      </c>
      <c r="E26" s="5">
        <v>1.5</v>
      </c>
      <c r="F26" s="5">
        <v>4.2</v>
      </c>
      <c r="I26" s="2">
        <v>4</v>
      </c>
      <c r="J26" s="4">
        <f>($D$7-B50-($E$7-C50))/($C$7-$B$7)</f>
        <v>0.05</v>
      </c>
      <c r="K26" s="17" t="s">
        <v>44</v>
      </c>
      <c r="L26" s="17" t="s">
        <v>49</v>
      </c>
      <c r="M26" s="18" t="s">
        <v>55</v>
      </c>
      <c r="N26">
        <v>0.40319157966216801</v>
      </c>
      <c r="R26">
        <f t="shared" si="3"/>
        <v>1.1538461538461546E-2</v>
      </c>
      <c r="S26">
        <f>R26*Q$36</f>
        <v>1.2796125311404683E-3</v>
      </c>
    </row>
    <row r="27" spans="1:21" x14ac:dyDescent="0.3">
      <c r="B27" s="29"/>
      <c r="C27" s="29"/>
      <c r="D27" s="2">
        <v>5</v>
      </c>
      <c r="E27" s="5">
        <v>1.4</v>
      </c>
      <c r="F27" s="5">
        <v>4.2</v>
      </c>
      <c r="I27" s="2">
        <v>5</v>
      </c>
      <c r="J27" s="4">
        <f>($D$7-B59-($E$7-C59))/($C$7-$B$7)</f>
        <v>6.2820512820512819E-2</v>
      </c>
      <c r="K27" s="17" t="s">
        <v>45</v>
      </c>
      <c r="L27" s="17" t="s">
        <v>50</v>
      </c>
      <c r="M27" s="18" t="s">
        <v>56</v>
      </c>
      <c r="N27">
        <v>0.55823245974850144</v>
      </c>
      <c r="R27">
        <f t="shared" si="3"/>
        <v>2.4358974358974363E-2</v>
      </c>
      <c r="S27">
        <f>R27*R$36</f>
        <v>4.9181949880969418E-3</v>
      </c>
    </row>
    <row r="28" spans="1:21" x14ac:dyDescent="0.3">
      <c r="O28">
        <f>SUM(J23:J27)</f>
        <v>0.19230769230769229</v>
      </c>
      <c r="P28" s="25">
        <f>SUM(I36:M36)</f>
        <v>1.6587152892501829</v>
      </c>
    </row>
    <row r="29" spans="1:21" ht="15" thickBot="1" x14ac:dyDescent="0.35">
      <c r="H29" s="10"/>
      <c r="I29" s="1" t="s">
        <v>35</v>
      </c>
      <c r="J29" s="11" t="s">
        <v>36</v>
      </c>
      <c r="K29" s="11" t="s">
        <v>37</v>
      </c>
      <c r="L29" s="11" t="s">
        <v>38</v>
      </c>
      <c r="M29" s="11" t="s">
        <v>39</v>
      </c>
      <c r="O29">
        <f>J23*J23</f>
        <v>1.9888231426692967E-4</v>
      </c>
      <c r="P29">
        <f>O28*O28</f>
        <v>3.6982248520710054E-2</v>
      </c>
      <c r="R29">
        <f>R23^2</f>
        <v>5.9335963182117015E-4</v>
      </c>
    </row>
    <row r="30" spans="1:21" ht="15" thickBot="1" x14ac:dyDescent="0.35">
      <c r="B30" s="26" t="s">
        <v>19</v>
      </c>
      <c r="C30" s="26"/>
      <c r="D30" s="26"/>
      <c r="E30" s="26"/>
      <c r="F30" s="26"/>
      <c r="H30" s="13" t="s">
        <v>28</v>
      </c>
      <c r="I30" s="19">
        <f>AVERAGE(E23:E27)</f>
        <v>1.3800000000000001</v>
      </c>
      <c r="J30" s="19">
        <f>AVERAGE(E32:E36)</f>
        <v>1.1000000000000001</v>
      </c>
      <c r="K30" s="19">
        <f>AVERAGE(E41:E45)</f>
        <v>0.88000000000000012</v>
      </c>
      <c r="L30" s="19">
        <f>AVERAGE(E50:E54)</f>
        <v>0.74</v>
      </c>
      <c r="M30" s="20">
        <f>AVERAGE(E59:E63)</f>
        <v>0.6</v>
      </c>
      <c r="O30">
        <f t="shared" ref="O30:O33" si="4">J24*J24</f>
        <v>7.2485207100591719E-4</v>
      </c>
      <c r="R30">
        <f t="shared" ref="R30:R33" si="5">R24^2</f>
        <v>1.3313609467455607E-4</v>
      </c>
    </row>
    <row r="31" spans="1:21" ht="15" thickBot="1" x14ac:dyDescent="0.35">
      <c r="B31" s="2" t="s">
        <v>14</v>
      </c>
      <c r="C31" s="2" t="s">
        <v>15</v>
      </c>
      <c r="D31" s="2" t="s">
        <v>13</v>
      </c>
      <c r="E31" s="2" t="s">
        <v>16</v>
      </c>
      <c r="F31" s="2" t="s">
        <v>17</v>
      </c>
      <c r="H31" s="13" t="s">
        <v>29</v>
      </c>
      <c r="I31" s="19">
        <f>AVERAGE(F23:F27)</f>
        <v>4.0999999999999996</v>
      </c>
      <c r="J31" s="19">
        <f>AVERAGE(F32:F36)</f>
        <v>3.1</v>
      </c>
      <c r="K31" s="19">
        <f>AVERAGE(F41:F45)</f>
        <v>2.56</v>
      </c>
      <c r="L31" s="19">
        <f>AVERAGE(F50:F54)</f>
        <v>2.2000000000000002</v>
      </c>
      <c r="M31" s="20">
        <f>AVERAGE(F59:F63)</f>
        <v>1.98</v>
      </c>
      <c r="O31">
        <f t="shared" si="4"/>
        <v>1.4792899408284025E-3</v>
      </c>
      <c r="R31">
        <f t="shared" si="5"/>
        <v>4.8148248609680896E-35</v>
      </c>
    </row>
    <row r="32" spans="1:21" ht="15" thickBot="1" x14ac:dyDescent="0.35">
      <c r="B32" s="27">
        <v>184</v>
      </c>
      <c r="C32" s="27">
        <v>205</v>
      </c>
      <c r="D32" s="2">
        <v>1</v>
      </c>
      <c r="E32" s="5">
        <v>1.2</v>
      </c>
      <c r="F32" s="5">
        <v>3.2</v>
      </c>
      <c r="H32" s="12" t="s">
        <v>30</v>
      </c>
      <c r="I32" s="21">
        <f>1.2*SQRT(SUM((E23-I30)^2,(E24-I30)^2,(E25-I30)^2,(E26-I30)^2, (E27-I30)^2)/20)</f>
        <v>4.4899888641287272E-2</v>
      </c>
      <c r="J32" s="21">
        <f>1.2*SQRT(SUM((E32-J30)^2,(E33-J30)^2,(E34-J30)^2,(E35-J30)^2, (E36-J30)^2)/20)</f>
        <v>3.7947331922020537E-2</v>
      </c>
      <c r="K32" s="21">
        <f>1.2*SQRT(SUM((E41-K30)^2,(E42-K30)^2,(E43-K30)^2,(E44-K30)^2, (E45-K30)^2)/20)</f>
        <v>2.3999999999999997E-2</v>
      </c>
      <c r="L32" s="21">
        <f>1.2*SQRT(SUM((E50-L30)^2,(E51-L30)^2,(E52-L30)^2,(E53-L30)^2, (E54-L30)^2)/20)</f>
        <v>8.1387959797503226E-2</v>
      </c>
      <c r="M32" s="21">
        <f>1.2*SQRT(SUM((E59-M30)^2,(E60-M30)^2,(E61-M30)^2,(E62-M30)^2, (E63-M30)^2)/20)</f>
        <v>0</v>
      </c>
      <c r="O32">
        <f t="shared" si="4"/>
        <v>2.5000000000000005E-3</v>
      </c>
      <c r="R32">
        <f t="shared" si="5"/>
        <v>1.331360946745564E-4</v>
      </c>
    </row>
    <row r="33" spans="2:22" ht="15" thickBot="1" x14ac:dyDescent="0.35">
      <c r="B33" s="28"/>
      <c r="C33" s="28"/>
      <c r="D33" s="2">
        <v>2</v>
      </c>
      <c r="E33" s="5">
        <v>1.1000000000000001</v>
      </c>
      <c r="F33" s="5">
        <v>3.1</v>
      </c>
      <c r="H33" s="13" t="s">
        <v>31</v>
      </c>
      <c r="I33" s="19">
        <f>SQRT((I32)^2+($H$7)^2)</f>
        <v>6.7201190465645752E-2</v>
      </c>
      <c r="J33" s="19">
        <f t="shared" ref="J33:M33" si="6">SQRT((J32)^2+($H$7)^2)</f>
        <v>6.2769419305900853E-2</v>
      </c>
      <c r="K33" s="19">
        <f t="shared" si="6"/>
        <v>5.5461698495448193E-2</v>
      </c>
      <c r="L33" s="19">
        <f t="shared" si="6"/>
        <v>9.5519631490076432E-2</v>
      </c>
      <c r="M33" s="20">
        <f t="shared" si="6"/>
        <v>0.05</v>
      </c>
      <c r="O33">
        <f t="shared" si="4"/>
        <v>3.9464168310322156E-3</v>
      </c>
      <c r="R33">
        <f t="shared" si="5"/>
        <v>5.9335963182117048E-4</v>
      </c>
    </row>
    <row r="34" spans="2:22" ht="15" thickBot="1" x14ac:dyDescent="0.35">
      <c r="B34" s="28"/>
      <c r="C34" s="28"/>
      <c r="D34" s="2">
        <v>3</v>
      </c>
      <c r="E34" s="5">
        <v>1.1000000000000001</v>
      </c>
      <c r="F34" s="5">
        <v>3.1</v>
      </c>
      <c r="H34" s="12" t="s">
        <v>32</v>
      </c>
      <c r="I34" s="21">
        <f>1.2*SQRT(SUM((F23-I31)^2,(F24-I31)^2,(F25-I31)^2,(F26-I31)^2, (F27-I31)^2)/20)</f>
        <v>5.3665631459994999E-2</v>
      </c>
      <c r="J34" s="21">
        <f>1.2*SQRT(SUM((F32-J31)^2,(F33-J31)^2,(F34-J31)^2,(F35-J31)^2, (F36-J31)^2)/20)</f>
        <v>3.7947331922020579E-2</v>
      </c>
      <c r="K34" s="21">
        <f>1.2*SQRT(SUM((F41-K31)^2,(F42-K31)^2,(F43-K31)^2,(F44-K31)^2, (F45-K31)^2)/20)</f>
        <v>4.8000000000000043E-2</v>
      </c>
      <c r="L34" s="21">
        <f>1.2*SQRT(SUM((F50-L31)^2,(F51-L31)^2,(F52-L31)^2,(F53-L31)^2, (F54-L31)^2)/20)</f>
        <v>6.5726706900619894E-2</v>
      </c>
      <c r="M34" s="21">
        <f>1.2*SQRT(SUM((F59-M31)^2,(F60-M31)^2,(F61-M31)^2,(F62-M31)^2, (F63-M31)^2)/20)</f>
        <v>2.4000000000000021E-2</v>
      </c>
      <c r="O34">
        <f>SUM(O29:O33)</f>
        <v>8.8494411571334655E-3</v>
      </c>
    </row>
    <row r="35" spans="2:22" ht="15" thickBot="1" x14ac:dyDescent="0.35">
      <c r="B35" s="28"/>
      <c r="C35" s="28"/>
      <c r="D35" s="2">
        <v>4</v>
      </c>
      <c r="E35" s="5">
        <v>1.1000000000000001</v>
      </c>
      <c r="F35" s="5">
        <v>3.1</v>
      </c>
      <c r="H35" s="14" t="s">
        <v>40</v>
      </c>
      <c r="I35" s="22">
        <f>SQRT((I34)^2+($H$7)^2)</f>
        <v>7.3348483283569035E-2</v>
      </c>
      <c r="J35" s="22">
        <f t="shared" ref="J35:M35" si="7">SQRT((J34)^2+($H$7)^2)</f>
        <v>6.2769419305900881E-2</v>
      </c>
      <c r="K35" s="22">
        <f t="shared" si="7"/>
        <v>6.9310893804653856E-2</v>
      </c>
      <c r="L35" s="22">
        <f t="shared" si="7"/>
        <v>8.2583291288250288E-2</v>
      </c>
      <c r="M35" s="23">
        <f t="shared" si="7"/>
        <v>5.54616984954482E-2</v>
      </c>
      <c r="T35" t="s">
        <v>63</v>
      </c>
      <c r="U35" t="s">
        <v>64</v>
      </c>
      <c r="V35" t="s">
        <v>65</v>
      </c>
    </row>
    <row r="36" spans="2:22" ht="15" thickBot="1" x14ac:dyDescent="0.35">
      <c r="B36" s="29"/>
      <c r="C36" s="29"/>
      <c r="D36" s="2">
        <v>5</v>
      </c>
      <c r="E36" s="5">
        <v>1</v>
      </c>
      <c r="F36" s="5">
        <v>3</v>
      </c>
      <c r="H36" s="13" t="s">
        <v>51</v>
      </c>
      <c r="I36" s="19">
        <f>2*($D$16-$C$16)/(I31^2-I30^2)</f>
        <v>0.12746887075998284</v>
      </c>
      <c r="J36" s="19">
        <f t="shared" ref="J36:M36" si="8">2*($D$16-$C$16)/(J31^2-J30^2)</f>
        <v>0.22619047619047619</v>
      </c>
      <c r="K36" s="19">
        <f t="shared" si="8"/>
        <v>0.328765227021041</v>
      </c>
      <c r="L36" s="19">
        <f t="shared" si="8"/>
        <v>0.44264281054887705</v>
      </c>
      <c r="M36" s="19">
        <f t="shared" si="8"/>
        <v>0.53364790472980572</v>
      </c>
      <c r="N36" s="25">
        <f>I36-$P$24</f>
        <v>-0.20427418709005371</v>
      </c>
      <c r="O36" s="25">
        <f t="shared" ref="O36:R36" si="9">J36-$P$24</f>
        <v>-0.10555258165956036</v>
      </c>
      <c r="P36" s="25">
        <f t="shared" si="9"/>
        <v>-2.9778308289955535E-3</v>
      </c>
      <c r="Q36" s="25">
        <f t="shared" si="9"/>
        <v>0.1108997526988405</v>
      </c>
      <c r="R36" s="25">
        <f t="shared" si="9"/>
        <v>0.20190484687976917</v>
      </c>
      <c r="T36" s="25">
        <f>O38-($U$23+$T$23*J23)</f>
        <v>-2.4000998530587986E-2</v>
      </c>
      <c r="U36">
        <f>SUM(R29:R33)</f>
        <v>1.4529914529914532E-3</v>
      </c>
      <c r="V36">
        <f>SQRT(SUM(T42:T46)/(U36*3))</f>
        <v>0.93854713376070198</v>
      </c>
    </row>
    <row r="37" spans="2:22" ht="15" thickBot="1" x14ac:dyDescent="0.35">
      <c r="H37" s="13" t="s">
        <v>52</v>
      </c>
      <c r="I37" s="19">
        <f>I36*SQRT(($G$7^2+$G$7^2)/($D$16-$C$16)^2+(4*((I30*I33)^2+(I31*I35)^2)/(I31^2-I30^2)^2))</f>
        <v>5.4655026333240812E-3</v>
      </c>
      <c r="J37" s="19">
        <f t="shared" ref="J37:M37" si="10">J36*SQRT(($G$7^2+$G$7^2)/($D$16-$C$16)^2+(4*((J30*J33)^2+(J31*J35)^2)/(J31^2-J30^2)^2))</f>
        <v>1.1246270725733988E-2</v>
      </c>
      <c r="K37" s="19">
        <f t="shared" si="10"/>
        <v>2.1080130267624449E-2</v>
      </c>
      <c r="L37" s="19">
        <f t="shared" si="10"/>
        <v>4.034199442287089E-2</v>
      </c>
      <c r="M37" s="19">
        <f t="shared" si="10"/>
        <v>3.4355517553912793E-2</v>
      </c>
      <c r="T37" s="25">
        <f t="shared" ref="T37:T40" si="11">O39-($U$23+$T$23*J24)</f>
        <v>-1.9338924488192549E-2</v>
      </c>
    </row>
    <row r="38" spans="2:22" x14ac:dyDescent="0.3">
      <c r="O38">
        <v>0.1</v>
      </c>
      <c r="T38" s="25">
        <f t="shared" si="11"/>
        <v>-2.9743057850036614E-2</v>
      </c>
    </row>
    <row r="39" spans="2:22" x14ac:dyDescent="0.3">
      <c r="B39" s="26" t="s">
        <v>20</v>
      </c>
      <c r="C39" s="26"/>
      <c r="D39" s="26"/>
      <c r="E39" s="26"/>
      <c r="F39" s="26"/>
      <c r="O39">
        <v>0.214</v>
      </c>
      <c r="T39" s="25">
        <f t="shared" si="11"/>
        <v>-4.414719121188071E-2</v>
      </c>
    </row>
    <row r="40" spans="2:22" x14ac:dyDescent="0.3">
      <c r="B40" s="2" t="s">
        <v>14</v>
      </c>
      <c r="C40" s="2" t="s">
        <v>15</v>
      </c>
      <c r="D40" s="2" t="s">
        <v>13</v>
      </c>
      <c r="E40" s="2" t="s">
        <v>16</v>
      </c>
      <c r="F40" s="2" t="s">
        <v>17</v>
      </c>
      <c r="O40">
        <v>0.30199999999999999</v>
      </c>
      <c r="T40" s="25">
        <f t="shared" si="11"/>
        <v>-7.4851171694851892E-3</v>
      </c>
    </row>
    <row r="41" spans="2:22" x14ac:dyDescent="0.3">
      <c r="B41" s="27">
        <v>175</v>
      </c>
      <c r="C41" s="27">
        <v>205</v>
      </c>
      <c r="D41" s="2">
        <v>1</v>
      </c>
      <c r="E41" s="5">
        <v>0.9</v>
      </c>
      <c r="F41" s="5">
        <v>2.6</v>
      </c>
      <c r="O41">
        <v>0.38600000000000001</v>
      </c>
    </row>
    <row r="42" spans="2:22" x14ac:dyDescent="0.3">
      <c r="B42" s="28"/>
      <c r="C42" s="28"/>
      <c r="D42" s="2">
        <v>2</v>
      </c>
      <c r="E42" s="5">
        <v>0.9</v>
      </c>
      <c r="F42" s="5">
        <v>2.6</v>
      </c>
      <c r="O42">
        <v>0.53200000000000003</v>
      </c>
      <c r="T42" s="25">
        <f>T36^2</f>
        <v>5.7604793046528663E-4</v>
      </c>
    </row>
    <row r="43" spans="2:22" x14ac:dyDescent="0.3">
      <c r="B43" s="28"/>
      <c r="C43" s="28"/>
      <c r="D43" s="2">
        <v>3</v>
      </c>
      <c r="E43" s="5">
        <v>0.9</v>
      </c>
      <c r="F43" s="5">
        <v>2.6</v>
      </c>
      <c r="T43" s="25">
        <f t="shared" ref="T43:T46" si="12">T37^2</f>
        <v>3.7399400036001345E-4</v>
      </c>
    </row>
    <row r="44" spans="2:22" x14ac:dyDescent="0.3">
      <c r="B44" s="28"/>
      <c r="C44" s="28"/>
      <c r="D44" s="2">
        <v>4</v>
      </c>
      <c r="E44" s="5">
        <v>0.8</v>
      </c>
      <c r="F44" s="5">
        <v>2.4</v>
      </c>
      <c r="T44" s="25">
        <f t="shared" si="12"/>
        <v>8.846494902706246E-4</v>
      </c>
    </row>
    <row r="45" spans="2:22" x14ac:dyDescent="0.3">
      <c r="B45" s="29"/>
      <c r="C45" s="29"/>
      <c r="D45" s="2">
        <v>5</v>
      </c>
      <c r="E45" s="5">
        <v>0.9</v>
      </c>
      <c r="F45" s="5">
        <v>2.6</v>
      </c>
      <c r="T45" s="25">
        <f t="shared" si="12"/>
        <v>1.9489744918983574E-3</v>
      </c>
    </row>
    <row r="46" spans="2:22" x14ac:dyDescent="0.3">
      <c r="Q46">
        <v>0.54485799999999995</v>
      </c>
      <c r="R46">
        <v>4.2671999999999996E-3</v>
      </c>
      <c r="T46" s="25">
        <f t="shared" si="12"/>
        <v>5.6026979040921971E-5</v>
      </c>
    </row>
    <row r="48" spans="2:22" x14ac:dyDescent="0.3">
      <c r="B48" s="26" t="s">
        <v>21</v>
      </c>
      <c r="C48" s="26"/>
      <c r="D48" s="26"/>
      <c r="E48" s="26"/>
      <c r="F48" s="26"/>
    </row>
    <row r="49" spans="2:6" x14ac:dyDescent="0.3">
      <c r="B49" s="2" t="s">
        <v>14</v>
      </c>
      <c r="C49" s="2" t="s">
        <v>15</v>
      </c>
      <c r="D49" s="2" t="s">
        <v>13</v>
      </c>
      <c r="E49" s="2" t="s">
        <v>16</v>
      </c>
      <c r="F49" s="2" t="s">
        <v>17</v>
      </c>
    </row>
    <row r="50" spans="2:6" x14ac:dyDescent="0.3">
      <c r="B50" s="27">
        <v>165</v>
      </c>
      <c r="C50" s="27">
        <v>204</v>
      </c>
      <c r="D50" s="2">
        <v>1</v>
      </c>
      <c r="E50" s="5">
        <v>0.9</v>
      </c>
      <c r="F50" s="5">
        <v>2.2999999999999998</v>
      </c>
    </row>
    <row r="51" spans="2:6" x14ac:dyDescent="0.3">
      <c r="B51" s="28"/>
      <c r="C51" s="28"/>
      <c r="D51" s="2">
        <v>2</v>
      </c>
      <c r="E51" s="5">
        <v>0.9</v>
      </c>
      <c r="F51" s="5">
        <v>2.2999999999999998</v>
      </c>
    </row>
    <row r="52" spans="2:6" x14ac:dyDescent="0.3">
      <c r="B52" s="28"/>
      <c r="C52" s="28"/>
      <c r="D52" s="2">
        <v>3</v>
      </c>
      <c r="E52" s="5">
        <v>0.6</v>
      </c>
      <c r="F52" s="5">
        <v>2.2000000000000002</v>
      </c>
    </row>
    <row r="53" spans="2:6" x14ac:dyDescent="0.3">
      <c r="B53" s="28"/>
      <c r="C53" s="28"/>
      <c r="D53" s="2">
        <v>4</v>
      </c>
      <c r="E53" s="5">
        <v>0.7</v>
      </c>
      <c r="F53" s="5">
        <v>2.2000000000000002</v>
      </c>
    </row>
    <row r="54" spans="2:6" x14ac:dyDescent="0.3">
      <c r="B54" s="29"/>
      <c r="C54" s="29"/>
      <c r="D54" s="2">
        <v>5</v>
      </c>
      <c r="E54" s="5">
        <v>0.6</v>
      </c>
      <c r="F54" s="5">
        <v>2</v>
      </c>
    </row>
    <row r="57" spans="2:6" x14ac:dyDescent="0.3">
      <c r="B57" s="26" t="s">
        <v>22</v>
      </c>
      <c r="C57" s="26"/>
      <c r="D57" s="26"/>
      <c r="E57" s="26"/>
      <c r="F57" s="26"/>
    </row>
    <row r="58" spans="2:6" x14ac:dyDescent="0.3">
      <c r="B58" s="2" t="s">
        <v>14</v>
      </c>
      <c r="C58" s="2" t="s">
        <v>15</v>
      </c>
      <c r="D58" s="2" t="s">
        <v>13</v>
      </c>
      <c r="E58" s="2" t="s">
        <v>16</v>
      </c>
      <c r="F58" s="2" t="s">
        <v>17</v>
      </c>
    </row>
    <row r="59" spans="2:6" x14ac:dyDescent="0.3">
      <c r="B59" s="27">
        <v>155</v>
      </c>
      <c r="C59" s="27">
        <v>204</v>
      </c>
      <c r="D59" s="2">
        <v>1</v>
      </c>
      <c r="E59" s="5">
        <v>0.6</v>
      </c>
      <c r="F59" s="5">
        <v>1.9</v>
      </c>
    </row>
    <row r="60" spans="2:6" x14ac:dyDescent="0.3">
      <c r="B60" s="28"/>
      <c r="C60" s="28"/>
      <c r="D60" s="2">
        <v>2</v>
      </c>
      <c r="E60" s="5">
        <v>0.6</v>
      </c>
      <c r="F60" s="5">
        <v>2</v>
      </c>
    </row>
    <row r="61" spans="2:6" x14ac:dyDescent="0.3">
      <c r="B61" s="28"/>
      <c r="C61" s="28"/>
      <c r="D61" s="2">
        <v>3</v>
      </c>
      <c r="E61" s="5">
        <v>0.6</v>
      </c>
      <c r="F61" s="5">
        <v>2</v>
      </c>
    </row>
    <row r="62" spans="2:6" x14ac:dyDescent="0.3">
      <c r="B62" s="28"/>
      <c r="C62" s="28"/>
      <c r="D62" s="2">
        <v>4</v>
      </c>
      <c r="E62" s="5">
        <v>0.6</v>
      </c>
      <c r="F62" s="5">
        <v>2</v>
      </c>
    </row>
    <row r="63" spans="2:6" x14ac:dyDescent="0.3">
      <c r="B63" s="29"/>
      <c r="C63" s="29"/>
      <c r="D63" s="2">
        <v>5</v>
      </c>
      <c r="E63" s="5">
        <v>0.6</v>
      </c>
      <c r="F63" s="5">
        <v>2</v>
      </c>
    </row>
  </sheetData>
  <mergeCells count="23">
    <mergeCell ref="A3:XFD3"/>
    <mergeCell ref="G5:H5"/>
    <mergeCell ref="C10:F10"/>
    <mergeCell ref="G10:H10"/>
    <mergeCell ref="B10:B11"/>
    <mergeCell ref="B5:E5"/>
    <mergeCell ref="B9:H9"/>
    <mergeCell ref="B30:F30"/>
    <mergeCell ref="B32:B36"/>
    <mergeCell ref="C32:C36"/>
    <mergeCell ref="A19:XFD19"/>
    <mergeCell ref="B23:B27"/>
    <mergeCell ref="C23:C27"/>
    <mergeCell ref="B21:F21"/>
    <mergeCell ref="B57:F57"/>
    <mergeCell ref="B59:B63"/>
    <mergeCell ref="C59:C63"/>
    <mergeCell ref="B39:F39"/>
    <mergeCell ref="B41:B45"/>
    <mergeCell ref="C41:C45"/>
    <mergeCell ref="B48:F48"/>
    <mergeCell ref="B50:B54"/>
    <mergeCell ref="C50:C54"/>
  </mergeCells>
  <pageMargins left="0.7" right="0.7" top="0.75" bottom="0.75" header="0.3" footer="0.3"/>
  <pageSetup orientation="portrait" horizontalDpi="4294967294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Лист1!Q5:Q5</xm:f>
              <xm:sqref>Q5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Тахватулин Михаил Витальевич</cp:lastModifiedBy>
  <dcterms:created xsi:type="dcterms:W3CDTF">2017-04-12T15:00:28Z</dcterms:created>
  <dcterms:modified xsi:type="dcterms:W3CDTF">2023-11-30T09:12:45Z</dcterms:modified>
</cp:coreProperties>
</file>