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ITMO\2kurs\1sem\phys\lab1.04\"/>
    </mc:Choice>
  </mc:AlternateContent>
  <xr:revisionPtr revIDLastSave="0" documentId="13_ncr:1_{6F761142-2DB2-4053-A6AB-83BD8A0D5396}" xr6:coauthVersionLast="47" xr6:coauthVersionMax="47" xr10:uidLastSave="{00000000-0000-0000-0000-000000000000}"/>
  <bookViews>
    <workbookView xWindow="-108" yWindow="348" windowWidth="23256" windowHeight="12720" firstSheet="17" activeTab="17" xr2:uid="{00000000-000D-0000-FFFF-FFFF00000000}"/>
  </bookViews>
  <sheets>
    <sheet name="Погрешности косвенные (Шаблон)" sheetId="9" state="hidden" r:id="rId1"/>
    <sheet name="МНК (Шаблон)" sheetId="4" state="hidden" r:id="rId2"/>
    <sheet name="предисловие" sheetId="28" r:id="rId3"/>
    <sheet name="Таблица 1" sheetId="1" r:id="rId4"/>
    <sheet name="Таблица 2" sheetId="2" r:id="rId5"/>
    <sheet name="Таблица 3" sheetId="19" r:id="rId6"/>
    <sheet name="График 1" sheetId="23" r:id="rId7"/>
    <sheet name="График 2" sheetId="24" r:id="rId8"/>
    <sheet name="Печать 1" sheetId="25" r:id="rId9"/>
    <sheet name="Печать 3" sheetId="27" r:id="rId10"/>
    <sheet name="Печать 2" sheetId="26" r:id="rId11"/>
    <sheet name="Параметры установки" sheetId="22" r:id="rId12"/>
    <sheet name="Погрешности прямые (t)" sheetId="13" r:id="rId13"/>
    <sheet name="Погрешности прямые (a)" sheetId="5" r:id="rId14"/>
    <sheet name="Погрешности косвенные (a)" sheetId="12" r:id="rId15"/>
    <sheet name="Погрешности прямые (e)" sheetId="6" r:id="rId16"/>
    <sheet name="Погрешности косвенные (e)" sheetId="10" r:id="rId17"/>
    <sheet name="Погрешности прямые (M)" sheetId="7" r:id="rId18"/>
    <sheet name="Погрешности косвенные (M)" sheetId="11" r:id="rId19"/>
    <sheet name="МНК рис.1" sheetId="8" r:id="rId20"/>
    <sheet name="МНК рис.2" sheetId="14" r:id="rId21"/>
    <sheet name="МНК рис.3" sheetId="15" r:id="rId22"/>
    <sheet name="МНК рис.4" sheetId="16" r:id="rId23"/>
    <sheet name="МНК рис.5" sheetId="17" r:id="rId24"/>
    <sheet name="МНК рис.6" sheetId="18" r:id="rId25"/>
    <sheet name="МНК I" sheetId="2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9" l="1"/>
  <c r="E6" i="19"/>
  <c r="D9" i="13"/>
  <c r="D8" i="13"/>
  <c r="C7" i="13"/>
  <c r="B8" i="13"/>
  <c r="B7" i="13"/>
  <c r="C6" i="13"/>
  <c r="B6" i="13"/>
  <c r="B2" i="13"/>
  <c r="G19" i="25"/>
  <c r="F19" i="25"/>
  <c r="E19" i="25"/>
  <c r="D19" i="25"/>
  <c r="C19" i="25"/>
  <c r="B19" i="25"/>
  <c r="A16" i="25"/>
  <c r="G15" i="25"/>
  <c r="F15" i="25"/>
  <c r="E15" i="25"/>
  <c r="D15" i="25"/>
  <c r="C15" i="25"/>
  <c r="B15" i="25"/>
  <c r="A12" i="25"/>
  <c r="G11" i="25"/>
  <c r="F11" i="25"/>
  <c r="E11" i="25"/>
  <c r="D11" i="25"/>
  <c r="C11" i="25"/>
  <c r="B11" i="25"/>
  <c r="A8" i="25"/>
  <c r="G7" i="25"/>
  <c r="F7" i="25"/>
  <c r="E7" i="25"/>
  <c r="D7" i="25"/>
  <c r="C7" i="25"/>
  <c r="B7" i="25"/>
  <c r="A4" i="25"/>
  <c r="A15" i="1"/>
  <c r="A11" i="1"/>
  <c r="A7" i="1"/>
  <c r="A3" i="1"/>
  <c r="C2" i="19"/>
  <c r="C3" i="19" s="1"/>
  <c r="A3" i="21" s="1"/>
  <c r="D2" i="19"/>
  <c r="D3" i="19" s="1"/>
  <c r="A4" i="21" s="1"/>
  <c r="E2" i="19"/>
  <c r="E3" i="19" s="1"/>
  <c r="A5" i="21" s="1"/>
  <c r="F2" i="19"/>
  <c r="F3" i="19" s="1"/>
  <c r="A6" i="21" s="1"/>
  <c r="G2" i="19"/>
  <c r="G3" i="19" s="1"/>
  <c r="A7" i="21" s="1"/>
  <c r="B2" i="19"/>
  <c r="B3" i="19" s="1"/>
  <c r="A2" i="21" s="1"/>
  <c r="A4" i="13"/>
  <c r="A3" i="13"/>
  <c r="A2" i="13"/>
  <c r="B7" i="9"/>
  <c r="B8" i="9"/>
  <c r="B9" i="9" s="1"/>
  <c r="L2" i="21" l="1"/>
  <c r="E2" i="21" s="1"/>
  <c r="B2" i="12" l="1"/>
  <c r="B4" i="10"/>
  <c r="B4" i="12"/>
  <c r="B2" i="10"/>
  <c r="C2" i="21"/>
  <c r="E4" i="21"/>
  <c r="C3" i="21"/>
  <c r="E7" i="21"/>
  <c r="E6" i="21"/>
  <c r="E5" i="21"/>
  <c r="E3" i="21"/>
  <c r="C7" i="21"/>
  <c r="C6" i="21"/>
  <c r="C5" i="21"/>
  <c r="C4" i="21"/>
  <c r="B4" i="13"/>
  <c r="B3" i="11"/>
  <c r="B3" i="10"/>
  <c r="B3" i="13"/>
  <c r="B3" i="12"/>
  <c r="K2" i="13" l="1"/>
  <c r="M2" i="13" s="1"/>
  <c r="B5" i="10" s="1"/>
  <c r="P2" i="21"/>
  <c r="N2" i="13" l="1"/>
  <c r="B6" i="12" s="1"/>
  <c r="B5" i="11"/>
  <c r="B5" i="12"/>
  <c r="B7" i="12" s="1"/>
  <c r="B8" i="12" s="1"/>
  <c r="M2" i="4"/>
  <c r="D3" i="4" s="1"/>
  <c r="L2" i="4"/>
  <c r="C2" i="4" s="1"/>
  <c r="B6" i="10" l="1"/>
  <c r="B6" i="11"/>
  <c r="C4" i="4"/>
  <c r="E8" i="4"/>
  <c r="E2" i="4"/>
  <c r="E7" i="4"/>
  <c r="C8" i="4"/>
  <c r="E6" i="4"/>
  <c r="C7" i="4"/>
  <c r="E5" i="4"/>
  <c r="C5" i="4"/>
  <c r="C6" i="4"/>
  <c r="E4" i="4"/>
  <c r="F6" i="4"/>
  <c r="F5" i="4"/>
  <c r="F8" i="4"/>
  <c r="F7" i="4"/>
  <c r="D8" i="4"/>
  <c r="F4" i="4"/>
  <c r="D5" i="4"/>
  <c r="D4" i="4"/>
  <c r="D7" i="4"/>
  <c r="D6" i="4"/>
  <c r="F2" i="4"/>
  <c r="F3" i="4"/>
  <c r="E3" i="4"/>
  <c r="C3" i="4"/>
  <c r="D2" i="4"/>
  <c r="A21" i="2"/>
  <c r="A15" i="2"/>
  <c r="A9" i="2"/>
  <c r="A3" i="2"/>
  <c r="B4" i="11" s="1"/>
  <c r="G18" i="1"/>
  <c r="B26" i="2" s="1"/>
  <c r="C26" i="2" s="1"/>
  <c r="D26" i="2" s="1"/>
  <c r="A5" i="18" s="1"/>
  <c r="F18" i="1"/>
  <c r="B25" i="2" s="1"/>
  <c r="C25" i="2" s="1"/>
  <c r="D25" i="2" s="1"/>
  <c r="A5" i="17" s="1"/>
  <c r="E18" i="1"/>
  <c r="B24" i="2" s="1"/>
  <c r="C24" i="2" s="1"/>
  <c r="D24" i="2" s="1"/>
  <c r="A5" i="16" s="1"/>
  <c r="D18" i="1"/>
  <c r="B23" i="2" s="1"/>
  <c r="C23" i="2" s="1"/>
  <c r="D23" i="2" s="1"/>
  <c r="A5" i="15" s="1"/>
  <c r="C18" i="1"/>
  <c r="B22" i="2" s="1"/>
  <c r="C22" i="2" s="1"/>
  <c r="D22" i="2" s="1"/>
  <c r="A5" i="14" s="1"/>
  <c r="B18" i="1"/>
  <c r="B21" i="2" s="1"/>
  <c r="C21" i="2" s="1"/>
  <c r="D21" i="2" s="1"/>
  <c r="A5" i="8" s="1"/>
  <c r="G14" i="1"/>
  <c r="B20" i="2" s="1"/>
  <c r="C20" i="2" s="1"/>
  <c r="D20" i="2" s="1"/>
  <c r="A4" i="18" s="1"/>
  <c r="F14" i="1"/>
  <c r="B19" i="2" s="1"/>
  <c r="C19" i="2" s="1"/>
  <c r="D19" i="2" s="1"/>
  <c r="A4" i="17" s="1"/>
  <c r="E14" i="1"/>
  <c r="B18" i="2" s="1"/>
  <c r="C18" i="2" s="1"/>
  <c r="D18" i="2" s="1"/>
  <c r="A4" i="16" s="1"/>
  <c r="D14" i="1"/>
  <c r="B17" i="2" s="1"/>
  <c r="C17" i="2" s="1"/>
  <c r="D17" i="2" s="1"/>
  <c r="A4" i="15" s="1"/>
  <c r="C14" i="1"/>
  <c r="B16" i="2" s="1"/>
  <c r="C16" i="2" s="1"/>
  <c r="D16" i="2" s="1"/>
  <c r="A4" i="14" s="1"/>
  <c r="B14" i="1"/>
  <c r="B15" i="2" s="1"/>
  <c r="C15" i="2" s="1"/>
  <c r="D15" i="2" s="1"/>
  <c r="A4" i="8" s="1"/>
  <c r="C10" i="1"/>
  <c r="B10" i="2" s="1"/>
  <c r="C10" i="2" s="1"/>
  <c r="D10" i="2" s="1"/>
  <c r="A3" i="14" s="1"/>
  <c r="D10" i="1"/>
  <c r="B11" i="2" s="1"/>
  <c r="C11" i="2" s="1"/>
  <c r="D11" i="2" s="1"/>
  <c r="A3" i="15" s="1"/>
  <c r="E10" i="1"/>
  <c r="B12" i="2" s="1"/>
  <c r="C12" i="2" s="1"/>
  <c r="D12" i="2" s="1"/>
  <c r="A3" i="16" s="1"/>
  <c r="F10" i="1"/>
  <c r="B13" i="2" s="1"/>
  <c r="C13" i="2" s="1"/>
  <c r="D13" i="2" s="1"/>
  <c r="A3" i="17" s="1"/>
  <c r="G10" i="1"/>
  <c r="B14" i="2" s="1"/>
  <c r="C14" i="2" s="1"/>
  <c r="D14" i="2" s="1"/>
  <c r="A3" i="18" s="1"/>
  <c r="B10" i="1"/>
  <c r="B9" i="2" s="1"/>
  <c r="C9" i="2" s="1"/>
  <c r="D9" i="2" s="1"/>
  <c r="A3" i="8" s="1"/>
  <c r="C6" i="1"/>
  <c r="B4" i="2" s="1"/>
  <c r="C4" i="2" s="1"/>
  <c r="D6" i="1"/>
  <c r="B5" i="2" s="1"/>
  <c r="C5" i="2" s="1"/>
  <c r="E6" i="1"/>
  <c r="B6" i="2" s="1"/>
  <c r="C6" i="2" s="1"/>
  <c r="F6" i="1"/>
  <c r="B7" i="2" s="1"/>
  <c r="C7" i="2" s="1"/>
  <c r="A6" i="5" s="1"/>
  <c r="G6" i="1"/>
  <c r="B8" i="2" s="1"/>
  <c r="C8" i="2" s="1"/>
  <c r="B6" i="1"/>
  <c r="B3" i="2" s="1"/>
  <c r="C3" i="2" s="1"/>
  <c r="B2" i="11" l="1"/>
  <c r="B7" i="11" s="1"/>
  <c r="B8" i="11" s="1"/>
  <c r="D5" i="2"/>
  <c r="A4" i="5"/>
  <c r="D6" i="2"/>
  <c r="A5" i="5"/>
  <c r="D3" i="2"/>
  <c r="A2" i="5"/>
  <c r="D8" i="2"/>
  <c r="A7" i="5"/>
  <c r="E26" i="2"/>
  <c r="B5" i="18" s="1"/>
  <c r="D4" i="2"/>
  <c r="A3" i="5"/>
  <c r="G5" i="4"/>
  <c r="P2" i="4"/>
  <c r="G4" i="4"/>
  <c r="G6" i="4"/>
  <c r="G7" i="4"/>
  <c r="G2" i="4"/>
  <c r="G8" i="4"/>
  <c r="G3" i="4"/>
  <c r="E6" i="2"/>
  <c r="D7" i="2"/>
  <c r="E7" i="2"/>
  <c r="E10" i="2"/>
  <c r="B3" i="14" s="1"/>
  <c r="E5" i="2"/>
  <c r="E18" i="2"/>
  <c r="B4" i="16" s="1"/>
  <c r="E22" i="2"/>
  <c r="B5" i="14" s="1"/>
  <c r="E23" i="2"/>
  <c r="B5" i="15" s="1"/>
  <c r="E4" i="2"/>
  <c r="E24" i="2"/>
  <c r="B5" i="16" s="1"/>
  <c r="E3" i="2"/>
  <c r="E25" i="2"/>
  <c r="B5" i="17" s="1"/>
  <c r="E8" i="2"/>
  <c r="E21" i="2"/>
  <c r="B5" i="8" s="1"/>
  <c r="E17" i="2"/>
  <c r="B4" i="15" s="1"/>
  <c r="E20" i="2"/>
  <c r="B4" i="18" s="1"/>
  <c r="E19" i="2"/>
  <c r="B4" i="17" s="1"/>
  <c r="E15" i="2"/>
  <c r="B4" i="8" s="1"/>
  <c r="E16" i="2"/>
  <c r="B4" i="14" s="1"/>
  <c r="E13" i="2"/>
  <c r="B3" i="17" s="1"/>
  <c r="E12" i="2"/>
  <c r="B3" i="16" s="1"/>
  <c r="E11" i="2"/>
  <c r="B3" i="15" s="1"/>
  <c r="E9" i="2"/>
  <c r="B3" i="8" s="1"/>
  <c r="E14" i="2"/>
  <c r="B3" i="18" s="1"/>
  <c r="B2" i="18" l="1"/>
  <c r="A7" i="7"/>
  <c r="A2" i="14"/>
  <c r="A3" i="6"/>
  <c r="A2" i="16"/>
  <c r="A5" i="6"/>
  <c r="B2" i="17"/>
  <c r="A6" i="7"/>
  <c r="B2" i="8"/>
  <c r="A2" i="7"/>
  <c r="A2" i="17"/>
  <c r="A6" i="6"/>
  <c r="N2" i="4"/>
  <c r="O2" i="4" s="1"/>
  <c r="H3" i="4" s="1"/>
  <c r="I3" i="4" s="1"/>
  <c r="A2" i="15"/>
  <c r="A4" i="6"/>
  <c r="B2" i="15"/>
  <c r="A4" i="7"/>
  <c r="B2" i="14"/>
  <c r="A3" i="7"/>
  <c r="H2" i="5"/>
  <c r="B4" i="5" s="1"/>
  <c r="B2" i="16"/>
  <c r="A5" i="7"/>
  <c r="A2" i="18"/>
  <c r="A7" i="6"/>
  <c r="A2" i="8"/>
  <c r="A2" i="6"/>
  <c r="H5" i="4" l="1"/>
  <c r="I5" i="4" s="1"/>
  <c r="B3" i="5"/>
  <c r="B2" i="5"/>
  <c r="L2" i="14"/>
  <c r="E2" i="14" s="1"/>
  <c r="M2" i="16"/>
  <c r="F2" i="16" s="1"/>
  <c r="L2" i="17"/>
  <c r="E2" i="17" s="1"/>
  <c r="H2" i="7"/>
  <c r="B9" i="11" s="1"/>
  <c r="L2" i="18"/>
  <c r="E2" i="18" s="1"/>
  <c r="H7" i="4"/>
  <c r="I7" i="4" s="1"/>
  <c r="M2" i="8"/>
  <c r="D2" i="8" s="1"/>
  <c r="M2" i="17"/>
  <c r="M2" i="14"/>
  <c r="D2" i="14" s="1"/>
  <c r="H6" i="4"/>
  <c r="I6" i="4" s="1"/>
  <c r="B5" i="5"/>
  <c r="L2" i="8"/>
  <c r="C2" i="8" s="1"/>
  <c r="H4" i="4"/>
  <c r="I4" i="4" s="1"/>
  <c r="H2" i="4"/>
  <c r="I2" i="4" s="1"/>
  <c r="M2" i="15"/>
  <c r="F2" i="15" s="1"/>
  <c r="L2" i="16"/>
  <c r="E2" i="16" s="1"/>
  <c r="H8" i="4"/>
  <c r="I8" i="4" s="1"/>
  <c r="B9" i="12"/>
  <c r="B6" i="5"/>
  <c r="H2" i="6"/>
  <c r="B7" i="5"/>
  <c r="L2" i="15"/>
  <c r="M2" i="18"/>
  <c r="F2" i="18" s="1"/>
  <c r="R2" i="4" l="1"/>
  <c r="R4" i="4" s="1"/>
  <c r="R6" i="4" s="1"/>
  <c r="Q2" i="4"/>
  <c r="Q4" i="4" s="1"/>
  <c r="Q6" i="4" s="1"/>
  <c r="B4" i="7"/>
  <c r="B7" i="7"/>
  <c r="B6" i="7"/>
  <c r="B3" i="7"/>
  <c r="E2" i="8"/>
  <c r="F2" i="8"/>
  <c r="C2" i="17"/>
  <c r="I2" i="5"/>
  <c r="K2" i="5" s="1"/>
  <c r="M2" i="5" s="1"/>
  <c r="N2" i="5" s="1"/>
  <c r="D2" i="15"/>
  <c r="C2" i="14"/>
  <c r="C2" i="16"/>
  <c r="B2" i="7"/>
  <c r="C4" i="15"/>
  <c r="C5" i="15"/>
  <c r="E3" i="15"/>
  <c r="C3" i="15"/>
  <c r="E4" i="15"/>
  <c r="E5" i="15"/>
  <c r="F5" i="17"/>
  <c r="D3" i="17"/>
  <c r="F3" i="17"/>
  <c r="D5" i="17"/>
  <c r="D4" i="17"/>
  <c r="F4" i="17"/>
  <c r="G2" i="18"/>
  <c r="D2" i="16"/>
  <c r="D4" i="16"/>
  <c r="F4" i="16"/>
  <c r="F5" i="16"/>
  <c r="D5" i="16"/>
  <c r="D3" i="16"/>
  <c r="F3" i="16"/>
  <c r="B2" i="6"/>
  <c r="C3" i="16"/>
  <c r="E3" i="16"/>
  <c r="E5" i="16"/>
  <c r="C5" i="16"/>
  <c r="C4" i="16"/>
  <c r="E4" i="16"/>
  <c r="B7" i="6"/>
  <c r="G2" i="16"/>
  <c r="F5" i="8"/>
  <c r="D4" i="8"/>
  <c r="F3" i="8"/>
  <c r="D5" i="8"/>
  <c r="F4" i="8"/>
  <c r="D3" i="8"/>
  <c r="D2" i="18"/>
  <c r="D3" i="18"/>
  <c r="D4" i="18"/>
  <c r="F4" i="18"/>
  <c r="F5" i="18"/>
  <c r="D5" i="18"/>
  <c r="F3" i="18"/>
  <c r="F2" i="14"/>
  <c r="G2" i="14" s="1"/>
  <c r="F4" i="14"/>
  <c r="D4" i="14"/>
  <c r="F5" i="14"/>
  <c r="D5" i="14"/>
  <c r="D3" i="14"/>
  <c r="F3" i="14"/>
  <c r="B3" i="6"/>
  <c r="F2" i="17"/>
  <c r="G2" i="17" s="1"/>
  <c r="E3" i="18"/>
  <c r="E5" i="18"/>
  <c r="C3" i="18"/>
  <c r="E4" i="18"/>
  <c r="C4" i="18"/>
  <c r="C5" i="18"/>
  <c r="C5" i="17"/>
  <c r="E5" i="17"/>
  <c r="C4" i="17"/>
  <c r="E4" i="17"/>
  <c r="C3" i="17"/>
  <c r="E3" i="17"/>
  <c r="C3" i="14"/>
  <c r="C4" i="14"/>
  <c r="E4" i="14"/>
  <c r="E3" i="14"/>
  <c r="C5" i="14"/>
  <c r="E5" i="14"/>
  <c r="B4" i="6"/>
  <c r="C2" i="15"/>
  <c r="D3" i="15"/>
  <c r="D4" i="15"/>
  <c r="F4" i="15"/>
  <c r="D5" i="15"/>
  <c r="F5" i="15"/>
  <c r="F3" i="15"/>
  <c r="E2" i="15"/>
  <c r="G2" i="15" s="1"/>
  <c r="B5" i="6"/>
  <c r="E5" i="8"/>
  <c r="C5" i="8"/>
  <c r="E4" i="8"/>
  <c r="C4" i="8"/>
  <c r="E3" i="8"/>
  <c r="C3" i="8"/>
  <c r="D2" i="17"/>
  <c r="C2" i="18"/>
  <c r="B6" i="6"/>
  <c r="B5" i="7"/>
  <c r="J3" i="4"/>
  <c r="J4" i="4"/>
  <c r="J5" i="4"/>
  <c r="J6" i="4"/>
  <c r="J7" i="4"/>
  <c r="J8" i="4"/>
  <c r="J2" i="4"/>
  <c r="G3" i="14" l="1"/>
  <c r="G2" i="8"/>
  <c r="G5" i="14"/>
  <c r="G5" i="17"/>
  <c r="G5" i="8"/>
  <c r="G4" i="8"/>
  <c r="G3" i="17"/>
  <c r="G4" i="17"/>
  <c r="G5" i="16"/>
  <c r="P2" i="8"/>
  <c r="P2" i="17"/>
  <c r="G5" i="18"/>
  <c r="G3" i="8"/>
  <c r="G4" i="14"/>
  <c r="I2" i="7"/>
  <c r="K2" i="7" s="1"/>
  <c r="M2" i="7" s="1"/>
  <c r="N2" i="7" s="1"/>
  <c r="P2" i="16"/>
  <c r="P2" i="14"/>
  <c r="G4" i="15"/>
  <c r="G3" i="15"/>
  <c r="G3" i="16"/>
  <c r="G4" i="16"/>
  <c r="P2" i="15"/>
  <c r="P2" i="18"/>
  <c r="G4" i="18"/>
  <c r="G3" i="18"/>
  <c r="I2" i="6"/>
  <c r="K2" i="6" s="1"/>
  <c r="M2" i="6" s="1"/>
  <c r="G5" i="15"/>
  <c r="N2" i="14" l="1"/>
  <c r="O2" i="14" s="1"/>
  <c r="H5" i="14" s="1"/>
  <c r="I5" i="14" s="1"/>
  <c r="N2" i="17"/>
  <c r="O2" i="17" s="1"/>
  <c r="H2" i="17" s="1"/>
  <c r="I2" i="17" s="1"/>
  <c r="N2" i="8"/>
  <c r="O2" i="8" s="1"/>
  <c r="C4" i="19"/>
  <c r="B3" i="21" s="1"/>
  <c r="N2" i="15"/>
  <c r="N2" i="18"/>
  <c r="N2" i="16"/>
  <c r="B7" i="10"/>
  <c r="B8" i="10" s="1"/>
  <c r="B9" i="10" s="1"/>
  <c r="N2" i="6"/>
  <c r="F4" i="19" l="1"/>
  <c r="B6" i="21" s="1"/>
  <c r="H4" i="8"/>
  <c r="I4" i="8" s="1"/>
  <c r="H5" i="8"/>
  <c r="I5" i="8" s="1"/>
  <c r="B4" i="19"/>
  <c r="B2" i="21" s="1"/>
  <c r="H4" i="17"/>
  <c r="I4" i="17" s="1"/>
  <c r="H3" i="17"/>
  <c r="I3" i="17" s="1"/>
  <c r="H5" i="17"/>
  <c r="I5" i="17" s="1"/>
  <c r="H2" i="14"/>
  <c r="I2" i="14" s="1"/>
  <c r="H3" i="14"/>
  <c r="I3" i="14" s="1"/>
  <c r="H4" i="14"/>
  <c r="I4" i="14" s="1"/>
  <c r="H2" i="8"/>
  <c r="I2" i="8" s="1"/>
  <c r="H3" i="8"/>
  <c r="I3" i="8" s="1"/>
  <c r="O2" i="18"/>
  <c r="G4" i="19"/>
  <c r="B7" i="21" s="1"/>
  <c r="O2" i="16"/>
  <c r="E4" i="19"/>
  <c r="B5" i="21" s="1"/>
  <c r="O2" i="15"/>
  <c r="D4" i="19"/>
  <c r="B4" i="21" s="1"/>
  <c r="R2" i="17" l="1"/>
  <c r="R4" i="17" s="1"/>
  <c r="R6" i="17" s="1"/>
  <c r="Q2" i="17"/>
  <c r="Q4" i="17" s="1"/>
  <c r="Q6" i="17" s="1"/>
  <c r="R2" i="14"/>
  <c r="R4" i="14" s="1"/>
  <c r="R6" i="14" s="1"/>
  <c r="R2" i="8"/>
  <c r="R4" i="8" s="1"/>
  <c r="R6" i="8" s="1"/>
  <c r="Q2" i="8"/>
  <c r="Q4" i="8" s="1"/>
  <c r="Q6" i="8" s="1"/>
  <c r="Q2" i="14"/>
  <c r="Q4" i="14" s="1"/>
  <c r="Q6" i="14" s="1"/>
  <c r="M2" i="21"/>
  <c r="D2" i="21" s="1"/>
  <c r="H3" i="18"/>
  <c r="I3" i="18" s="1"/>
  <c r="H2" i="18"/>
  <c r="I2" i="18" s="1"/>
  <c r="H4" i="18"/>
  <c r="I4" i="18" s="1"/>
  <c r="H5" i="18"/>
  <c r="I5" i="18" s="1"/>
  <c r="H2" i="16"/>
  <c r="I2" i="16" s="1"/>
  <c r="H3" i="16"/>
  <c r="I3" i="16" s="1"/>
  <c r="H4" i="16"/>
  <c r="I4" i="16" s="1"/>
  <c r="H5" i="16"/>
  <c r="I5" i="16" s="1"/>
  <c r="H5" i="15"/>
  <c r="I5" i="15" s="1"/>
  <c r="H4" i="15"/>
  <c r="I4" i="15" s="1"/>
  <c r="H3" i="15"/>
  <c r="I3" i="15" s="1"/>
  <c r="H2" i="15"/>
  <c r="I2" i="15" s="1"/>
  <c r="J2" i="17" l="1"/>
  <c r="J4" i="17"/>
  <c r="J3" i="17"/>
  <c r="J5" i="17"/>
  <c r="J2" i="8"/>
  <c r="J4" i="8"/>
  <c r="J3" i="8"/>
  <c r="J2" i="14"/>
  <c r="J5" i="14"/>
  <c r="J3" i="14"/>
  <c r="J4" i="14"/>
  <c r="J5" i="8"/>
  <c r="F5" i="21"/>
  <c r="G5" i="21" s="1"/>
  <c r="F3" i="21"/>
  <c r="G3" i="21" s="1"/>
  <c r="F6" i="21"/>
  <c r="G6" i="21" s="1"/>
  <c r="F4" i="21"/>
  <c r="G4" i="21" s="1"/>
  <c r="D5" i="21"/>
  <c r="D3" i="21"/>
  <c r="D4" i="21"/>
  <c r="F7" i="21"/>
  <c r="G7" i="21" s="1"/>
  <c r="D7" i="21"/>
  <c r="D6" i="21"/>
  <c r="F2" i="21"/>
  <c r="G2" i="21" s="1"/>
  <c r="Q2" i="18"/>
  <c r="Q4" i="18" s="1"/>
  <c r="Q6" i="18" s="1"/>
  <c r="R2" i="18"/>
  <c r="R2" i="16"/>
  <c r="Q2" i="16"/>
  <c r="Q4" i="16" s="1"/>
  <c r="Q6" i="16" s="1"/>
  <c r="Q2" i="15"/>
  <c r="Q4" i="15" s="1"/>
  <c r="Q6" i="15" s="1"/>
  <c r="R2" i="15"/>
  <c r="N2" i="21" l="1"/>
  <c r="O2" i="21" s="1"/>
  <c r="H6" i="21" s="1"/>
  <c r="I6" i="21" s="1"/>
  <c r="R4" i="18"/>
  <c r="R6" i="18" s="1"/>
  <c r="J2" i="18"/>
  <c r="J4" i="18"/>
  <c r="J3" i="18"/>
  <c r="J5" i="18"/>
  <c r="R4" i="16"/>
  <c r="R6" i="16" s="1"/>
  <c r="J3" i="16"/>
  <c r="J5" i="16"/>
  <c r="J2" i="16"/>
  <c r="J4" i="16"/>
  <c r="R4" i="15"/>
  <c r="R6" i="15" s="1"/>
  <c r="J5" i="15"/>
  <c r="J4" i="15"/>
  <c r="J2" i="15"/>
  <c r="J3" i="15"/>
  <c r="H4" i="21" l="1"/>
  <c r="I4" i="21" s="1"/>
  <c r="H3" i="21"/>
  <c r="I3" i="21" s="1"/>
  <c r="H5" i="21"/>
  <c r="I5" i="21" s="1"/>
  <c r="H7" i="21"/>
  <c r="I7" i="21" s="1"/>
  <c r="H2" i="21"/>
  <c r="I2" i="21" s="1"/>
  <c r="R2" i="21" l="1"/>
  <c r="R4" i="21" s="1"/>
  <c r="R6" i="21" s="1"/>
  <c r="Q2" i="21"/>
  <c r="Q4" i="21" s="1"/>
  <c r="Q6" i="21" s="1"/>
  <c r="J6" i="21" l="1"/>
  <c r="J3" i="21"/>
  <c r="J2" i="21"/>
  <c r="J4" i="21"/>
  <c r="J7" i="21"/>
  <c r="J5" i="21"/>
</calcChain>
</file>

<file path=xl/sharedStrings.xml><?xml version="1.0" encoding="utf-8"?>
<sst xmlns="http://schemas.openxmlformats.org/spreadsheetml/2006/main" count="305" uniqueCount="78">
  <si>
    <t>Масса груза, г</t>
  </si>
  <si>
    <t>Положение утяжелителей</t>
  </si>
  <si>
    <t>1.риска</t>
  </si>
  <si>
    <t>2.риска</t>
  </si>
  <si>
    <t>3.риска</t>
  </si>
  <si>
    <t>4.риска</t>
  </si>
  <si>
    <t>5.риска</t>
  </si>
  <si>
    <t>6.риска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</si>
  <si>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, с</t>
    </r>
  </si>
  <si>
    <r>
      <rPr>
        <sz val="11"/>
        <color theme="1"/>
        <rFont val="Calibri"/>
        <family val="2"/>
        <charset val="204"/>
        <scheme val="minor"/>
      </rPr>
      <t>a, 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</si>
  <si>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ε, с</t>
    </r>
    <r>
      <rPr>
        <vertAlign val="superscript"/>
        <sz val="11"/>
        <color theme="1"/>
        <rFont val="Calibri"/>
        <family val="2"/>
        <charset val="204"/>
      </rPr>
      <t>-2</t>
    </r>
  </si>
  <si>
    <t>M, Н*м</t>
  </si>
  <si>
    <t>h</t>
  </si>
  <si>
    <t>d</t>
  </si>
  <si>
    <r>
      <t>Квадрат разности (x-</t>
    </r>
    <r>
      <rPr>
        <sz val="11"/>
        <color theme="1"/>
        <rFont val="Calibri"/>
        <family val="2"/>
        <charset val="204"/>
        <scheme val="minor"/>
      </rPr>
      <t>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</si>
  <si>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Значения x</t>
  </si>
  <si>
    <r>
      <t>Среднее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</si>
  <si>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СКО      S</t>
    </r>
    <r>
      <rPr>
        <vertAlign val="subscript"/>
        <sz val="11"/>
        <color theme="1"/>
        <rFont val="Calibri"/>
        <family val="2"/>
        <charset val="204"/>
        <scheme val="minor"/>
      </rPr>
      <t>xср</t>
    </r>
  </si>
  <si>
    <r>
      <t>Коэфф. Стьюдента  t</t>
    </r>
    <r>
      <rPr>
        <vertAlign val="subscript"/>
        <sz val="11"/>
        <color theme="1"/>
        <rFont val="Calibri"/>
        <family val="2"/>
        <charset val="204"/>
      </rPr>
      <t>α,n</t>
    </r>
  </si>
  <si>
    <r>
      <t xml:space="preserve">Доверительный интервал 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xср</t>
    </r>
  </si>
  <si>
    <r>
      <t xml:space="preserve">Инструментальная погрешность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иx</t>
    </r>
  </si>
  <si>
    <r>
      <t xml:space="preserve">Абсолютная погрешность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</t>
    </r>
  </si>
  <si>
    <r>
      <t xml:space="preserve">Относительная погрешность           </t>
    </r>
    <r>
      <rPr>
        <sz val="11"/>
        <color theme="1"/>
        <rFont val="Calibri"/>
        <family val="2"/>
        <charset val="204"/>
      </rPr>
      <t>ε</t>
    </r>
    <r>
      <rPr>
        <vertAlign val="subscript"/>
        <sz val="11"/>
        <color theme="1"/>
        <rFont val="Calibri"/>
        <family val="2"/>
        <charset val="204"/>
      </rPr>
      <t>x</t>
    </r>
  </si>
  <si>
    <t>x</t>
  </si>
  <si>
    <t>y</t>
  </si>
  <si>
    <r>
      <t>Среднее 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</si>
  <si>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t>b</t>
  </si>
  <si>
    <t>a</t>
  </si>
  <si>
    <r>
      <t>Квадрат разности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</si>
  <si>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Квадрат разности 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</si>
  <si>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Разность    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</si>
  <si>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Разность    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</si>
  <si>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Произведение       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</si>
  <si>
    <t>D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</si>
  <si>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</si>
  <si>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</si>
  <si>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d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</si>
  <si>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y</t>
    </r>
  </si>
  <si>
    <t>Формулы частных производных по переменным:</t>
  </si>
  <si>
    <t>Абсолютная погрешность функции</t>
  </si>
  <si>
    <t>Среднее значение функции</t>
  </si>
  <si>
    <t>Среднее значение переменной</t>
  </si>
  <si>
    <t>Название переменной</t>
  </si>
  <si>
    <t>Абсолютные погрешности переменных</t>
  </si>
  <si>
    <t>Слагаемые</t>
  </si>
  <si>
    <t>ε</t>
  </si>
  <si>
    <t>Относительные погрешности переменных</t>
  </si>
  <si>
    <t>Относительные погрешности функции</t>
  </si>
  <si>
    <t>M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</si>
  <si>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</si>
  <si>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</si>
  <si>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Номера рисок</t>
  </si>
  <si>
    <t>R</t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</si>
  <si>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</si>
  <si>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I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</si>
  <si>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тр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</si>
  <si>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</si>
  <si>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4m</t>
    </r>
    <r>
      <rPr>
        <vertAlign val="subscript"/>
        <sz val="11"/>
        <color theme="1"/>
        <rFont val="Calibri"/>
        <family val="2"/>
        <charset val="204"/>
        <scheme val="minor"/>
      </rPr>
      <t>ут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</si>
  <si>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</si>
  <si>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</si>
  <si>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b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</si>
  <si>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a</t>
    </r>
  </si>
  <si>
    <t>Таблица 1. Протокол измерений времени падения груза при разной массе груза и разном положении утяжелителей на крестовине</t>
  </si>
  <si>
    <t>Таблица 2. Значения ускорения каретки, углового ускорения крестовины и момента силы натяжения нити для средних значений времени</t>
  </si>
  <si>
    <t>R, м</t>
  </si>
  <si>
    <t>Масса груза, кг</t>
  </si>
  <si>
    <t>Таблица 3. Значения момента инерции для утяжелителей в разных положениях</t>
  </si>
  <si>
    <r>
      <t>t</t>
    </r>
    <r>
      <rPr>
        <vertAlign val="subscript"/>
        <sz val="10"/>
        <color theme="1"/>
        <rFont val="Calibri"/>
        <family val="2"/>
        <scheme val="minor"/>
      </rPr>
      <t>ср</t>
    </r>
    <r>
      <rPr>
        <sz val="10"/>
        <color theme="1"/>
        <rFont val="Calibri"/>
        <family val="2"/>
        <scheme val="minor"/>
      </rPr>
      <t>, с</t>
    </r>
  </si>
  <si>
    <r>
      <rPr>
        <sz val="10"/>
        <color theme="1"/>
        <rFont val="Calibri"/>
        <family val="2"/>
        <scheme val="minor"/>
      </rPr>
      <t>a, м/с</t>
    </r>
    <r>
      <rPr>
        <vertAlign val="superscript"/>
        <sz val="10"/>
        <color theme="1"/>
        <rFont val="Calibri"/>
        <family val="2"/>
        <scheme val="minor"/>
      </rPr>
      <t>2</t>
    </r>
  </si>
  <si>
    <r>
      <t>ε, с</t>
    </r>
    <r>
      <rPr>
        <vertAlign val="superscript"/>
        <sz val="10"/>
        <color theme="1"/>
        <rFont val="Calibri"/>
        <family val="2"/>
      </rPr>
      <t>-2</t>
    </r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</si>
  <si>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, м</t>
    </r>
  </si>
  <si>
    <r>
      <t>I, кг*м</t>
    </r>
    <r>
      <rPr>
        <vertAlign val="superscript"/>
        <sz val="10"/>
        <color theme="1"/>
        <rFont val="Calibri"/>
        <family val="2"/>
        <scheme val="minor"/>
      </rPr>
      <t>2</t>
    </r>
  </si>
  <si>
    <t>Радуемся сделанной лабе!</t>
  </si>
  <si>
    <t>Далее таблицы вырезаем ножницами и вставляем в отчет (можно и копировать, но ножницы как по мне лучше)</t>
  </si>
  <si>
    <t>На листы печать внимание оформлять не нужно, это сделано для проверки наличия всех графиков и таблиц после подсчета</t>
  </si>
  <si>
    <t>Берете замеры, вставляете в таблицу 1 среднее время и прочие вещи, которые надо считать, появятся сами</t>
  </si>
  <si>
    <t>Все погрешности и графики основаны на первой таблице и параметрах установки</t>
  </si>
  <si>
    <t>i0 + 0,023716m = 0,02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</si>
</sst>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11" xfId="0" applyNumberFormat="1" applyBorder="1"/>
    <xf numFmtId="2" fontId="0" fillId="0" borderId="7" xfId="0" applyNumberFormat="1" applyBorder="1"/>
    <xf numFmtId="2" fontId="0" fillId="0" borderId="13" xfId="0" applyNumberFormat="1" applyBorder="1"/>
    <xf numFmtId="2" fontId="0" fillId="0" borderId="12" xfId="0" applyNumberFormat="1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0" fontId="2" fillId="0" borderId="1" xfId="0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/>
    <xf numFmtId="2" fontId="0" fillId="0" borderId="0" xfId="0" applyNumberFormat="1" applyAlignment="1">
      <alignment vertical="center"/>
    </xf>
    <xf numFmtId="9" fontId="0" fillId="0" borderId="0" xfId="1" applyFont="1"/>
    <xf numFmtId="0" fontId="0" fillId="0" borderId="1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3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/>
    <xf numFmtId="0" fontId="9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/>
    <xf numFmtId="0" fontId="12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M</a:t>
            </a:r>
            <a:r>
              <a:rPr lang="ru-RU" baseline="0"/>
              <a:t> от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ru-RU" sz="1400" b="0" i="0" u="none" strike="noStrike" baseline="0">
                <a:effectLst/>
              </a:rPr>
              <a:t> для разных положений утяжелителей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6807946254424625"/>
          <c:y val="0.939767816292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243685135688323E-2"/>
          <c:y val="4.696612143510194E-2"/>
          <c:w val="0.91043213176334614"/>
          <c:h val="0.8185194615088679"/>
        </c:manualLayout>
      </c:layout>
      <c:scatterChart>
        <c:scatterStyle val="smoothMarker"/>
        <c:varyColors val="0"/>
        <c:ser>
          <c:idx val="0"/>
          <c:order val="0"/>
          <c:tx>
            <c:v>рис.1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1.052141673100401E-4</c:v>
                  </c:pt>
                </c:numCache>
              </c:numRef>
            </c:plus>
            <c:min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1.052141673100401E-4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('Таблица 2'!$D$3,'Таблица 2'!$D$9,'Таблица 2'!$D$15,'Таблица 2'!$D$21)</c:f>
              <c:numCache>
                <c:formatCode>0.00</c:formatCode>
                <c:ptCount val="4"/>
                <c:pt idx="0">
                  <c:v>2.5948453561751674</c:v>
                </c:pt>
                <c:pt idx="1">
                  <c:v>5.0943079720218973</c:v>
                </c:pt>
                <c:pt idx="2">
                  <c:v>6.9161227996025962</c:v>
                </c:pt>
                <c:pt idx="3">
                  <c:v>8.9127265813157575</c:v>
                </c:pt>
              </c:numCache>
            </c:numRef>
          </c:xVal>
          <c:yVal>
            <c:numRef>
              <c:f>('Таблица 2'!$E$3,'Таблица 2'!$E$9,'Таблица 2'!$E$15,'Таблица 2'!$E$21)</c:f>
              <c:numCache>
                <c:formatCode>0.00</c:formatCode>
                <c:ptCount val="4"/>
                <c:pt idx="0">
                  <c:v>5.9815296257357764E-2</c:v>
                </c:pt>
                <c:pt idx="1">
                  <c:v>0.10845738909732379</c:v>
                </c:pt>
                <c:pt idx="2">
                  <c:v>0.15677114932458025</c:v>
                </c:pt>
                <c:pt idx="3">
                  <c:v>0.20457515040087462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3-479B-986A-7D1D329330D6}"/>
            </c:ext>
          </c:extLst>
        </c:ser>
        <c:ser>
          <c:idx val="1"/>
          <c:order val="1"/>
          <c:tx>
            <c:v>рис.2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2'!$D$4,'Таблица 2'!$D$10,'Таблица 2'!$D$16,'Таблица 2'!$D$22)</c:f>
              <c:numCache>
                <c:formatCode>0.00</c:formatCode>
                <c:ptCount val="4"/>
                <c:pt idx="0">
                  <c:v>0.46483101970272234</c:v>
                </c:pt>
                <c:pt idx="1">
                  <c:v>1.0957187936156954</c:v>
                </c:pt>
                <c:pt idx="2">
                  <c:v>5.2346957127468201</c:v>
                </c:pt>
                <c:pt idx="3">
                  <c:v>6.444375931749355</c:v>
                </c:pt>
              </c:numCache>
            </c:numRef>
          </c:xVal>
          <c:yVal>
            <c:numRef>
              <c:f>('Таблица 2'!$E$4,'Таблица 2'!$E$10,'Таблица 2'!$E$16,'Таблица 2'!$E$22)</c:f>
              <c:numCache>
                <c:formatCode>0.00</c:formatCode>
                <c:ptCount val="4"/>
                <c:pt idx="0">
                  <c:v>6.0116145872284137E-2</c:v>
                </c:pt>
                <c:pt idx="1">
                  <c:v>0.10948751763723234</c:v>
                </c:pt>
                <c:pt idx="2">
                  <c:v>0.15740000809934557</c:v>
                </c:pt>
                <c:pt idx="3">
                  <c:v>0.20578558759746096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3-479B-986A-7D1D329330D6}"/>
            </c:ext>
          </c:extLst>
        </c:ser>
        <c:ser>
          <c:idx val="2"/>
          <c:order val="2"/>
          <c:tx>
            <c:v>рис.3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2'!$D$5,'Таблица 2'!$D$11,'Таблица 2'!$D$17,'Таблица 2'!$D$23)</c:f>
              <c:numCache>
                <c:formatCode>0.00</c:formatCode>
                <c:ptCount val="4"/>
                <c:pt idx="0">
                  <c:v>0.33697808833678394</c:v>
                </c:pt>
                <c:pt idx="1">
                  <c:v>0.76102927566677081</c:v>
                </c:pt>
                <c:pt idx="2">
                  <c:v>1.0519895577178746</c:v>
                </c:pt>
                <c:pt idx="3">
                  <c:v>1.5800955712027938</c:v>
                </c:pt>
              </c:numCache>
            </c:numRef>
          </c:xVal>
          <c:yVal>
            <c:numRef>
              <c:f>('Таблица 2'!$E$5,'Таблица 2'!$E$11,'Таблица 2'!$E$17,'Таблица 2'!$E$23)</c:f>
              <c:numCache>
                <c:formatCode>0.00</c:formatCode>
                <c:ptCount val="4"/>
                <c:pt idx="0">
                  <c:v>6.0134204203869064E-2</c:v>
                </c:pt>
                <c:pt idx="1">
                  <c:v>0.10957374135491489</c:v>
                </c:pt>
                <c:pt idx="2">
                  <c:v>0.15896435274944484</c:v>
                </c:pt>
                <c:pt idx="3">
                  <c:v>0.20817094799350688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3-479B-986A-7D1D329330D6}"/>
            </c:ext>
          </c:extLst>
        </c:ser>
        <c:ser>
          <c:idx val="3"/>
          <c:order val="3"/>
          <c:tx>
            <c:v>рис.4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2'!$D$6,'Таблица 2'!$D$12,'Таблица 2'!$D$18,'Таблица 2'!$D$24)</c:f>
              <c:numCache>
                <c:formatCode>0.00</c:formatCode>
                <c:ptCount val="4"/>
                <c:pt idx="0">
                  <c:v>0.19319838196355105</c:v>
                </c:pt>
                <c:pt idx="1">
                  <c:v>0.30060098510807692</c:v>
                </c:pt>
                <c:pt idx="2">
                  <c:v>0.56603421911354446</c:v>
                </c:pt>
                <c:pt idx="3">
                  <c:v>1.0631413125745148</c:v>
                </c:pt>
              </c:numCache>
            </c:numRef>
          </c:xVal>
          <c:yVal>
            <c:numRef>
              <c:f>('Таблица 2'!$E$6,'Таблица 2'!$E$12,'Таблица 2'!$E$18,'Таблица 2'!$E$24)</c:f>
              <c:numCache>
                <c:formatCode>0.00</c:formatCode>
                <c:ptCount val="4"/>
                <c:pt idx="0">
                  <c:v>6.0154512080936334E-2</c:v>
                </c:pt>
                <c:pt idx="1">
                  <c:v>0.1096923582724135</c:v>
                </c:pt>
                <c:pt idx="2">
                  <c:v>0.15914610150394889</c:v>
                </c:pt>
                <c:pt idx="3">
                  <c:v>0.20842445357371578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3-479B-986A-7D1D329330D6}"/>
            </c:ext>
          </c:extLst>
        </c:ser>
        <c:ser>
          <c:idx val="4"/>
          <c:order val="4"/>
          <c:tx>
            <c:v>рис.5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2'!$D$7,'Таблица 2'!$D$13,'Таблица 2'!$D$19,'Таблица 2'!$D$25)</c:f>
              <c:numCache>
                <c:formatCode>0.00</c:formatCode>
                <c:ptCount val="4"/>
                <c:pt idx="0">
                  <c:v>0.17913994910434999</c:v>
                </c:pt>
                <c:pt idx="1">
                  <c:v>0.25766324065965696</c:v>
                </c:pt>
                <c:pt idx="2">
                  <c:v>0.5092077697022992</c:v>
                </c:pt>
                <c:pt idx="3">
                  <c:v>0.76216514009929048</c:v>
                </c:pt>
              </c:numCache>
            </c:numRef>
          </c:xVal>
          <c:yVal>
            <c:numRef>
              <c:f>('Таблица 2'!$E$7,'Таблица 2'!$E$13,'Таблица 2'!$E$19,'Таблица 2'!$E$25)</c:f>
              <c:numCache>
                <c:formatCode>0.00</c:formatCode>
                <c:ptCount val="4"/>
                <c:pt idx="0">
                  <c:v>6.0156497736168671E-2</c:v>
                </c:pt>
                <c:pt idx="1">
                  <c:v>0.10970342002295154</c:v>
                </c:pt>
                <c:pt idx="2">
                  <c:v>0.15916735476650803</c:v>
                </c:pt>
                <c:pt idx="3">
                  <c:v>0.20857204717210268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B3-479B-986A-7D1D329330D6}"/>
            </c:ext>
          </c:extLst>
        </c:ser>
        <c:ser>
          <c:idx val="5"/>
          <c:order val="5"/>
          <c:tx>
            <c:v>рис.6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2'!$D$8,'Таблица 2'!$D$14,'Таблица 2'!$D$20,'Таблица 2'!$D$26)</c:f>
              <c:numCache>
                <c:formatCode>0.00</c:formatCode>
                <c:ptCount val="4"/>
                <c:pt idx="0">
                  <c:v>0.15515915800356028</c:v>
                </c:pt>
                <c:pt idx="1">
                  <c:v>0.23717842248294227</c:v>
                </c:pt>
                <c:pt idx="2">
                  <c:v>0.39333214359724944</c:v>
                </c:pt>
                <c:pt idx="3">
                  <c:v>0.68402163462712917</c:v>
                </c:pt>
              </c:numCache>
            </c:numRef>
          </c:xVal>
          <c:yVal>
            <c:numRef>
              <c:f>('Таблица 2'!$E$8,'Таблица 2'!$E$14,'Таблица 2'!$E$20,'Таблица 2'!$E$26)</c:f>
              <c:numCache>
                <c:formatCode>0.00</c:formatCode>
                <c:ptCount val="4"/>
                <c:pt idx="0">
                  <c:v>6.0159884855046114E-2</c:v>
                </c:pt>
                <c:pt idx="1">
                  <c:v>0.10970869738326468</c:v>
                </c:pt>
                <c:pt idx="2">
                  <c:v>0.15921069259829823</c:v>
                </c:pt>
                <c:pt idx="3">
                  <c:v>0.20861036741874664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B3-479B-986A-7D1D3293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5728"/>
        <c:axId val="294941024"/>
      </c:scatterChart>
      <c:valAx>
        <c:axId val="2949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, </a:t>
                </a:r>
                <a:r>
                  <a:rPr lang="ru-RU"/>
                  <a:t>с</a:t>
                </a:r>
                <a:r>
                  <a:rPr lang="ru-RU" baseline="30000"/>
                  <a:t>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1024"/>
        <c:crosses val="autoZero"/>
        <c:crossBetween val="midCat"/>
      </c:valAx>
      <c:valAx>
        <c:axId val="2949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</a:t>
                </a:r>
                <a:r>
                  <a:rPr lang="en-US" baseline="0"/>
                  <a:t> </a:t>
                </a:r>
                <a:r>
                  <a:rPr lang="ru-RU" baseline="0"/>
                  <a:t>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2.3126853283830909E-2</c:v>
                </c:pt>
                <c:pt idx="1">
                  <c:v>2.0150576507185301E-2</c:v>
                </c:pt>
                <c:pt idx="2">
                  <c:v>0.12130617266854798</c:v>
                </c:pt>
                <c:pt idx="3">
                  <c:v>0.15728965595556682</c:v>
                </c:pt>
                <c:pt idx="4">
                  <c:v>0.23651627425666016</c:v>
                </c:pt>
                <c:pt idx="5">
                  <c:v>0.26461239787333662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A-4DC3-9215-65B02991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512"/>
        <c:axId val="294944944"/>
      </c:scatterChart>
      <c:valAx>
        <c:axId val="2949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4944"/>
        <c:crosses val="autoZero"/>
        <c:crossBetween val="midCat"/>
      </c:valAx>
      <c:valAx>
        <c:axId val="2949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2.3126853283830909E-2</c:v>
                </c:pt>
                <c:pt idx="1">
                  <c:v>2.0150576507185301E-2</c:v>
                </c:pt>
                <c:pt idx="2">
                  <c:v>0.12130617266854798</c:v>
                </c:pt>
                <c:pt idx="3">
                  <c:v>0.15728965595556682</c:v>
                </c:pt>
                <c:pt idx="4">
                  <c:v>0.23651627425666016</c:v>
                </c:pt>
                <c:pt idx="5">
                  <c:v>0.26461239787333662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F-4724-9462-27DB9D76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120"/>
        <c:axId val="294946904"/>
      </c:scatterChart>
      <c:valAx>
        <c:axId val="2949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904"/>
        <c:crosses val="autoZero"/>
        <c:crossBetween val="midCat"/>
      </c:valAx>
      <c:valAx>
        <c:axId val="2949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15240</xdr:rowOff>
    </xdr:from>
    <xdr:to>
      <xdr:col>15</xdr:col>
      <xdr:colOff>68580</xdr:colOff>
      <xdr:row>26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1C2F6E-36CC-42C9-B36D-A1F9079A0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480060</xdr:colOff>
      <xdr:row>26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99654-640A-488E-9ABB-47D651E6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CF76E5-E835-47EC-9407-7BA575B4B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33</xdr:row>
      <xdr:rowOff>117451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DFC4ED-F82E-4BC9-92C9-4A0BD4DAF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6152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G9"/>
  <sheetViews>
    <sheetView workbookViewId="0">
      <selection activeCell="A18" sqref="A18"/>
    </sheetView>
  </sheetViews>
  <sheetFormatPr defaultRowHeight="14.4" x14ac:dyDescent="0.3"/>
  <cols>
    <col min="1" max="1" width="26.33203125" customWidth="1"/>
  </cols>
  <sheetData>
    <row r="1" spans="1:7" x14ac:dyDescent="0.3">
      <c r="A1" s="29" t="s">
        <v>42</v>
      </c>
    </row>
    <row r="2" spans="1:7" ht="43.2" x14ac:dyDescent="0.3">
      <c r="A2" s="29" t="s">
        <v>38</v>
      </c>
      <c r="B2" s="25">
        <v>1</v>
      </c>
      <c r="C2" s="25">
        <v>1</v>
      </c>
      <c r="D2" s="25">
        <v>1</v>
      </c>
      <c r="E2" s="25">
        <v>1</v>
      </c>
      <c r="F2" s="25"/>
      <c r="G2" s="25"/>
    </row>
    <row r="3" spans="1:7" ht="28.8" x14ac:dyDescent="0.3">
      <c r="A3" s="29" t="s">
        <v>41</v>
      </c>
      <c r="B3" s="25">
        <v>1</v>
      </c>
      <c r="C3" s="25">
        <v>1</v>
      </c>
      <c r="D3" s="25">
        <v>1</v>
      </c>
      <c r="E3" s="25">
        <v>1</v>
      </c>
      <c r="F3" s="25"/>
      <c r="G3" s="25"/>
    </row>
    <row r="4" spans="1:7" x14ac:dyDescent="0.3">
      <c r="A4" s="29" t="s">
        <v>40</v>
      </c>
    </row>
    <row r="5" spans="1:7" ht="28.8" x14ac:dyDescent="0.3">
      <c r="A5" s="29" t="s">
        <v>43</v>
      </c>
    </row>
    <row r="6" spans="1:7" ht="28.8" x14ac:dyDescent="0.3">
      <c r="A6" s="29" t="s">
        <v>46</v>
      </c>
      <c r="B6" s="28"/>
    </row>
    <row r="7" spans="1:7" x14ac:dyDescent="0.3">
      <c r="A7" s="29" t="s">
        <v>44</v>
      </c>
      <c r="B7">
        <f>B5*B5*B2*B2</f>
        <v>0</v>
      </c>
    </row>
    <row r="8" spans="1:7" ht="28.8" x14ac:dyDescent="0.3">
      <c r="A8" s="29" t="s">
        <v>39</v>
      </c>
      <c r="B8">
        <f>SQRT(SUM(7:7))</f>
        <v>0</v>
      </c>
    </row>
    <row r="9" spans="1:7" ht="28.8" x14ac:dyDescent="0.3">
      <c r="A9" s="29" t="s">
        <v>47</v>
      </c>
      <c r="B9">
        <f>B8/B3</f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-0.499984740745262"/>
  </sheetPr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-0.499984740745262"/>
    <pageSetUpPr fitToPage="1"/>
  </sheetPr>
  <dimension ref="A1"/>
  <sheetViews>
    <sheetView topLeftCell="C1" zoomScaleNormal="100" workbookViewId="0"/>
  </sheetViews>
  <sheetFormatPr defaultRowHeight="14.4" x14ac:dyDescent="0.3"/>
  <sheetData/>
  <pageMargins left="0.7" right="0.7" top="0.75" bottom="0.75" header="0.3" footer="0.3"/>
  <pageSetup paperSize="9" scale="81" orientation="landscape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2"/>
  <sheetViews>
    <sheetView workbookViewId="0">
      <selection activeCell="D1" sqref="D1"/>
    </sheetView>
  </sheetViews>
  <sheetFormatPr defaultRowHeight="14.4" x14ac:dyDescent="0.3"/>
  <sheetData>
    <row r="1" spans="1:5" ht="15.6" x14ac:dyDescent="0.35">
      <c r="A1" s="2" t="s">
        <v>12</v>
      </c>
      <c r="B1" s="2" t="s">
        <v>13</v>
      </c>
      <c r="C1" s="2" t="s">
        <v>49</v>
      </c>
      <c r="D1" s="2" t="s">
        <v>50</v>
      </c>
      <c r="E1" s="2" t="s">
        <v>26</v>
      </c>
    </row>
    <row r="2" spans="1:5" x14ac:dyDescent="0.3">
      <c r="A2" s="12">
        <v>0.7</v>
      </c>
      <c r="B2" s="12">
        <v>4.5999999999999999E-2</v>
      </c>
      <c r="C2" s="2">
        <v>5.7000000000000002E-2</v>
      </c>
      <c r="D2" s="2">
        <v>2.5000000000000001E-2</v>
      </c>
      <c r="E2" s="2">
        <v>0.04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N9"/>
  <sheetViews>
    <sheetView workbookViewId="0">
      <selection activeCell="N2" sqref="N2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5">
        <f>'Таблица 1'!B3</f>
        <v>5.19</v>
      </c>
      <c r="B2">
        <f>(A2-$H$2)*(A2-$H$2)</f>
        <v>0.12250000000000037</v>
      </c>
      <c r="H2">
        <v>4.84</v>
      </c>
      <c r="I2">
        <v>0.20211399999999999</v>
      </c>
      <c r="J2">
        <v>0.95</v>
      </c>
      <c r="K2">
        <f>J2*I2</f>
        <v>0.19200829999999999</v>
      </c>
      <c r="L2">
        <v>1</v>
      </c>
      <c r="M2">
        <f>SQRT(K2*K2+(2/3*L2)*(2/3*L2))</f>
        <v>0.69376626590901236</v>
      </c>
      <c r="N2" s="28">
        <f>M2/H2</f>
        <v>0.1433401375845067</v>
      </c>
    </row>
    <row r="3" spans="1:14" x14ac:dyDescent="0.3">
      <c r="A3" s="15">
        <f>'Таблица 1'!B4</f>
        <v>4.49</v>
      </c>
      <c r="B3">
        <f t="shared" ref="B3:B4" si="0">(A3-$H$2)*(A3-$H$2)</f>
        <v>0.12249999999999975</v>
      </c>
    </row>
    <row r="4" spans="1:14" x14ac:dyDescent="0.3">
      <c r="A4" s="15">
        <f>'Таблица 1'!B5</f>
        <v>4.8499999999999996</v>
      </c>
      <c r="B4">
        <f t="shared" si="0"/>
        <v>9.9999999999995736E-5</v>
      </c>
    </row>
    <row r="6" spans="1:14" x14ac:dyDescent="0.3">
      <c r="B6">
        <f>5.19-4.84</f>
        <v>0.35000000000000053</v>
      </c>
      <c r="C6">
        <f>B6*B6</f>
        <v>0.12250000000000037</v>
      </c>
    </row>
    <row r="7" spans="1:14" x14ac:dyDescent="0.3">
      <c r="B7">
        <f>4.49-4.84</f>
        <v>-0.34999999999999964</v>
      </c>
      <c r="C7">
        <f>C6*2+B8</f>
        <v>0.24510000000000073</v>
      </c>
    </row>
    <row r="8" spans="1:14" x14ac:dyDescent="0.3">
      <c r="B8">
        <f>0.01*0.01</f>
        <v>1E-4</v>
      </c>
      <c r="D8">
        <f>C7/6</f>
        <v>4.0850000000000122E-2</v>
      </c>
    </row>
    <row r="9" spans="1:14" x14ac:dyDescent="0.3">
      <c r="D9">
        <f>SQRT(D8)</f>
        <v>0.20211382931407768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N7"/>
  <sheetViews>
    <sheetView workbookViewId="0">
      <selection activeCell="I2" sqref="I2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5">
        <f>'Таблица 2'!C3</f>
        <v>5.9681443192028845E-2</v>
      </c>
      <c r="B2" s="15">
        <f>(A2-$H$2)*(A2-$H$2)</f>
        <v>1.992627884989683E-3</v>
      </c>
      <c r="H2" s="15">
        <f>SUM(A:A)/COUNT(A:A)</f>
        <v>1.5042582487596849E-2</v>
      </c>
      <c r="I2" s="15">
        <f>SQRT(SUM(B:B)/COUNT(A:A)/(COUNT(A:A)-1))</f>
        <v>8.9963433717298001E-3</v>
      </c>
      <c r="J2" s="15">
        <v>0.95</v>
      </c>
      <c r="K2" s="15">
        <f>J2*I2</f>
        <v>8.5465262031433099E-3</v>
      </c>
      <c r="L2" s="15">
        <v>1</v>
      </c>
      <c r="M2" s="15">
        <f>SQRT(K2*K2+(2/3*L2)*(2/3*L2))</f>
        <v>0.66672144674862932</v>
      </c>
      <c r="N2" s="28">
        <f>M2/H2</f>
        <v>44.322272940724453</v>
      </c>
    </row>
    <row r="3" spans="1:14" x14ac:dyDescent="0.3">
      <c r="A3" s="15">
        <f>'Таблица 2'!C4</f>
        <v>1.0691113453162614E-2</v>
      </c>
      <c r="B3" s="15">
        <f t="shared" ref="B3:B7" si="0">(A3-$H$2)*(A3-$H$2)</f>
        <v>1.8935282757640016E-5</v>
      </c>
    </row>
    <row r="4" spans="1:14" x14ac:dyDescent="0.3">
      <c r="A4" s="15">
        <f>'Таблица 2'!C5</f>
        <v>7.7504960317460311E-3</v>
      </c>
      <c r="B4" s="15">
        <f t="shared" si="0"/>
        <v>5.3174524879602939E-5</v>
      </c>
    </row>
    <row r="5" spans="1:14" x14ac:dyDescent="0.3">
      <c r="A5" s="15">
        <f>'Таблица 2'!C6</f>
        <v>4.4435627851616743E-3</v>
      </c>
      <c r="B5" s="15">
        <f>(A5-$H$2)*(A5-$H$2)</f>
        <v>1.12339218652609E-4</v>
      </c>
    </row>
    <row r="6" spans="1:14" x14ac:dyDescent="0.3">
      <c r="A6" s="15">
        <f>'Таблица 2'!C7</f>
        <v>4.1202188294000497E-3</v>
      </c>
      <c r="B6" s="15">
        <f t="shared" si="0"/>
        <v>1.1929802788189819E-4</v>
      </c>
    </row>
    <row r="7" spans="1:14" x14ac:dyDescent="0.3">
      <c r="A7" s="15">
        <f>'Таблица 2'!C8</f>
        <v>3.5686606340818864E-3</v>
      </c>
      <c r="B7" s="15">
        <f t="shared" si="0"/>
        <v>1.3165088270056821E-4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G9"/>
  <sheetViews>
    <sheetView workbookViewId="0">
      <selection activeCell="B6" sqref="B6"/>
    </sheetView>
  </sheetViews>
  <sheetFormatPr defaultRowHeight="14.4" x14ac:dyDescent="0.3"/>
  <cols>
    <col min="1" max="1" width="26.33203125" customWidth="1"/>
  </cols>
  <sheetData>
    <row r="1" spans="1:7" x14ac:dyDescent="0.3">
      <c r="A1" s="29" t="s">
        <v>42</v>
      </c>
      <c r="B1" t="s">
        <v>27</v>
      </c>
    </row>
    <row r="2" spans="1:7" ht="43.2" x14ac:dyDescent="0.3">
      <c r="A2" s="29" t="s">
        <v>38</v>
      </c>
      <c r="B2" s="25">
        <f>-4*'Параметры установки'!A2/'Погрешности прямые (t)'!H2/'Погрешности прямые (t)'!H2/'Погрешности прямые (t)'!H2</f>
        <v>-2.4695734439852762E-2</v>
      </c>
      <c r="C2" s="25"/>
      <c r="D2" s="25"/>
      <c r="E2" s="25"/>
      <c r="F2" s="25"/>
      <c r="G2" s="25"/>
    </row>
    <row r="3" spans="1:7" ht="28.8" x14ac:dyDescent="0.3">
      <c r="A3" s="29" t="s">
        <v>41</v>
      </c>
      <c r="B3" s="27">
        <f>'Погрешности прямые (t)'!H2</f>
        <v>4.84</v>
      </c>
      <c r="C3" s="25"/>
      <c r="D3" s="25"/>
      <c r="E3" s="25"/>
      <c r="F3" s="25"/>
      <c r="G3" s="25"/>
    </row>
    <row r="4" spans="1:7" x14ac:dyDescent="0.3">
      <c r="A4" s="29" t="s">
        <v>40</v>
      </c>
      <c r="B4" s="15">
        <f>2*'Параметры установки'!A2/'Погрешности прямые (t)'!H2/'Погрешности прямые (t)'!H2</f>
        <v>5.9763677344443683E-2</v>
      </c>
    </row>
    <row r="5" spans="1:7" ht="28.8" x14ac:dyDescent="0.3">
      <c r="A5" s="29" t="s">
        <v>43</v>
      </c>
      <c r="B5" s="15">
        <f>'Погрешности прямые (t)'!M2</f>
        <v>0.69376626590901236</v>
      </c>
    </row>
    <row r="6" spans="1:7" ht="28.8" x14ac:dyDescent="0.3">
      <c r="A6" s="29" t="s">
        <v>46</v>
      </c>
      <c r="B6" s="28">
        <f>'Погрешности прямые (t)'!N2</f>
        <v>0.1433401375845067</v>
      </c>
    </row>
    <row r="7" spans="1:7" x14ac:dyDescent="0.3">
      <c r="A7" s="29" t="s">
        <v>44</v>
      </c>
      <c r="B7">
        <f>B5*B5*B2*B2</f>
        <v>2.9354200080195186E-4</v>
      </c>
    </row>
    <row r="8" spans="1:7" ht="28.8" x14ac:dyDescent="0.3">
      <c r="A8" s="29" t="s">
        <v>39</v>
      </c>
      <c r="B8">
        <f>SQRT(SUM(7:7))</f>
        <v>1.7133067466217247E-2</v>
      </c>
    </row>
    <row r="9" spans="1:7" ht="28.8" x14ac:dyDescent="0.3">
      <c r="A9" s="29" t="s">
        <v>47</v>
      </c>
      <c r="B9" s="28">
        <f>B8/B4</f>
        <v>0.2866802751690134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N8"/>
  <sheetViews>
    <sheetView workbookViewId="0">
      <selection activeCell="A6" sqref="A6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5">
        <f>'Таблица 2'!D3</f>
        <v>2.5948453561751674</v>
      </c>
      <c r="B2" s="15">
        <f>(A2-$H$2)*(A2-$H$2)</f>
        <v>3.7667823912848459</v>
      </c>
      <c r="H2" s="15">
        <f>SUM(A:A)/COUNT(A:A)</f>
        <v>0.65402532554768922</v>
      </c>
      <c r="I2" s="15">
        <f>SQRT(SUM(B:B)/COUNT(A:A)/(COUNT(A:A)-1))</f>
        <v>0.39114536398825223</v>
      </c>
      <c r="J2" s="15">
        <v>0.95</v>
      </c>
      <c r="K2" s="15">
        <f>J2*I2</f>
        <v>0.37158809578883961</v>
      </c>
      <c r="L2" s="15">
        <v>1</v>
      </c>
      <c r="M2" s="15">
        <f>SQRT(K2*K2+(2/3*L2)*(2/3*L2))</f>
        <v>0.76323139176557742</v>
      </c>
      <c r="N2" s="28">
        <f>M2/H2</f>
        <v>1.1669752866625427</v>
      </c>
    </row>
    <row r="3" spans="1:14" x14ac:dyDescent="0.3">
      <c r="A3" s="15">
        <f>'Таблица 2'!D4</f>
        <v>0.46483101970272234</v>
      </c>
      <c r="B3" s="15">
        <f t="shared" ref="B3:B7" si="0">(A3-$H$2)*(A3-$H$2)</f>
        <v>3.5794485364158871E-2</v>
      </c>
    </row>
    <row r="4" spans="1:14" x14ac:dyDescent="0.3">
      <c r="A4" s="15">
        <f>'Таблица 2'!D5</f>
        <v>0.33697808833678394</v>
      </c>
      <c r="B4" s="15">
        <f t="shared" si="0"/>
        <v>0.10051895062306804</v>
      </c>
    </row>
    <row r="5" spans="1:14" x14ac:dyDescent="0.3">
      <c r="A5" s="15">
        <f>'Таблица 2'!D6</f>
        <v>0.19319838196355105</v>
      </c>
      <c r="B5" s="15">
        <f t="shared" si="0"/>
        <v>0.21236147193309846</v>
      </c>
    </row>
    <row r="6" spans="1:14" x14ac:dyDescent="0.3">
      <c r="A6" s="15">
        <f>'Таблица 2'!D7</f>
        <v>0.17913994910434999</v>
      </c>
      <c r="B6" s="15">
        <f t="shared" si="0"/>
        <v>0.22551612075973201</v>
      </c>
    </row>
    <row r="7" spans="1:14" x14ac:dyDescent="0.3">
      <c r="A7" s="15">
        <f>'Таблица 2'!D8</f>
        <v>0.15515915800356028</v>
      </c>
      <c r="B7" s="15">
        <f t="shared" si="0"/>
        <v>0.24886745312016692</v>
      </c>
    </row>
    <row r="8" spans="1:14" x14ac:dyDescent="0.3">
      <c r="A8" s="15"/>
      <c r="B8" s="15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9"/>
  <sheetViews>
    <sheetView workbookViewId="0">
      <selection activeCell="B8" sqref="B8"/>
    </sheetView>
  </sheetViews>
  <sheetFormatPr defaultRowHeight="14.4" x14ac:dyDescent="0.3"/>
  <cols>
    <col min="1" max="1" width="26.33203125" customWidth="1"/>
  </cols>
  <sheetData>
    <row r="1" spans="1:7" x14ac:dyDescent="0.3">
      <c r="A1" s="29" t="s">
        <v>42</v>
      </c>
      <c r="B1" s="26" t="s">
        <v>45</v>
      </c>
    </row>
    <row r="2" spans="1:7" ht="43.2" x14ac:dyDescent="0.3">
      <c r="A2" s="29" t="s">
        <v>38</v>
      </c>
      <c r="B2" s="25">
        <f>-8*'Параметры установки'!A2/'Параметры установки'!B2/'Погрешности прямые (t)'!H2/'Погрешности прямые (t)'!H2/'Погрешности прямые (t)'!H2</f>
        <v>-1.0737275843414245</v>
      </c>
      <c r="C2" s="25"/>
      <c r="D2" s="25"/>
      <c r="E2" s="25"/>
      <c r="F2" s="25"/>
      <c r="G2" s="25"/>
    </row>
    <row r="3" spans="1:7" ht="28.8" x14ac:dyDescent="0.3">
      <c r="A3" s="29" t="s">
        <v>41</v>
      </c>
      <c r="B3" s="27">
        <f>'Погрешности прямые (t)'!H2</f>
        <v>4.84</v>
      </c>
      <c r="C3" s="25"/>
      <c r="D3" s="25"/>
      <c r="E3" s="25"/>
      <c r="F3" s="25"/>
      <c r="G3" s="25"/>
    </row>
    <row r="4" spans="1:7" x14ac:dyDescent="0.3">
      <c r="A4" s="29" t="s">
        <v>40</v>
      </c>
      <c r="B4">
        <f>4*'Параметры установки'!A2/'Параметры установки'!B2/'Погрешности прямые (t)'!H2/'Погрешности прямые (t)'!H2</f>
        <v>2.5984207541062472</v>
      </c>
    </row>
    <row r="5" spans="1:7" ht="28.8" x14ac:dyDescent="0.3">
      <c r="A5" s="29" t="s">
        <v>43</v>
      </c>
      <c r="B5" s="15">
        <f>'Погрешности прямые (t)'!M2</f>
        <v>0.69376626590901236</v>
      </c>
    </row>
    <row r="6" spans="1:7" ht="28.8" x14ac:dyDescent="0.3">
      <c r="A6" s="29" t="s">
        <v>46</v>
      </c>
      <c r="B6" s="28">
        <f>'Погрешности прямые (t)'!N2</f>
        <v>0.1433401375845067</v>
      </c>
    </row>
    <row r="7" spans="1:7" x14ac:dyDescent="0.3">
      <c r="A7" s="29" t="s">
        <v>44</v>
      </c>
      <c r="B7">
        <f>B5*B5*B2*B2</f>
        <v>0.55489981248006026</v>
      </c>
    </row>
    <row r="8" spans="1:7" ht="28.8" x14ac:dyDescent="0.3">
      <c r="A8" s="29" t="s">
        <v>39</v>
      </c>
      <c r="B8">
        <f>SQRT(SUM(7:7))</f>
        <v>0.74491597679205424</v>
      </c>
    </row>
    <row r="9" spans="1:7" ht="28.8" x14ac:dyDescent="0.3">
      <c r="A9" s="29" t="s">
        <v>47</v>
      </c>
      <c r="B9" s="28">
        <f>B8/B4</f>
        <v>0.2866802751690134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7"/>
  <sheetViews>
    <sheetView tabSelected="1" workbookViewId="0">
      <selection activeCell="I2" sqref="I2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5">
        <f>'Таблица 2'!E3</f>
        <v>5.9815296257357764E-2</v>
      </c>
      <c r="B2" s="15">
        <f>(A2-$H$2)*(A2-$H$2)</f>
        <v>7.5145745676015015E-8</v>
      </c>
      <c r="H2" s="15">
        <f>SUM(A:A)/COUNT(A:A)</f>
        <v>6.0089423500943685E-2</v>
      </c>
      <c r="I2" s="15">
        <f>SQRT(SUM(B:B)/COUNT(A:A)/(COUNT(A:A)-1))</f>
        <v>5.5246544645792719E-5</v>
      </c>
      <c r="J2" s="15">
        <v>0.95</v>
      </c>
      <c r="K2" s="15">
        <f>J2*I2</f>
        <v>5.2484217413503082E-5</v>
      </c>
      <c r="L2" s="15">
        <v>1</v>
      </c>
      <c r="M2" s="15">
        <f>SQRT(K2*K2+(2/3*L2)*(2/3*L2))</f>
        <v>0.66666666873261149</v>
      </c>
      <c r="N2" s="28">
        <f>M2/H2</f>
        <v>11.0945758819294</v>
      </c>
    </row>
    <row r="3" spans="1:14" x14ac:dyDescent="0.3">
      <c r="A3" s="15">
        <f>'Таблица 2'!E4</f>
        <v>6.0116145872284137E-2</v>
      </c>
      <c r="B3" s="15">
        <f t="shared" ref="B3:B7" si="0">(A3-$H$2)*(A3-$H$2)</f>
        <v>7.1408513005697308E-10</v>
      </c>
    </row>
    <row r="4" spans="1:14" x14ac:dyDescent="0.3">
      <c r="A4" s="15">
        <f>'Таблица 2'!E5</f>
        <v>6.0134204203869064E-2</v>
      </c>
      <c r="B4" s="15">
        <f t="shared" si="0"/>
        <v>2.0053113544910324E-9</v>
      </c>
    </row>
    <row r="5" spans="1:14" x14ac:dyDescent="0.3">
      <c r="A5" s="15">
        <f>'Таблица 2'!E6</f>
        <v>6.0154512080936334E-2</v>
      </c>
      <c r="B5" s="15">
        <f t="shared" si="0"/>
        <v>4.2365232454594679E-9</v>
      </c>
    </row>
    <row r="6" spans="1:14" x14ac:dyDescent="0.3">
      <c r="A6" s="15">
        <f>'Таблица 2'!E7</f>
        <v>6.0156497736168671E-2</v>
      </c>
      <c r="B6" s="15">
        <f t="shared" si="0"/>
        <v>4.4989530310167023E-9</v>
      </c>
    </row>
    <row r="7" spans="1:14" x14ac:dyDescent="0.3">
      <c r="A7" s="15">
        <f>'Таблица 2'!E8</f>
        <v>6.0159884855046114E-2</v>
      </c>
      <c r="B7" s="15">
        <f t="shared" si="0"/>
        <v>4.9648024219478545E-9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G9"/>
  <sheetViews>
    <sheetView workbookViewId="0">
      <selection activeCell="B9" sqref="B9"/>
    </sheetView>
  </sheetViews>
  <sheetFormatPr defaultRowHeight="14.4" x14ac:dyDescent="0.3"/>
  <cols>
    <col min="1" max="1" width="26.33203125" customWidth="1"/>
  </cols>
  <sheetData>
    <row r="1" spans="1:7" x14ac:dyDescent="0.3">
      <c r="A1" s="29" t="s">
        <v>42</v>
      </c>
      <c r="B1" t="s">
        <v>48</v>
      </c>
    </row>
    <row r="2" spans="1:7" ht="43.2" x14ac:dyDescent="0.3">
      <c r="A2" s="29" t="s">
        <v>38</v>
      </c>
      <c r="B2" s="25">
        <f>2*'Таблица 2'!A3*'Параметры установки'!B2*'Параметры установки'!A2/'Погрешности прямые (t)'!H2/'Погрешности прямые (t)'!H2/'Погрешности прямые (t)'!H2</f>
        <v>1.5165650519513582E-4</v>
      </c>
      <c r="C2" s="25"/>
      <c r="D2" s="25"/>
      <c r="E2" s="25"/>
      <c r="F2" s="25"/>
      <c r="G2" s="25"/>
    </row>
    <row r="3" spans="1:7" ht="28.8" x14ac:dyDescent="0.3">
      <c r="A3" s="29" t="s">
        <v>41</v>
      </c>
      <c r="B3" s="27">
        <f>'Погрешности прямые (t)'!H2</f>
        <v>4.84</v>
      </c>
      <c r="C3" s="25"/>
      <c r="D3" s="25"/>
      <c r="E3" s="25"/>
      <c r="F3" s="25"/>
      <c r="G3" s="25"/>
    </row>
    <row r="4" spans="1:7" x14ac:dyDescent="0.3">
      <c r="A4" s="29" t="s">
        <v>40</v>
      </c>
      <c r="B4">
        <f>'Таблица 2'!A3*'Параметры установки'!B2/2*(9.82-2*'Параметры установки'!A2/'Погрешности прямые (t)'!H2/'Погрешности прямые (t)'!H2)</f>
        <v>5.9937611257427775E-2</v>
      </c>
    </row>
    <row r="5" spans="1:7" ht="28.8" x14ac:dyDescent="0.3">
      <c r="A5" s="29" t="s">
        <v>43</v>
      </c>
      <c r="B5">
        <f>'Погрешности прямые (t)'!M2</f>
        <v>0.69376626590901236</v>
      </c>
    </row>
    <row r="6" spans="1:7" ht="28.8" x14ac:dyDescent="0.3">
      <c r="A6" s="29" t="s">
        <v>46</v>
      </c>
      <c r="B6" s="28">
        <f>'Погрешности прямые (t)'!N2</f>
        <v>0.1433401375845067</v>
      </c>
    </row>
    <row r="7" spans="1:7" x14ac:dyDescent="0.3">
      <c r="A7" s="29" t="s">
        <v>44</v>
      </c>
      <c r="B7">
        <f>B5*B5*B2*B2</f>
        <v>1.1070021002745112E-8</v>
      </c>
    </row>
    <row r="8" spans="1:7" ht="28.8" x14ac:dyDescent="0.3">
      <c r="A8" s="29" t="s">
        <v>39</v>
      </c>
      <c r="B8">
        <f>SQRT(SUM(7:7))</f>
        <v>1.052141673100401E-4</v>
      </c>
    </row>
    <row r="9" spans="1:7" ht="28.8" x14ac:dyDescent="0.3">
      <c r="A9" s="29" t="s">
        <v>47</v>
      </c>
      <c r="B9" s="28">
        <f>B8/B3</f>
        <v>2.1738464320256219E-5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R9"/>
  <sheetViews>
    <sheetView workbookViewId="0">
      <selection activeCell="A3" sqref="A3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4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v>8.1666666666666637E-2</v>
      </c>
      <c r="B2" s="14">
        <v>48.691666666666663</v>
      </c>
      <c r="C2" s="15">
        <f>(A2-$L$2)*(A2-$L$2)</f>
        <v>0.67521436734693863</v>
      </c>
      <c r="D2" s="14">
        <f>(B2-$M$2)*(B2-$M$2)</f>
        <v>63998.398534240383</v>
      </c>
      <c r="E2" s="16">
        <f>A2-$L$2</f>
        <v>-0.82171428571428562</v>
      </c>
      <c r="F2" s="14">
        <f>B2-$M$2</f>
        <v>-252.97904761904766</v>
      </c>
      <c r="G2" s="17">
        <f>E2*F2</f>
        <v>207.876497414966</v>
      </c>
      <c r="H2" s="15">
        <f>B2-($O$2+$N$2*A2)</f>
        <v>0.42403696602093532</v>
      </c>
      <c r="I2" s="18">
        <f>H2*H2</f>
        <v>0.17980734855223987</v>
      </c>
      <c r="J2" s="23">
        <f>SQRT(4*$R$2+4*$Q$2*A2*A2)</f>
        <v>4.9576164097232098</v>
      </c>
      <c r="K2" s="15"/>
      <c r="L2" s="15">
        <f>SUM(A:A)/COUNT(A:A)</f>
        <v>0.90338095238095228</v>
      </c>
      <c r="M2" s="15">
        <f>SUM(B:B)/COUNT(B:B)</f>
        <v>301.67071428571433</v>
      </c>
      <c r="N2" s="15">
        <f>SUM(G:G)/SUM(C:C)</f>
        <v>308.38344786082757</v>
      </c>
      <c r="O2" s="15">
        <f>M2-N2*L2</f>
        <v>23.082981458678148</v>
      </c>
      <c r="P2" s="15">
        <f>SUM(C:C)</f>
        <v>1.902756984126984</v>
      </c>
      <c r="Q2" s="15">
        <f>1/P2*SUM(I:I)/(COUNT(I:I)-2)</f>
        <v>5.6135134076679245</v>
      </c>
      <c r="R2" s="15">
        <f>(1/COUNT(I:I)+L2*L2/P2)*SUM(I:I)/(COUNT(I:I)-2)</f>
        <v>6.1070511006786266</v>
      </c>
    </row>
    <row r="3" spans="1:18" ht="16.8" thickTop="1" thickBot="1" x14ac:dyDescent="0.35">
      <c r="A3" s="13">
        <v>0.38399999999999995</v>
      </c>
      <c r="B3" s="14">
        <v>141.54</v>
      </c>
      <c r="C3" s="15">
        <f>(A3-$L$2)*(A3-$L$2)</f>
        <v>0.26975657369614503</v>
      </c>
      <c r="D3" s="14">
        <f>(B3-$M$2)*(B3-$M$2)</f>
        <v>25641.845657653077</v>
      </c>
      <c r="E3" s="19">
        <f>A3-$L$2</f>
        <v>-0.51938095238095228</v>
      </c>
      <c r="F3" s="14">
        <f>B3-$M$2</f>
        <v>-160.13071428571433</v>
      </c>
      <c r="G3" s="17">
        <f>E3*F3</f>
        <v>83.168842891156473</v>
      </c>
      <c r="H3" s="15">
        <f>B3-($O$2+$N$2*A3)</f>
        <v>3.7774562764070652E-2</v>
      </c>
      <c r="I3" s="14">
        <f>H3*H3</f>
        <v>1.426917592016713E-3</v>
      </c>
      <c r="J3" s="17">
        <f t="shared" ref="J3:J8" si="0">SQRT(4*$R$2+4*$Q$2*A3*A3)</f>
        <v>5.2668006735473512</v>
      </c>
      <c r="K3" s="24"/>
      <c r="L3" s="15"/>
      <c r="M3" s="15"/>
      <c r="N3" s="30"/>
      <c r="O3" s="30"/>
      <c r="P3" s="15"/>
      <c r="Q3" s="30" t="s">
        <v>58</v>
      </c>
      <c r="R3" s="30" t="s">
        <v>59</v>
      </c>
    </row>
    <row r="4" spans="1:18" ht="15.6" thickTop="1" thickBot="1" x14ac:dyDescent="0.35">
      <c r="A4" s="13">
        <v>0.66499999999999992</v>
      </c>
      <c r="B4" s="14">
        <v>228.87500000000003</v>
      </c>
      <c r="C4" s="15">
        <f t="shared" ref="C4:C8" si="1">(A4-$L$2)*(A4-$L$2)</f>
        <v>5.6825478458049875E-2</v>
      </c>
      <c r="D4" s="14">
        <f t="shared" ref="D4:D8" si="2">(B4-$M$2)*(B4-$M$2)</f>
        <v>5299.2160183673486</v>
      </c>
      <c r="E4" s="19">
        <f t="shared" ref="E4:E8" si="3">A4-$L$2</f>
        <v>-0.23838095238095236</v>
      </c>
      <c r="F4" s="14">
        <f t="shared" ref="F4:F8" si="4">B4-$M$2</f>
        <v>-72.795714285714297</v>
      </c>
      <c r="G4" s="17">
        <f t="shared" ref="G4:G8" si="5">E4*F4</f>
        <v>17.353111700680273</v>
      </c>
      <c r="H4" s="15">
        <f t="shared" ref="H4:H8" si="6">B4-($O$2+$N$2*A4)</f>
        <v>0.71702571387157832</v>
      </c>
      <c r="I4" s="14">
        <f t="shared" ref="I4:I8" si="7">H4*H4</f>
        <v>0.51412587435304646</v>
      </c>
      <c r="J4" s="17">
        <f t="shared" si="0"/>
        <v>5.8615653429385484</v>
      </c>
      <c r="K4" s="15"/>
      <c r="L4" s="15"/>
      <c r="M4" s="15"/>
      <c r="N4" s="15"/>
      <c r="O4" s="15"/>
      <c r="P4" s="15"/>
      <c r="Q4" s="15">
        <f>SQRT(Q2)</f>
        <v>2.3692854213175591</v>
      </c>
      <c r="R4" s="15">
        <f>SQRT(R2)</f>
        <v>2.4712448483868665</v>
      </c>
    </row>
    <row r="5" spans="1:18" ht="16.8" thickTop="1" thickBot="1" x14ac:dyDescent="0.35">
      <c r="A5" s="13">
        <v>0.94166666666666643</v>
      </c>
      <c r="B5" s="14">
        <v>310.74166666666667</v>
      </c>
      <c r="C5" s="15">
        <f t="shared" si="1"/>
        <v>1.4657959183673362E-3</v>
      </c>
      <c r="D5" s="14">
        <f t="shared" si="2"/>
        <v>82.282177097505084</v>
      </c>
      <c r="E5" s="19">
        <f t="shared" si="3"/>
        <v>3.8285714285714145E-2</v>
      </c>
      <c r="F5" s="14">
        <f t="shared" si="4"/>
        <v>9.0709523809523489</v>
      </c>
      <c r="G5" s="17">
        <f t="shared" si="5"/>
        <v>0.34728789115646008</v>
      </c>
      <c r="H5" s="15">
        <f t="shared" si="6"/>
        <v>-2.7357281942906866</v>
      </c>
      <c r="I5" s="14">
        <f t="shared" si="7"/>
        <v>7.484208753036981</v>
      </c>
      <c r="J5" s="17">
        <f t="shared" si="0"/>
        <v>6.6587554841619347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>
        <v>1.1760000000000002</v>
      </c>
      <c r="B6" s="14">
        <v>388.98</v>
      </c>
      <c r="C6" s="15">
        <f t="shared" si="1"/>
        <v>7.4321145124716687E-2</v>
      </c>
      <c r="D6" s="14">
        <f t="shared" si="2"/>
        <v>7622.9113719387715</v>
      </c>
      <c r="E6" s="19">
        <f t="shared" si="3"/>
        <v>0.27261904761904787</v>
      </c>
      <c r="F6" s="14">
        <f t="shared" si="4"/>
        <v>87.309285714285693</v>
      </c>
      <c r="G6" s="17">
        <f t="shared" si="5"/>
        <v>23.802174319727907</v>
      </c>
      <c r="H6" s="15">
        <f t="shared" si="6"/>
        <v>3.2380838569886237</v>
      </c>
      <c r="I6" s="14">
        <f t="shared" si="7"/>
        <v>10.485187064890322</v>
      </c>
      <c r="J6" s="17">
        <f t="shared" si="0"/>
        <v>7.4485986384451097</v>
      </c>
      <c r="K6" s="15"/>
      <c r="L6" s="15"/>
      <c r="M6" s="15"/>
      <c r="N6" s="15"/>
      <c r="O6" s="15"/>
      <c r="P6" s="15"/>
      <c r="Q6" s="15">
        <f>Q4*2</f>
        <v>4.7385708426351183</v>
      </c>
      <c r="R6" s="15">
        <f>R4*2</f>
        <v>4.9424896967737331</v>
      </c>
    </row>
    <row r="7" spans="1:18" x14ac:dyDescent="0.3">
      <c r="A7" s="13">
        <v>1.436333333333333</v>
      </c>
      <c r="B7" s="14">
        <v>461.10166666666669</v>
      </c>
      <c r="C7" s="15">
        <f t="shared" si="1"/>
        <v>0.28403824036281156</v>
      </c>
      <c r="D7" s="14">
        <f t="shared" si="2"/>
        <v>25418.2285770975</v>
      </c>
      <c r="E7" s="19">
        <f t="shared" si="3"/>
        <v>0.53295238095238073</v>
      </c>
      <c r="F7" s="14">
        <f t="shared" si="4"/>
        <v>159.43095238095236</v>
      </c>
      <c r="G7" s="17">
        <f t="shared" si="5"/>
        <v>84.969105668934191</v>
      </c>
      <c r="H7" s="15">
        <f t="shared" si="6"/>
        <v>-4.9227404027800503</v>
      </c>
      <c r="I7" s="14">
        <f t="shared" si="7"/>
        <v>24.233373073163094</v>
      </c>
      <c r="J7" s="17">
        <f t="shared" si="0"/>
        <v>8.4114277674608857</v>
      </c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>
        <v>1.6390000000000002</v>
      </c>
      <c r="B8" s="14">
        <v>531.7650000000001</v>
      </c>
      <c r="C8" s="15">
        <f t="shared" si="1"/>
        <v>0.54113538321995514</v>
      </c>
      <c r="D8" s="14">
        <f t="shared" si="2"/>
        <v>52943.380318367374</v>
      </c>
      <c r="E8" s="19">
        <f t="shared" si="3"/>
        <v>0.73561904761904795</v>
      </c>
      <c r="F8" s="14">
        <f t="shared" si="4"/>
        <v>230.09428571428577</v>
      </c>
      <c r="G8" s="17">
        <f t="shared" si="5"/>
        <v>169.26173931972801</v>
      </c>
      <c r="H8" s="15">
        <f t="shared" si="6"/>
        <v>3.2415474974254721</v>
      </c>
      <c r="I8" s="14">
        <f t="shared" si="7"/>
        <v>10.507630178065341</v>
      </c>
      <c r="J8" s="17">
        <f t="shared" si="0"/>
        <v>9.2058133918689755</v>
      </c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R23"/>
  <sheetViews>
    <sheetView zoomScaleNormal="100" workbookViewId="0">
      <selection activeCell="B2" sqref="B2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2'!D3</f>
        <v>2.5948453561751674</v>
      </c>
      <c r="B2" s="14">
        <f>'Таблица 2'!E3</f>
        <v>5.9815296257357764E-2</v>
      </c>
      <c r="C2" s="31">
        <f>(A2-$L$2)*(A2-$L$2)</f>
        <v>10.788960578454772</v>
      </c>
      <c r="D2" s="33">
        <f>(B2-$M$2)*(B2-$M$2)</f>
        <v>5.2692282531428356E-3</v>
      </c>
      <c r="E2" s="16">
        <f>A2-$L$2</f>
        <v>-3.284655321103688</v>
      </c>
      <c r="F2" s="14">
        <f>B2-$M$2</f>
        <v>-7.2589450012676332E-2</v>
      </c>
      <c r="G2" s="34">
        <f>E2*F2</f>
        <v>0.23843132324012747</v>
      </c>
      <c r="H2" s="15">
        <f>B2-($O$2+$N$2*A2)</f>
        <v>3.3742916864431607E-3</v>
      </c>
      <c r="I2" s="32">
        <f>H2*H2</f>
        <v>1.138584438519943E-5</v>
      </c>
      <c r="J2" s="23">
        <f>SQRT(4*$R$2+4*$Q$2*A2*A2)</f>
        <v>1.4551817039111639E-2</v>
      </c>
      <c r="K2" s="15"/>
      <c r="L2" s="15">
        <f>SUM(A:A)/COUNT(A:A)</f>
        <v>5.8795006772788554</v>
      </c>
      <c r="M2" s="15">
        <f>SUM(B:B)/COUNT(B:B)</f>
        <v>0.1324047462700341</v>
      </c>
      <c r="N2" s="15">
        <f>SUM(G:G)/SUM(C:C)</f>
        <v>2.3126853283830909E-2</v>
      </c>
      <c r="O2" s="15">
        <f>M2-N2*L2</f>
        <v>-3.5696032755784535E-3</v>
      </c>
      <c r="P2" s="15">
        <f>SUM(C:C)</f>
        <v>21.680532972254969</v>
      </c>
      <c r="Q2" s="31">
        <f>1/P2*SUM(I:I)/(COUNT(I:I)-2)</f>
        <v>1.1330631470535092E-6</v>
      </c>
      <c r="R2" s="31">
        <f>(1/COUNT(I:I)+L2*L2/P2)*SUM(I:I)/(COUNT(I:I)-2)</f>
        <v>4.5309678597136832E-5</v>
      </c>
    </row>
    <row r="3" spans="1:18" ht="16.8" thickTop="1" thickBot="1" x14ac:dyDescent="0.35">
      <c r="A3" s="13">
        <f>'Таблица 2'!D9</f>
        <v>5.0943079720218973</v>
      </c>
      <c r="B3" s="14">
        <f>'Таблица 2'!E9</f>
        <v>0.10845738909732379</v>
      </c>
      <c r="C3" s="31">
        <f t="shared" ref="C3:C5" si="0">(A3-$L$2)*(A3-$L$2)</f>
        <v>0.61652758438874022</v>
      </c>
      <c r="D3" s="33">
        <f t="shared" ref="D3:D5" si="1">(B3-$M$2)*(B3-$M$2)</f>
        <v>5.7347591555735979E-4</v>
      </c>
      <c r="E3" s="19">
        <f>A3-$L$2</f>
        <v>-0.78519270525695806</v>
      </c>
      <c r="F3" s="14">
        <f>B3-$M$2</f>
        <v>-2.3947357172710307E-2</v>
      </c>
      <c r="G3" s="34">
        <f>E3*F3</f>
        <v>1.8803290162195025E-2</v>
      </c>
      <c r="H3" s="15">
        <f>B3-($O$2+$N$2*A3)</f>
        <v>-5.788320678698361E-3</v>
      </c>
      <c r="I3" s="33">
        <f>H3*H3</f>
        <v>3.3504656279447056E-5</v>
      </c>
      <c r="J3" s="17">
        <f t="shared" ref="J3:J5" si="2">SQRT(4*$R$2+4*$Q$2*A3*A3)</f>
        <v>1.7287556635401272E-2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2'!D15</f>
        <v>6.9161227996025962</v>
      </c>
      <c r="B4" s="14">
        <f>'Таблица 2'!E15</f>
        <v>0.15677114932458025</v>
      </c>
      <c r="C4" s="31">
        <f t="shared" si="0"/>
        <v>1.0745854244909767</v>
      </c>
      <c r="D4" s="33">
        <f t="shared" si="1"/>
        <v>5.937215978165961E-4</v>
      </c>
      <c r="E4" s="19">
        <f t="shared" ref="E4:E5" si="3">A4-$L$2</f>
        <v>1.0366221223237408</v>
      </c>
      <c r="F4" s="14">
        <f t="shared" ref="F4:F5" si="4">B4-$M$2</f>
        <v>2.4366403054546154E-2</v>
      </c>
      <c r="G4" s="34">
        <f t="shared" ref="G4:G5" si="5">E4*F4</f>
        <v>2.5258752447799317E-2</v>
      </c>
      <c r="H4" s="15">
        <f t="shared" ref="H4:H5" si="6">B4-($O$2+$N$2*A4)</f>
        <v>3.9259532079158332E-4</v>
      </c>
      <c r="I4" s="33">
        <f t="shared" ref="I4:I5" si="7">H4*H4</f>
        <v>1.5413108590744621E-7</v>
      </c>
      <c r="J4" s="17">
        <f t="shared" si="2"/>
        <v>1.9950660142748551E-2</v>
      </c>
      <c r="K4" s="15"/>
      <c r="L4" s="15"/>
      <c r="M4" s="15"/>
      <c r="N4" s="15"/>
      <c r="O4" s="15"/>
      <c r="P4" s="15"/>
      <c r="Q4" s="15">
        <f>SQRT(Q2)</f>
        <v>1.0644543893720902E-3</v>
      </c>
      <c r="R4" s="15">
        <f>SQRT(R2)</f>
        <v>6.7312464371122854E-3</v>
      </c>
    </row>
    <row r="5" spans="1:18" ht="16.8" thickTop="1" thickBot="1" x14ac:dyDescent="0.35">
      <c r="A5" s="13">
        <f>'Таблица 2'!D21</f>
        <v>8.9127265813157575</v>
      </c>
      <c r="B5" s="14">
        <f>'Таблица 2'!E21</f>
        <v>0.20457515040087462</v>
      </c>
      <c r="C5" s="31">
        <f t="shared" si="0"/>
        <v>9.2004593849204817</v>
      </c>
      <c r="D5" s="33">
        <f t="shared" si="1"/>
        <v>5.2085672324088429E-3</v>
      </c>
      <c r="E5" s="19">
        <f t="shared" si="3"/>
        <v>3.0332259040369021</v>
      </c>
      <c r="F5" s="14">
        <f t="shared" si="4"/>
        <v>7.2170404130840526E-2</v>
      </c>
      <c r="G5" s="34">
        <f t="shared" si="5"/>
        <v>0.21890913931447734</v>
      </c>
      <c r="H5" s="15">
        <f t="shared" si="6"/>
        <v>2.0214336714637071E-3</v>
      </c>
      <c r="I5" s="33">
        <f t="shared" si="7"/>
        <v>4.0861940881272427E-6</v>
      </c>
      <c r="J5" s="17">
        <f t="shared" si="2"/>
        <v>2.3265121564585396E-2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2.1289087787441804E-3</v>
      </c>
      <c r="R6" s="15">
        <f>R4*2</f>
        <v>1.3462492874224571E-2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R23"/>
  <sheetViews>
    <sheetView workbookViewId="0">
      <selection activeCell="M18" sqref="M18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2'!D4</f>
        <v>0.46483101970272234</v>
      </c>
      <c r="B2" s="14">
        <f>'Таблица 2'!E4</f>
        <v>6.0116145872284137E-2</v>
      </c>
      <c r="C2" s="15">
        <f>(A2-$L$2)*(A2-$L$2)</f>
        <v>8.0944480271599097</v>
      </c>
      <c r="D2" s="14">
        <f>(B2-$M$2)*(B2-$M$2)</f>
        <v>5.3408572520723891E-3</v>
      </c>
      <c r="E2" s="16">
        <f>A2-$L$2</f>
        <v>-2.8450743447509259</v>
      </c>
      <c r="F2" s="14">
        <f>B2-$M$2</f>
        <v>-7.3081168929296614E-2</v>
      </c>
      <c r="G2" s="17">
        <f>E2*F2</f>
        <v>0.20792135880515028</v>
      </c>
      <c r="H2" s="15">
        <f>B2-($O$2+$N$2*A2)</f>
        <v>-1.5751280676763006E-2</v>
      </c>
      <c r="I2" s="18">
        <f>H2*H2</f>
        <v>2.4810284295816767E-4</v>
      </c>
      <c r="J2" s="23">
        <f>SQRT(4*$R$2+4*$Q$2*A2*A2)</f>
        <v>3.6393620589008684E-2</v>
      </c>
      <c r="K2" s="15"/>
      <c r="L2" s="15">
        <f>SUM(A:A)/COUNT(A:A)</f>
        <v>3.3099053644536482</v>
      </c>
      <c r="M2" s="15">
        <f>SUM(B:B)/COUNT(B:B)</f>
        <v>0.13319731480158076</v>
      </c>
      <c r="N2" s="15">
        <f>SUM(G:G)/SUM(C:C)</f>
        <v>2.0150576507185301E-2</v>
      </c>
      <c r="O2" s="15">
        <f>M2-N2*L2</f>
        <v>6.6500813523614477E-2</v>
      </c>
      <c r="P2" s="15">
        <f>SUM(C:C)</f>
        <v>26.526793819764663</v>
      </c>
      <c r="Q2" s="15">
        <f>1/P2*SUM(I:I)/(COUNT(I:I)-2)</f>
        <v>1.8599081269461304E-5</v>
      </c>
      <c r="R2" s="15">
        <f>(1/COUNT(I:I)+L2*L2/P2)*SUM(I:I)/(COUNT(I:I)-2)</f>
        <v>3.2710524089240764E-4</v>
      </c>
    </row>
    <row r="3" spans="1:18" ht="16.8" thickTop="1" thickBot="1" x14ac:dyDescent="0.35">
      <c r="A3" s="13">
        <f>'Таблица 2'!D10</f>
        <v>1.0957187936156954</v>
      </c>
      <c r="B3" s="14">
        <f>'Таблица 2'!E10</f>
        <v>0.10948751763723234</v>
      </c>
      <c r="C3" s="15">
        <f t="shared" ref="C3:C5" si="0">(A3-$L$2)*(A3-$L$2)</f>
        <v>4.9026221704791322</v>
      </c>
      <c r="D3" s="14">
        <f t="shared" ref="D3:D5" si="1">(B3-$M$2)*(B3-$M$2)</f>
        <v>5.6215448157454417E-4</v>
      </c>
      <c r="E3" s="19">
        <f>A3-$L$2</f>
        <v>-2.2141865708379527</v>
      </c>
      <c r="F3" s="14">
        <f>B3-$M$2</f>
        <v>-2.3709797164348415E-2</v>
      </c>
      <c r="G3" s="17">
        <f>E3*F3</f>
        <v>5.2497914478592027E-2</v>
      </c>
      <c r="H3" s="15">
        <f>B3-($O$2+$N$2*A3)</f>
        <v>2.0907338732504013E-2</v>
      </c>
      <c r="I3" s="14">
        <f>H3*H3</f>
        <v>4.3711681287566254E-4</v>
      </c>
      <c r="J3" s="17">
        <f t="shared" ref="J3:J5" si="2">SQRT(4*$R$2+4*$Q$2*A3*A3)</f>
        <v>3.73863767602007E-2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2'!D16</f>
        <v>5.2346957127468201</v>
      </c>
      <c r="B4" s="14">
        <f>'Таблица 2'!E16</f>
        <v>0.15740000809934557</v>
      </c>
      <c r="C4" s="15">
        <f t="shared" si="0"/>
        <v>3.7048178848825497</v>
      </c>
      <c r="D4" s="14">
        <f t="shared" si="1"/>
        <v>5.8577036286566969E-4</v>
      </c>
      <c r="E4" s="19">
        <f t="shared" ref="E4:E5" si="3">A4-$L$2</f>
        <v>1.9247903482931719</v>
      </c>
      <c r="F4" s="14">
        <f t="shared" ref="F4:F5" si="4">B4-$M$2</f>
        <v>2.420269329776481E-2</v>
      </c>
      <c r="G4" s="17">
        <f t="shared" ref="G4:G5" si="5">E4*F4</f>
        <v>4.6585110462237546E-2</v>
      </c>
      <c r="H4" s="15">
        <f t="shared" ref="H4:H5" si="6">B4-($O$2+$N$2*A4)</f>
        <v>-1.4582941875808608E-2</v>
      </c>
      <c r="I4" s="14">
        <f t="shared" ref="I4:I5" si="7">H4*H4</f>
        <v>2.1266219375321228E-4</v>
      </c>
      <c r="J4" s="17">
        <f t="shared" si="2"/>
        <v>5.7853539045285597E-2</v>
      </c>
      <c r="K4" s="15"/>
      <c r="L4" s="15"/>
      <c r="M4" s="15"/>
      <c r="N4" s="15"/>
      <c r="O4" s="15"/>
      <c r="P4" s="15"/>
      <c r="Q4" s="15">
        <f>SQRT(Q2)</f>
        <v>4.312665216482877E-3</v>
      </c>
      <c r="R4" s="15">
        <f>SQRT(R2)</f>
        <v>1.8086051003256838E-2</v>
      </c>
    </row>
    <row r="5" spans="1:18" ht="16.8" thickTop="1" thickBot="1" x14ac:dyDescent="0.35">
      <c r="A5" s="13">
        <f>'Таблица 2'!D22</f>
        <v>6.444375931749355</v>
      </c>
      <c r="B5" s="14">
        <f>'Таблица 2'!E22</f>
        <v>0.20578558759746096</v>
      </c>
      <c r="C5" s="15">
        <f t="shared" si="0"/>
        <v>9.8249057372430695</v>
      </c>
      <c r="D5" s="14">
        <f t="shared" si="1"/>
        <v>5.2690573474891223E-3</v>
      </c>
      <c r="E5" s="19">
        <f t="shared" si="3"/>
        <v>3.1344705672957067</v>
      </c>
      <c r="F5" s="14">
        <f t="shared" si="4"/>
        <v>7.2588272795880204E-2</v>
      </c>
      <c r="G5" s="17">
        <f t="shared" si="5"/>
        <v>0.22752580460951813</v>
      </c>
      <c r="H5" s="15">
        <f t="shared" si="6"/>
        <v>9.4268838200675387E-3</v>
      </c>
      <c r="I5" s="14">
        <f t="shared" si="7"/>
        <v>8.8866138557051153E-5</v>
      </c>
      <c r="J5" s="17">
        <f t="shared" si="2"/>
        <v>6.6318164492545073E-2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8.625330432965754E-3</v>
      </c>
      <c r="R6" s="15">
        <f>R4*2</f>
        <v>3.6172102006513676E-2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2'!D5</f>
        <v>0.33697808833678394</v>
      </c>
      <c r="B2" s="14">
        <f>'Таблица 2'!E5</f>
        <v>6.0134204203869064E-2</v>
      </c>
      <c r="C2" s="15">
        <f>(A2-$L$2)*(A2-$L$2)</f>
        <v>0.35467388858721954</v>
      </c>
      <c r="D2" s="14">
        <f>(B2-$M$2)*(B2-$M$2)</f>
        <v>5.4873437596809757E-3</v>
      </c>
      <c r="E2" s="16">
        <f>A2-$L$2</f>
        <v>-0.59554503489427191</v>
      </c>
      <c r="F2" s="14">
        <f>B2-$M$2</f>
        <v>-7.4076607371564851E-2</v>
      </c>
      <c r="G2" s="17">
        <f>E2*F2</f>
        <v>4.4115955721947868E-2</v>
      </c>
      <c r="H2" s="15">
        <f>B2-($O$2+$N$2*A2)</f>
        <v>-1.8333185367838747E-3</v>
      </c>
      <c r="I2" s="18">
        <f>H2*H2</f>
        <v>3.3610568573153673E-6</v>
      </c>
      <c r="J2" s="23">
        <f>SQRT(4*$R$2+4*$Q$2*A2*A2)</f>
        <v>2.0484785757646572E-2</v>
      </c>
      <c r="K2" s="15"/>
      <c r="L2" s="15">
        <f>SUM(A:A)/COUNT(A:A)</f>
        <v>0.93252312323105579</v>
      </c>
      <c r="M2" s="15">
        <f>SUM(B:B)/COUNT(B:B)</f>
        <v>0.13421081157543391</v>
      </c>
      <c r="N2" s="15">
        <f>SUM(G:G)/SUM(C:C)</f>
        <v>0.12130617266854798</v>
      </c>
      <c r="O2" s="15">
        <f>M2-N2*L2</f>
        <v>2.1090000571353809E-2</v>
      </c>
      <c r="P2" s="15">
        <f>SUM(C:C)</f>
        <v>0.81770633268072435</v>
      </c>
      <c r="Q2" s="15">
        <f>1/P2*SUM(I:I)/(COUNT(I:I)-2)</f>
        <v>8.8336444746180899E-5</v>
      </c>
      <c r="R2" s="15">
        <f>(1/COUNT(I:I)+L2*L2/P2)*SUM(I:I)/(COUNT(I:I)-2)</f>
        <v>9.4875634741718566E-5</v>
      </c>
    </row>
    <row r="3" spans="1:18" ht="16.8" thickTop="1" thickBot="1" x14ac:dyDescent="0.35">
      <c r="A3" s="13">
        <f>'Таблица 2'!D11</f>
        <v>0.76102927566677081</v>
      </c>
      <c r="B3" s="14">
        <f>'Таблица 2'!E11</f>
        <v>0.10957374135491489</v>
      </c>
      <c r="C3" s="15">
        <f t="shared" ref="C3:C5" si="0">(A3-$L$2)*(A3-$L$2)</f>
        <v>2.9410139752402215E-2</v>
      </c>
      <c r="D3" s="14">
        <f t="shared" ref="D3:D5" si="1">(B3-$M$2)*(B3-$M$2)</f>
        <v>6.0698522905078495E-4</v>
      </c>
      <c r="E3" s="19">
        <f>A3-$L$2</f>
        <v>-0.17149384756428498</v>
      </c>
      <c r="F3" s="14">
        <f>B3-$M$2</f>
        <v>-2.4637070220519017E-2</v>
      </c>
      <c r="G3" s="17">
        <f>E3*F3</f>
        <v>4.2251059648282735E-3</v>
      </c>
      <c r="H3" s="15">
        <f>B3-($O$2+$N$2*A3)</f>
        <v>-3.8338079362922189E-3</v>
      </c>
      <c r="I3" s="14">
        <f>H3*H3</f>
        <v>1.4698083292377202E-5</v>
      </c>
      <c r="J3" s="17">
        <f t="shared" ref="J3:J5" si="2">SQRT(4*$R$2+4*$Q$2*A3*A3)</f>
        <v>2.4169158950376808E-2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2'!D17</f>
        <v>1.0519895577178746</v>
      </c>
      <c r="B4" s="14">
        <f>'Таблица 2'!E17</f>
        <v>0.15896435274944484</v>
      </c>
      <c r="C4" s="15">
        <f t="shared" si="0"/>
        <v>1.4272228968993373E-2</v>
      </c>
      <c r="D4" s="14">
        <f t="shared" si="1"/>
        <v>6.1273780065345459E-4</v>
      </c>
      <c r="E4" s="19">
        <f t="shared" ref="E4:E5" si="3">A4-$L$2</f>
        <v>0.11946643448681882</v>
      </c>
      <c r="F4" s="14">
        <f t="shared" ref="F4:F5" si="4">B4-$M$2</f>
        <v>2.4753541174010935E-2</v>
      </c>
      <c r="G4" s="17">
        <f t="shared" ref="G4:G5" si="5">E4*F4</f>
        <v>2.9572173049817493E-3</v>
      </c>
      <c r="H4" s="15">
        <f t="shared" ref="H4:H5" si="6">B4-($O$2+$N$2*A4)</f>
        <v>1.0261525244057129E-2</v>
      </c>
      <c r="I4" s="14">
        <f t="shared" ref="I4:I5" si="7">H4*H4</f>
        <v>1.0529890033442173E-4</v>
      </c>
      <c r="J4" s="17">
        <f t="shared" si="2"/>
        <v>2.7758673649612885E-2</v>
      </c>
      <c r="K4" s="15"/>
      <c r="L4" s="15"/>
      <c r="M4" s="15"/>
      <c r="N4" s="15"/>
      <c r="O4" s="15"/>
      <c r="P4" s="15"/>
      <c r="Q4" s="15">
        <f>SQRT(Q2)</f>
        <v>9.3987469774529462E-3</v>
      </c>
      <c r="R4" s="15">
        <f>SQRT(R2)</f>
        <v>9.7404124523409463E-3</v>
      </c>
    </row>
    <row r="5" spans="1:18" ht="16.8" thickTop="1" thickBot="1" x14ac:dyDescent="0.35">
      <c r="A5" s="13">
        <f>'Таблица 2'!D23</f>
        <v>1.5800955712027938</v>
      </c>
      <c r="B5" s="14">
        <f>'Таблица 2'!E23</f>
        <v>0.20817094799350688</v>
      </c>
      <c r="C5" s="15">
        <f t="shared" si="0"/>
        <v>0.41935007537210928</v>
      </c>
      <c r="D5" s="14">
        <f t="shared" si="1"/>
        <v>5.4701017789799645E-3</v>
      </c>
      <c r="E5" s="19">
        <f t="shared" si="3"/>
        <v>0.64757244797173796</v>
      </c>
      <c r="F5" s="14">
        <f t="shared" si="4"/>
        <v>7.3960136418072975E-2</v>
      </c>
      <c r="G5" s="17">
        <f t="shared" si="5"/>
        <v>4.78945465925752E-2</v>
      </c>
      <c r="H5" s="15">
        <f t="shared" si="6"/>
        <v>-4.5943987709810008E-3</v>
      </c>
      <c r="I5" s="14">
        <f t="shared" si="7"/>
        <v>2.1108500066791732E-5</v>
      </c>
      <c r="J5" s="17">
        <f t="shared" si="2"/>
        <v>3.5520439989448642E-2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1.8797493954905892E-2</v>
      </c>
      <c r="R6" s="15">
        <f>R4*2</f>
        <v>1.9480824904681893E-2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2'!D6</f>
        <v>0.19319838196355105</v>
      </c>
      <c r="B2" s="14">
        <f>'Таблица 2'!E6</f>
        <v>6.0154512080936334E-2</v>
      </c>
      <c r="C2" s="15">
        <f>(A2-$L$2)*(A2-$L$2)</f>
        <v>0.11393685839626311</v>
      </c>
      <c r="D2" s="14">
        <f>(B2-$M$2)*(B2-$M$2)</f>
        <v>5.5056168907039339E-3</v>
      </c>
      <c r="E2" s="16">
        <f>A2-$L$2</f>
        <v>-0.33754534272637077</v>
      </c>
      <c r="F2" s="14">
        <f>B2-$M$2</f>
        <v>-7.4199844276817278E-2</v>
      </c>
      <c r="G2" s="17">
        <f>E2*F2</f>
        <v>2.5045811866661629E-2</v>
      </c>
      <c r="H2" s="15">
        <f>B2-($O$2+$N$2*A2)</f>
        <v>-2.1107453449982536E-2</v>
      </c>
      <c r="I2" s="18">
        <f>H2*H2</f>
        <v>4.4552459114317964E-4</v>
      </c>
      <c r="J2" s="23">
        <f>SQRT(4*$R$2+4*$Q$2*A2*A2)</f>
        <v>4.4652695755676645E-2</v>
      </c>
      <c r="K2" s="15"/>
      <c r="L2" s="15">
        <f>SUM(A:A)/COUNT(A:A)</f>
        <v>0.53074372468992181</v>
      </c>
      <c r="M2" s="15">
        <f>SUM(B:B)/COUNT(B:B)</f>
        <v>0.13435435635775361</v>
      </c>
      <c r="N2" s="15">
        <f>SUM(G:G)/SUM(C:C)</f>
        <v>0.15728965595556682</v>
      </c>
      <c r="O2" s="15">
        <f>M2-N2*L2</f>
        <v>5.087385850069974E-2</v>
      </c>
      <c r="P2" s="15">
        <f>SUM(C:C)</f>
        <v>0.45159514956049668</v>
      </c>
      <c r="Q2" s="15">
        <f>1/P2*SUM(I:I)/(COUNT(I:I)-2)</f>
        <v>1.1540876503331979E-3</v>
      </c>
      <c r="R2" s="15">
        <f>(1/COUNT(I:I)+L2*L2/P2)*SUM(I:I)/(COUNT(I:I)-2)</f>
        <v>4.5538877848817468E-4</v>
      </c>
    </row>
    <row r="3" spans="1:18" ht="16.8" thickTop="1" thickBot="1" x14ac:dyDescent="0.35">
      <c r="A3" s="13">
        <f>'Таблица 2'!D12</f>
        <v>0.30060098510807692</v>
      </c>
      <c r="B3" s="14">
        <f>'Таблица 2'!E12</f>
        <v>0.1096923582724135</v>
      </c>
      <c r="C3" s="15">
        <f t="shared" ref="C3:C5" si="0">(A3-$L$2)*(A3-$L$2)</f>
        <v>5.2965680582236878E-2</v>
      </c>
      <c r="D3" s="14">
        <f t="shared" ref="D3:D5" si="1">(B3-$M$2)*(B3-$M$2)</f>
        <v>6.0821414956131943E-4</v>
      </c>
      <c r="E3" s="19">
        <f>A3-$L$2</f>
        <v>-0.23014273958184489</v>
      </c>
      <c r="F3" s="14">
        <f>B3-$M$2</f>
        <v>-2.4661998085340114E-2</v>
      </c>
      <c r="G3" s="17">
        <f>E3*F3</f>
        <v>5.6757798029223872E-3</v>
      </c>
      <c r="H3" s="15">
        <f>B3-($O$2+$N$2*A3)</f>
        <v>1.1537074244159867E-2</v>
      </c>
      <c r="I3" s="14">
        <f>H3*H3</f>
        <v>1.3310408211525697E-4</v>
      </c>
      <c r="J3" s="17">
        <f t="shared" ref="J3:J5" si="2">SQRT(4*$R$2+4*$Q$2*A3*A3)</f>
        <v>4.7314828016167501E-2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2'!D18</f>
        <v>0.56603421911354446</v>
      </c>
      <c r="B4" s="14">
        <f>'Таблица 2'!E18</f>
        <v>0.15914610150394889</v>
      </c>
      <c r="C4" s="15">
        <f t="shared" si="0"/>
        <v>1.2454189966637408E-3</v>
      </c>
      <c r="D4" s="14">
        <f t="shared" si="1"/>
        <v>6.1463062739389738E-4</v>
      </c>
      <c r="E4" s="19">
        <f t="shared" ref="E4:E5" si="3">A4-$L$2</f>
        <v>3.5290494423622643E-2</v>
      </c>
      <c r="F4" s="14">
        <f t="shared" ref="F4:F5" si="4">B4-$M$2</f>
        <v>2.4791745146195282E-2</v>
      </c>
      <c r="G4" s="17">
        <f t="shared" ref="G4:G5" si="5">E4*F4</f>
        <v>8.7491294383367836E-4</v>
      </c>
      <c r="H4" s="15">
        <f t="shared" ref="H4:H5" si="6">B4-($O$2+$N$2*A4)</f>
        <v>1.9240915419801802E-2</v>
      </c>
      <c r="I4" s="14">
        <f t="shared" ref="I4:I5" si="7">H4*H4</f>
        <v>3.7021282619196675E-4</v>
      </c>
      <c r="J4" s="17">
        <f t="shared" si="2"/>
        <v>5.7450931687173801E-2</v>
      </c>
      <c r="K4" s="15"/>
      <c r="L4" s="15"/>
      <c r="M4" s="15"/>
      <c r="N4" s="15"/>
      <c r="O4" s="15"/>
      <c r="P4" s="15"/>
      <c r="Q4" s="15">
        <f>SQRT(Q2)</f>
        <v>3.3971865570398073E-2</v>
      </c>
      <c r="R4" s="15">
        <f>SQRT(R2)</f>
        <v>2.1339840170164694E-2</v>
      </c>
    </row>
    <row r="5" spans="1:18" ht="16.8" thickTop="1" thickBot="1" x14ac:dyDescent="0.35">
      <c r="A5" s="13">
        <f>'Таблица 2'!D24</f>
        <v>1.0631413125745148</v>
      </c>
      <c r="B5" s="14">
        <f>'Таблица 2'!E24</f>
        <v>0.20842445357371578</v>
      </c>
      <c r="C5" s="15">
        <f t="shared" si="0"/>
        <v>0.28344719158533294</v>
      </c>
      <c r="D5" s="14">
        <f t="shared" si="1"/>
        <v>5.4863793015820861E-3</v>
      </c>
      <c r="E5" s="19">
        <f t="shared" si="3"/>
        <v>0.53239758788459302</v>
      </c>
      <c r="F5" s="14">
        <f t="shared" si="4"/>
        <v>7.4070097215962166E-2</v>
      </c>
      <c r="G5" s="17">
        <f t="shared" si="5"/>
        <v>3.9434741092155563E-2</v>
      </c>
      <c r="H5" s="15">
        <f t="shared" si="6"/>
        <v>-9.6705362139791473E-3</v>
      </c>
      <c r="I5" s="14">
        <f t="shared" si="7"/>
        <v>9.3519270665882147E-5</v>
      </c>
      <c r="J5" s="17">
        <f t="shared" si="2"/>
        <v>8.3900388386757466E-2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6.7943731140796146E-2</v>
      </c>
      <c r="R6" s="15">
        <f>R4*2</f>
        <v>4.2679680340329387E-2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2'!D7</f>
        <v>0.17913994910434999</v>
      </c>
      <c r="B2" s="14">
        <f>'Таблица 2'!E7</f>
        <v>6.0156497736168671E-2</v>
      </c>
      <c r="C2" s="15">
        <f>(A2-$L$2)*(A2-$L$2)</f>
        <v>6.145643079183101E-2</v>
      </c>
      <c r="D2" s="14">
        <f>(B2-$M$2)*(B2-$M$2)</f>
        <v>5.5120723744169252E-3</v>
      </c>
      <c r="E2" s="16">
        <f>A2-$L$2</f>
        <v>-0.24790407578704915</v>
      </c>
      <c r="F2" s="14">
        <f>B2-$M$2</f>
        <v>-7.4243332188264052E-2</v>
      </c>
      <c r="G2" s="17">
        <f>E2*F2</f>
        <v>1.8405224649482476E-2</v>
      </c>
      <c r="H2" s="15">
        <f>B2-($O$2+$N$2*A2)</f>
        <v>-1.5609983810070463E-2</v>
      </c>
      <c r="I2" s="18">
        <f>H2*H2</f>
        <v>2.4367159455066198E-4</v>
      </c>
      <c r="J2" s="23">
        <f>SQRT(4*$R$2+4*$Q$2*A2*A2)</f>
        <v>3.6906705038267013E-2</v>
      </c>
      <c r="K2" s="15"/>
      <c r="L2" s="15">
        <f>SUM(A:A)/COUNT(A:A)</f>
        <v>0.42704402489139914</v>
      </c>
      <c r="M2" s="15">
        <f>SUM(B:B)/COUNT(B:B)</f>
        <v>0.13439982992443272</v>
      </c>
      <c r="N2" s="15">
        <f>SUM(G:G)/SUM(C:C)</f>
        <v>0.23651627425666016</v>
      </c>
      <c r="O2" s="15">
        <f>M2-N2*L2</f>
        <v>3.3396968213550551E-2</v>
      </c>
      <c r="P2" s="15">
        <f>SUM(C:C)</f>
        <v>0.20920332367832251</v>
      </c>
      <c r="Q2" s="15">
        <f>1/P2*SUM(I:I)/(COUNT(I:I)-2)</f>
        <v>1.2765334693338533E-3</v>
      </c>
      <c r="R2" s="15">
        <f>(1/COUNT(I:I)+L2*L2/P2)*SUM(I:I)/(COUNT(I:I)-2)</f>
        <v>2.9956082870439443E-4</v>
      </c>
    </row>
    <row r="3" spans="1:18" ht="16.8" thickTop="1" thickBot="1" x14ac:dyDescent="0.35">
      <c r="A3" s="13">
        <f>'Таблица 2'!D13</f>
        <v>0.25766324065965696</v>
      </c>
      <c r="B3" s="14">
        <f>'Таблица 2'!E13</f>
        <v>0.10970342002295154</v>
      </c>
      <c r="C3" s="15">
        <f t="shared" ref="C3:C5" si="0">(A3-$L$2)*(A3-$L$2)</f>
        <v>2.8689850066960003E-2</v>
      </c>
      <c r="D3" s="14">
        <f t="shared" ref="D3:D5" si="1">(B3-$M$2)*(B3-$M$2)</f>
        <v>6.0991266202197782E-4</v>
      </c>
      <c r="E3" s="19">
        <f>A3-$L$2</f>
        <v>-0.16938078423174219</v>
      </c>
      <c r="F3" s="14">
        <f>B3-$M$2</f>
        <v>-2.4696409901481184E-2</v>
      </c>
      <c r="G3" s="17">
        <f>E3*F3</f>
        <v>4.1830972768214453E-3</v>
      </c>
      <c r="H3" s="15">
        <f>B3-($O$2+$N$2*A3)</f>
        <v>1.5364902115681742E-2</v>
      </c>
      <c r="I3" s="14">
        <f>H3*H3</f>
        <v>2.3608021702448126E-4</v>
      </c>
      <c r="J3" s="17">
        <f t="shared" ref="J3:J5" si="2">SQRT(4*$R$2+4*$Q$2*A3*A3)</f>
        <v>3.9207668988969116E-2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2'!D19</f>
        <v>0.5092077697022992</v>
      </c>
      <c r="B4" s="14">
        <f>'Таблица 2'!E19</f>
        <v>0.15916735476650803</v>
      </c>
      <c r="C4" s="15">
        <f t="shared" si="0"/>
        <v>6.7508809613507055E-3</v>
      </c>
      <c r="D4" s="14">
        <f t="shared" si="1"/>
        <v>6.134302868028177E-4</v>
      </c>
      <c r="E4" s="19">
        <f t="shared" ref="E4:E5" si="3">A4-$L$2</f>
        <v>8.2163744810900052E-2</v>
      </c>
      <c r="F4" s="14">
        <f t="shared" ref="F4:F5" si="4">B4-$M$2</f>
        <v>2.4767524842075311E-2</v>
      </c>
      <c r="G4" s="17">
        <f t="shared" ref="G4:G5" si="5">E4*F4</f>
        <v>2.0349925907219035E-3</v>
      </c>
      <c r="H4" s="15">
        <f t="shared" ref="H4:H5" si="6">B4-($O$2+$N$2*A4)</f>
        <v>5.33446204042623E-3</v>
      </c>
      <c r="I4" s="14">
        <f t="shared" ref="I4:I5" si="7">H4*H4</f>
        <v>2.8456485260748376E-5</v>
      </c>
      <c r="J4" s="17">
        <f t="shared" si="2"/>
        <v>5.0221766221713544E-2</v>
      </c>
      <c r="K4" s="15"/>
      <c r="L4" s="15"/>
      <c r="M4" s="15"/>
      <c r="N4" s="15"/>
      <c r="O4" s="15"/>
      <c r="P4" s="15"/>
      <c r="Q4" s="15">
        <f>SQRT(Q2)</f>
        <v>3.5728608555803752E-2</v>
      </c>
      <c r="R4" s="15">
        <f>SQRT(R2)</f>
        <v>1.7307825649237239E-2</v>
      </c>
    </row>
    <row r="5" spans="1:18" ht="16.8" thickTop="1" thickBot="1" x14ac:dyDescent="0.35">
      <c r="A5" s="13">
        <f>'Таблица 2'!D25</f>
        <v>0.76216514009929048</v>
      </c>
      <c r="B5" s="14">
        <f>'Таблица 2'!E25</f>
        <v>0.20857204717210268</v>
      </c>
      <c r="C5" s="15">
        <f t="shared" si="0"/>
        <v>0.11230616185818078</v>
      </c>
      <c r="D5" s="14">
        <f t="shared" si="1"/>
        <v>5.5015178114355481E-3</v>
      </c>
      <c r="E5" s="19">
        <f t="shared" si="3"/>
        <v>0.33512111520789134</v>
      </c>
      <c r="F5" s="14">
        <f t="shared" si="4"/>
        <v>7.4172217247669953E-2</v>
      </c>
      <c r="G5" s="17">
        <f t="shared" si="5"/>
        <v>2.4856676161481149E-2</v>
      </c>
      <c r="H5" s="15">
        <f t="shared" si="6"/>
        <v>-5.0893803460374809E-3</v>
      </c>
      <c r="I5" s="14">
        <f t="shared" si="7"/>
        <v>2.5901792306632589E-5</v>
      </c>
      <c r="J5" s="17">
        <f t="shared" si="2"/>
        <v>6.4531965193863103E-2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7.1457217111607504E-2</v>
      </c>
      <c r="R6" s="15">
        <f>R4*2</f>
        <v>3.4615651298474479E-2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2'!D8</f>
        <v>0.15515915800356028</v>
      </c>
      <c r="B2" s="14">
        <f>'Таблица 2'!E8</f>
        <v>6.0159884855046114E-2</v>
      </c>
      <c r="C2" s="15">
        <f>(A2-$L$2)*(A2-$L$2)</f>
        <v>4.5055870557869124E-2</v>
      </c>
      <c r="D2" s="14">
        <f>(B2-$M$2)*(B2-$M$2)</f>
        <v>5.5149227246491109E-3</v>
      </c>
      <c r="E2" s="16">
        <f>A2-$L$2</f>
        <v>-0.21226368167415999</v>
      </c>
      <c r="F2" s="14">
        <f>B2-$M$2</f>
        <v>-7.4262525708792798E-2</v>
      </c>
      <c r="G2" s="17">
        <f>E2*F2</f>
        <v>1.5763237117370318E-2</v>
      </c>
      <c r="H2" s="15">
        <f>B2-($O$2+$N$2*A2)</f>
        <v>-1.809492391957071E-2</v>
      </c>
      <c r="I2" s="18">
        <f>H2*H2</f>
        <v>3.274262716550522E-4</v>
      </c>
      <c r="J2" s="23">
        <f>SQRT(4*$R$2+4*$Q$2*A2*A2)</f>
        <v>4.5282131287772989E-2</v>
      </c>
      <c r="K2" s="15"/>
      <c r="L2" s="15">
        <f>SUM(A:A)/COUNT(A:A)</f>
        <v>0.36742283967772027</v>
      </c>
      <c r="M2" s="15">
        <f>SUM(B:B)/COUNT(B:B)</f>
        <v>0.13442241056383891</v>
      </c>
      <c r="N2" s="15">
        <f>SUM(G:G)/SUM(C:C)</f>
        <v>0.26461239787333662</v>
      </c>
      <c r="O2" s="15">
        <f>M2-N2*L2</f>
        <v>3.7197771923286826E-2</v>
      </c>
      <c r="P2" s="15">
        <f>SUM(C:C)</f>
        <v>0.16292556776128891</v>
      </c>
      <c r="Q2" s="15">
        <f>1/P2*SUM(I:I)/(COUNT(I:I)-2)</f>
        <v>2.5655868743636344E-3</v>
      </c>
      <c r="R2" s="15">
        <f>(1/COUNT(I:I)+L2*L2/P2)*SUM(I:I)/(COUNT(I:I)-2)</f>
        <v>4.5085298040230297E-4</v>
      </c>
    </row>
    <row r="3" spans="1:18" ht="16.8" thickTop="1" thickBot="1" x14ac:dyDescent="0.35">
      <c r="A3" s="13">
        <f>'Таблица 2'!D14</f>
        <v>0.23717842248294227</v>
      </c>
      <c r="B3" s="14">
        <f>'Таблица 2'!E14</f>
        <v>0.10970869738326468</v>
      </c>
      <c r="C3" s="15">
        <f t="shared" ref="C3:C5" si="0">(A3-$L$2)*(A3-$L$2)</f>
        <v>1.6963608210407384E-2</v>
      </c>
      <c r="D3" s="14">
        <f t="shared" ref="D3:D5" si="1">(B3-$M$2)*(B3-$M$2)</f>
        <v>6.1076761917168865E-4</v>
      </c>
      <c r="E3" s="19">
        <f>A3-$L$2</f>
        <v>-0.130244417194778</v>
      </c>
      <c r="F3" s="14">
        <f>B3-$M$2</f>
        <v>-2.4713713180574234E-2</v>
      </c>
      <c r="G3" s="17">
        <f>E3*F3</f>
        <v>3.2188231699227946E-3</v>
      </c>
      <c r="H3" s="15">
        <f>B3-($O$2+$N$2*A3)</f>
        <v>9.7505743629512087E-3</v>
      </c>
      <c r="I3" s="14">
        <f>H3*H3</f>
        <v>9.5073700407441371E-5</v>
      </c>
      <c r="J3" s="17">
        <f t="shared" ref="J3:J5" si="2">SQRT(4*$R$2+4*$Q$2*A3*A3)</f>
        <v>4.8792478465234629E-2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2'!D20</f>
        <v>0.39333214359724944</v>
      </c>
      <c r="B4" s="14">
        <f>'Таблица 2'!E20</f>
        <v>0.15921069259829823</v>
      </c>
      <c r="C4" s="15">
        <f t="shared" si="0"/>
        <v>6.7129202959452961E-4</v>
      </c>
      <c r="D4" s="14">
        <f t="shared" si="1"/>
        <v>6.1445892621989865E-4</v>
      </c>
      <c r="E4" s="19">
        <f t="shared" ref="E4:E5" si="3">A4-$L$2</f>
        <v>2.590930391952917E-2</v>
      </c>
      <c r="F4" s="14">
        <f t="shared" ref="F4:F5" si="4">B4-$M$2</f>
        <v>2.4788282034459319E-2</v>
      </c>
      <c r="G4" s="17">
        <f t="shared" ref="G4:G5" si="5">E4*F4</f>
        <v>6.4224713287381132E-4</v>
      </c>
      <c r="H4" s="15">
        <f t="shared" ref="H4:H5" si="6">B4-($O$2+$N$2*A4)</f>
        <v>1.7932358997083675E-2</v>
      </c>
      <c r="I4" s="14">
        <f t="shared" ref="I4:I5" si="7">H4*H4</f>
        <v>3.2156949920028783E-4</v>
      </c>
      <c r="J4" s="17">
        <f t="shared" si="2"/>
        <v>5.8233164955790409E-2</v>
      </c>
      <c r="K4" s="15"/>
      <c r="L4" s="15"/>
      <c r="M4" s="15"/>
      <c r="N4" s="15"/>
      <c r="O4" s="15"/>
      <c r="P4" s="15"/>
      <c r="Q4" s="15">
        <f>SQRT(Q2)</f>
        <v>5.0651622623205612E-2</v>
      </c>
      <c r="R4" s="15">
        <f>SQRT(R2)</f>
        <v>2.1233298858215673E-2</v>
      </c>
    </row>
    <row r="5" spans="1:18" ht="16.8" thickTop="1" thickBot="1" x14ac:dyDescent="0.35">
      <c r="A5" s="13">
        <f>'Таблица 2'!D26</f>
        <v>0.68402163462712917</v>
      </c>
      <c r="B5" s="14">
        <f>'Таблица 2'!E26</f>
        <v>0.20861036741874664</v>
      </c>
      <c r="C5" s="15">
        <f t="shared" si="0"/>
        <v>0.10023479696341786</v>
      </c>
      <c r="D5" s="14">
        <f t="shared" si="1"/>
        <v>5.5038529423056502E-3</v>
      </c>
      <c r="E5" s="19">
        <f t="shared" si="3"/>
        <v>0.3165987949494089</v>
      </c>
      <c r="F5" s="14">
        <f t="shared" si="4"/>
        <v>7.4187956854907727E-2</v>
      </c>
      <c r="G5" s="17">
        <f t="shared" si="5"/>
        <v>2.3487817740022527E-2</v>
      </c>
      <c r="H5" s="15">
        <f t="shared" si="6"/>
        <v>-9.5880094404641736E-3</v>
      </c>
      <c r="I5" s="14">
        <f t="shared" si="7"/>
        <v>9.192992503043011E-5</v>
      </c>
      <c r="J5" s="17">
        <f t="shared" si="2"/>
        <v>8.127125262577109E-2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0.10130324524641122</v>
      </c>
      <c r="R6" s="15">
        <f>R4*2</f>
        <v>4.2466597716431347E-2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R9"/>
  <sheetViews>
    <sheetView workbookViewId="0">
      <selection activeCell="A2" sqref="A2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4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3'!B3</f>
        <v>5.9290000000000002E-3</v>
      </c>
      <c r="B2" s="14">
        <f>'Таблица 3'!B4</f>
        <v>2.3126853283830909E-2</v>
      </c>
      <c r="C2" s="15">
        <f>(A2-$L$2)*(A2-$L$2)</f>
        <v>2.3575043402777784E-4</v>
      </c>
      <c r="D2" s="14">
        <f>(B2-$M$2)*(B2-$M$2)</f>
        <v>1.3005152422830898E-2</v>
      </c>
      <c r="E2" s="16">
        <f>A2-$L$2</f>
        <v>-1.5354166666666669E-2</v>
      </c>
      <c r="F2" s="14">
        <f>B2-$M$2</f>
        <v>-0.11404013514035705</v>
      </c>
      <c r="G2" s="17">
        <f>E2*F2</f>
        <v>1.7509912416342323E-3</v>
      </c>
      <c r="H2" s="15">
        <f>B2-($O$2+$N$2*A2)</f>
        <v>3.4838438974116974E-3</v>
      </c>
      <c r="I2" s="18">
        <f>H2*H2</f>
        <v>1.2137168301532725E-5</v>
      </c>
      <c r="J2" s="23">
        <f>SQRT(4*$R$2+4*$Q$2*A2*A2)</f>
        <v>4.4674003557706093E-2</v>
      </c>
      <c r="K2" s="15"/>
      <c r="L2" s="15">
        <f>SUM(A:A)/COUNT(A:A)</f>
        <v>2.1283166666666669E-2</v>
      </c>
      <c r="M2" s="15">
        <f>SUM(B:B)/COUNT(B:B)</f>
        <v>0.13716698842418795</v>
      </c>
      <c r="N2" s="15">
        <f>SUM(G:G)/SUM(C:C)</f>
        <v>7.6542075899767958</v>
      </c>
      <c r="O2" s="15">
        <f>M2-N2*L2</f>
        <v>-2.573878741455321E-2</v>
      </c>
      <c r="P2" s="15">
        <f>SUM(C:C)</f>
        <v>8.6596927083333294E-4</v>
      </c>
      <c r="Q2" s="15">
        <f>1/P2*SUM(I:I)/(COUNT(I:I)-2)</f>
        <v>0.78889738127633469</v>
      </c>
      <c r="R2" s="15">
        <f>(1/COUNT(I:I)+L2*L2/P2)*SUM(I:I)/(COUNT(I:I)-2)</f>
        <v>4.7120950647968447E-4</v>
      </c>
    </row>
    <row r="3" spans="1:18" ht="16.8" thickTop="1" thickBot="1" x14ac:dyDescent="0.35">
      <c r="A3" s="13">
        <f>'Таблица 3'!C3</f>
        <v>1.0404000000000002E-2</v>
      </c>
      <c r="B3" s="14">
        <f>'Таблица 3'!C4</f>
        <v>2.0150576507185301E-2</v>
      </c>
      <c r="C3" s="15">
        <f>(A3-$L$2)*(A3-$L$2)</f>
        <v>1.1835626736111112E-4</v>
      </c>
      <c r="D3" s="14">
        <f>(B3-$M$2)*(B3-$M$2)</f>
        <v>1.3692840657929641E-2</v>
      </c>
      <c r="E3" s="19">
        <f>A3-$L$2</f>
        <v>-1.0879166666666667E-2</v>
      </c>
      <c r="F3" s="14">
        <f>B3-$M$2</f>
        <v>-0.11701641191700266</v>
      </c>
      <c r="G3" s="17">
        <f>E3*F3</f>
        <v>1.2730410479803915E-3</v>
      </c>
      <c r="H3" s="15">
        <f>B3-($O$2+$N$2*A3)</f>
        <v>-3.3745011844380085E-2</v>
      </c>
      <c r="I3" s="14">
        <f>H3*H3</f>
        <v>1.1387258243773521E-3</v>
      </c>
      <c r="J3" s="17">
        <f t="shared" ref="J3:J7" si="0">SQRT(4*$R$2+4*$Q$2*A3*A3)</f>
        <v>4.7184840621666328E-2</v>
      </c>
      <c r="K3" s="24"/>
      <c r="L3" s="15"/>
      <c r="M3" s="15"/>
      <c r="N3" s="30" t="s">
        <v>57</v>
      </c>
      <c r="O3" s="30" t="s">
        <v>56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3'!D3</f>
        <v>1.6129000000000001E-2</v>
      </c>
      <c r="B4" s="14">
        <f>'Таблица 3'!D4</f>
        <v>0.12130617266854798</v>
      </c>
      <c r="C4" s="15">
        <f t="shared" ref="C4:C7" si="1">(A4-$L$2)*(A4-$L$2)</f>
        <v>2.6565434027777793E-5</v>
      </c>
      <c r="D4" s="14">
        <f t="shared" ref="D4:D7" si="2">(B4-$M$2)*(B4-$M$2)</f>
        <v>2.5156547643435706E-4</v>
      </c>
      <c r="E4" s="19">
        <f t="shared" ref="E4:E7" si="3">A4-$L$2</f>
        <v>-5.154166666666668E-3</v>
      </c>
      <c r="F4" s="14">
        <f t="shared" ref="F4:F7" si="4">B4-$M$2</f>
        <v>-1.5860815755639968E-2</v>
      </c>
      <c r="G4" s="17">
        <f t="shared" ref="G4:G7" si="5">E4*F4</f>
        <v>8.1749287873861026E-5</v>
      </c>
      <c r="H4" s="15">
        <f t="shared" ref="H4:H7" si="6">B4-($O$2+$N$2*A4)</f>
        <v>2.359024586436545E-2</v>
      </c>
      <c r="I4" s="14">
        <f t="shared" ref="I4:I7" si="7">H4*H4</f>
        <v>5.5649969994121123E-4</v>
      </c>
      <c r="J4" s="17">
        <f t="shared" si="0"/>
        <v>5.2016802382217106E-2</v>
      </c>
      <c r="K4" s="15"/>
      <c r="L4" s="15"/>
      <c r="M4" s="15"/>
      <c r="N4" s="15"/>
      <c r="O4" s="15"/>
      <c r="P4" s="15"/>
      <c r="Q4" s="15">
        <f>SQRT(Q2)</f>
        <v>0.88819895365640611</v>
      </c>
      <c r="R4" s="15">
        <f>SQRT(R2)</f>
        <v>2.1707360652084916E-2</v>
      </c>
    </row>
    <row r="5" spans="1:18" ht="16.8" thickTop="1" thickBot="1" x14ac:dyDescent="0.35">
      <c r="A5" s="13">
        <f>'Таблица 3'!E3</f>
        <v>2.3104E-2</v>
      </c>
      <c r="B5" s="14">
        <f>'Таблица 3'!E4</f>
        <v>0.15728965595556682</v>
      </c>
      <c r="C5" s="15">
        <f t="shared" si="1"/>
        <v>3.3154340277777676E-6</v>
      </c>
      <c r="D5" s="14">
        <f t="shared" si="2"/>
        <v>4.0492174857840931E-4</v>
      </c>
      <c r="E5" s="19">
        <f t="shared" si="3"/>
        <v>1.8208333333333306E-3</v>
      </c>
      <c r="F5" s="14">
        <f t="shared" si="4"/>
        <v>2.0122667531378868E-2</v>
      </c>
      <c r="G5" s="17">
        <f t="shared" si="5"/>
        <v>3.6640023796718964E-5</v>
      </c>
      <c r="H5" s="15">
        <f t="shared" si="6"/>
        <v>6.1856312112961442E-3</v>
      </c>
      <c r="I5" s="14">
        <f t="shared" si="7"/>
        <v>3.8262033482161007E-5</v>
      </c>
      <c r="J5" s="17">
        <f t="shared" si="0"/>
        <v>5.9743412656491843E-2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>
        <f>'Таблица 3'!F3</f>
        <v>3.1328999999999996E-2</v>
      </c>
      <c r="B6" s="14">
        <f>'Таблица 3'!F4</f>
        <v>0.23651627425666016</v>
      </c>
      <c r="C6" s="15">
        <f t="shared" si="1"/>
        <v>1.0091876736111099E-4</v>
      </c>
      <c r="D6" s="14">
        <f t="shared" si="2"/>
        <v>9.870280595422264E-3</v>
      </c>
      <c r="E6" s="19">
        <f t="shared" si="3"/>
        <v>1.0045833333333327E-2</v>
      </c>
      <c r="F6" s="14">
        <f t="shared" si="4"/>
        <v>9.9349285832472212E-2</v>
      </c>
      <c r="G6" s="17">
        <f t="shared" si="5"/>
        <v>9.9804636725870982E-4</v>
      </c>
      <c r="H6" s="15">
        <f t="shared" si="6"/>
        <v>2.2456392084830357E-2</v>
      </c>
      <c r="I6" s="14">
        <f t="shared" si="7"/>
        <v>5.0428954546763145E-4</v>
      </c>
      <c r="J6" s="17">
        <f t="shared" si="0"/>
        <v>7.0583771781081897E-2</v>
      </c>
      <c r="K6" s="15"/>
      <c r="L6" s="15"/>
      <c r="M6" s="15"/>
      <c r="N6" s="15"/>
      <c r="O6" s="15"/>
      <c r="P6" s="15"/>
      <c r="Q6" s="15">
        <f>Q4*2</f>
        <v>1.7763979073128122</v>
      </c>
      <c r="R6" s="15">
        <f>R4*2</f>
        <v>4.3414721304169832E-2</v>
      </c>
    </row>
    <row r="7" spans="1:18" x14ac:dyDescent="0.3">
      <c r="A7" s="13">
        <f>'Таблица 3'!G3</f>
        <v>4.0803999999999993E-2</v>
      </c>
      <c r="B7" s="14">
        <f>'Таблица 3'!G4</f>
        <v>0.26461239787333662</v>
      </c>
      <c r="C7" s="15">
        <f t="shared" si="1"/>
        <v>3.8106293402777742E-4</v>
      </c>
      <c r="D7" s="14">
        <f t="shared" si="2"/>
        <v>1.6242332389661152E-2</v>
      </c>
      <c r="E7" s="19">
        <f t="shared" si="3"/>
        <v>1.9520833333333324E-2</v>
      </c>
      <c r="F7" s="14">
        <f t="shared" si="4"/>
        <v>0.12744540944914867</v>
      </c>
      <c r="G7" s="17">
        <f t="shared" si="5"/>
        <v>2.487840596955255E-3</v>
      </c>
      <c r="H7" s="15">
        <f t="shared" si="6"/>
        <v>-2.1971101213523303E-2</v>
      </c>
      <c r="I7" s="14">
        <f t="shared" si="7"/>
        <v>4.8272928853488516E-4</v>
      </c>
      <c r="J7" s="17">
        <f t="shared" si="0"/>
        <v>8.449135226696583E-2</v>
      </c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9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75</v>
      </c>
    </row>
    <row r="3" spans="1:1" x14ac:dyDescent="0.3">
      <c r="A3" t="s">
        <v>76</v>
      </c>
    </row>
    <row r="5" spans="1:1" x14ac:dyDescent="0.3">
      <c r="A5" t="s">
        <v>74</v>
      </c>
    </row>
    <row r="7" spans="1:1" x14ac:dyDescent="0.3">
      <c r="A7" t="s">
        <v>73</v>
      </c>
    </row>
    <row r="9" spans="1:1" x14ac:dyDescent="0.3">
      <c r="A9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G18"/>
  <sheetViews>
    <sheetView workbookViewId="0">
      <selection activeCell="H17" sqref="H17"/>
    </sheetView>
  </sheetViews>
  <sheetFormatPr defaultRowHeight="14.4" x14ac:dyDescent="0.3"/>
  <cols>
    <col min="1" max="1" width="13.44140625" bestFit="1" customWidth="1"/>
  </cols>
  <sheetData>
    <row r="1" spans="1:7" x14ac:dyDescent="0.3">
      <c r="A1" s="46" t="s">
        <v>0</v>
      </c>
      <c r="B1" s="46" t="s">
        <v>1</v>
      </c>
      <c r="C1" s="46"/>
      <c r="D1" s="46"/>
      <c r="E1" s="46"/>
      <c r="F1" s="46"/>
      <c r="G1" s="46"/>
    </row>
    <row r="2" spans="1:7" x14ac:dyDescent="0.3">
      <c r="A2" s="46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3">
      <c r="A3" s="45">
        <f>0.047+0.22</f>
        <v>0.26700000000000002</v>
      </c>
      <c r="B3" s="12">
        <v>5.19</v>
      </c>
      <c r="C3" s="12">
        <v>12.18</v>
      </c>
      <c r="D3" s="12">
        <v>11.53</v>
      </c>
      <c r="E3" s="12">
        <v>17.77</v>
      </c>
      <c r="F3" s="12">
        <v>18.57</v>
      </c>
      <c r="G3" s="12">
        <v>19.510000000000002</v>
      </c>
    </row>
    <row r="4" spans="1:7" x14ac:dyDescent="0.3">
      <c r="A4" s="45"/>
      <c r="B4" s="12">
        <v>4.49</v>
      </c>
      <c r="C4" s="12">
        <v>11.2</v>
      </c>
      <c r="D4" s="12">
        <v>14.76</v>
      </c>
      <c r="E4" s="12">
        <v>17.53</v>
      </c>
      <c r="F4" s="12">
        <v>18.8</v>
      </c>
      <c r="G4" s="12">
        <v>20.13</v>
      </c>
    </row>
    <row r="5" spans="1:7" x14ac:dyDescent="0.3">
      <c r="A5" s="45"/>
      <c r="B5" s="12">
        <v>4.8499999999999996</v>
      </c>
      <c r="C5" s="12">
        <v>10.95</v>
      </c>
      <c r="D5" s="12">
        <v>14.03</v>
      </c>
      <c r="E5" s="12">
        <v>17.95</v>
      </c>
      <c r="F5" s="12">
        <v>17.93</v>
      </c>
      <c r="G5" s="12">
        <v>19.78</v>
      </c>
    </row>
    <row r="6" spans="1:7" x14ac:dyDescent="0.3">
      <c r="A6" s="45"/>
      <c r="B6" s="12">
        <f>SUM(B3:B5)/3</f>
        <v>4.8433333333333328</v>
      </c>
      <c r="C6" s="12">
        <f t="shared" ref="C6:G6" si="0">SUM(C3:C5)/3</f>
        <v>11.443333333333333</v>
      </c>
      <c r="D6" s="12">
        <f t="shared" si="0"/>
        <v>13.44</v>
      </c>
      <c r="E6" s="12">
        <f t="shared" si="0"/>
        <v>17.75</v>
      </c>
      <c r="F6" s="12">
        <f t="shared" si="0"/>
        <v>18.433333333333334</v>
      </c>
      <c r="G6" s="12">
        <f t="shared" si="0"/>
        <v>19.806666666666668</v>
      </c>
    </row>
    <row r="7" spans="1:7" x14ac:dyDescent="0.3">
      <c r="A7" s="45">
        <f>0.047+0.22*2</f>
        <v>0.48699999999999999</v>
      </c>
      <c r="B7" s="12">
        <v>3.48</v>
      </c>
      <c r="C7" s="12">
        <v>7.59</v>
      </c>
      <c r="D7" s="12">
        <v>8.9600000000000009</v>
      </c>
      <c r="E7" s="12">
        <v>14.42</v>
      </c>
      <c r="F7" s="12">
        <v>14.91</v>
      </c>
      <c r="G7" s="12">
        <v>15.47</v>
      </c>
    </row>
    <row r="8" spans="1:7" x14ac:dyDescent="0.3">
      <c r="A8" s="45"/>
      <c r="B8" s="12">
        <v>3.39</v>
      </c>
      <c r="C8" s="12">
        <v>7.32</v>
      </c>
      <c r="D8" s="12">
        <v>9.2200000000000006</v>
      </c>
      <c r="E8" s="12">
        <v>13.98</v>
      </c>
      <c r="F8" s="12">
        <v>15.44</v>
      </c>
      <c r="G8" s="12">
        <v>16.309999999999999</v>
      </c>
    </row>
    <row r="9" spans="1:7" x14ac:dyDescent="0.3">
      <c r="A9" s="45"/>
      <c r="B9" s="12">
        <v>3.5</v>
      </c>
      <c r="C9" s="12">
        <v>7.45</v>
      </c>
      <c r="D9" s="12">
        <v>8.65</v>
      </c>
      <c r="E9" s="12">
        <v>14.29</v>
      </c>
      <c r="F9" s="12">
        <v>15.76</v>
      </c>
      <c r="G9" s="12">
        <v>16.28</v>
      </c>
    </row>
    <row r="10" spans="1:7" x14ac:dyDescent="0.3">
      <c r="A10" s="45"/>
      <c r="B10" s="12">
        <f>SUM(B7:B9)/3</f>
        <v>3.456666666666667</v>
      </c>
      <c r="C10" s="12">
        <f t="shared" ref="C10:G10" si="1">SUM(C7:C9)/3</f>
        <v>7.4533333333333331</v>
      </c>
      <c r="D10" s="12">
        <f t="shared" si="1"/>
        <v>8.9433333333333334</v>
      </c>
      <c r="E10" s="12">
        <f t="shared" si="1"/>
        <v>14.229999999999999</v>
      </c>
      <c r="F10" s="12">
        <f t="shared" si="1"/>
        <v>15.37</v>
      </c>
      <c r="G10" s="12">
        <f t="shared" si="1"/>
        <v>16.02</v>
      </c>
    </row>
    <row r="11" spans="1:7" x14ac:dyDescent="0.3">
      <c r="A11" s="45">
        <f>0.047+0.22*3</f>
        <v>0.70700000000000007</v>
      </c>
      <c r="B11" s="12">
        <v>3.12</v>
      </c>
      <c r="C11" s="12">
        <v>3.31</v>
      </c>
      <c r="D11" s="12">
        <v>8.14</v>
      </c>
      <c r="E11" s="12">
        <v>10.15</v>
      </c>
      <c r="F11" s="12">
        <v>10.64</v>
      </c>
      <c r="G11" s="12">
        <v>12.61</v>
      </c>
    </row>
    <row r="12" spans="1:7" x14ac:dyDescent="0.3">
      <c r="A12" s="45"/>
      <c r="B12" s="12">
        <v>2.87</v>
      </c>
      <c r="C12" s="12">
        <v>3.49</v>
      </c>
      <c r="D12" s="12">
        <v>7.48</v>
      </c>
      <c r="E12" s="12">
        <v>10.57</v>
      </c>
      <c r="F12" s="12">
        <v>10.81</v>
      </c>
      <c r="G12" s="12">
        <v>12.39</v>
      </c>
    </row>
    <row r="13" spans="1:7" x14ac:dyDescent="0.3">
      <c r="A13" s="45"/>
      <c r="B13" s="12">
        <v>2.91</v>
      </c>
      <c r="C13" s="12">
        <v>3.43</v>
      </c>
      <c r="D13" s="12">
        <v>7.2</v>
      </c>
      <c r="E13" s="12">
        <v>10.39</v>
      </c>
      <c r="F13" s="12">
        <v>11.35</v>
      </c>
      <c r="G13" s="12">
        <v>12.32</v>
      </c>
    </row>
    <row r="14" spans="1:7" x14ac:dyDescent="0.3">
      <c r="A14" s="45"/>
      <c r="B14" s="12">
        <f>SUM(B11:B13)/3</f>
        <v>2.9666666666666668</v>
      </c>
      <c r="C14" s="12">
        <f t="shared" ref="C14" si="2">SUM(C11:C13)/3</f>
        <v>3.41</v>
      </c>
      <c r="D14" s="12">
        <f t="shared" ref="D14" si="3">SUM(D11:D13)/3</f>
        <v>7.6066666666666665</v>
      </c>
      <c r="E14" s="12">
        <f t="shared" ref="E14" si="4">SUM(E11:E13)/3</f>
        <v>10.37</v>
      </c>
      <c r="F14" s="12">
        <f t="shared" ref="F14" si="5">SUM(F11:F13)/3</f>
        <v>10.933333333333335</v>
      </c>
      <c r="G14" s="12">
        <f t="shared" ref="G14" si="6">SUM(G11:G13)/3</f>
        <v>12.44</v>
      </c>
    </row>
    <row r="15" spans="1:7" x14ac:dyDescent="0.3">
      <c r="A15" s="45">
        <f>0.047+0.22*4</f>
        <v>0.92700000000000005</v>
      </c>
      <c r="B15" s="12">
        <v>2.72</v>
      </c>
      <c r="C15" s="12">
        <v>3.19</v>
      </c>
      <c r="D15" s="12">
        <v>6.75</v>
      </c>
      <c r="E15" s="12">
        <v>7.03</v>
      </c>
      <c r="F15" s="12">
        <v>9.8000000000000007</v>
      </c>
      <c r="G15" s="12">
        <v>9.1999999999999993</v>
      </c>
    </row>
    <row r="16" spans="1:7" x14ac:dyDescent="0.3">
      <c r="A16" s="45"/>
      <c r="B16" s="12">
        <v>2.46</v>
      </c>
      <c r="C16" s="12">
        <v>2.86</v>
      </c>
      <c r="D16" s="12">
        <v>6.04</v>
      </c>
      <c r="E16" s="12">
        <v>7.56</v>
      </c>
      <c r="F16" s="12">
        <v>8.32</v>
      </c>
      <c r="G16" s="12">
        <v>8.9700000000000006</v>
      </c>
    </row>
    <row r="17" spans="1:7" x14ac:dyDescent="0.3">
      <c r="A17" s="45"/>
      <c r="B17" s="12">
        <v>2.66</v>
      </c>
      <c r="C17" s="12">
        <v>3.17</v>
      </c>
      <c r="D17" s="12">
        <v>5.83</v>
      </c>
      <c r="E17" s="12">
        <v>8.11</v>
      </c>
      <c r="F17" s="12">
        <v>8.69</v>
      </c>
      <c r="G17" s="12">
        <v>10.130000000000001</v>
      </c>
    </row>
    <row r="18" spans="1:7" x14ac:dyDescent="0.3">
      <c r="A18" s="45"/>
      <c r="B18" s="12">
        <f>SUM(B15:B17)/3</f>
        <v>2.6133333333333333</v>
      </c>
      <c r="C18" s="12">
        <f t="shared" ref="C18" si="7">SUM(C15:C17)/3</f>
        <v>3.0733333333333328</v>
      </c>
      <c r="D18" s="12">
        <f t="shared" ref="D18" si="8">SUM(D15:D17)/3</f>
        <v>6.2066666666666661</v>
      </c>
      <c r="E18" s="12">
        <f t="shared" ref="E18" si="9">SUM(E15:E17)/3</f>
        <v>7.5666666666666664</v>
      </c>
      <c r="F18" s="12">
        <f t="shared" ref="F18" si="10">SUM(F15:F17)/3</f>
        <v>8.9366666666666674</v>
      </c>
      <c r="G18" s="12">
        <f t="shared" ref="G18" si="11">SUM(G15:G17)/3</f>
        <v>9.4333333333333353</v>
      </c>
    </row>
  </sheetData>
  <mergeCells count="6">
    <mergeCell ref="A15:A18"/>
    <mergeCell ref="A1:A2"/>
    <mergeCell ref="B1:G1"/>
    <mergeCell ref="A3:A6"/>
    <mergeCell ref="A7:A10"/>
    <mergeCell ref="A11:A1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E26"/>
  <sheetViews>
    <sheetView workbookViewId="0">
      <selection activeCell="E3" sqref="E3"/>
    </sheetView>
  </sheetViews>
  <sheetFormatPr defaultRowHeight="14.4" x14ac:dyDescent="0.3"/>
  <cols>
    <col min="1" max="1" width="13.44140625" bestFit="1" customWidth="1"/>
  </cols>
  <sheetData>
    <row r="1" spans="1:5" ht="18" customHeight="1" x14ac:dyDescent="0.3"/>
    <row r="2" spans="1:5" ht="16.8" x14ac:dyDescent="0.35">
      <c r="A2" s="20" t="s">
        <v>0</v>
      </c>
      <c r="B2" s="20" t="s">
        <v>8</v>
      </c>
      <c r="C2" s="21" t="s">
        <v>9</v>
      </c>
      <c r="D2" s="22" t="s">
        <v>10</v>
      </c>
      <c r="E2" s="2" t="s">
        <v>11</v>
      </c>
    </row>
    <row r="3" spans="1:5" x14ac:dyDescent="0.3">
      <c r="A3" s="45">
        <f>'Таблица 1'!A3</f>
        <v>0.26700000000000002</v>
      </c>
      <c r="B3" s="12">
        <f>'Таблица 1'!B6</f>
        <v>4.8433333333333328</v>
      </c>
      <c r="C3" s="12">
        <f>'Параметры установки'!$A$2*2/B3/B3</f>
        <v>5.9681443192028845E-2</v>
      </c>
      <c r="D3" s="12">
        <f>2*C3/'Параметры установки'!$B$2</f>
        <v>2.5948453561751674</v>
      </c>
      <c r="E3" s="12">
        <f>$A$3*'Параметры установки'!$B$2/2*(9.8-C3)</f>
        <v>5.9815296257357764E-2</v>
      </c>
    </row>
    <row r="4" spans="1:5" x14ac:dyDescent="0.3">
      <c r="A4" s="45"/>
      <c r="B4" s="12">
        <f>'Таблица 1'!C6</f>
        <v>11.443333333333333</v>
      </c>
      <c r="C4" s="12">
        <f>'Параметры установки'!$A$2*2/B4/B4</f>
        <v>1.0691113453162614E-2</v>
      </c>
      <c r="D4" s="12">
        <f>2*C4/'Параметры установки'!$B$2</f>
        <v>0.46483101970272234</v>
      </c>
      <c r="E4" s="12">
        <f>$A$3*'Параметры установки'!$B$2/2*(9.8-C4)</f>
        <v>6.0116145872284137E-2</v>
      </c>
    </row>
    <row r="5" spans="1:5" x14ac:dyDescent="0.3">
      <c r="A5" s="45"/>
      <c r="B5" s="12">
        <f>'Таблица 1'!D6</f>
        <v>13.44</v>
      </c>
      <c r="C5" s="12">
        <f>'Параметры установки'!$A$2*2/B5/B5</f>
        <v>7.7504960317460311E-3</v>
      </c>
      <c r="D5" s="12">
        <f>2*C5/'Параметры установки'!$B$2</f>
        <v>0.33697808833678394</v>
      </c>
      <c r="E5" s="12">
        <f>$A$3*'Параметры установки'!$B$2/2*(9.8-C5)</f>
        <v>6.0134204203869064E-2</v>
      </c>
    </row>
    <row r="6" spans="1:5" x14ac:dyDescent="0.3">
      <c r="A6" s="45"/>
      <c r="B6" s="12">
        <f>'Таблица 1'!E6</f>
        <v>17.75</v>
      </c>
      <c r="C6" s="12">
        <f>'Параметры установки'!$A$2*2/B6/B6</f>
        <v>4.4435627851616743E-3</v>
      </c>
      <c r="D6" s="12">
        <f>2*C6/'Параметры установки'!$B$2</f>
        <v>0.19319838196355105</v>
      </c>
      <c r="E6" s="12">
        <f>$A$3*'Параметры установки'!$B$2/2*(9.8-C6)</f>
        <v>6.0154512080936334E-2</v>
      </c>
    </row>
    <row r="7" spans="1:5" x14ac:dyDescent="0.3">
      <c r="A7" s="45"/>
      <c r="B7" s="12">
        <f>'Таблица 1'!F6</f>
        <v>18.433333333333334</v>
      </c>
      <c r="C7" s="12">
        <f>'Параметры установки'!$A$2*2/B7/B7</f>
        <v>4.1202188294000497E-3</v>
      </c>
      <c r="D7" s="12">
        <f>2*C7/'Параметры установки'!$B$2</f>
        <v>0.17913994910434999</v>
      </c>
      <c r="E7" s="12">
        <f>$A$3*'Параметры установки'!$B$2/2*(9.8-C7)</f>
        <v>6.0156497736168671E-2</v>
      </c>
    </row>
    <row r="8" spans="1:5" x14ac:dyDescent="0.3">
      <c r="A8" s="45"/>
      <c r="B8" s="12">
        <f>'Таблица 1'!G6</f>
        <v>19.806666666666668</v>
      </c>
      <c r="C8" s="12">
        <f>'Параметры установки'!$A$2*2/B8/B8</f>
        <v>3.5686606340818864E-3</v>
      </c>
      <c r="D8" s="12">
        <f>2*C8/'Параметры установки'!$B$2</f>
        <v>0.15515915800356028</v>
      </c>
      <c r="E8" s="12">
        <f>$A$3*'Параметры установки'!$B$2/2*(9.8-C8)</f>
        <v>6.0159884855046114E-2</v>
      </c>
    </row>
    <row r="9" spans="1:5" x14ac:dyDescent="0.3">
      <c r="A9" s="45">
        <f>'Таблица 1'!A7</f>
        <v>0.48699999999999999</v>
      </c>
      <c r="B9" s="12">
        <f>'Таблица 1'!B10</f>
        <v>3.456666666666667</v>
      </c>
      <c r="C9" s="12">
        <f>'Параметры установки'!$A$2*2/B9/B9</f>
        <v>0.11716908335650364</v>
      </c>
      <c r="D9" s="12">
        <f>2*C9/'Параметры установки'!$B$2</f>
        <v>5.0943079720218973</v>
      </c>
      <c r="E9" s="12">
        <f>$A$9*'Параметры установки'!$B$2/2*(9.8-C9)</f>
        <v>0.10845738909732379</v>
      </c>
    </row>
    <row r="10" spans="1:5" x14ac:dyDescent="0.3">
      <c r="A10" s="45"/>
      <c r="B10" s="12">
        <f>'Таблица 1'!C10</f>
        <v>7.4533333333333331</v>
      </c>
      <c r="C10" s="12">
        <f>'Параметры установки'!$A$2*2/B10/B10</f>
        <v>2.5201532253160991E-2</v>
      </c>
      <c r="D10" s="12">
        <f>2*C10/'Параметры установки'!$B$2</f>
        <v>1.0957187936156954</v>
      </c>
      <c r="E10" s="12">
        <f>$A$9*'Параметры установки'!$B$2/2*(9.8-C10)</f>
        <v>0.10948751763723234</v>
      </c>
    </row>
    <row r="11" spans="1:5" x14ac:dyDescent="0.3">
      <c r="A11" s="45"/>
      <c r="B11" s="12">
        <f>'Таблица 1'!D10</f>
        <v>8.9433333333333334</v>
      </c>
      <c r="C11" s="12">
        <f>'Параметры установки'!$A$2*2/B11/B11</f>
        <v>1.7503673340335729E-2</v>
      </c>
      <c r="D11" s="12">
        <f>2*C11/'Параметры установки'!$B$2</f>
        <v>0.76102927566677081</v>
      </c>
      <c r="E11" s="12">
        <f>$A$9*'Параметры установки'!$B$2/2*(9.8-C11)</f>
        <v>0.10957374135491489</v>
      </c>
    </row>
    <row r="12" spans="1:5" x14ac:dyDescent="0.3">
      <c r="A12" s="45"/>
      <c r="B12" s="12">
        <f>'Таблица 1'!E10</f>
        <v>14.229999999999999</v>
      </c>
      <c r="C12" s="12">
        <f>'Параметры установки'!$A$2*2/B12/B12</f>
        <v>6.913822657485769E-3</v>
      </c>
      <c r="D12" s="12">
        <f>2*C12/'Параметры установки'!$B$2</f>
        <v>0.30060098510807692</v>
      </c>
      <c r="E12" s="12">
        <f>$A$9*'Параметры установки'!$B$2/2*(9.8-C12)</f>
        <v>0.1096923582724135</v>
      </c>
    </row>
    <row r="13" spans="1:5" x14ac:dyDescent="0.3">
      <c r="A13" s="45"/>
      <c r="B13" s="12">
        <f>'Таблица 1'!F10</f>
        <v>15.37</v>
      </c>
      <c r="C13" s="12">
        <f>'Параметры установки'!$A$2*2/B13/B13</f>
        <v>5.9262545351721095E-3</v>
      </c>
      <c r="D13" s="12">
        <f>2*C13/'Параметры установки'!$B$2</f>
        <v>0.25766324065965696</v>
      </c>
      <c r="E13" s="12">
        <f>$A$9*'Параметры установки'!$B$2/2*(9.8-C13)</f>
        <v>0.10970342002295154</v>
      </c>
    </row>
    <row r="14" spans="1:5" x14ac:dyDescent="0.3">
      <c r="A14" s="45"/>
      <c r="B14" s="12">
        <f>'Таблица 1'!G10</f>
        <v>16.02</v>
      </c>
      <c r="C14" s="12">
        <f>'Параметры установки'!$A$2*2/B14/B14</f>
        <v>5.4551037171076721E-3</v>
      </c>
      <c r="D14" s="12">
        <f>2*C14/'Параметры установки'!$B$2</f>
        <v>0.23717842248294227</v>
      </c>
      <c r="E14" s="12">
        <f>$A$9*'Параметры установки'!$B$2/2*(9.8-C14)</f>
        <v>0.10970869738326468</v>
      </c>
    </row>
    <row r="15" spans="1:5" x14ac:dyDescent="0.3">
      <c r="A15" s="45">
        <f>'Таблица 1'!A11</f>
        <v>0.70700000000000007</v>
      </c>
      <c r="B15" s="12">
        <f>'Таблица 1'!B14</f>
        <v>2.9666666666666668</v>
      </c>
      <c r="C15" s="12">
        <f>'Параметры установки'!$A$2*2/B15/B15</f>
        <v>0.15907082439085971</v>
      </c>
      <c r="D15" s="12">
        <f>2*C15/'Параметры установки'!$B$2</f>
        <v>6.9161227996025962</v>
      </c>
      <c r="E15" s="12">
        <f>$A$15*'Параметры установки'!$B$2/2*(9.8-C15)</f>
        <v>0.15677114932458025</v>
      </c>
    </row>
    <row r="16" spans="1:5" x14ac:dyDescent="0.3">
      <c r="A16" s="45"/>
      <c r="B16" s="12">
        <f>'Таблица 1'!C14</f>
        <v>3.41</v>
      </c>
      <c r="C16" s="12">
        <f>'Параметры установки'!$A$2*2/B16/B16</f>
        <v>0.12039800139317686</v>
      </c>
      <c r="D16" s="12">
        <f>2*C16/'Параметры установки'!$B$2</f>
        <v>5.2346957127468201</v>
      </c>
      <c r="E16" s="12">
        <f>$A$15*'Параметры установки'!$B$2/2*(9.8-C16)</f>
        <v>0.15740000809934557</v>
      </c>
    </row>
    <row r="17" spans="1:5" x14ac:dyDescent="0.3">
      <c r="A17" s="45"/>
      <c r="B17" s="12">
        <f>'Таблица 1'!D14</f>
        <v>7.6066666666666665</v>
      </c>
      <c r="C17" s="12">
        <f>'Параметры установки'!$A$2*2/B17/B17</f>
        <v>2.4195759827511116E-2</v>
      </c>
      <c r="D17" s="12">
        <f>2*C17/'Параметры установки'!$B$2</f>
        <v>1.0519895577178746</v>
      </c>
      <c r="E17" s="12">
        <f>$A$15*'Параметры установки'!$B$2/2*(9.8-C17)</f>
        <v>0.15896435274944484</v>
      </c>
    </row>
    <row r="18" spans="1:5" x14ac:dyDescent="0.3">
      <c r="A18" s="45"/>
      <c r="B18" s="12">
        <f>'Таблица 1'!E14</f>
        <v>10.37</v>
      </c>
      <c r="C18" s="12">
        <f>'Параметры установки'!$A$2*2/B18/B18</f>
        <v>1.3018787039611521E-2</v>
      </c>
      <c r="D18" s="12">
        <f>2*C18/'Параметры установки'!$B$2</f>
        <v>0.56603421911354446</v>
      </c>
      <c r="E18" s="12">
        <f>$A$15*'Параметры установки'!$B$2/2*(9.8-C18)</f>
        <v>0.15914610150394889</v>
      </c>
    </row>
    <row r="19" spans="1:5" x14ac:dyDescent="0.3">
      <c r="A19" s="45"/>
      <c r="B19" s="12">
        <f>'Таблица 1'!F14</f>
        <v>10.933333333333335</v>
      </c>
      <c r="C19" s="12">
        <f>'Параметры установки'!$A$2*2/B19/B19</f>
        <v>1.171177870315288E-2</v>
      </c>
      <c r="D19" s="12">
        <f>2*C19/'Параметры установки'!$B$2</f>
        <v>0.5092077697022992</v>
      </c>
      <c r="E19" s="12">
        <f>$A$15*'Параметры установки'!$B$2/2*(9.8-C19)</f>
        <v>0.15916735476650803</v>
      </c>
    </row>
    <row r="20" spans="1:5" x14ac:dyDescent="0.3">
      <c r="A20" s="45"/>
      <c r="B20" s="12">
        <f>'Таблица 1'!G14</f>
        <v>12.44</v>
      </c>
      <c r="C20" s="12">
        <f>'Параметры установки'!$A$2*2/B20/B20</f>
        <v>9.0466393027367371E-3</v>
      </c>
      <c r="D20" s="12">
        <f>2*C20/'Параметры установки'!$B$2</f>
        <v>0.39333214359724944</v>
      </c>
      <c r="E20" s="12">
        <f>$A$15*'Параметры установки'!$B$2/2*(9.8-C20)</f>
        <v>0.15921069259829823</v>
      </c>
    </row>
    <row r="21" spans="1:5" x14ac:dyDescent="0.3">
      <c r="A21" s="45">
        <f>'Таблица 1'!A15</f>
        <v>0.92700000000000005</v>
      </c>
      <c r="B21" s="12">
        <f>'Таблица 1'!B18</f>
        <v>2.6133333333333333</v>
      </c>
      <c r="C21" s="12">
        <f>'Параметры установки'!$A$2*2/B21/B21</f>
        <v>0.2049927113702624</v>
      </c>
      <c r="D21" s="12">
        <f>2*C21/'Параметры установки'!$B$2</f>
        <v>8.9127265813157575</v>
      </c>
      <c r="E21" s="12">
        <f>$A$21*'Параметры установки'!$B$2/2*(9.8-C21)</f>
        <v>0.20457515040087462</v>
      </c>
    </row>
    <row r="22" spans="1:5" x14ac:dyDescent="0.3">
      <c r="A22" s="45"/>
      <c r="B22" s="12">
        <f>'Таблица 1'!C18</f>
        <v>3.0733333333333328</v>
      </c>
      <c r="C22" s="12">
        <f>'Параметры установки'!$A$2*2/B22/B22</f>
        <v>0.14822064643023516</v>
      </c>
      <c r="D22" s="12">
        <f>2*C22/'Параметры установки'!$B$2</f>
        <v>6.444375931749355</v>
      </c>
      <c r="E22" s="12">
        <f>$A$21*'Параметры установки'!$B$2/2*(9.8-C22)</f>
        <v>0.20578558759746096</v>
      </c>
    </row>
    <row r="23" spans="1:5" x14ac:dyDescent="0.3">
      <c r="A23" s="45"/>
      <c r="B23" s="12">
        <f>'Таблица 1'!D18</f>
        <v>6.2066666666666661</v>
      </c>
      <c r="C23" s="12">
        <f>'Параметры установки'!$A$2*2/B23/B23</f>
        <v>3.6342198137664254E-2</v>
      </c>
      <c r="D23" s="12">
        <f>2*C23/'Параметры установки'!$B$2</f>
        <v>1.5800955712027938</v>
      </c>
      <c r="E23" s="12">
        <f>$A$21*'Параметры установки'!$B$2/2*(9.8-C23)</f>
        <v>0.20817094799350688</v>
      </c>
    </row>
    <row r="24" spans="1:5" x14ac:dyDescent="0.3">
      <c r="A24" s="45"/>
      <c r="B24" s="12">
        <f>'Таблица 1'!E18</f>
        <v>7.5666666666666664</v>
      </c>
      <c r="C24" s="12">
        <f>'Параметры установки'!$A$2*2/B24/B24</f>
        <v>2.4452250189213841E-2</v>
      </c>
      <c r="D24" s="12">
        <f>2*C24/'Параметры установки'!$B$2</f>
        <v>1.0631413125745148</v>
      </c>
      <c r="E24" s="12">
        <f>$A$21*'Параметры установки'!$B$2/2*(9.8-C24)</f>
        <v>0.20842445357371578</v>
      </c>
    </row>
    <row r="25" spans="1:5" x14ac:dyDescent="0.3">
      <c r="A25" s="45"/>
      <c r="B25" s="12">
        <f>'Таблица 1'!F18</f>
        <v>8.9366666666666674</v>
      </c>
      <c r="C25" s="12">
        <f>'Параметры установки'!$A$2*2/B25/B25</f>
        <v>1.752979822228368E-2</v>
      </c>
      <c r="D25" s="12">
        <f>2*C25/'Параметры установки'!$B$2</f>
        <v>0.76216514009929048</v>
      </c>
      <c r="E25" s="12">
        <f>$A$21*'Параметры установки'!$B$2/2*(9.8-C25)</f>
        <v>0.20857204717210268</v>
      </c>
    </row>
    <row r="26" spans="1:5" x14ac:dyDescent="0.3">
      <c r="A26" s="45"/>
      <c r="B26" s="12">
        <f>'Таблица 1'!G18</f>
        <v>9.4333333333333353</v>
      </c>
      <c r="C26" s="12">
        <f>'Параметры установки'!$A$2*2/B26/B26</f>
        <v>1.5732497596423971E-2</v>
      </c>
      <c r="D26" s="12">
        <f>2*C26/'Параметры установки'!$B$2</f>
        <v>0.68402163462712917</v>
      </c>
      <c r="E26" s="12">
        <f>$A$21*'Параметры установки'!$B$2/2*(9.8-C26)</f>
        <v>0.20861036741874664</v>
      </c>
    </row>
  </sheetData>
  <mergeCells count="4">
    <mergeCell ref="A21:A26"/>
    <mergeCell ref="A3:A8"/>
    <mergeCell ref="A9:A14"/>
    <mergeCell ref="A15:A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N7"/>
  <sheetViews>
    <sheetView workbookViewId="0">
      <selection activeCell="E8" sqref="E8"/>
    </sheetView>
  </sheetViews>
  <sheetFormatPr defaultRowHeight="14.4" x14ac:dyDescent="0.3"/>
  <cols>
    <col min="1" max="1" width="12.88671875" bestFit="1" customWidth="1"/>
  </cols>
  <sheetData>
    <row r="1" spans="1:14" ht="28.8" x14ac:dyDescent="0.3">
      <c r="A1" s="29" t="s">
        <v>51</v>
      </c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</row>
    <row r="2" spans="1:14" x14ac:dyDescent="0.3">
      <c r="A2" s="29" t="s">
        <v>52</v>
      </c>
      <c r="B2" s="2">
        <f>'Параметры установки'!$C$2+(B1-1)*'Параметры установки'!$D$2+'Параметры установки'!$E$2/2</f>
        <v>7.6999999999999999E-2</v>
      </c>
      <c r="C2" s="2">
        <f>'Параметры установки'!$C$2+(C1-1)*'Параметры установки'!$D$2+'Параметры установки'!$E$2/2</f>
        <v>0.10200000000000001</v>
      </c>
      <c r="D2" s="2">
        <f>'Параметры установки'!$C$2+(D1-1)*'Параметры установки'!$D$2+'Параметры установки'!$E$2/2</f>
        <v>0.127</v>
      </c>
      <c r="E2" s="2">
        <f>'Параметры установки'!$C$2+(E1-1)*'Параметры установки'!$D$2+'Параметры установки'!$E$2/2</f>
        <v>0.152</v>
      </c>
      <c r="F2" s="2">
        <f>'Параметры установки'!$C$2+(F1-1)*'Параметры установки'!$D$2+'Параметры установки'!$E$2/2</f>
        <v>0.17699999999999999</v>
      </c>
      <c r="G2" s="2">
        <f>'Параметры установки'!$C$2+(G1-1)*'Параметры установки'!$D$2+'Параметры установки'!$E$2/2</f>
        <v>0.20199999999999999</v>
      </c>
    </row>
    <row r="3" spans="1:14" ht="16.2" x14ac:dyDescent="0.3">
      <c r="A3" s="29" t="s">
        <v>53</v>
      </c>
      <c r="B3" s="2">
        <f>B2*B2</f>
        <v>5.9290000000000002E-3</v>
      </c>
      <c r="C3" s="2">
        <f t="shared" ref="C3:G3" si="0">C2*C2</f>
        <v>1.0404000000000002E-2</v>
      </c>
      <c r="D3" s="2">
        <f t="shared" si="0"/>
        <v>1.6129000000000001E-2</v>
      </c>
      <c r="E3" s="2">
        <f t="shared" si="0"/>
        <v>2.3104E-2</v>
      </c>
      <c r="F3" s="2">
        <f t="shared" si="0"/>
        <v>3.1328999999999996E-2</v>
      </c>
      <c r="G3" s="2">
        <f t="shared" si="0"/>
        <v>4.0803999999999993E-2</v>
      </c>
      <c r="I3" s="2"/>
      <c r="J3" s="2"/>
      <c r="K3" s="2"/>
      <c r="L3" s="2"/>
      <c r="M3" s="2"/>
      <c r="N3" s="2"/>
    </row>
    <row r="4" spans="1:14" x14ac:dyDescent="0.3">
      <c r="A4" s="29" t="s">
        <v>54</v>
      </c>
      <c r="B4" s="12">
        <f>'МНК рис.1'!N2</f>
        <v>2.3126853283830909E-2</v>
      </c>
      <c r="C4" s="12">
        <f>'МНК рис.2'!N2</f>
        <v>2.0150576507185301E-2</v>
      </c>
      <c r="D4" s="12">
        <f>'МНК рис.3'!N2</f>
        <v>0.12130617266854798</v>
      </c>
      <c r="E4" s="12">
        <f>'МНК рис.4'!N2</f>
        <v>0.15728965595556682</v>
      </c>
      <c r="F4" s="12">
        <f>'МНК рис.5'!N2</f>
        <v>0.23651627425666016</v>
      </c>
      <c r="G4" s="12">
        <f>'МНК рис.6'!N2</f>
        <v>0.26461239787333662</v>
      </c>
      <c r="I4" s="2"/>
      <c r="J4" s="2"/>
      <c r="K4" s="2"/>
      <c r="L4" s="2"/>
      <c r="M4" s="2"/>
      <c r="N4" s="2"/>
    </row>
    <row r="5" spans="1:14" x14ac:dyDescent="0.3">
      <c r="I5" s="12"/>
      <c r="J5" s="12"/>
      <c r="K5" s="12"/>
      <c r="L5" s="12"/>
      <c r="M5" s="12"/>
      <c r="N5" s="12"/>
    </row>
    <row r="6" spans="1:14" x14ac:dyDescent="0.3">
      <c r="B6" t="s">
        <v>77</v>
      </c>
      <c r="E6">
        <f>4*B3</f>
        <v>2.3716000000000001E-2</v>
      </c>
    </row>
    <row r="7" spans="1:14" x14ac:dyDescent="0.3">
      <c r="E7">
        <f>4*D3</f>
        <v>6.4516000000000004E-2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"/>
  <sheetViews>
    <sheetView zoomScaleNormal="100" workbookViewId="0">
      <selection activeCell="Q13" sqref="Q13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"/>
  <sheetViews>
    <sheetView workbookViewId="0">
      <selection activeCell="Q21" sqref="Q21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-0.499984740745262"/>
  </sheetPr>
  <dimension ref="A1:G51"/>
  <sheetViews>
    <sheetView workbookViewId="0">
      <selection activeCell="G35" sqref="G35"/>
    </sheetView>
  </sheetViews>
  <sheetFormatPr defaultRowHeight="14.4" x14ac:dyDescent="0.3"/>
  <cols>
    <col min="1" max="1" width="14.33203125" customWidth="1"/>
    <col min="2" max="2" width="11" customWidth="1"/>
    <col min="3" max="3" width="11.33203125" customWidth="1"/>
    <col min="4" max="4" width="10.6640625" customWidth="1"/>
    <col min="5" max="5" width="10" customWidth="1"/>
    <col min="6" max="6" width="10.33203125" customWidth="1"/>
    <col min="7" max="7" width="13.44140625" customWidth="1"/>
  </cols>
  <sheetData>
    <row r="1" spans="1:7" ht="47.4" customHeight="1" x14ac:dyDescent="0.3">
      <c r="A1" s="47" t="s">
        <v>62</v>
      </c>
      <c r="B1" s="47"/>
      <c r="C1" s="47"/>
      <c r="D1" s="47"/>
      <c r="E1" s="47"/>
      <c r="F1" s="47"/>
      <c r="G1" s="47"/>
    </row>
    <row r="2" spans="1:7" x14ac:dyDescent="0.3">
      <c r="A2" s="56" t="s">
        <v>65</v>
      </c>
      <c r="B2" s="49" t="s">
        <v>1</v>
      </c>
      <c r="C2" s="50"/>
      <c r="D2" s="50"/>
      <c r="E2" s="50"/>
      <c r="F2" s="50"/>
      <c r="G2" s="51"/>
    </row>
    <row r="3" spans="1:7" x14ac:dyDescent="0.3">
      <c r="A3" s="57"/>
      <c r="B3" s="35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</row>
    <row r="4" spans="1:7" x14ac:dyDescent="0.3">
      <c r="A4" s="52">
        <f>0.047+0.22</f>
        <v>0.26700000000000002</v>
      </c>
      <c r="B4" s="36">
        <v>4.2</v>
      </c>
      <c r="C4" s="36">
        <v>4.97</v>
      </c>
      <c r="D4" s="36">
        <v>6</v>
      </c>
      <c r="E4" s="36">
        <v>6.86</v>
      </c>
      <c r="F4" s="36">
        <v>7.78</v>
      </c>
      <c r="G4" s="36">
        <v>8.8800000000000008</v>
      </c>
    </row>
    <row r="5" spans="1:7" x14ac:dyDescent="0.3">
      <c r="A5" s="53"/>
      <c r="B5" s="36">
        <v>4.3</v>
      </c>
      <c r="C5" s="36">
        <v>4.87</v>
      </c>
      <c r="D5" s="36">
        <v>5.93</v>
      </c>
      <c r="E5" s="36">
        <v>6.87</v>
      </c>
      <c r="F5" s="36">
        <v>7.8</v>
      </c>
      <c r="G5" s="36">
        <v>8.94</v>
      </c>
    </row>
    <row r="6" spans="1:7" x14ac:dyDescent="0.3">
      <c r="A6" s="53"/>
      <c r="B6" s="36">
        <v>4.3600000000000003</v>
      </c>
      <c r="C6" s="36">
        <v>4.95</v>
      </c>
      <c r="D6" s="36">
        <v>6.04</v>
      </c>
      <c r="E6" s="36">
        <v>6.96</v>
      </c>
      <c r="F6" s="36">
        <v>7.91</v>
      </c>
      <c r="G6" s="36">
        <v>9.02</v>
      </c>
    </row>
    <row r="7" spans="1:7" x14ac:dyDescent="0.3">
      <c r="A7" s="54"/>
      <c r="B7" s="36">
        <f>SUM(B4:B6)/3</f>
        <v>4.2866666666666662</v>
      </c>
      <c r="C7" s="36">
        <f t="shared" ref="C7:G7" si="0">SUM(C4:C6)/3</f>
        <v>4.93</v>
      </c>
      <c r="D7" s="36">
        <f t="shared" si="0"/>
        <v>5.9899999999999993</v>
      </c>
      <c r="E7" s="36">
        <f t="shared" si="0"/>
        <v>6.8966666666666674</v>
      </c>
      <c r="F7" s="36">
        <f t="shared" si="0"/>
        <v>7.830000000000001</v>
      </c>
      <c r="G7" s="36">
        <f t="shared" si="0"/>
        <v>8.9466666666666672</v>
      </c>
    </row>
    <row r="8" spans="1:7" x14ac:dyDescent="0.3">
      <c r="A8" s="52">
        <f>0.047+0.22*2</f>
        <v>0.48699999999999999</v>
      </c>
      <c r="B8" s="36">
        <v>3.27</v>
      </c>
      <c r="C8" s="36">
        <v>3.52</v>
      </c>
      <c r="D8" s="36">
        <v>4.3600000000000003</v>
      </c>
      <c r="E8" s="36">
        <v>4.99</v>
      </c>
      <c r="F8" s="36">
        <v>5.67</v>
      </c>
      <c r="G8" s="36">
        <v>6.36</v>
      </c>
    </row>
    <row r="9" spans="1:7" x14ac:dyDescent="0.3">
      <c r="A9" s="53"/>
      <c r="B9" s="36">
        <v>3.18</v>
      </c>
      <c r="C9" s="36">
        <v>3.63</v>
      </c>
      <c r="D9" s="36">
        <v>4.3499999999999996</v>
      </c>
      <c r="E9" s="36">
        <v>5.0199999999999996</v>
      </c>
      <c r="F9" s="36">
        <v>5.74</v>
      </c>
      <c r="G9" s="36">
        <v>6.39</v>
      </c>
    </row>
    <row r="10" spans="1:7" x14ac:dyDescent="0.3">
      <c r="A10" s="53"/>
      <c r="B10" s="36">
        <v>3.13</v>
      </c>
      <c r="C10" s="36">
        <v>3.64</v>
      </c>
      <c r="D10" s="36">
        <v>4.17</v>
      </c>
      <c r="E10" s="36">
        <v>4.96</v>
      </c>
      <c r="F10" s="36">
        <v>5.65</v>
      </c>
      <c r="G10" s="36">
        <v>6.37</v>
      </c>
    </row>
    <row r="11" spans="1:7" x14ac:dyDescent="0.3">
      <c r="A11" s="54"/>
      <c r="B11" s="36">
        <f>SUM(B8:B10)/3</f>
        <v>3.1933333333333334</v>
      </c>
      <c r="C11" s="36">
        <f t="shared" ref="C11:G11" si="1">SUM(C8:C10)/3</f>
        <v>3.5966666666666671</v>
      </c>
      <c r="D11" s="36">
        <f t="shared" si="1"/>
        <v>4.2933333333333339</v>
      </c>
      <c r="E11" s="36">
        <f t="shared" si="1"/>
        <v>4.9899999999999993</v>
      </c>
      <c r="F11" s="36">
        <f t="shared" si="1"/>
        <v>5.6866666666666674</v>
      </c>
      <c r="G11" s="36">
        <f t="shared" si="1"/>
        <v>6.373333333333334</v>
      </c>
    </row>
    <row r="12" spans="1:7" x14ac:dyDescent="0.3">
      <c r="A12" s="52">
        <f>0.047+0.22*3</f>
        <v>0.70700000000000007</v>
      </c>
      <c r="B12" s="36">
        <v>2.5099999999999998</v>
      </c>
      <c r="C12" s="36">
        <v>2.94</v>
      </c>
      <c r="D12" s="36">
        <v>3.45</v>
      </c>
      <c r="E12" s="36">
        <v>4.1399999999999997</v>
      </c>
      <c r="F12" s="36">
        <v>4.6399999999999997</v>
      </c>
      <c r="G12" s="36">
        <v>5.24</v>
      </c>
    </row>
    <row r="13" spans="1:7" x14ac:dyDescent="0.3">
      <c r="A13" s="53"/>
      <c r="B13" s="36">
        <v>2.56</v>
      </c>
      <c r="C13" s="36">
        <v>2.93</v>
      </c>
      <c r="D13" s="36">
        <v>3.55</v>
      </c>
      <c r="E13" s="36">
        <v>4.08</v>
      </c>
      <c r="F13" s="36">
        <v>4.75</v>
      </c>
      <c r="G13" s="36">
        <v>5.27</v>
      </c>
    </row>
    <row r="14" spans="1:7" x14ac:dyDescent="0.3">
      <c r="A14" s="53"/>
      <c r="B14" s="36">
        <v>2.5299999999999998</v>
      </c>
      <c r="C14" s="36">
        <v>3.02</v>
      </c>
      <c r="D14" s="36">
        <v>3.49</v>
      </c>
      <c r="E14" s="36">
        <v>4.07</v>
      </c>
      <c r="F14" s="36">
        <v>4.62</v>
      </c>
      <c r="G14" s="36">
        <v>5.28</v>
      </c>
    </row>
    <row r="15" spans="1:7" x14ac:dyDescent="0.3">
      <c r="A15" s="54"/>
      <c r="B15" s="36">
        <f>SUM(B12:B14)/3</f>
        <v>2.5333333333333332</v>
      </c>
      <c r="C15" s="36">
        <f t="shared" ref="C15" si="2">SUM(C12:C14)/3</f>
        <v>2.9633333333333334</v>
      </c>
      <c r="D15" s="36">
        <f t="shared" ref="D15:G15" si="3">SUM(D12:D14)/3</f>
        <v>3.4966666666666666</v>
      </c>
      <c r="E15" s="36">
        <f t="shared" si="3"/>
        <v>4.0966666666666667</v>
      </c>
      <c r="F15" s="36">
        <f t="shared" si="3"/>
        <v>4.6700000000000008</v>
      </c>
      <c r="G15" s="36">
        <f t="shared" si="3"/>
        <v>5.2633333333333328</v>
      </c>
    </row>
    <row r="16" spans="1:7" x14ac:dyDescent="0.3">
      <c r="A16" s="52">
        <f>0.047+0.22*4</f>
        <v>0.92700000000000005</v>
      </c>
      <c r="B16" s="36">
        <v>2.23</v>
      </c>
      <c r="C16" s="36">
        <v>2.59</v>
      </c>
      <c r="D16" s="36">
        <v>3.1</v>
      </c>
      <c r="E16" s="36">
        <v>3.55</v>
      </c>
      <c r="F16" s="36">
        <v>4.0599999999999996</v>
      </c>
      <c r="G16" s="36">
        <v>4.6100000000000003</v>
      </c>
    </row>
    <row r="17" spans="1:7" x14ac:dyDescent="0.3">
      <c r="A17" s="53"/>
      <c r="B17" s="36">
        <v>2.23</v>
      </c>
      <c r="C17" s="36">
        <v>2.59</v>
      </c>
      <c r="D17" s="36">
        <v>3.06</v>
      </c>
      <c r="E17" s="36">
        <v>3.56</v>
      </c>
      <c r="F17" s="36">
        <v>4.01</v>
      </c>
      <c r="G17" s="36">
        <v>4.5599999999999996</v>
      </c>
    </row>
    <row r="18" spans="1:7" x14ac:dyDescent="0.3">
      <c r="A18" s="53"/>
      <c r="B18" s="36">
        <v>2.12</v>
      </c>
      <c r="C18" s="36">
        <v>2.46</v>
      </c>
      <c r="D18" s="36">
        <v>3.09</v>
      </c>
      <c r="E18" s="36">
        <v>3.58</v>
      </c>
      <c r="F18" s="36">
        <v>4.07</v>
      </c>
      <c r="G18" s="36">
        <v>4.68</v>
      </c>
    </row>
    <row r="19" spans="1:7" x14ac:dyDescent="0.3">
      <c r="A19" s="54"/>
      <c r="B19" s="36">
        <f>SUM(B16:B18)/3</f>
        <v>2.1933333333333334</v>
      </c>
      <c r="C19" s="36">
        <f t="shared" ref="C19" si="4">SUM(C16:C18)/3</f>
        <v>2.5466666666666664</v>
      </c>
      <c r="D19" s="36">
        <f t="shared" ref="D19:G19" si="5">SUM(D16:D18)/3</f>
        <v>3.0833333333333335</v>
      </c>
      <c r="E19" s="36">
        <f t="shared" si="5"/>
        <v>3.563333333333333</v>
      </c>
      <c r="F19" s="36">
        <f t="shared" si="5"/>
        <v>4.0466666666666669</v>
      </c>
      <c r="G19" s="36">
        <f t="shared" si="5"/>
        <v>4.6166666666666663</v>
      </c>
    </row>
    <row r="20" spans="1:7" ht="41.4" customHeight="1" x14ac:dyDescent="0.3">
      <c r="A20" s="47" t="s">
        <v>63</v>
      </c>
      <c r="B20" s="47"/>
      <c r="C20" s="47"/>
      <c r="D20" s="47"/>
      <c r="E20" s="47"/>
      <c r="F20" s="37"/>
      <c r="G20" s="37"/>
    </row>
    <row r="21" spans="1:7" ht="15.6" x14ac:dyDescent="0.35">
      <c r="A21" s="35" t="s">
        <v>65</v>
      </c>
      <c r="B21" s="38" t="s">
        <v>67</v>
      </c>
      <c r="C21" s="39" t="s">
        <v>68</v>
      </c>
      <c r="D21" s="40" t="s">
        <v>69</v>
      </c>
      <c r="E21" s="41" t="s">
        <v>11</v>
      </c>
      <c r="F21" s="37"/>
      <c r="G21" s="37"/>
    </row>
    <row r="22" spans="1:7" x14ac:dyDescent="0.3">
      <c r="A22" s="52">
        <v>0.26700000000000002</v>
      </c>
      <c r="B22" s="36">
        <v>4.2866666666666662</v>
      </c>
      <c r="C22" s="36">
        <v>7.6188356967848536E-2</v>
      </c>
      <c r="D22" s="36">
        <v>3.3125372594716755</v>
      </c>
      <c r="E22" s="36">
        <v>5.9713927299860449E-2</v>
      </c>
      <c r="F22" s="37"/>
      <c r="G22" s="37"/>
    </row>
    <row r="23" spans="1:7" x14ac:dyDescent="0.3">
      <c r="A23" s="53"/>
      <c r="B23" s="36">
        <v>4.93</v>
      </c>
      <c r="C23" s="36">
        <v>5.7601553596188425E-2</v>
      </c>
      <c r="D23" s="36">
        <v>2.5044153737473227</v>
      </c>
      <c r="E23" s="36">
        <v>5.982806885936582E-2</v>
      </c>
      <c r="F23" s="37"/>
      <c r="G23" s="37"/>
    </row>
    <row r="24" spans="1:7" x14ac:dyDescent="0.3">
      <c r="A24" s="53"/>
      <c r="B24" s="36">
        <v>5.9899999999999993</v>
      </c>
      <c r="C24" s="36">
        <v>3.901884331426056E-2</v>
      </c>
      <c r="D24" s="36">
        <v>1.6964714484461114</v>
      </c>
      <c r="E24" s="36">
        <v>5.994218528320714E-2</v>
      </c>
      <c r="F24" s="37"/>
      <c r="G24" s="37"/>
    </row>
    <row r="25" spans="1:7" x14ac:dyDescent="0.3">
      <c r="A25" s="53"/>
      <c r="B25" s="36">
        <v>6.8966666666666674</v>
      </c>
      <c r="C25" s="36">
        <v>2.9434018857861947E-2</v>
      </c>
      <c r="D25" s="36">
        <v>1.2797399503418239</v>
      </c>
      <c r="E25" s="36">
        <v>6.0001045690193884E-2</v>
      </c>
      <c r="F25" s="37"/>
      <c r="G25" s="37"/>
    </row>
    <row r="26" spans="1:7" x14ac:dyDescent="0.3">
      <c r="A26" s="53"/>
      <c r="B26" s="36">
        <v>7.830000000000001</v>
      </c>
      <c r="C26" s="36">
        <v>2.2835183798763304E-2</v>
      </c>
      <c r="D26" s="36">
        <v>0.99283407820710023</v>
      </c>
      <c r="E26" s="36">
        <v>6.0041569136291807E-2</v>
      </c>
      <c r="F26" s="37"/>
      <c r="G26" s="37"/>
    </row>
    <row r="27" spans="1:7" x14ac:dyDescent="0.3">
      <c r="A27" s="54"/>
      <c r="B27" s="36">
        <v>8.9466666666666672</v>
      </c>
      <c r="C27" s="36">
        <v>1.7490632794436755E-2</v>
      </c>
      <c r="D27" s="36">
        <v>0.76046229541029375</v>
      </c>
      <c r="E27" s="36">
        <v>6.0074390024009376E-2</v>
      </c>
      <c r="F27" s="37"/>
      <c r="G27" s="37"/>
    </row>
    <row r="28" spans="1:7" x14ac:dyDescent="0.3">
      <c r="A28" s="52">
        <v>0.48699999999999999</v>
      </c>
      <c r="B28" s="36">
        <v>3.1933333333333334</v>
      </c>
      <c r="C28" s="36">
        <v>0.13729019660827838</v>
      </c>
      <c r="D28" s="36">
        <v>5.9691389829686248</v>
      </c>
      <c r="E28" s="36">
        <v>0.10823201250779067</v>
      </c>
      <c r="F28" s="37"/>
      <c r="G28" s="37"/>
    </row>
    <row r="29" spans="1:7" x14ac:dyDescent="0.3">
      <c r="A29" s="53"/>
      <c r="B29" s="36">
        <v>3.5966666666666671</v>
      </c>
      <c r="C29" s="36">
        <v>0.10822501526745747</v>
      </c>
      <c r="D29" s="36">
        <v>4.7054354464111947</v>
      </c>
      <c r="E29" s="36">
        <v>0.10855757160398921</v>
      </c>
      <c r="F29" s="37"/>
      <c r="G29" s="37"/>
    </row>
    <row r="30" spans="1:7" x14ac:dyDescent="0.3">
      <c r="A30" s="53"/>
      <c r="B30" s="36">
        <v>4.2933333333333339</v>
      </c>
      <c r="C30" s="36">
        <v>7.5951930866864678E-2</v>
      </c>
      <c r="D30" s="36">
        <v>3.3022578637767253</v>
      </c>
      <c r="E30" s="36">
        <v>0.10891906242236025</v>
      </c>
      <c r="F30" s="37"/>
      <c r="G30" s="37"/>
    </row>
    <row r="31" spans="1:7" x14ac:dyDescent="0.3">
      <c r="A31" s="53"/>
      <c r="B31" s="36">
        <v>4.9899999999999993</v>
      </c>
      <c r="C31" s="36">
        <v>5.6224673796490786E-2</v>
      </c>
      <c r="D31" s="36">
        <v>2.4445510346300341</v>
      </c>
      <c r="E31" s="36">
        <v>0.10914002742880551</v>
      </c>
      <c r="F31" s="37"/>
      <c r="G31" s="37"/>
    </row>
    <row r="32" spans="1:7" x14ac:dyDescent="0.3">
      <c r="A32" s="53"/>
      <c r="B32" s="36">
        <v>5.6866666666666674</v>
      </c>
      <c r="C32" s="36">
        <v>4.3292482638340082E-2</v>
      </c>
      <c r="D32" s="36">
        <v>1.8822818538408732</v>
      </c>
      <c r="E32" s="36">
        <v>0.10928488090196795</v>
      </c>
      <c r="F32" s="37"/>
      <c r="G32" s="37"/>
    </row>
    <row r="33" spans="1:7" x14ac:dyDescent="0.3">
      <c r="A33" s="54"/>
      <c r="B33" s="36">
        <v>6.373333333333334</v>
      </c>
      <c r="C33" s="36">
        <v>3.4466308362948818E-2</v>
      </c>
      <c r="D33" s="36">
        <v>1.4985351462151659</v>
      </c>
      <c r="E33" s="36">
        <v>0.1093837428800266</v>
      </c>
      <c r="F33" s="37"/>
      <c r="G33" s="37"/>
    </row>
    <row r="34" spans="1:7" x14ac:dyDescent="0.3">
      <c r="A34" s="52">
        <v>0.70700000000000007</v>
      </c>
      <c r="B34" s="36">
        <v>2.5333333333333332</v>
      </c>
      <c r="C34" s="36">
        <v>0.21814404432132964</v>
      </c>
      <c r="D34" s="36">
        <v>9.4845236661447672</v>
      </c>
      <c r="E34" s="36">
        <v>0.1558105596952909</v>
      </c>
      <c r="F34" s="37"/>
      <c r="G34" s="37"/>
    </row>
    <row r="35" spans="1:7" x14ac:dyDescent="0.3">
      <c r="A35" s="53"/>
      <c r="B35" s="36">
        <v>2.9633333333333334</v>
      </c>
      <c r="C35" s="36">
        <v>0.15942889028635199</v>
      </c>
      <c r="D35" s="36">
        <v>6.931690882015304</v>
      </c>
      <c r="E35" s="36">
        <v>0.15676532681505367</v>
      </c>
      <c r="F35" s="37"/>
      <c r="G35" s="37"/>
    </row>
    <row r="36" spans="1:7" x14ac:dyDescent="0.3">
      <c r="A36" s="53"/>
      <c r="B36" s="36">
        <v>3.4966666666666666</v>
      </c>
      <c r="C36" s="36">
        <v>0.11450371273744753</v>
      </c>
      <c r="D36" s="36">
        <v>4.9784222929325015</v>
      </c>
      <c r="E36" s="36">
        <v>0.1574958551271764</v>
      </c>
      <c r="F36" s="37"/>
      <c r="G36" s="37"/>
    </row>
    <row r="37" spans="1:7" x14ac:dyDescent="0.3">
      <c r="A37" s="53"/>
      <c r="B37" s="36">
        <v>4.0966666666666667</v>
      </c>
      <c r="C37" s="36">
        <v>8.3419345740747233E-2</v>
      </c>
      <c r="D37" s="36">
        <v>3.6269280756846625</v>
      </c>
      <c r="E37" s="36">
        <v>0.15800131801890974</v>
      </c>
      <c r="F37" s="37"/>
      <c r="G37" s="37"/>
    </row>
    <row r="38" spans="1:7" x14ac:dyDescent="0.3">
      <c r="A38" s="53"/>
      <c r="B38" s="36">
        <v>4.6700000000000008</v>
      </c>
      <c r="C38" s="36">
        <v>6.4193975853894483E-2</v>
      </c>
      <c r="D38" s="36">
        <v>2.7910424284301949</v>
      </c>
      <c r="E38" s="36">
        <v>0.15831394175863983</v>
      </c>
      <c r="F38" s="37"/>
      <c r="G38" s="37"/>
    </row>
    <row r="39" spans="1:7" x14ac:dyDescent="0.3">
      <c r="A39" s="54"/>
      <c r="B39" s="36">
        <v>5.2633333333333328</v>
      </c>
      <c r="C39" s="36">
        <v>5.0536630835125856E-2</v>
      </c>
      <c r="D39" s="36">
        <v>2.1972448189185156</v>
      </c>
      <c r="E39" s="36">
        <v>0.15853602384599005</v>
      </c>
      <c r="F39" s="37"/>
      <c r="G39" s="37"/>
    </row>
    <row r="40" spans="1:7" x14ac:dyDescent="0.3">
      <c r="A40" s="55">
        <v>0.92700000000000005</v>
      </c>
      <c r="B40" s="36">
        <v>2.1933333333333334</v>
      </c>
      <c r="C40" s="36">
        <v>0.29101726702451008</v>
      </c>
      <c r="D40" s="36">
        <v>12.65292465323957</v>
      </c>
      <c r="E40" s="36">
        <v>0.20274102084977044</v>
      </c>
      <c r="F40" s="37"/>
      <c r="G40" s="37"/>
    </row>
    <row r="41" spans="1:7" x14ac:dyDescent="0.3">
      <c r="A41" s="55"/>
      <c r="B41" s="36">
        <v>2.5466666666666664</v>
      </c>
      <c r="C41" s="36">
        <v>0.21586579315259999</v>
      </c>
      <c r="D41" s="36">
        <v>9.3854692675043481</v>
      </c>
      <c r="E41" s="36">
        <v>0.20434332542419342</v>
      </c>
      <c r="F41" s="37"/>
      <c r="G41" s="37"/>
    </row>
    <row r="42" spans="1:7" x14ac:dyDescent="0.3">
      <c r="A42" s="55"/>
      <c r="B42" s="36">
        <v>3.0833333333333335</v>
      </c>
      <c r="C42" s="36">
        <v>0.14726077428780129</v>
      </c>
      <c r="D42" s="36">
        <v>6.4026423603391871</v>
      </c>
      <c r="E42" s="36">
        <v>0.20580605303140981</v>
      </c>
      <c r="F42" s="37"/>
      <c r="G42" s="37"/>
    </row>
    <row r="43" spans="1:7" x14ac:dyDescent="0.3">
      <c r="A43" s="55"/>
      <c r="B43" s="36">
        <v>3.563333333333333</v>
      </c>
      <c r="C43" s="36">
        <v>0.11025927556155662</v>
      </c>
      <c r="D43" s="36">
        <v>4.793881546154636</v>
      </c>
      <c r="E43" s="36">
        <v>0.20659496198575206</v>
      </c>
      <c r="F43" s="37"/>
      <c r="G43" s="37"/>
    </row>
    <row r="44" spans="1:7" x14ac:dyDescent="0.3">
      <c r="A44" s="55"/>
      <c r="B44" s="36">
        <v>4.0466666666666669</v>
      </c>
      <c r="C44" s="36">
        <v>8.5493514706241558E-2</v>
      </c>
      <c r="D44" s="36">
        <v>3.7171093350539808</v>
      </c>
      <c r="E44" s="36">
        <v>0.20712299277294824</v>
      </c>
      <c r="F44" s="37"/>
      <c r="G44" s="37"/>
    </row>
    <row r="45" spans="1:7" x14ac:dyDescent="0.3">
      <c r="A45" s="55"/>
      <c r="B45" s="36">
        <v>4.6166666666666663</v>
      </c>
      <c r="C45" s="36">
        <v>6.5685725084387928E-2</v>
      </c>
      <c r="D45" s="36">
        <v>2.855901090625562</v>
      </c>
      <c r="E45" s="36">
        <v>0.20754531465547579</v>
      </c>
      <c r="F45" s="37"/>
      <c r="G45" s="37"/>
    </row>
    <row r="46" spans="1:7" x14ac:dyDescent="0.3">
      <c r="A46" s="43"/>
      <c r="B46" s="44"/>
      <c r="C46" s="44"/>
      <c r="D46" s="44"/>
      <c r="E46" s="44"/>
      <c r="F46" s="37"/>
      <c r="G46" s="37"/>
    </row>
    <row r="47" spans="1:7" x14ac:dyDescent="0.3">
      <c r="A47" s="48" t="s">
        <v>66</v>
      </c>
      <c r="B47" s="48"/>
      <c r="C47" s="48"/>
      <c r="D47" s="48"/>
      <c r="E47" s="48"/>
      <c r="F47" s="48"/>
      <c r="G47" s="48"/>
    </row>
    <row r="48" spans="1:7" x14ac:dyDescent="0.3">
      <c r="A48" s="42" t="s">
        <v>51</v>
      </c>
      <c r="B48" s="42">
        <v>1</v>
      </c>
      <c r="C48" s="42">
        <v>2</v>
      </c>
      <c r="D48" s="42">
        <v>3</v>
      </c>
      <c r="E48" s="42">
        <v>4</v>
      </c>
      <c r="F48" s="42">
        <v>5</v>
      </c>
      <c r="G48" s="42">
        <v>6</v>
      </c>
    </row>
    <row r="49" spans="1:7" x14ac:dyDescent="0.3">
      <c r="A49" s="42" t="s">
        <v>64</v>
      </c>
      <c r="B49" s="41">
        <v>7.6999999999999999E-2</v>
      </c>
      <c r="C49" s="41">
        <v>0.10200000000000001</v>
      </c>
      <c r="D49" s="41">
        <v>0.127</v>
      </c>
      <c r="E49" s="41">
        <v>0.152</v>
      </c>
      <c r="F49" s="41">
        <v>0.17699999999999999</v>
      </c>
      <c r="G49" s="41">
        <v>0.20199999999999999</v>
      </c>
    </row>
    <row r="50" spans="1:7" ht="15" x14ac:dyDescent="0.3">
      <c r="A50" s="42" t="s">
        <v>70</v>
      </c>
      <c r="B50" s="41">
        <v>5.9290000000000002E-3</v>
      </c>
      <c r="C50" s="41">
        <v>1.0404000000000002E-2</v>
      </c>
      <c r="D50" s="41">
        <v>1.6129000000000001E-2</v>
      </c>
      <c r="E50" s="41">
        <v>2.3104E-2</v>
      </c>
      <c r="F50" s="41">
        <v>3.1328999999999996E-2</v>
      </c>
      <c r="G50" s="41">
        <v>4.0803999999999993E-2</v>
      </c>
    </row>
    <row r="51" spans="1:7" ht="15" x14ac:dyDescent="0.3">
      <c r="A51" s="42" t="s">
        <v>71</v>
      </c>
      <c r="B51" s="36">
        <v>1.5068213537674789E-2</v>
      </c>
      <c r="C51" s="36">
        <v>2.1048078241893361E-2</v>
      </c>
      <c r="D51" s="36">
        <v>3.0749652241374853E-2</v>
      </c>
      <c r="E51" s="36">
        <v>4.1675635135226742E-2</v>
      </c>
      <c r="F51" s="36">
        <v>5.3980073805964597E-2</v>
      </c>
      <c r="G51" s="36">
        <v>7.0331102837393106E-2</v>
      </c>
    </row>
  </sheetData>
  <mergeCells count="13">
    <mergeCell ref="A1:G1"/>
    <mergeCell ref="A20:E20"/>
    <mergeCell ref="A47:G47"/>
    <mergeCell ref="B2:G2"/>
    <mergeCell ref="A4:A7"/>
    <mergeCell ref="A8:A11"/>
    <mergeCell ref="A12:A15"/>
    <mergeCell ref="A16:A19"/>
    <mergeCell ref="A22:A27"/>
    <mergeCell ref="A28:A33"/>
    <mergeCell ref="A34:A39"/>
    <mergeCell ref="A40:A45"/>
    <mergeCell ref="A2:A3"/>
  </mergeCells>
  <pageMargins left="0.23622047244094491" right="0.23622047244094491" top="7.874015748031496E-2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Погрешности косвенные (Шаблон)</vt:lpstr>
      <vt:lpstr>МНК (Шаблон)</vt:lpstr>
      <vt:lpstr>предисловие</vt:lpstr>
      <vt:lpstr>Таблица 1</vt:lpstr>
      <vt:lpstr>Таблица 2</vt:lpstr>
      <vt:lpstr>Таблица 3</vt:lpstr>
      <vt:lpstr>График 1</vt:lpstr>
      <vt:lpstr>График 2</vt:lpstr>
      <vt:lpstr>Печать 1</vt:lpstr>
      <vt:lpstr>Печать 3</vt:lpstr>
      <vt:lpstr>Печать 2</vt:lpstr>
      <vt:lpstr>Параметры установки</vt:lpstr>
      <vt:lpstr>Погрешности прямые (t)</vt:lpstr>
      <vt:lpstr>Погрешности прямые (a)</vt:lpstr>
      <vt:lpstr>Погрешности косвенные (a)</vt:lpstr>
      <vt:lpstr>Погрешности прямые (e)</vt:lpstr>
      <vt:lpstr>Погрешности косвенные (e)</vt:lpstr>
      <vt:lpstr>Погрешности прямые (M)</vt:lpstr>
      <vt:lpstr>Погрешности косвенные (M)</vt:lpstr>
      <vt:lpstr>МНК рис.1</vt:lpstr>
      <vt:lpstr>МНК рис.2</vt:lpstr>
      <vt:lpstr>МНК рис.3</vt:lpstr>
      <vt:lpstr>МНК рис.4</vt:lpstr>
      <vt:lpstr>МНК рис.5</vt:lpstr>
      <vt:lpstr>МНК рис.6</vt:lpstr>
      <vt:lpstr>МНК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Тахватулин Михаил Витальевич</cp:lastModifiedBy>
  <cp:lastPrinted>2021-10-21T21:58:13Z</cp:lastPrinted>
  <dcterms:created xsi:type="dcterms:W3CDTF">2015-06-05T18:19:34Z</dcterms:created>
  <dcterms:modified xsi:type="dcterms:W3CDTF">2023-10-19T09:42:56Z</dcterms:modified>
</cp:coreProperties>
</file>