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D:\CodingToy\rag-project-management-backend\data_sources\"/>
    </mc:Choice>
  </mc:AlternateContent>
  <xr:revisionPtr revIDLastSave="0" documentId="13_ncr:1_{DE71E4A6-3D41-4992-B4EF-66AC89870182}" xr6:coauthVersionLast="47" xr6:coauthVersionMax="47" xr10:uidLastSave="{00000000-0000-0000-0000-000000000000}"/>
  <bookViews>
    <workbookView xWindow="720" yWindow="810" windowWidth="28800" windowHeight="15135" xr2:uid="{00000000-000D-0000-FFFF-FFFF00000000}"/>
  </bookViews>
  <sheets>
    <sheet name="Tasks" sheetId="1" r:id="rId1"/>
    <sheet name="Summary" sheetId="2" r:id="rId2"/>
  </sheets>
  <calcPr calcId="181029"/>
</workbook>
</file>

<file path=xl/calcChain.xml><?xml version="1.0" encoding="utf-8"?>
<calcChain xmlns="http://schemas.openxmlformats.org/spreadsheetml/2006/main">
  <c r="B2" i="2" l="1"/>
  <c r="L27" i="2"/>
  <c r="K27" i="2"/>
  <c r="J27" i="2"/>
  <c r="I27" i="2"/>
  <c r="H27" i="2"/>
  <c r="G27" i="2"/>
  <c r="F27" i="2"/>
  <c r="E27" i="2"/>
  <c r="D27" i="2"/>
  <c r="C27" i="2"/>
  <c r="B27" i="2"/>
  <c r="L26" i="2"/>
  <c r="K26" i="2"/>
  <c r="J26" i="2"/>
  <c r="I26" i="2"/>
  <c r="H26" i="2"/>
  <c r="G26" i="2"/>
  <c r="F26" i="2"/>
  <c r="E26" i="2"/>
  <c r="D26" i="2"/>
  <c r="C26" i="2"/>
  <c r="B26" i="2"/>
  <c r="L25" i="2"/>
  <c r="K25" i="2"/>
  <c r="J25" i="2"/>
  <c r="I25" i="2"/>
  <c r="H25" i="2"/>
  <c r="G25" i="2"/>
  <c r="F25" i="2"/>
  <c r="E25" i="2"/>
  <c r="D25" i="2"/>
  <c r="C25" i="2"/>
  <c r="B25" i="2"/>
  <c r="L24" i="2"/>
  <c r="K24" i="2"/>
  <c r="J24" i="2"/>
  <c r="I24" i="2"/>
  <c r="H24" i="2"/>
  <c r="G24" i="2"/>
  <c r="F24" i="2"/>
  <c r="E24" i="2"/>
  <c r="D24" i="2"/>
  <c r="C24" i="2"/>
  <c r="B24" i="2"/>
  <c r="L23" i="2"/>
  <c r="K23" i="2"/>
  <c r="J23" i="2"/>
  <c r="I23" i="2"/>
  <c r="H23" i="2"/>
  <c r="G23" i="2"/>
  <c r="F23" i="2"/>
  <c r="E23" i="2"/>
  <c r="D23" i="2"/>
  <c r="C23" i="2"/>
  <c r="B23" i="2"/>
  <c r="L22" i="2"/>
  <c r="K22" i="2"/>
  <c r="J22" i="2"/>
  <c r="I22" i="2"/>
  <c r="H22" i="2"/>
  <c r="G22" i="2"/>
  <c r="F22" i="2"/>
  <c r="E22" i="2"/>
  <c r="D22" i="2"/>
  <c r="C22" i="2"/>
  <c r="B22" i="2"/>
  <c r="L21" i="2"/>
  <c r="K21" i="2"/>
  <c r="J21" i="2"/>
  <c r="I21" i="2"/>
  <c r="H21" i="2"/>
  <c r="G21" i="2"/>
  <c r="F21" i="2"/>
  <c r="E21" i="2"/>
  <c r="D21" i="2"/>
  <c r="C21" i="2"/>
  <c r="B21" i="2"/>
  <c r="L20" i="2"/>
  <c r="K20" i="2"/>
  <c r="J20" i="2"/>
  <c r="I20" i="2"/>
  <c r="H20" i="2"/>
  <c r="G20" i="2"/>
  <c r="F20" i="2"/>
  <c r="E20" i="2"/>
  <c r="D20" i="2"/>
  <c r="C20" i="2"/>
  <c r="B20" i="2"/>
  <c r="L19" i="2"/>
  <c r="K19" i="2"/>
  <c r="J19" i="2"/>
  <c r="I19" i="2"/>
  <c r="H19" i="2"/>
  <c r="G19" i="2"/>
  <c r="F19" i="2"/>
  <c r="E19" i="2"/>
  <c r="D19" i="2"/>
  <c r="C19" i="2"/>
  <c r="B19" i="2"/>
  <c r="L18" i="2"/>
  <c r="K18" i="2"/>
  <c r="J18" i="2"/>
  <c r="I18" i="2"/>
  <c r="H18" i="2"/>
  <c r="G18" i="2"/>
  <c r="F18" i="2"/>
  <c r="E18" i="2"/>
  <c r="D18" i="2"/>
  <c r="C18" i="2"/>
  <c r="B18" i="2"/>
  <c r="L17" i="2"/>
  <c r="K17" i="2"/>
  <c r="J17" i="2"/>
  <c r="I17" i="2"/>
  <c r="H17" i="2"/>
  <c r="G17" i="2"/>
  <c r="F17" i="2"/>
  <c r="E17" i="2"/>
  <c r="D17" i="2"/>
  <c r="C17" i="2"/>
  <c r="B17" i="2"/>
  <c r="L16" i="2"/>
  <c r="K16" i="2"/>
  <c r="J16" i="2"/>
  <c r="I16" i="2"/>
  <c r="H16" i="2"/>
  <c r="G16" i="2"/>
  <c r="F16" i="2"/>
  <c r="E16" i="2"/>
  <c r="D16" i="2"/>
  <c r="C16" i="2"/>
  <c r="B16" i="2"/>
  <c r="L15" i="2"/>
  <c r="K15" i="2"/>
  <c r="J15" i="2"/>
  <c r="I15" i="2"/>
  <c r="H15" i="2"/>
  <c r="G15" i="2"/>
  <c r="F15" i="2"/>
  <c r="E15" i="2"/>
  <c r="D15" i="2"/>
  <c r="C15" i="2"/>
  <c r="B15" i="2"/>
  <c r="L14" i="2"/>
  <c r="K14" i="2"/>
  <c r="J14" i="2"/>
  <c r="I14" i="2"/>
  <c r="H14" i="2"/>
  <c r="G14" i="2"/>
  <c r="F14" i="2"/>
  <c r="E14" i="2"/>
  <c r="D14" i="2"/>
  <c r="C14" i="2"/>
  <c r="B14" i="2"/>
  <c r="L13" i="2"/>
  <c r="K13" i="2"/>
  <c r="J13" i="2"/>
  <c r="I13" i="2"/>
  <c r="H13" i="2"/>
  <c r="G13" i="2"/>
  <c r="F13" i="2"/>
  <c r="E13" i="2"/>
  <c r="D13" i="2"/>
  <c r="C13" i="2"/>
  <c r="B13" i="2"/>
  <c r="L12" i="2"/>
  <c r="K12" i="2"/>
  <c r="J12" i="2"/>
  <c r="I12" i="2"/>
  <c r="H12" i="2"/>
  <c r="G12" i="2"/>
  <c r="F12" i="2"/>
  <c r="E12" i="2"/>
  <c r="D12" i="2"/>
  <c r="C12" i="2"/>
  <c r="B12" i="2"/>
  <c r="L11" i="2"/>
  <c r="K11" i="2"/>
  <c r="J11" i="2"/>
  <c r="I11" i="2"/>
  <c r="H11" i="2"/>
  <c r="G11" i="2"/>
  <c r="F11" i="2"/>
  <c r="E11" i="2"/>
  <c r="D11" i="2"/>
  <c r="C11" i="2"/>
  <c r="B11" i="2"/>
  <c r="L10" i="2"/>
  <c r="K10" i="2"/>
  <c r="J10" i="2"/>
  <c r="I10" i="2"/>
  <c r="H10" i="2"/>
  <c r="G10" i="2"/>
  <c r="F10" i="2"/>
  <c r="E10" i="2"/>
  <c r="D10" i="2"/>
  <c r="M10" i="2" s="1"/>
  <c r="C10" i="2"/>
  <c r="B10" i="2"/>
  <c r="L9" i="2"/>
  <c r="K9" i="2"/>
  <c r="J9" i="2"/>
  <c r="I9" i="2"/>
  <c r="H9" i="2"/>
  <c r="G9" i="2"/>
  <c r="M9" i="2" s="1"/>
  <c r="F9" i="2"/>
  <c r="E9" i="2"/>
  <c r="D9" i="2"/>
  <c r="C9" i="2"/>
  <c r="B9" i="2"/>
  <c r="L8" i="2"/>
  <c r="K8" i="2"/>
  <c r="J8" i="2"/>
  <c r="I8" i="2"/>
  <c r="H8" i="2"/>
  <c r="G8" i="2"/>
  <c r="F8" i="2"/>
  <c r="E8" i="2"/>
  <c r="D8" i="2"/>
  <c r="C8" i="2"/>
  <c r="B8" i="2"/>
  <c r="M8" i="2" s="1"/>
  <c r="L7" i="2"/>
  <c r="K7" i="2"/>
  <c r="J7" i="2"/>
  <c r="I7" i="2"/>
  <c r="H7" i="2"/>
  <c r="G7" i="2"/>
  <c r="F7" i="2"/>
  <c r="E7" i="2"/>
  <c r="M7" i="2" s="1"/>
  <c r="D7" i="2"/>
  <c r="C7" i="2"/>
  <c r="B7" i="2"/>
  <c r="L6" i="2"/>
  <c r="K6" i="2"/>
  <c r="J6" i="2"/>
  <c r="I6" i="2"/>
  <c r="H6" i="2"/>
  <c r="G6" i="2"/>
  <c r="F6" i="2"/>
  <c r="E6" i="2"/>
  <c r="D6" i="2"/>
  <c r="C6" i="2"/>
  <c r="B6" i="2"/>
  <c r="L5" i="2"/>
  <c r="K5" i="2"/>
  <c r="J5" i="2"/>
  <c r="I5" i="2"/>
  <c r="H5" i="2"/>
  <c r="G5" i="2"/>
  <c r="F5" i="2"/>
  <c r="E5" i="2"/>
  <c r="D5" i="2"/>
  <c r="C5" i="2"/>
  <c r="B5" i="2"/>
  <c r="L4" i="2"/>
  <c r="K4" i="2"/>
  <c r="J4" i="2"/>
  <c r="I4" i="2"/>
  <c r="H4" i="2"/>
  <c r="G4" i="2"/>
  <c r="F4" i="2"/>
  <c r="E4" i="2"/>
  <c r="D4" i="2"/>
  <c r="C4" i="2"/>
  <c r="M4" i="2" s="1"/>
  <c r="B4" i="2"/>
  <c r="L3" i="2"/>
  <c r="K3" i="2"/>
  <c r="J3" i="2"/>
  <c r="J28" i="2" s="1"/>
  <c r="I3" i="2"/>
  <c r="I28" i="2" s="1"/>
  <c r="H3" i="2"/>
  <c r="H28" i="2" s="1"/>
  <c r="G3" i="2"/>
  <c r="F3" i="2"/>
  <c r="E3" i="2"/>
  <c r="D3" i="2"/>
  <c r="C3" i="2"/>
  <c r="B3" i="2"/>
  <c r="M3" i="2" s="1"/>
  <c r="L2" i="2"/>
  <c r="L28" i="2" s="1"/>
  <c r="K2" i="2"/>
  <c r="K28" i="2" s="1"/>
  <c r="J2" i="2"/>
  <c r="I2" i="2"/>
  <c r="H2" i="2"/>
  <c r="G2" i="2"/>
  <c r="F2" i="2"/>
  <c r="F28" i="2" s="1"/>
  <c r="E2" i="2"/>
  <c r="E28" i="2" s="1"/>
  <c r="D2" i="2"/>
  <c r="D28" i="2" s="1"/>
  <c r="C2" i="2"/>
  <c r="C28" i="2" s="1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6" i="2"/>
  <c r="M5" i="2"/>
  <c r="G28" i="2" l="1"/>
  <c r="M2" i="2"/>
  <c r="B28" i="2"/>
  <c r="M28" i="2" s="1"/>
</calcChain>
</file>

<file path=xl/sharedStrings.xml><?xml version="1.0" encoding="utf-8"?>
<sst xmlns="http://schemas.openxmlformats.org/spreadsheetml/2006/main" count="652" uniqueCount="269">
  <si>
    <t>Sprint Number</t>
  </si>
  <si>
    <t>Task Number</t>
  </si>
  <si>
    <t>Assignee</t>
  </si>
  <si>
    <t>Team</t>
  </si>
  <si>
    <t>Task Title</t>
  </si>
  <si>
    <t>Task Description</t>
  </si>
  <si>
    <t>Task start date</t>
  </si>
  <si>
    <t>Task end date</t>
  </si>
  <si>
    <t>Status</t>
  </si>
  <si>
    <t>Priority</t>
  </si>
  <si>
    <t>Story Point</t>
  </si>
  <si>
    <t>M1-258</t>
  </si>
  <si>
    <t>Chung Edmond Tin Ho</t>
  </si>
  <si>
    <t>dev env no data in wp_drawings</t>
  </si>
  <si>
    <t>2025-10-19</t>
  </si>
  <si>
    <t>Backlog</t>
  </si>
  <si>
    <t>Medium</t>
  </si>
  <si>
    <t>M1-257</t>
  </si>
  <si>
    <t>圖紙表修訂版問題</t>
  </si>
  <si>
    <t>M1-256</t>
  </si>
  <si>
    <t>Jazzy</t>
  </si>
  <si>
    <t>M1-02 UIUX UX Pilot Study</t>
  </si>
  <si>
    <t>2025-10-17</t>
  </si>
  <si>
    <t>In Progress</t>
  </si>
  <si>
    <t>M1-255</t>
  </si>
  <si>
    <t>M1-02 UIUX Initial Design</t>
  </si>
  <si>
    <t>M1-254</t>
  </si>
  <si>
    <t>Shop drawing traditional and M1 Workflow</t>
  </si>
  <si>
    <t>M1-253</t>
  </si>
  <si>
    <t>Project Team User Engagement</t>
  </si>
  <si>
    <t>M1-252</t>
  </si>
  <si>
    <t>Test FTP nodes, currently cant read some Chinese characters (半形中文)</t>
  </si>
  <si>
    <t>M1-251</t>
  </si>
  <si>
    <t>New workflow / webhook for non-drawings</t>
  </si>
  <si>
    <t>M1-250</t>
  </si>
  <si>
    <t>Tony Ho</t>
  </si>
  <si>
    <t>Page title space to be shrink Upload section</t>
  </si>
  <si>
    <t>M1-249</t>
  </si>
  <si>
    <t>Files Sometimes Cannot Upload (Bug)</t>
  </si>
  <si>
    <t>M1-248</t>
  </si>
  <si>
    <t>Display Progress of Upload to Public Drive ( Discuss with Tech team)</t>
  </si>
  <si>
    <t>M1-247</t>
  </si>
  <si>
    <t>Fix Bug in Jumping to Page Numbers</t>
  </si>
  <si>
    <t>Done</t>
  </si>
  <si>
    <t>M1-246</t>
  </si>
  <si>
    <t>Departments Permission Controls</t>
  </si>
  <si>
    <t>M1-245</t>
  </si>
  <si>
    <t>review PDF Comparison Function ( Auto feature+ Improvement)</t>
  </si>
  <si>
    <t>M1-244</t>
  </si>
  <si>
    <t>Upload: Support Folder Upload Structured by Phase-Discipline-Type</t>
  </si>
  <si>
    <t>M1-243</t>
  </si>
  <si>
    <t>Allow SZ Department Accounts to Modify Drawing Discipline</t>
  </si>
  <si>
    <t>M1-242</t>
  </si>
  <si>
    <t>File Receipt Details Page: Change Sequence to Latest Design Change, Design Change 0 (Initial Data), Design Change 1, etc</t>
  </si>
  <si>
    <t>M1-241</t>
  </si>
  <si>
    <t>Upload Page: Add "Drawing Type" and "Design Change Version" Inputs</t>
  </si>
  <si>
    <t>M1-240</t>
  </si>
  <si>
    <t>Delete the display of time and version in the "Batch Table"</t>
  </si>
  <si>
    <t>M1-239</t>
  </si>
  <si>
    <t>Hide ID Before Each Drawing / Change Upload Page</t>
  </si>
  <si>
    <t>2025-10-21</t>
  </si>
  <si>
    <t>M1-238</t>
  </si>
  <si>
    <t>Cyrus Chau</t>
  </si>
  <si>
    <t>Bind Corresponding Wechat To M1</t>
  </si>
  <si>
    <t>M1-237</t>
  </si>
  <si>
    <t>Bind Corresponding Email To M1</t>
  </si>
  <si>
    <t>M1-236</t>
  </si>
  <si>
    <t>Requires confirmation from the Shenzhen department on the notification sending scheme</t>
  </si>
  <si>
    <t>M1-235</t>
  </si>
  <si>
    <t>"Notify Sender" feature</t>
  </si>
  <si>
    <t>M1-234</t>
  </si>
  <si>
    <t>M1-233</t>
  </si>
  <si>
    <t>Upload Page: Change Sender to "Original Data Source (Company/Person)"</t>
  </si>
  <si>
    <t>M1-232</t>
  </si>
  <si>
    <t>johnny.ma</t>
  </si>
  <si>
    <t>Reduce Space in Page Title Section</t>
  </si>
  <si>
    <t>M1-231</t>
  </si>
  <si>
    <t>Adjust Position of Project Selection, Not in the Middle</t>
  </si>
  <si>
    <t>M1-230</t>
  </si>
  <si>
    <t>Save User's Project Level Selection Unless Manually Changed</t>
  </si>
  <si>
    <t>M1-229</t>
  </si>
  <si>
    <t>M1 Refinement Phase 2 (Post UAT)</t>
  </si>
  <si>
    <t>M1-228</t>
  </si>
  <si>
    <t>Notification Matrix for upload page (notice whom)</t>
  </si>
  <si>
    <t>2025-10-15</t>
  </si>
  <si>
    <t>M1-227</t>
  </si>
  <si>
    <t>M1 refinement- delete upload botton</t>
  </si>
  <si>
    <t>2025-09-26</t>
  </si>
  <si>
    <t>M1-226</t>
  </si>
  <si>
    <t>M1 refinement- number of upload file</t>
  </si>
  <si>
    <t>2025-09-25</t>
  </si>
  <si>
    <t>CLOSED</t>
  </si>
  <si>
    <t>M1-225</t>
  </si>
  <si>
    <t>Internal Demo</t>
  </si>
  <si>
    <t>2025-09-19</t>
  </si>
  <si>
    <t>2025-09-24</t>
  </si>
  <si>
    <t>M1-224</t>
  </si>
  <si>
    <t>Review M1-shop drawing spec</t>
  </si>
  <si>
    <t>2025-09-17</t>
  </si>
  <si>
    <t>M1-223</t>
  </si>
  <si>
    <t>M1-refinement</t>
  </si>
  <si>
    <t>M1-222</t>
  </si>
  <si>
    <t>Delete workflow</t>
  </si>
  <si>
    <t>2025-09-09</t>
  </si>
  <si>
    <t>M1-221</t>
  </si>
  <si>
    <t>Security Issues</t>
  </si>
  <si>
    <t>2025-09-01</t>
  </si>
  <si>
    <t>M1-220</t>
  </si>
  <si>
    <t>SZ AliCloud connect to Sundart WebDav</t>
  </si>
  <si>
    <t>2025-08-29</t>
  </si>
  <si>
    <t>M1-219</t>
  </si>
  <si>
    <t>非圖紙類 Registery</t>
  </si>
  <si>
    <t>M1-218</t>
  </si>
  <si>
    <t>Folder Table</t>
  </si>
  <si>
    <t>M1-217</t>
  </si>
  <si>
    <t>M1-02 Shop Drawing</t>
  </si>
  <si>
    <t>2025-10-02</t>
  </si>
  <si>
    <t>2025-11-22</t>
  </si>
  <si>
    <t>M1-216</t>
  </si>
  <si>
    <t>Novade M2 presentation optimization</t>
  </si>
  <si>
    <t>2025-08-27</t>
  </si>
  <si>
    <t>M1-215</t>
  </si>
  <si>
    <t>Coordination of presentation</t>
  </si>
  <si>
    <t>M1-214</t>
  </si>
  <si>
    <t>Talk with Novade employee  28/08</t>
  </si>
  <si>
    <t>M1-213</t>
  </si>
  <si>
    <t>interview with Tsang about defect process and novade</t>
  </si>
  <si>
    <t>M1-212</t>
  </si>
  <si>
    <t>Shop Drawing Spec Questionnaire</t>
  </si>
  <si>
    <t>2025-08-26</t>
  </si>
  <si>
    <t>M1-211</t>
  </si>
  <si>
    <t>M1 Stage2 - Shop Drawing Spec</t>
  </si>
  <si>
    <t>M1-210</t>
  </si>
  <si>
    <t>Post-818 User Feedback Implementation</t>
  </si>
  <si>
    <t>2025-08-25</t>
  </si>
  <si>
    <t>2025-09-29</t>
  </si>
  <si>
    <t>M1-209</t>
  </si>
  <si>
    <t>standalone comparsion WP plugin</t>
  </si>
  <si>
    <t>M1-208</t>
  </si>
  <si>
    <t>python endpoint split_pdf to add directly to ftp and deletes temp files</t>
  </si>
  <si>
    <t>M1-207</t>
  </si>
  <si>
    <t>User feedback:上傳的文件在服務器(項目磁盤)找不到，文件夾都無睇到。最新图纸/室内专业/建筑结构图/机电图/图表也不現實内容</t>
  </si>
  <si>
    <t>M1-206</t>
  </si>
  <si>
    <t>RAG (ChatBox) Setup for Drawing Titles and Numbers</t>
  </si>
  <si>
    <t>M1-205</t>
  </si>
  <si>
    <t>Bug: Cannot download Batch Zip in "Batch Upload" page</t>
  </si>
  <si>
    <t>https://61.93.241.82/sdd/?lang=zh-cnBatch Link: https://61.93.241.82/sdd/wp-content/uploads/dms_drawings/2025-08-25-%e9%bb%83%e6%96%b0%e8%88%88%e4%bd%8f%e5%ae%85-batch-12/2025-08-25-%e9%bb%83%e6%96%b0%e8%88%88%e4%bd%8f%e5%ae%85-batch-12.zip</t>
  </si>
  <si>
    <t>M1-204</t>
  </si>
  <si>
    <t>Novade report and M2 Presentation to sundart top management</t>
  </si>
  <si>
    <t>2025-08-24</t>
  </si>
  <si>
    <t>M1-203</t>
  </si>
  <si>
    <t>chatbox to download file from ftp or points to webdav</t>
  </si>
  <si>
    <t>2025-08-23</t>
  </si>
  <si>
    <t>M1-202</t>
  </si>
  <si>
    <t>vector reading mulitple lines</t>
  </si>
  <si>
    <t>M1-201</t>
  </si>
  <si>
    <t>Folder UI Study</t>
  </si>
  <si>
    <t>2025-08-22</t>
  </si>
  <si>
    <t>M1-200</t>
  </si>
  <si>
    <t>Webdav - Read Only</t>
  </si>
  <si>
    <t>M1-199</t>
  </si>
  <si>
    <t>WP Plug-In</t>
  </si>
  <si>
    <t>M1-198</t>
  </si>
  <si>
    <t>poll from wp_drawings to add to vector db</t>
  </si>
  <si>
    <t>M1-197</t>
  </si>
  <si>
    <t>Web based-Drive</t>
  </si>
  <si>
    <t>M1-196</t>
  </si>
  <si>
    <t>Notification - Whatsapp</t>
  </si>
  <si>
    <t>M1-195</t>
  </si>
  <si>
    <t>Notification - Wechat</t>
  </si>
  <si>
    <t>M1-194</t>
  </si>
  <si>
    <t>Notification User Flow</t>
  </si>
  <si>
    <t>M1-193</t>
  </si>
  <si>
    <t>Notification Function</t>
  </si>
  <si>
    <t>2025-10-30</t>
  </si>
  <si>
    <t>2025-11-12</t>
  </si>
  <si>
    <t>M1-192</t>
  </si>
  <si>
    <t>圖差Function review</t>
  </si>
  <si>
    <t>M1-191</t>
  </si>
  <si>
    <t>A Mainland entity to submit ICP for M1 website</t>
  </si>
  <si>
    <t>M1-190</t>
  </si>
  <si>
    <t>SMTP Email server</t>
  </si>
  <si>
    <t>M1-189</t>
  </si>
  <si>
    <t>Column name update: add 項目部接收時間 and 項目部上傳時間</t>
  </si>
  <si>
    <t>M1-188</t>
  </si>
  <si>
    <t>Numeric sequencing logic: classify by [Type → Project → Discipline → Discipline running number]</t>
  </si>
  <si>
    <t>M1-187</t>
  </si>
  <si>
    <t>Bulk Classification</t>
  </si>
  <si>
    <t>M1-186</t>
  </si>
  <si>
    <t>CAD Storage user flow (upload / versioning / archiving)</t>
  </si>
  <si>
    <t>M1-185</t>
  </si>
  <si>
    <t>Add “Other” sub-level under Non-Drawing types</t>
  </si>
  <si>
    <t>M1-184</t>
  </si>
  <si>
    <t>Add “Other Doc” category under each Discipline</t>
  </si>
  <si>
    <t>M1-183</t>
  </si>
  <si>
    <t>Issue: files re-classified from “Unclassified” not updating to Archive</t>
  </si>
  <si>
    <t>M1-182</t>
  </si>
  <si>
    <t>AI Classification Review (prompt refinement)</t>
  </si>
  <si>
    <t>M1-181</t>
  </si>
  <si>
    <t>Add Loading Screen</t>
  </si>
  <si>
    <t>M1-180</t>
  </si>
  <si>
    <t>Post-818 new request</t>
  </si>
  <si>
    <t>2025-09-28</t>
  </si>
  <si>
    <t>M1-179</t>
  </si>
  <si>
    <t>WebDAV Auto Delete Temp Folder Bug Fix</t>
  </si>
  <si>
    <t>2025-08-19</t>
  </si>
  <si>
    <t>2025-08-20</t>
  </si>
  <si>
    <t>M1-178</t>
  </si>
  <si>
    <t>WebDAV Service Email Alert when Task Failed</t>
  </si>
  <si>
    <t>2025-08-21</t>
  </si>
  <si>
    <t>M1-177</t>
  </si>
  <si>
    <t>SMTP Server Setup</t>
  </si>
  <si>
    <t>TXTaliyundm.dev 48f8e4407e56a27145e7TXTdev v=spf1 include:spfdm-ap-southeast-1.aliyun.com -allTXTaliyun-ap-southeast-1._domainkey.dev v=DKIM1; k=rsa; p=MIGfMA0GCSqGSIb3DQEBAQUAA4GNADCBiQKBgQCjnvrhLc/6vonA4VZPjpxhS5asGBMLf8sweTW9W2uxioaVVF4ggYGKTPEH/7W2nlpg2sgfLg4om/rp566UBVjwo0ywiCCR2PVHWX8OmZwKQCP4YTwZV9sVmTHli3Nb37JDashxTkG12pEgx3wQj0ph2OReuF0lnSwmyEngaRqWIwIDAQABTXT_dmarc.dev v=DMARC1;p=none;rua=mailto:dmarc_report@service.aliyun.comMXdev mxdm-ap-southeast-1.aliyun.com</t>
  </si>
  <si>
    <t>M1-176</t>
  </si>
  <si>
    <t>Issue: FTP WindowsExplorer Folder Name NOT same as File Path</t>
  </si>
  <si>
    <t>Windows Explorerftp://webdav_sync@61.93.241.82:2121/wp-content/uploads/dms_drawings/2025-08-20-%25e9%25bb%2583%25e6%2596%25b0%25e8%2588%2588%25e4%25bd%258f%25e5%25ae%2585-batch-1/File (Right click Properties)ftp://webdav_sync@61.93.241.82:2121/wp-content/uploads/dms_drawings/2025-08-20-%e9%bb%83%e6%96%b0%e8%88%88%e4%bd%8f%e5%ae%85-batch-1/20221020-AI-MC-034.pdf</t>
  </si>
  <si>
    <t>M1-175</t>
  </si>
  <si>
    <t>磁盘部署 和Team align-----香港部门，深圳部门，工厂部门，项目部公用一个磁盘</t>
  </si>
  <si>
    <t>M1-174</t>
  </si>
  <si>
    <t xml:space="preserve"> Email Integration （场景确认）</t>
  </si>
  <si>
    <t>M1-173</t>
  </si>
  <si>
    <t xml:space="preserve"> Notification development（场景确认）</t>
  </si>
  <si>
    <t>M1-172</t>
  </si>
  <si>
    <t xml:space="preserve"> Specification Update</t>
  </si>
  <si>
    <t>M1-171</t>
  </si>
  <si>
    <t>new endpoint to clean output files (outputs and static)</t>
  </si>
  <si>
    <t>M1-170</t>
  </si>
  <si>
    <t>和李经理麻总confirm ROI的数字</t>
  </si>
  <si>
    <t>2025-08-18</t>
  </si>
  <si>
    <t>M1-169</t>
  </si>
  <si>
    <t>制作Drawing submission workflow ，align with 李经理和麻总</t>
  </si>
  <si>
    <t>M1-168</t>
  </si>
  <si>
    <t>更新“M1产品流程”</t>
  </si>
  <si>
    <t>M1-167</t>
  </si>
  <si>
    <t>找阿蔡要最新版本的“文件接受明细”，在进行优化</t>
  </si>
  <si>
    <t>1-专业收窄2-每个专业的细分再加上“其他”</t>
  </si>
  <si>
    <t>M1-166</t>
  </si>
  <si>
    <t>Bug: Master Sheet -&gt; Batch ID Column -&gt; ID &amp; Folder Path Not Align</t>
  </si>
  <si>
    <t>How to Reproduce:After coordinator uploaded a new batchDrawing team confirmed new batchGo to master sheet look for the new “Live Design”The latest batch is 43, but in the related 
Batch ID
 column shows a different folder pathIn Master Sheet -&gt; Batch ID Column, the 
ID
 &amp; 
Folder Path
 Not Align. Pls reference attached image.Expected result: 
ID (Click-able)
 should be same as 
Folder Path</t>
  </si>
  <si>
    <t>2025-08-16</t>
  </si>
  <si>
    <t>M1-165</t>
  </si>
  <si>
    <t>Bug: Date Receive Issue (Minor, Low-Priority)</t>
  </si>
  <si>
    <t>The “Date Received” field show another non-related time.How to ReproduceIn Coordinator accountUpload a new batchAfter upload finish, check the “Date Received”There will be 
Some Chance 
to show a different older time than expect.</t>
  </si>
  <si>
    <t>M1-164</t>
  </si>
  <si>
    <t>LLM Api limit study, analyze tokens used on average</t>
  </si>
  <si>
    <t>2025-08-15</t>
  </si>
  <si>
    <t>M1-163</t>
  </si>
  <si>
    <t>Parallel n8n instances workflow study</t>
  </si>
  <si>
    <t>M1-162</t>
  </si>
  <si>
    <t xml:space="preserve">Modulize n8n functions </t>
  </si>
  <si>
    <t>M1-161</t>
  </si>
  <si>
    <t>API study - CAD to PDF (Target covert to Vector Data base)</t>
  </si>
  <si>
    <t>M1-160</t>
  </si>
  <si>
    <t>create drawing user view</t>
  </si>
  <si>
    <t>2025-08-14</t>
  </si>
  <si>
    <t>M1-159</t>
  </si>
  <si>
    <t>remove project type selection from coordinator view</t>
  </si>
  <si>
    <t>Alice</t>
  </si>
  <si>
    <t>Ava</t>
  </si>
  <si>
    <t>Daniel</t>
  </si>
  <si>
    <t>David</t>
  </si>
  <si>
    <t>Emily</t>
  </si>
  <si>
    <t>John</t>
  </si>
  <si>
    <t>Liam</t>
  </si>
  <si>
    <t>Michael</t>
  </si>
  <si>
    <t>Noah</t>
  </si>
  <si>
    <t>Olivia</t>
  </si>
  <si>
    <t>Sophia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</si>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</sst>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1"/>
  <sheetViews>
    <sheetView tabSelected="1" workbookViewId="0">
      <selection activeCell="U6" sqref="U6"/>
    </sheetView>
  </sheetViews>
  <sheetFormatPr defaultRowHeight="15" x14ac:dyDescent="0.25"/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B2" t="s">
        <v>11</v>
      </c>
      <c r="C2" t="s">
        <v>12</v>
      </c>
      <c r="E2" t="s">
        <v>13</v>
      </c>
      <c r="G2" t="s">
        <v>14</v>
      </c>
      <c r="I2" t="s">
        <v>15</v>
      </c>
      <c r="J2" t="s">
        <v>16</v>
      </c>
    </row>
    <row r="3" spans="1:11" x14ac:dyDescent="0.25">
      <c r="B3" t="s">
        <v>17</v>
      </c>
      <c r="C3" t="s">
        <v>12</v>
      </c>
      <c r="E3" t="s">
        <v>18</v>
      </c>
      <c r="G3" t="s">
        <v>14</v>
      </c>
      <c r="I3" t="s">
        <v>15</v>
      </c>
      <c r="J3" t="s">
        <v>16</v>
      </c>
    </row>
    <row r="4" spans="1:11" x14ac:dyDescent="0.25">
      <c r="B4" t="s">
        <v>19</v>
      </c>
      <c r="C4" t="s">
        <v>20</v>
      </c>
      <c r="E4" t="s">
        <v>21</v>
      </c>
      <c r="G4" t="s">
        <v>22</v>
      </c>
      <c r="I4" t="s">
        <v>23</v>
      </c>
      <c r="J4" t="s">
        <v>16</v>
      </c>
    </row>
    <row r="5" spans="1:11" x14ac:dyDescent="0.25">
      <c r="B5" t="s">
        <v>24</v>
      </c>
      <c r="C5" t="s">
        <v>20</v>
      </c>
      <c r="E5" t="s">
        <v>25</v>
      </c>
      <c r="G5" t="s">
        <v>22</v>
      </c>
      <c r="I5" t="s">
        <v>23</v>
      </c>
      <c r="J5" t="s">
        <v>16</v>
      </c>
    </row>
    <row r="6" spans="1:11" x14ac:dyDescent="0.25">
      <c r="B6" t="s">
        <v>26</v>
      </c>
      <c r="C6" t="s">
        <v>20</v>
      </c>
      <c r="E6" t="s">
        <v>27</v>
      </c>
      <c r="G6" t="s">
        <v>22</v>
      </c>
      <c r="I6" t="s">
        <v>23</v>
      </c>
      <c r="J6" t="s">
        <v>16</v>
      </c>
    </row>
    <row r="7" spans="1:11" x14ac:dyDescent="0.25">
      <c r="B7" t="s">
        <v>28</v>
      </c>
      <c r="E7" t="s">
        <v>29</v>
      </c>
      <c r="G7" t="s">
        <v>22</v>
      </c>
      <c r="I7" t="s">
        <v>15</v>
      </c>
      <c r="J7" t="s">
        <v>16</v>
      </c>
    </row>
    <row r="8" spans="1:11" x14ac:dyDescent="0.25">
      <c r="B8" t="s">
        <v>30</v>
      </c>
      <c r="E8" t="s">
        <v>31</v>
      </c>
      <c r="G8" t="s">
        <v>22</v>
      </c>
      <c r="I8" t="s">
        <v>15</v>
      </c>
      <c r="J8" t="s">
        <v>16</v>
      </c>
    </row>
    <row r="9" spans="1:11" x14ac:dyDescent="0.25">
      <c r="B9" t="s">
        <v>32</v>
      </c>
      <c r="C9" t="s">
        <v>12</v>
      </c>
      <c r="E9" t="s">
        <v>33</v>
      </c>
      <c r="G9" t="s">
        <v>22</v>
      </c>
      <c r="I9" t="s">
        <v>15</v>
      </c>
      <c r="J9" t="s">
        <v>16</v>
      </c>
    </row>
    <row r="10" spans="1:11" x14ac:dyDescent="0.25">
      <c r="B10" t="s">
        <v>34</v>
      </c>
      <c r="C10" t="s">
        <v>35</v>
      </c>
      <c r="E10" t="s">
        <v>36</v>
      </c>
      <c r="G10" t="s">
        <v>22</v>
      </c>
      <c r="I10" t="s">
        <v>15</v>
      </c>
      <c r="J10" t="s">
        <v>16</v>
      </c>
    </row>
    <row r="11" spans="1:11" x14ac:dyDescent="0.25">
      <c r="B11" t="s">
        <v>37</v>
      </c>
      <c r="E11" t="s">
        <v>38</v>
      </c>
      <c r="G11" t="s">
        <v>22</v>
      </c>
      <c r="I11" t="s">
        <v>15</v>
      </c>
      <c r="J11" t="s">
        <v>16</v>
      </c>
    </row>
    <row r="12" spans="1:11" x14ac:dyDescent="0.25">
      <c r="B12" t="s">
        <v>39</v>
      </c>
      <c r="E12" t="s">
        <v>40</v>
      </c>
      <c r="G12" t="s">
        <v>22</v>
      </c>
      <c r="I12" t="s">
        <v>15</v>
      </c>
      <c r="J12" t="s">
        <v>16</v>
      </c>
    </row>
    <row r="13" spans="1:11" x14ac:dyDescent="0.25">
      <c r="B13" t="s">
        <v>41</v>
      </c>
      <c r="E13" t="s">
        <v>42</v>
      </c>
      <c r="G13" t="s">
        <v>22</v>
      </c>
      <c r="H13" t="s">
        <v>22</v>
      </c>
      <c r="I13" t="s">
        <v>43</v>
      </c>
      <c r="J13" t="s">
        <v>16</v>
      </c>
    </row>
    <row r="14" spans="1:11" x14ac:dyDescent="0.25">
      <c r="B14" t="s">
        <v>44</v>
      </c>
      <c r="E14" t="s">
        <v>45</v>
      </c>
      <c r="G14" t="s">
        <v>22</v>
      </c>
      <c r="I14" t="s">
        <v>15</v>
      </c>
      <c r="J14" t="s">
        <v>16</v>
      </c>
    </row>
    <row r="15" spans="1:11" x14ac:dyDescent="0.25">
      <c r="B15" t="s">
        <v>46</v>
      </c>
      <c r="C15" t="s">
        <v>12</v>
      </c>
      <c r="E15" t="s">
        <v>47</v>
      </c>
      <c r="G15" t="s">
        <v>22</v>
      </c>
      <c r="I15" t="s">
        <v>15</v>
      </c>
      <c r="J15" t="s">
        <v>16</v>
      </c>
    </row>
    <row r="16" spans="1:11" x14ac:dyDescent="0.25">
      <c r="B16" t="s">
        <v>48</v>
      </c>
      <c r="C16" t="s">
        <v>35</v>
      </c>
      <c r="E16" t="s">
        <v>49</v>
      </c>
      <c r="G16" t="s">
        <v>22</v>
      </c>
      <c r="H16" t="s">
        <v>14</v>
      </c>
      <c r="I16" t="s">
        <v>43</v>
      </c>
      <c r="J16" t="s">
        <v>16</v>
      </c>
    </row>
    <row r="17" spans="2:10" x14ac:dyDescent="0.25">
      <c r="B17" t="s">
        <v>50</v>
      </c>
      <c r="C17" t="s">
        <v>35</v>
      </c>
      <c r="E17" t="s">
        <v>51</v>
      </c>
      <c r="G17" t="s">
        <v>22</v>
      </c>
      <c r="I17" t="s">
        <v>23</v>
      </c>
      <c r="J17" t="s">
        <v>16</v>
      </c>
    </row>
    <row r="18" spans="2:10" x14ac:dyDescent="0.25">
      <c r="B18" t="s">
        <v>52</v>
      </c>
      <c r="C18" t="s">
        <v>35</v>
      </c>
      <c r="E18" t="s">
        <v>53</v>
      </c>
      <c r="G18" t="s">
        <v>22</v>
      </c>
      <c r="I18" t="s">
        <v>23</v>
      </c>
      <c r="J18" t="s">
        <v>16</v>
      </c>
    </row>
    <row r="19" spans="2:10" x14ac:dyDescent="0.25">
      <c r="B19" t="s">
        <v>54</v>
      </c>
      <c r="C19" t="s">
        <v>35</v>
      </c>
      <c r="E19" t="s">
        <v>55</v>
      </c>
      <c r="G19" t="s">
        <v>22</v>
      </c>
      <c r="H19" t="s">
        <v>14</v>
      </c>
      <c r="I19" t="s">
        <v>43</v>
      </c>
      <c r="J19" t="s">
        <v>16</v>
      </c>
    </row>
    <row r="20" spans="2:10" x14ac:dyDescent="0.25">
      <c r="B20" t="s">
        <v>56</v>
      </c>
      <c r="C20" t="s">
        <v>35</v>
      </c>
      <c r="E20" t="s">
        <v>57</v>
      </c>
      <c r="G20" t="s">
        <v>22</v>
      </c>
      <c r="H20" t="s">
        <v>14</v>
      </c>
      <c r="I20" t="s">
        <v>43</v>
      </c>
      <c r="J20" t="s">
        <v>16</v>
      </c>
    </row>
    <row r="21" spans="2:10" x14ac:dyDescent="0.25">
      <c r="B21" t="s">
        <v>58</v>
      </c>
      <c r="C21" t="s">
        <v>20</v>
      </c>
      <c r="E21" t="s">
        <v>59</v>
      </c>
      <c r="G21" t="s">
        <v>22</v>
      </c>
      <c r="H21" t="s">
        <v>60</v>
      </c>
      <c r="I21" t="s">
        <v>43</v>
      </c>
      <c r="J21" t="s">
        <v>16</v>
      </c>
    </row>
    <row r="22" spans="2:10" x14ac:dyDescent="0.25">
      <c r="B22" t="s">
        <v>61</v>
      </c>
      <c r="C22" t="s">
        <v>62</v>
      </c>
      <c r="E22" t="s">
        <v>63</v>
      </c>
      <c r="G22" t="s">
        <v>22</v>
      </c>
      <c r="I22" t="s">
        <v>15</v>
      </c>
      <c r="J22" t="s">
        <v>16</v>
      </c>
    </row>
    <row r="23" spans="2:10" x14ac:dyDescent="0.25">
      <c r="B23" t="s">
        <v>64</v>
      </c>
      <c r="C23" t="s">
        <v>62</v>
      </c>
      <c r="E23" t="s">
        <v>65</v>
      </c>
      <c r="G23" t="s">
        <v>22</v>
      </c>
      <c r="I23" t="s">
        <v>15</v>
      </c>
      <c r="J23" t="s">
        <v>16</v>
      </c>
    </row>
    <row r="24" spans="2:10" x14ac:dyDescent="0.25">
      <c r="B24" t="s">
        <v>66</v>
      </c>
      <c r="C24" t="s">
        <v>20</v>
      </c>
      <c r="E24" t="s">
        <v>67</v>
      </c>
      <c r="G24" t="s">
        <v>22</v>
      </c>
      <c r="I24" t="s">
        <v>23</v>
      </c>
      <c r="J24" t="s">
        <v>16</v>
      </c>
    </row>
    <row r="25" spans="2:10" x14ac:dyDescent="0.25">
      <c r="B25" t="s">
        <v>68</v>
      </c>
      <c r="C25" t="s">
        <v>62</v>
      </c>
      <c r="E25" t="s">
        <v>69</v>
      </c>
      <c r="G25" t="s">
        <v>22</v>
      </c>
      <c r="I25" t="s">
        <v>23</v>
      </c>
      <c r="J25" t="s">
        <v>16</v>
      </c>
    </row>
    <row r="26" spans="2:10" x14ac:dyDescent="0.25">
      <c r="B26" t="s">
        <v>70</v>
      </c>
      <c r="E26" t="s">
        <v>69</v>
      </c>
      <c r="G26" t="s">
        <v>22</v>
      </c>
      <c r="I26" t="s">
        <v>15</v>
      </c>
      <c r="J26" t="s">
        <v>16</v>
      </c>
    </row>
    <row r="27" spans="2:10" x14ac:dyDescent="0.25">
      <c r="B27" t="s">
        <v>71</v>
      </c>
      <c r="C27" t="s">
        <v>35</v>
      </c>
      <c r="E27" t="s">
        <v>72</v>
      </c>
      <c r="G27" t="s">
        <v>22</v>
      </c>
      <c r="H27" t="s">
        <v>14</v>
      </c>
      <c r="I27" t="s">
        <v>43</v>
      </c>
      <c r="J27" t="s">
        <v>16</v>
      </c>
    </row>
    <row r="28" spans="2:10" x14ac:dyDescent="0.25">
      <c r="B28" t="s">
        <v>73</v>
      </c>
      <c r="C28" t="s">
        <v>74</v>
      </c>
      <c r="E28" t="s">
        <v>75</v>
      </c>
      <c r="G28" t="s">
        <v>22</v>
      </c>
      <c r="I28" t="s">
        <v>15</v>
      </c>
      <c r="J28" t="s">
        <v>16</v>
      </c>
    </row>
    <row r="29" spans="2:10" x14ac:dyDescent="0.25">
      <c r="B29" t="s">
        <v>76</v>
      </c>
      <c r="C29" t="s">
        <v>35</v>
      </c>
      <c r="E29" t="s">
        <v>77</v>
      </c>
      <c r="G29" t="s">
        <v>22</v>
      </c>
      <c r="I29" t="s">
        <v>23</v>
      </c>
      <c r="J29" t="s">
        <v>16</v>
      </c>
    </row>
    <row r="30" spans="2:10" x14ac:dyDescent="0.25">
      <c r="B30" t="s">
        <v>78</v>
      </c>
      <c r="C30" t="s">
        <v>35</v>
      </c>
      <c r="E30" t="s">
        <v>79</v>
      </c>
      <c r="G30" t="s">
        <v>22</v>
      </c>
      <c r="I30" t="s">
        <v>23</v>
      </c>
      <c r="J30" t="s">
        <v>16</v>
      </c>
    </row>
    <row r="31" spans="2:10" x14ac:dyDescent="0.25">
      <c r="B31" t="s">
        <v>80</v>
      </c>
      <c r="E31" t="s">
        <v>81</v>
      </c>
      <c r="G31" t="s">
        <v>22</v>
      </c>
      <c r="I31" t="s">
        <v>15</v>
      </c>
      <c r="J31" t="s">
        <v>16</v>
      </c>
    </row>
    <row r="32" spans="2:10" x14ac:dyDescent="0.25">
      <c r="B32" t="s">
        <v>82</v>
      </c>
      <c r="C32" t="s">
        <v>20</v>
      </c>
      <c r="E32" t="s">
        <v>83</v>
      </c>
      <c r="G32" t="s">
        <v>84</v>
      </c>
      <c r="H32" t="s">
        <v>22</v>
      </c>
      <c r="I32" t="s">
        <v>43</v>
      </c>
      <c r="J32" t="s">
        <v>16</v>
      </c>
    </row>
    <row r="33" spans="2:10" x14ac:dyDescent="0.25">
      <c r="B33" t="s">
        <v>85</v>
      </c>
      <c r="C33" t="s">
        <v>20</v>
      </c>
      <c r="E33" t="s">
        <v>86</v>
      </c>
      <c r="G33" t="s">
        <v>87</v>
      </c>
      <c r="H33" t="s">
        <v>22</v>
      </c>
      <c r="I33" t="s">
        <v>43</v>
      </c>
      <c r="J33" t="s">
        <v>16</v>
      </c>
    </row>
    <row r="34" spans="2:10" x14ac:dyDescent="0.25">
      <c r="B34" t="s">
        <v>88</v>
      </c>
      <c r="C34" t="s">
        <v>20</v>
      </c>
      <c r="E34" t="s">
        <v>89</v>
      </c>
      <c r="G34" t="s">
        <v>90</v>
      </c>
      <c r="H34" t="s">
        <v>22</v>
      </c>
      <c r="I34" t="s">
        <v>91</v>
      </c>
      <c r="J34" t="s">
        <v>16</v>
      </c>
    </row>
    <row r="35" spans="2:10" x14ac:dyDescent="0.25">
      <c r="B35" t="s">
        <v>92</v>
      </c>
      <c r="E35" t="s">
        <v>93</v>
      </c>
      <c r="G35" t="s">
        <v>94</v>
      </c>
      <c r="H35" t="s">
        <v>95</v>
      </c>
      <c r="I35" t="s">
        <v>15</v>
      </c>
      <c r="J35" t="s">
        <v>16</v>
      </c>
    </row>
    <row r="36" spans="2:10" x14ac:dyDescent="0.25">
      <c r="B36" t="s">
        <v>96</v>
      </c>
      <c r="C36" t="s">
        <v>20</v>
      </c>
      <c r="E36" t="s">
        <v>97</v>
      </c>
      <c r="G36" t="s">
        <v>98</v>
      </c>
      <c r="H36" t="s">
        <v>90</v>
      </c>
      <c r="I36" t="s">
        <v>43</v>
      </c>
      <c r="J36" t="s">
        <v>16</v>
      </c>
    </row>
    <row r="37" spans="2:10" x14ac:dyDescent="0.25">
      <c r="B37" t="s">
        <v>99</v>
      </c>
      <c r="C37" t="s">
        <v>20</v>
      </c>
      <c r="E37" t="s">
        <v>100</v>
      </c>
      <c r="G37" t="s">
        <v>98</v>
      </c>
      <c r="H37" t="s">
        <v>22</v>
      </c>
      <c r="I37" t="s">
        <v>91</v>
      </c>
      <c r="J37" t="s">
        <v>16</v>
      </c>
    </row>
    <row r="38" spans="2:10" x14ac:dyDescent="0.25">
      <c r="B38" t="s">
        <v>101</v>
      </c>
      <c r="C38" t="s">
        <v>20</v>
      </c>
      <c r="E38" t="s">
        <v>102</v>
      </c>
      <c r="G38" t="s">
        <v>103</v>
      </c>
      <c r="H38" t="s">
        <v>90</v>
      </c>
      <c r="I38" t="s">
        <v>43</v>
      </c>
      <c r="J38" t="s">
        <v>16</v>
      </c>
    </row>
    <row r="39" spans="2:10" x14ac:dyDescent="0.25">
      <c r="B39" t="s">
        <v>104</v>
      </c>
      <c r="C39" t="s">
        <v>35</v>
      </c>
      <c r="E39" t="s">
        <v>105</v>
      </c>
      <c r="G39" t="s">
        <v>106</v>
      </c>
      <c r="H39" t="s">
        <v>103</v>
      </c>
      <c r="I39" t="s">
        <v>43</v>
      </c>
      <c r="J39" t="s">
        <v>16</v>
      </c>
    </row>
    <row r="40" spans="2:10" x14ac:dyDescent="0.25">
      <c r="B40" t="s">
        <v>107</v>
      </c>
      <c r="E40" t="s">
        <v>108</v>
      </c>
      <c r="G40" t="s">
        <v>109</v>
      </c>
      <c r="I40" t="s">
        <v>15</v>
      </c>
      <c r="J40" t="s">
        <v>16</v>
      </c>
    </row>
    <row r="41" spans="2:10" x14ac:dyDescent="0.25">
      <c r="B41" t="s">
        <v>110</v>
      </c>
      <c r="E41" t="s">
        <v>111</v>
      </c>
      <c r="G41" t="s">
        <v>109</v>
      </c>
      <c r="I41" t="s">
        <v>15</v>
      </c>
      <c r="J41" t="s">
        <v>16</v>
      </c>
    </row>
    <row r="42" spans="2:10" x14ac:dyDescent="0.25">
      <c r="B42" t="s">
        <v>112</v>
      </c>
      <c r="E42" t="s">
        <v>113</v>
      </c>
      <c r="G42" t="s">
        <v>109</v>
      </c>
      <c r="I42" t="s">
        <v>15</v>
      </c>
      <c r="J42" t="s">
        <v>16</v>
      </c>
    </row>
    <row r="43" spans="2:10" x14ac:dyDescent="0.25">
      <c r="B43" t="s">
        <v>114</v>
      </c>
      <c r="E43" t="s">
        <v>115</v>
      </c>
      <c r="G43" t="s">
        <v>116</v>
      </c>
      <c r="H43" t="s">
        <v>117</v>
      </c>
      <c r="I43" t="s">
        <v>15</v>
      </c>
      <c r="J43" t="s">
        <v>16</v>
      </c>
    </row>
    <row r="44" spans="2:10" x14ac:dyDescent="0.25">
      <c r="B44" t="s">
        <v>118</v>
      </c>
      <c r="C44" t="s">
        <v>20</v>
      </c>
      <c r="E44" t="s">
        <v>119</v>
      </c>
      <c r="G44" t="s">
        <v>120</v>
      </c>
      <c r="H44" t="s">
        <v>95</v>
      </c>
      <c r="I44" t="s">
        <v>91</v>
      </c>
      <c r="J44" t="s">
        <v>16</v>
      </c>
    </row>
    <row r="45" spans="2:10" x14ac:dyDescent="0.25">
      <c r="B45" t="s">
        <v>121</v>
      </c>
      <c r="C45" t="s">
        <v>20</v>
      </c>
      <c r="E45" t="s">
        <v>122</v>
      </c>
      <c r="G45" t="s">
        <v>120</v>
      </c>
      <c r="H45" t="s">
        <v>95</v>
      </c>
      <c r="I45" t="s">
        <v>43</v>
      </c>
      <c r="J45" t="s">
        <v>16</v>
      </c>
    </row>
    <row r="46" spans="2:10" x14ac:dyDescent="0.25">
      <c r="B46" t="s">
        <v>123</v>
      </c>
      <c r="C46" t="s">
        <v>20</v>
      </c>
      <c r="E46" t="s">
        <v>124</v>
      </c>
      <c r="G46" t="s">
        <v>120</v>
      </c>
      <c r="H46" t="s">
        <v>95</v>
      </c>
      <c r="I46" t="s">
        <v>43</v>
      </c>
      <c r="J46" t="s">
        <v>16</v>
      </c>
    </row>
    <row r="47" spans="2:10" x14ac:dyDescent="0.25">
      <c r="B47" t="s">
        <v>125</v>
      </c>
      <c r="C47" t="s">
        <v>20</v>
      </c>
      <c r="E47" t="s">
        <v>126</v>
      </c>
      <c r="G47" t="s">
        <v>120</v>
      </c>
      <c r="H47" t="s">
        <v>95</v>
      </c>
      <c r="I47" t="s">
        <v>43</v>
      </c>
      <c r="J47" t="s">
        <v>16</v>
      </c>
    </row>
    <row r="48" spans="2:10" x14ac:dyDescent="0.25">
      <c r="B48" t="s">
        <v>127</v>
      </c>
      <c r="C48" t="s">
        <v>20</v>
      </c>
      <c r="E48" t="s">
        <v>128</v>
      </c>
      <c r="G48" t="s">
        <v>129</v>
      </c>
      <c r="H48" t="s">
        <v>95</v>
      </c>
      <c r="I48" t="s">
        <v>43</v>
      </c>
      <c r="J48" t="s">
        <v>16</v>
      </c>
    </row>
    <row r="49" spans="2:10" x14ac:dyDescent="0.25">
      <c r="B49" t="s">
        <v>130</v>
      </c>
      <c r="C49" t="s">
        <v>74</v>
      </c>
      <c r="E49" t="s">
        <v>131</v>
      </c>
      <c r="G49" t="s">
        <v>129</v>
      </c>
      <c r="I49" t="s">
        <v>15</v>
      </c>
      <c r="J49" t="s">
        <v>16</v>
      </c>
    </row>
    <row r="50" spans="2:10" x14ac:dyDescent="0.25">
      <c r="B50" t="s">
        <v>132</v>
      </c>
      <c r="E50" t="s">
        <v>133</v>
      </c>
      <c r="G50" t="s">
        <v>134</v>
      </c>
      <c r="H50" t="s">
        <v>135</v>
      </c>
      <c r="I50" t="s">
        <v>23</v>
      </c>
      <c r="J50" t="s">
        <v>16</v>
      </c>
    </row>
    <row r="51" spans="2:10" x14ac:dyDescent="0.25">
      <c r="B51" t="s">
        <v>136</v>
      </c>
      <c r="C51" t="s">
        <v>12</v>
      </c>
      <c r="E51" t="s">
        <v>137</v>
      </c>
      <c r="G51" t="s">
        <v>129</v>
      </c>
      <c r="I51" t="s">
        <v>23</v>
      </c>
      <c r="J51" t="s">
        <v>16</v>
      </c>
    </row>
    <row r="52" spans="2:10" x14ac:dyDescent="0.25">
      <c r="B52" t="s">
        <v>138</v>
      </c>
      <c r="C52" t="s">
        <v>12</v>
      </c>
      <c r="E52" t="s">
        <v>139</v>
      </c>
      <c r="G52" t="s">
        <v>129</v>
      </c>
      <c r="I52" t="s">
        <v>23</v>
      </c>
      <c r="J52" t="s">
        <v>16</v>
      </c>
    </row>
    <row r="53" spans="2:10" x14ac:dyDescent="0.25">
      <c r="B53" t="s">
        <v>140</v>
      </c>
      <c r="C53" t="s">
        <v>35</v>
      </c>
      <c r="E53" t="s">
        <v>141</v>
      </c>
      <c r="G53" t="s">
        <v>129</v>
      </c>
      <c r="H53" t="s">
        <v>14</v>
      </c>
      <c r="I53" t="s">
        <v>43</v>
      </c>
      <c r="J53" t="s">
        <v>16</v>
      </c>
    </row>
    <row r="54" spans="2:10" x14ac:dyDescent="0.25">
      <c r="B54" t="s">
        <v>142</v>
      </c>
      <c r="C54" t="s">
        <v>12</v>
      </c>
      <c r="E54" t="s">
        <v>143</v>
      </c>
      <c r="G54" t="s">
        <v>134</v>
      </c>
      <c r="I54" t="s">
        <v>23</v>
      </c>
      <c r="J54" t="s">
        <v>16</v>
      </c>
    </row>
    <row r="55" spans="2:10" x14ac:dyDescent="0.25">
      <c r="B55" t="s">
        <v>144</v>
      </c>
      <c r="C55" t="s">
        <v>35</v>
      </c>
      <c r="E55" t="s">
        <v>145</v>
      </c>
      <c r="F55" t="s">
        <v>146</v>
      </c>
      <c r="G55" t="s">
        <v>134</v>
      </c>
      <c r="H55" t="s">
        <v>129</v>
      </c>
      <c r="I55" t="s">
        <v>43</v>
      </c>
      <c r="J55" t="s">
        <v>16</v>
      </c>
    </row>
    <row r="56" spans="2:10" x14ac:dyDescent="0.25">
      <c r="B56" t="s">
        <v>147</v>
      </c>
      <c r="C56" t="s">
        <v>20</v>
      </c>
      <c r="E56" t="s">
        <v>148</v>
      </c>
      <c r="G56" t="s">
        <v>149</v>
      </c>
      <c r="H56" t="s">
        <v>95</v>
      </c>
      <c r="I56" t="s">
        <v>91</v>
      </c>
      <c r="J56" t="s">
        <v>16</v>
      </c>
    </row>
    <row r="57" spans="2:10" x14ac:dyDescent="0.25">
      <c r="B57" t="s">
        <v>150</v>
      </c>
      <c r="C57" t="s">
        <v>12</v>
      </c>
      <c r="E57" t="s">
        <v>151</v>
      </c>
      <c r="G57" t="s">
        <v>152</v>
      </c>
      <c r="I57" t="s">
        <v>23</v>
      </c>
      <c r="J57" t="s">
        <v>16</v>
      </c>
    </row>
    <row r="58" spans="2:10" x14ac:dyDescent="0.25">
      <c r="B58" t="s">
        <v>153</v>
      </c>
      <c r="C58" t="s">
        <v>12</v>
      </c>
      <c r="E58" t="s">
        <v>154</v>
      </c>
      <c r="G58" t="s">
        <v>152</v>
      </c>
      <c r="I58" t="s">
        <v>23</v>
      </c>
      <c r="J58" t="s">
        <v>16</v>
      </c>
    </row>
    <row r="59" spans="2:10" x14ac:dyDescent="0.25">
      <c r="B59" t="s">
        <v>155</v>
      </c>
      <c r="C59" t="s">
        <v>12</v>
      </c>
      <c r="E59" t="s">
        <v>156</v>
      </c>
      <c r="G59" t="s">
        <v>157</v>
      </c>
      <c r="I59" t="s">
        <v>15</v>
      </c>
      <c r="J59" t="s">
        <v>16</v>
      </c>
    </row>
    <row r="60" spans="2:10" x14ac:dyDescent="0.25">
      <c r="B60" t="s">
        <v>158</v>
      </c>
      <c r="C60" t="s">
        <v>62</v>
      </c>
      <c r="E60" t="s">
        <v>159</v>
      </c>
      <c r="G60" t="s">
        <v>157</v>
      </c>
      <c r="I60" t="s">
        <v>15</v>
      </c>
      <c r="J60" t="s">
        <v>16</v>
      </c>
    </row>
    <row r="61" spans="2:10" x14ac:dyDescent="0.25">
      <c r="B61" t="s">
        <v>160</v>
      </c>
      <c r="C61" t="s">
        <v>12</v>
      </c>
      <c r="E61" t="s">
        <v>161</v>
      </c>
      <c r="G61" t="s">
        <v>157</v>
      </c>
      <c r="I61" t="s">
        <v>15</v>
      </c>
      <c r="J61" t="s">
        <v>16</v>
      </c>
    </row>
    <row r="62" spans="2:10" x14ac:dyDescent="0.25">
      <c r="B62" t="s">
        <v>162</v>
      </c>
      <c r="C62" t="s">
        <v>12</v>
      </c>
      <c r="E62" t="s">
        <v>163</v>
      </c>
      <c r="G62" t="s">
        <v>157</v>
      </c>
      <c r="I62" t="s">
        <v>23</v>
      </c>
      <c r="J62" t="s">
        <v>16</v>
      </c>
    </row>
    <row r="63" spans="2:10" x14ac:dyDescent="0.25">
      <c r="B63" t="s">
        <v>164</v>
      </c>
      <c r="C63" t="s">
        <v>12</v>
      </c>
      <c r="E63" t="s">
        <v>165</v>
      </c>
      <c r="G63" t="s">
        <v>157</v>
      </c>
      <c r="I63" t="s">
        <v>15</v>
      </c>
      <c r="J63" t="s">
        <v>16</v>
      </c>
    </row>
    <row r="64" spans="2:10" x14ac:dyDescent="0.25">
      <c r="B64" t="s">
        <v>166</v>
      </c>
      <c r="E64" t="s">
        <v>167</v>
      </c>
      <c r="G64" t="s">
        <v>157</v>
      </c>
      <c r="I64" t="s">
        <v>15</v>
      </c>
      <c r="J64" t="s">
        <v>16</v>
      </c>
    </row>
    <row r="65" spans="2:10" x14ac:dyDescent="0.25">
      <c r="B65" t="s">
        <v>168</v>
      </c>
      <c r="E65" t="s">
        <v>169</v>
      </c>
      <c r="G65" t="s">
        <v>157</v>
      </c>
      <c r="I65" t="s">
        <v>15</v>
      </c>
      <c r="J65" t="s">
        <v>16</v>
      </c>
    </row>
    <row r="66" spans="2:10" x14ac:dyDescent="0.25">
      <c r="B66" t="s">
        <v>170</v>
      </c>
      <c r="E66" t="s">
        <v>171</v>
      </c>
      <c r="G66" t="s">
        <v>157</v>
      </c>
      <c r="I66" t="s">
        <v>15</v>
      </c>
      <c r="J66" t="s">
        <v>16</v>
      </c>
    </row>
    <row r="67" spans="2:10" x14ac:dyDescent="0.25">
      <c r="B67" t="s">
        <v>172</v>
      </c>
      <c r="E67" t="s">
        <v>173</v>
      </c>
      <c r="G67" t="s">
        <v>174</v>
      </c>
      <c r="H67" t="s">
        <v>175</v>
      </c>
      <c r="I67" t="s">
        <v>23</v>
      </c>
      <c r="J67" t="s">
        <v>16</v>
      </c>
    </row>
    <row r="68" spans="2:10" x14ac:dyDescent="0.25">
      <c r="B68" t="s">
        <v>176</v>
      </c>
      <c r="C68" t="s">
        <v>12</v>
      </c>
      <c r="E68" t="s">
        <v>177</v>
      </c>
      <c r="G68" t="s">
        <v>157</v>
      </c>
      <c r="I68" t="s">
        <v>23</v>
      </c>
      <c r="J68" t="s">
        <v>16</v>
      </c>
    </row>
    <row r="69" spans="2:10" x14ac:dyDescent="0.25">
      <c r="B69" t="s">
        <v>178</v>
      </c>
      <c r="E69" t="s">
        <v>179</v>
      </c>
      <c r="G69" t="s">
        <v>157</v>
      </c>
      <c r="I69" t="s">
        <v>15</v>
      </c>
      <c r="J69" t="s">
        <v>16</v>
      </c>
    </row>
    <row r="70" spans="2:10" x14ac:dyDescent="0.25">
      <c r="B70" t="s">
        <v>180</v>
      </c>
      <c r="E70" t="s">
        <v>181</v>
      </c>
      <c r="G70" t="s">
        <v>157</v>
      </c>
      <c r="I70" t="s">
        <v>15</v>
      </c>
      <c r="J70" t="s">
        <v>16</v>
      </c>
    </row>
    <row r="71" spans="2:10" x14ac:dyDescent="0.25">
      <c r="B71" t="s">
        <v>182</v>
      </c>
      <c r="C71" t="s">
        <v>35</v>
      </c>
      <c r="E71" t="s">
        <v>183</v>
      </c>
      <c r="G71" t="s">
        <v>157</v>
      </c>
      <c r="H71" t="s">
        <v>157</v>
      </c>
      <c r="I71" t="s">
        <v>43</v>
      </c>
      <c r="J71" t="s">
        <v>16</v>
      </c>
    </row>
    <row r="72" spans="2:10" x14ac:dyDescent="0.25">
      <c r="B72" t="s">
        <v>184</v>
      </c>
      <c r="E72" t="s">
        <v>185</v>
      </c>
      <c r="G72" t="s">
        <v>157</v>
      </c>
      <c r="H72" t="s">
        <v>157</v>
      </c>
      <c r="I72" t="s">
        <v>91</v>
      </c>
      <c r="J72" t="s">
        <v>16</v>
      </c>
    </row>
    <row r="73" spans="2:10" x14ac:dyDescent="0.25">
      <c r="B73" t="s">
        <v>186</v>
      </c>
      <c r="C73" t="s">
        <v>35</v>
      </c>
      <c r="E73" t="s">
        <v>187</v>
      </c>
      <c r="G73" t="s">
        <v>157</v>
      </c>
      <c r="I73" t="s">
        <v>15</v>
      </c>
      <c r="J73" t="s">
        <v>16</v>
      </c>
    </row>
    <row r="74" spans="2:10" x14ac:dyDescent="0.25">
      <c r="B74" t="s">
        <v>188</v>
      </c>
      <c r="C74" t="s">
        <v>35</v>
      </c>
      <c r="E74" t="s">
        <v>189</v>
      </c>
      <c r="G74" t="s">
        <v>157</v>
      </c>
      <c r="H74" t="s">
        <v>14</v>
      </c>
      <c r="I74" t="s">
        <v>43</v>
      </c>
      <c r="J74" t="s">
        <v>16</v>
      </c>
    </row>
    <row r="75" spans="2:10" x14ac:dyDescent="0.25">
      <c r="B75" t="s">
        <v>190</v>
      </c>
      <c r="C75" t="s">
        <v>35</v>
      </c>
      <c r="E75" t="s">
        <v>191</v>
      </c>
      <c r="G75" t="s">
        <v>157</v>
      </c>
      <c r="H75" t="s">
        <v>14</v>
      </c>
      <c r="I75" t="s">
        <v>43</v>
      </c>
      <c r="J75" t="s">
        <v>16</v>
      </c>
    </row>
    <row r="76" spans="2:10" x14ac:dyDescent="0.25">
      <c r="B76" t="s">
        <v>192</v>
      </c>
      <c r="C76" t="s">
        <v>35</v>
      </c>
      <c r="E76" t="s">
        <v>193</v>
      </c>
      <c r="G76" t="s">
        <v>157</v>
      </c>
      <c r="H76" t="s">
        <v>14</v>
      </c>
      <c r="I76" t="s">
        <v>43</v>
      </c>
      <c r="J76" t="s">
        <v>16</v>
      </c>
    </row>
    <row r="77" spans="2:10" x14ac:dyDescent="0.25">
      <c r="B77" t="s">
        <v>194</v>
      </c>
      <c r="C77" t="s">
        <v>62</v>
      </c>
      <c r="E77" t="s">
        <v>195</v>
      </c>
      <c r="G77" t="s">
        <v>157</v>
      </c>
      <c r="I77" t="s">
        <v>15</v>
      </c>
      <c r="J77" t="s">
        <v>16</v>
      </c>
    </row>
    <row r="78" spans="2:10" x14ac:dyDescent="0.25">
      <c r="B78" t="s">
        <v>196</v>
      </c>
      <c r="C78" t="s">
        <v>12</v>
      </c>
      <c r="E78" t="s">
        <v>197</v>
      </c>
      <c r="G78" t="s">
        <v>157</v>
      </c>
      <c r="H78" t="s">
        <v>120</v>
      </c>
      <c r="I78" t="s">
        <v>15</v>
      </c>
      <c r="J78" t="s">
        <v>16</v>
      </c>
    </row>
    <row r="79" spans="2:10" x14ac:dyDescent="0.25">
      <c r="B79" t="s">
        <v>198</v>
      </c>
      <c r="C79" t="s">
        <v>12</v>
      </c>
      <c r="E79" t="s">
        <v>199</v>
      </c>
      <c r="G79" t="s">
        <v>157</v>
      </c>
      <c r="H79" t="s">
        <v>134</v>
      </c>
      <c r="I79" t="s">
        <v>91</v>
      </c>
      <c r="J79" t="s">
        <v>16</v>
      </c>
    </row>
    <row r="80" spans="2:10" x14ac:dyDescent="0.25">
      <c r="B80" t="s">
        <v>200</v>
      </c>
      <c r="E80" t="s">
        <v>201</v>
      </c>
      <c r="G80" t="s">
        <v>157</v>
      </c>
      <c r="H80" t="s">
        <v>202</v>
      </c>
      <c r="I80" t="s">
        <v>15</v>
      </c>
      <c r="J80" t="s">
        <v>16</v>
      </c>
    </row>
    <row r="81" spans="2:10" x14ac:dyDescent="0.25">
      <c r="B81" t="s">
        <v>203</v>
      </c>
      <c r="C81" t="s">
        <v>62</v>
      </c>
      <c r="E81" t="s">
        <v>204</v>
      </c>
      <c r="G81" t="s">
        <v>205</v>
      </c>
      <c r="H81" t="s">
        <v>206</v>
      </c>
      <c r="I81" t="s">
        <v>43</v>
      </c>
      <c r="J81" t="s">
        <v>16</v>
      </c>
    </row>
    <row r="82" spans="2:10" x14ac:dyDescent="0.25">
      <c r="B82" t="s">
        <v>207</v>
      </c>
      <c r="C82" t="s">
        <v>62</v>
      </c>
      <c r="E82" t="s">
        <v>208</v>
      </c>
      <c r="G82" t="s">
        <v>206</v>
      </c>
      <c r="H82" t="s">
        <v>209</v>
      </c>
      <c r="I82" t="s">
        <v>43</v>
      </c>
      <c r="J82" t="s">
        <v>16</v>
      </c>
    </row>
    <row r="83" spans="2:10" x14ac:dyDescent="0.25">
      <c r="B83" t="s">
        <v>210</v>
      </c>
      <c r="C83" t="s">
        <v>62</v>
      </c>
      <c r="E83" t="s">
        <v>211</v>
      </c>
      <c r="F83" t="s">
        <v>212</v>
      </c>
      <c r="G83" t="s">
        <v>205</v>
      </c>
      <c r="H83" t="s">
        <v>209</v>
      </c>
      <c r="I83" t="s">
        <v>43</v>
      </c>
      <c r="J83" t="s">
        <v>16</v>
      </c>
    </row>
    <row r="84" spans="2:10" x14ac:dyDescent="0.25">
      <c r="B84" t="s">
        <v>213</v>
      </c>
      <c r="E84" t="s">
        <v>214</v>
      </c>
      <c r="F84" t="s">
        <v>215</v>
      </c>
      <c r="G84" t="s">
        <v>206</v>
      </c>
      <c r="I84" t="s">
        <v>15</v>
      </c>
      <c r="J84" t="s">
        <v>16</v>
      </c>
    </row>
    <row r="85" spans="2:10" x14ac:dyDescent="0.25">
      <c r="B85" t="s">
        <v>216</v>
      </c>
      <c r="C85" t="s">
        <v>20</v>
      </c>
      <c r="E85" t="s">
        <v>217</v>
      </c>
      <c r="G85" t="s">
        <v>205</v>
      </c>
      <c r="H85" t="s">
        <v>22</v>
      </c>
      <c r="I85" t="s">
        <v>43</v>
      </c>
      <c r="J85" t="s">
        <v>16</v>
      </c>
    </row>
    <row r="86" spans="2:10" x14ac:dyDescent="0.25">
      <c r="B86" t="s">
        <v>218</v>
      </c>
      <c r="C86" t="s">
        <v>20</v>
      </c>
      <c r="E86" t="s">
        <v>219</v>
      </c>
      <c r="G86" t="s">
        <v>205</v>
      </c>
      <c r="H86" t="s">
        <v>22</v>
      </c>
      <c r="I86" t="s">
        <v>43</v>
      </c>
      <c r="J86" t="s">
        <v>16</v>
      </c>
    </row>
    <row r="87" spans="2:10" x14ac:dyDescent="0.25">
      <c r="B87" t="s">
        <v>220</v>
      </c>
      <c r="C87" t="s">
        <v>20</v>
      </c>
      <c r="E87" t="s">
        <v>221</v>
      </c>
      <c r="G87" t="s">
        <v>205</v>
      </c>
      <c r="H87" t="s">
        <v>90</v>
      </c>
      <c r="I87" t="s">
        <v>43</v>
      </c>
      <c r="J87" t="s">
        <v>16</v>
      </c>
    </row>
    <row r="88" spans="2:10" x14ac:dyDescent="0.25">
      <c r="B88" t="s">
        <v>222</v>
      </c>
      <c r="C88" t="s">
        <v>20</v>
      </c>
      <c r="E88" t="s">
        <v>223</v>
      </c>
      <c r="G88" t="s">
        <v>205</v>
      </c>
      <c r="H88" t="s">
        <v>206</v>
      </c>
      <c r="I88" t="s">
        <v>43</v>
      </c>
      <c r="J88" t="s">
        <v>16</v>
      </c>
    </row>
    <row r="89" spans="2:10" x14ac:dyDescent="0.25">
      <c r="B89" t="s">
        <v>224</v>
      </c>
      <c r="C89" t="s">
        <v>12</v>
      </c>
      <c r="E89" t="s">
        <v>225</v>
      </c>
      <c r="G89" t="s">
        <v>205</v>
      </c>
      <c r="I89" t="s">
        <v>23</v>
      </c>
      <c r="J89" t="s">
        <v>16</v>
      </c>
    </row>
    <row r="90" spans="2:10" x14ac:dyDescent="0.25">
      <c r="B90" t="s">
        <v>226</v>
      </c>
      <c r="C90" t="s">
        <v>20</v>
      </c>
      <c r="E90" t="s">
        <v>227</v>
      </c>
      <c r="G90" t="s">
        <v>228</v>
      </c>
      <c r="H90" t="s">
        <v>90</v>
      </c>
      <c r="I90" t="s">
        <v>43</v>
      </c>
      <c r="J90" t="s">
        <v>16</v>
      </c>
    </row>
    <row r="91" spans="2:10" x14ac:dyDescent="0.25">
      <c r="B91" t="s">
        <v>229</v>
      </c>
      <c r="C91" t="s">
        <v>20</v>
      </c>
      <c r="E91" t="s">
        <v>230</v>
      </c>
      <c r="G91" t="s">
        <v>228</v>
      </c>
      <c r="H91" t="s">
        <v>90</v>
      </c>
      <c r="I91" t="s">
        <v>43</v>
      </c>
      <c r="J91" t="s">
        <v>16</v>
      </c>
    </row>
    <row r="92" spans="2:10" x14ac:dyDescent="0.25">
      <c r="B92" t="s">
        <v>231</v>
      </c>
      <c r="C92" t="s">
        <v>20</v>
      </c>
      <c r="E92" t="s">
        <v>232</v>
      </c>
      <c r="G92" t="s">
        <v>228</v>
      </c>
      <c r="H92" t="s">
        <v>206</v>
      </c>
      <c r="I92" t="s">
        <v>43</v>
      </c>
      <c r="J92" t="s">
        <v>16</v>
      </c>
    </row>
    <row r="93" spans="2:10" x14ac:dyDescent="0.25">
      <c r="B93" t="s">
        <v>233</v>
      </c>
      <c r="C93" t="s">
        <v>20</v>
      </c>
      <c r="E93" t="s">
        <v>234</v>
      </c>
      <c r="F93" t="s">
        <v>235</v>
      </c>
      <c r="G93" t="s">
        <v>228</v>
      </c>
      <c r="H93" t="s">
        <v>149</v>
      </c>
      <c r="I93" t="s">
        <v>43</v>
      </c>
      <c r="J93" t="s">
        <v>16</v>
      </c>
    </row>
    <row r="94" spans="2:10" x14ac:dyDescent="0.25">
      <c r="B94" t="s">
        <v>236</v>
      </c>
      <c r="C94" t="s">
        <v>35</v>
      </c>
      <c r="E94" t="s">
        <v>237</v>
      </c>
      <c r="F94" t="s">
        <v>238</v>
      </c>
      <c r="G94" t="s">
        <v>239</v>
      </c>
      <c r="H94" t="s">
        <v>14</v>
      </c>
      <c r="I94" t="s">
        <v>91</v>
      </c>
      <c r="J94" t="s">
        <v>16</v>
      </c>
    </row>
    <row r="95" spans="2:10" x14ac:dyDescent="0.25">
      <c r="B95" t="s">
        <v>240</v>
      </c>
      <c r="C95" t="s">
        <v>35</v>
      </c>
      <c r="E95" t="s">
        <v>241</v>
      </c>
      <c r="F95" t="s">
        <v>242</v>
      </c>
      <c r="G95" t="s">
        <v>239</v>
      </c>
      <c r="I95" t="s">
        <v>15</v>
      </c>
      <c r="J95" t="s">
        <v>16</v>
      </c>
    </row>
    <row r="96" spans="2:10" x14ac:dyDescent="0.25">
      <c r="B96" t="s">
        <v>243</v>
      </c>
      <c r="E96" t="s">
        <v>244</v>
      </c>
      <c r="G96" t="s">
        <v>245</v>
      </c>
      <c r="I96" t="s">
        <v>15</v>
      </c>
      <c r="J96" t="s">
        <v>16</v>
      </c>
    </row>
    <row r="97" spans="2:10" x14ac:dyDescent="0.25">
      <c r="B97" t="s">
        <v>246</v>
      </c>
      <c r="E97" t="s">
        <v>247</v>
      </c>
      <c r="G97" t="s">
        <v>245</v>
      </c>
      <c r="I97" t="s">
        <v>15</v>
      </c>
      <c r="J97" t="s">
        <v>16</v>
      </c>
    </row>
    <row r="98" spans="2:10" x14ac:dyDescent="0.25">
      <c r="B98" t="s">
        <v>248</v>
      </c>
      <c r="E98" t="s">
        <v>249</v>
      </c>
      <c r="G98" t="s">
        <v>245</v>
      </c>
      <c r="I98" t="s">
        <v>15</v>
      </c>
      <c r="J98" t="s">
        <v>16</v>
      </c>
    </row>
    <row r="99" spans="2:10" x14ac:dyDescent="0.25">
      <c r="B99" t="s">
        <v>250</v>
      </c>
      <c r="C99" t="s">
        <v>62</v>
      </c>
      <c r="E99" t="s">
        <v>251</v>
      </c>
      <c r="G99" t="s">
        <v>245</v>
      </c>
      <c r="I99" t="s">
        <v>15</v>
      </c>
      <c r="J99" t="s">
        <v>16</v>
      </c>
    </row>
    <row r="100" spans="2:10" x14ac:dyDescent="0.25">
      <c r="B100" t="s">
        <v>252</v>
      </c>
      <c r="C100" t="s">
        <v>35</v>
      </c>
      <c r="E100" t="s">
        <v>253</v>
      </c>
      <c r="G100" t="s">
        <v>254</v>
      </c>
      <c r="H100" t="s">
        <v>134</v>
      </c>
      <c r="I100" t="s">
        <v>43</v>
      </c>
      <c r="J100" t="s">
        <v>16</v>
      </c>
    </row>
    <row r="101" spans="2:10" x14ac:dyDescent="0.25">
      <c r="B101" t="s">
        <v>255</v>
      </c>
      <c r="C101" t="s">
        <v>35</v>
      </c>
      <c r="E101" t="s">
        <v>256</v>
      </c>
      <c r="G101" t="s">
        <v>254</v>
      </c>
      <c r="H101" t="s">
        <v>134</v>
      </c>
      <c r="I101" t="s">
        <v>43</v>
      </c>
      <c r="J101" t="s">
        <v>16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0177F-1067-4FD8-B719-D9551CB0C09C}">
  <dimension ref="A1:M28"/>
  <sheetViews>
    <sheetView workbookViewId="0">
      <selection activeCell="B2" sqref="B2"/>
    </sheetView>
  </sheetViews>
  <sheetFormatPr defaultRowHeight="15" x14ac:dyDescent="0.25"/>
  <sheetData>
    <row r="1" spans="1:13" x14ac:dyDescent="0.25">
      <c r="A1" t="s">
        <v>0</v>
      </c>
      <c r="B1" t="s">
        <v>257</v>
      </c>
      <c r="C1" t="s">
        <v>258</v>
      </c>
      <c r="D1" t="s">
        <v>259</v>
      </c>
      <c r="E1" t="s">
        <v>260</v>
      </c>
      <c r="F1" t="s">
        <v>261</v>
      </c>
      <c r="G1" t="s">
        <v>262</v>
      </c>
      <c r="H1" t="s">
        <v>263</v>
      </c>
      <c r="I1" t="s">
        <v>264</v>
      </c>
      <c r="J1" t="s">
        <v>265</v>
      </c>
      <c r="K1" t="s">
        <v>266</v>
      </c>
      <c r="L1" t="s">
        <v>267</v>
      </c>
      <c r="M1" t="s">
        <v>268</v>
      </c>
    </row>
    <row r="2" spans="1:13" x14ac:dyDescent="0.25">
      <c r="A2">
        <v>1</v>
      </c>
      <c r="B2">
        <f>COUNTIFS(Tasks!$A:$A, "1", Tasks!$C:$C, B$1)</f>
        <v>0</v>
      </c>
      <c r="C2">
        <f>COUNTIFS(Tasks!$A:$A, "1", Tasks!$C:$C, "Ava")</f>
        <v>0</v>
      </c>
      <c r="D2">
        <f>COUNTIFS(Tasks!$A:$A, "1", Tasks!$C:$C, "Daniel")</f>
        <v>0</v>
      </c>
      <c r="E2">
        <f>COUNTIFS(Tasks!$A:$A, "1", Tasks!$C:$C, "David")</f>
        <v>0</v>
      </c>
      <c r="F2">
        <f>COUNTIFS(Tasks!$A:$A, "1", Tasks!$C:$C, "Emily")</f>
        <v>0</v>
      </c>
      <c r="G2">
        <f>COUNTIFS(Tasks!$A:$A, "1", Tasks!$C:$C, "John")</f>
        <v>0</v>
      </c>
      <c r="H2">
        <f>COUNTIFS(Tasks!$A:$A, "1", Tasks!$C:$C, "Liam")</f>
        <v>0</v>
      </c>
      <c r="I2">
        <f>COUNTIFS(Tasks!$A:$A, "1", Tasks!$C:$C, "Michael")</f>
        <v>0</v>
      </c>
      <c r="J2">
        <f>COUNTIFS(Tasks!$A:$A, "1", Tasks!$C:$C, "Noah")</f>
        <v>0</v>
      </c>
      <c r="K2">
        <f>COUNTIFS(Tasks!$A:$A, "1", Tasks!$C:$C, "Olivia")</f>
        <v>0</v>
      </c>
      <c r="L2">
        <f>COUNTIFS(Tasks!$A:$A, "1", Tasks!$C:$C, "Sophia")</f>
        <v>0</v>
      </c>
      <c r="M2">
        <f t="shared" ref="M2:M28" si="0">SUM(B2:L2)</f>
        <v>0</v>
      </c>
    </row>
    <row r="3" spans="1:13" x14ac:dyDescent="0.25">
      <c r="A3">
        <v>2</v>
      </c>
      <c r="B3">
        <f>COUNTIFS(Tasks!$A:$A, "2", Tasks!$C:$C, "Alice")</f>
        <v>0</v>
      </c>
      <c r="C3">
        <f>COUNTIFS(Tasks!$A:$A, "2", Tasks!$C:$C, "Ava")</f>
        <v>0</v>
      </c>
      <c r="D3">
        <f>COUNTIFS(Tasks!$A:$A, "2", Tasks!$C:$C, "Daniel")</f>
        <v>0</v>
      </c>
      <c r="E3">
        <f>COUNTIFS(Tasks!$A:$A, "2", Tasks!$C:$C, "David")</f>
        <v>0</v>
      </c>
      <c r="F3">
        <f>COUNTIFS(Tasks!$A:$A, "2", Tasks!$C:$C, "Emily")</f>
        <v>0</v>
      </c>
      <c r="G3">
        <f>COUNTIFS(Tasks!$A:$A, "2", Tasks!$C:$C, "John")</f>
        <v>0</v>
      </c>
      <c r="H3">
        <f>COUNTIFS(Tasks!$A:$A, "2", Tasks!$C:$C, "Liam")</f>
        <v>0</v>
      </c>
      <c r="I3">
        <f>COUNTIFS(Tasks!$A:$A, "2", Tasks!$C:$C, "Michael")</f>
        <v>0</v>
      </c>
      <c r="J3">
        <f>COUNTIFS(Tasks!$A:$A, "2", Tasks!$C:$C, "Noah")</f>
        <v>0</v>
      </c>
      <c r="K3">
        <f>COUNTIFS(Tasks!$A:$A, "2", Tasks!$C:$C, "Olivia")</f>
        <v>0</v>
      </c>
      <c r="L3">
        <f>COUNTIFS(Tasks!$A:$A, "2", Tasks!$C:$C, "Sophia")</f>
        <v>0</v>
      </c>
      <c r="M3">
        <f t="shared" si="0"/>
        <v>0</v>
      </c>
    </row>
    <row r="4" spans="1:13" x14ac:dyDescent="0.25">
      <c r="A4">
        <v>3</v>
      </c>
      <c r="B4">
        <f>COUNTIFS(Tasks!$A:$A, "3", Tasks!$C:$C, "Alice")</f>
        <v>0</v>
      </c>
      <c r="C4">
        <f>COUNTIFS(Tasks!$A:$A, "3", Tasks!$C:$C, "Ava")</f>
        <v>0</v>
      </c>
      <c r="D4">
        <f>COUNTIFS(Tasks!$A:$A, "3", Tasks!$C:$C, "Daniel")</f>
        <v>0</v>
      </c>
      <c r="E4">
        <f>COUNTIFS(Tasks!$A:$A, "3", Tasks!$C:$C, "David")</f>
        <v>0</v>
      </c>
      <c r="F4">
        <f>COUNTIFS(Tasks!$A:$A, "3", Tasks!$C:$C, "Emily")</f>
        <v>0</v>
      </c>
      <c r="G4">
        <f>COUNTIFS(Tasks!$A:$A, "3", Tasks!$C:$C, "John")</f>
        <v>0</v>
      </c>
      <c r="H4">
        <f>COUNTIFS(Tasks!$A:$A, "3", Tasks!$C:$C, "Liam")</f>
        <v>0</v>
      </c>
      <c r="I4">
        <f>COUNTIFS(Tasks!$A:$A, "3", Tasks!$C:$C, "Michael")</f>
        <v>0</v>
      </c>
      <c r="J4">
        <f>COUNTIFS(Tasks!$A:$A, "3", Tasks!$C:$C, "Noah")</f>
        <v>0</v>
      </c>
      <c r="K4">
        <f>COUNTIFS(Tasks!$A:$A, "3", Tasks!$C:$C, "Olivia")</f>
        <v>0</v>
      </c>
      <c r="L4">
        <f>COUNTIFS(Tasks!$A:$A, "3", Tasks!$C:$C, "Sophia")</f>
        <v>0</v>
      </c>
      <c r="M4">
        <f t="shared" si="0"/>
        <v>0</v>
      </c>
    </row>
    <row r="5" spans="1:13" x14ac:dyDescent="0.25">
      <c r="A5">
        <v>4</v>
      </c>
      <c r="B5">
        <f>COUNTIFS(Tasks!$A:$A, "4", Tasks!$C:$C, "Alice")</f>
        <v>0</v>
      </c>
      <c r="C5">
        <f>COUNTIFS(Tasks!$A:$A, "4", Tasks!$C:$C, "Ava")</f>
        <v>0</v>
      </c>
      <c r="D5">
        <f>COUNTIFS(Tasks!$A:$A, "4", Tasks!$C:$C, "Daniel")</f>
        <v>0</v>
      </c>
      <c r="E5">
        <f>COUNTIFS(Tasks!$A:$A, "4", Tasks!$C:$C, "David")</f>
        <v>0</v>
      </c>
      <c r="F5">
        <f>COUNTIFS(Tasks!$A:$A, "4", Tasks!$C:$C, "Emily")</f>
        <v>0</v>
      </c>
      <c r="G5">
        <f>COUNTIFS(Tasks!$A:$A, "4", Tasks!$C:$C, "John")</f>
        <v>0</v>
      </c>
      <c r="H5">
        <f>COUNTIFS(Tasks!$A:$A, "4", Tasks!$C:$C, "Liam")</f>
        <v>0</v>
      </c>
      <c r="I5">
        <f>COUNTIFS(Tasks!$A:$A, "4", Tasks!$C:$C, "Michael")</f>
        <v>0</v>
      </c>
      <c r="J5">
        <f>COUNTIFS(Tasks!$A:$A, "4", Tasks!$C:$C, "Noah")</f>
        <v>0</v>
      </c>
      <c r="K5">
        <f>COUNTIFS(Tasks!$A:$A, "4", Tasks!$C:$C, "Olivia")</f>
        <v>0</v>
      </c>
      <c r="L5">
        <f>COUNTIFS(Tasks!$A:$A, "4", Tasks!$C:$C, "Sophia")</f>
        <v>0</v>
      </c>
      <c r="M5">
        <f t="shared" si="0"/>
        <v>0</v>
      </c>
    </row>
    <row r="6" spans="1:13" x14ac:dyDescent="0.25">
      <c r="A6">
        <v>5</v>
      </c>
      <c r="B6">
        <f>COUNTIFS(Tasks!$A:$A, "5", Tasks!$C:$C, "Alice")</f>
        <v>0</v>
      </c>
      <c r="C6">
        <f>COUNTIFS(Tasks!$A:$A, "5", Tasks!$C:$C, "Ava")</f>
        <v>0</v>
      </c>
      <c r="D6">
        <f>COUNTIFS(Tasks!$A:$A, "5", Tasks!$C:$C, "Daniel")</f>
        <v>0</v>
      </c>
      <c r="E6">
        <f>COUNTIFS(Tasks!$A:$A, "5", Tasks!$C:$C, "David")</f>
        <v>0</v>
      </c>
      <c r="F6">
        <f>COUNTIFS(Tasks!$A:$A, "5", Tasks!$C:$C, "Emily")</f>
        <v>0</v>
      </c>
      <c r="G6">
        <f>COUNTIFS(Tasks!$A:$A, "5", Tasks!$C:$C, "John")</f>
        <v>0</v>
      </c>
      <c r="H6">
        <f>COUNTIFS(Tasks!$A:$A, "5", Tasks!$C:$C, "Liam")</f>
        <v>0</v>
      </c>
      <c r="I6">
        <f>COUNTIFS(Tasks!$A:$A, "5", Tasks!$C:$C, "Michael")</f>
        <v>0</v>
      </c>
      <c r="J6">
        <f>COUNTIFS(Tasks!$A:$A, "5", Tasks!$C:$C, "Noah")</f>
        <v>0</v>
      </c>
      <c r="K6">
        <f>COUNTIFS(Tasks!$A:$A, "5", Tasks!$C:$C, "Olivia")</f>
        <v>0</v>
      </c>
      <c r="L6">
        <f>COUNTIFS(Tasks!$A:$A, "5", Tasks!$C:$C, "Sophia")</f>
        <v>0</v>
      </c>
      <c r="M6">
        <f t="shared" si="0"/>
        <v>0</v>
      </c>
    </row>
    <row r="7" spans="1:13" x14ac:dyDescent="0.25">
      <c r="A7">
        <v>6</v>
      </c>
      <c r="B7">
        <f>COUNTIFS(Tasks!$A:$A, "6", Tasks!$C:$C, "Alice")</f>
        <v>0</v>
      </c>
      <c r="C7">
        <f>COUNTIFS(Tasks!$A:$A, "6", Tasks!$C:$C, "Ava")</f>
        <v>0</v>
      </c>
      <c r="D7">
        <f>COUNTIFS(Tasks!$A:$A, "6", Tasks!$C:$C, "Daniel")</f>
        <v>0</v>
      </c>
      <c r="E7">
        <f>COUNTIFS(Tasks!$A:$A, "6", Tasks!$C:$C, "David")</f>
        <v>0</v>
      </c>
      <c r="F7">
        <f>COUNTIFS(Tasks!$A:$A, "6", Tasks!$C:$C, "Emily")</f>
        <v>0</v>
      </c>
      <c r="G7">
        <f>COUNTIFS(Tasks!$A:$A, "6", Tasks!$C:$C, "John")</f>
        <v>0</v>
      </c>
      <c r="H7">
        <f>COUNTIFS(Tasks!$A:$A, "6", Tasks!$C:$C, "Liam")</f>
        <v>0</v>
      </c>
      <c r="I7">
        <f>COUNTIFS(Tasks!$A:$A, "6", Tasks!$C:$C, "Michael")</f>
        <v>0</v>
      </c>
      <c r="J7">
        <f>COUNTIFS(Tasks!$A:$A, "6", Tasks!$C:$C, "Noah")</f>
        <v>0</v>
      </c>
      <c r="K7">
        <f>COUNTIFS(Tasks!$A:$A, "6", Tasks!$C:$C, "Olivia")</f>
        <v>0</v>
      </c>
      <c r="L7">
        <f>COUNTIFS(Tasks!$A:$A, "6", Tasks!$C:$C, "Sophia")</f>
        <v>0</v>
      </c>
      <c r="M7">
        <f t="shared" si="0"/>
        <v>0</v>
      </c>
    </row>
    <row r="8" spans="1:13" x14ac:dyDescent="0.25">
      <c r="A8">
        <v>7</v>
      </c>
      <c r="B8">
        <f>COUNTIFS(Tasks!$A:$A, "7", Tasks!$C:$C, "Alice")</f>
        <v>0</v>
      </c>
      <c r="C8">
        <f>COUNTIFS(Tasks!$A:$A, "7", Tasks!$C:$C, "Ava")</f>
        <v>0</v>
      </c>
      <c r="D8">
        <f>COUNTIFS(Tasks!$A:$A, "7", Tasks!$C:$C, "Daniel")</f>
        <v>0</v>
      </c>
      <c r="E8">
        <f>COUNTIFS(Tasks!$A:$A, "7", Tasks!$C:$C, "David")</f>
        <v>0</v>
      </c>
      <c r="F8">
        <f>COUNTIFS(Tasks!$A:$A, "7", Tasks!$C:$C, "Emily")</f>
        <v>0</v>
      </c>
      <c r="G8">
        <f>COUNTIFS(Tasks!$A:$A, "7", Tasks!$C:$C, "John")</f>
        <v>0</v>
      </c>
      <c r="H8">
        <f>COUNTIFS(Tasks!$A:$A, "7", Tasks!$C:$C, "Liam")</f>
        <v>0</v>
      </c>
      <c r="I8">
        <f>COUNTIFS(Tasks!$A:$A, "7", Tasks!$C:$C, "Michael")</f>
        <v>0</v>
      </c>
      <c r="J8">
        <f>COUNTIFS(Tasks!$A:$A, "7", Tasks!$C:$C, "Noah")</f>
        <v>0</v>
      </c>
      <c r="K8">
        <f>COUNTIFS(Tasks!$A:$A, "7", Tasks!$C:$C, "Olivia")</f>
        <v>0</v>
      </c>
      <c r="L8">
        <f>COUNTIFS(Tasks!$A:$A, "7", Tasks!$C:$C, "Sophia")</f>
        <v>0</v>
      </c>
      <c r="M8">
        <f t="shared" si="0"/>
        <v>0</v>
      </c>
    </row>
    <row r="9" spans="1:13" x14ac:dyDescent="0.25">
      <c r="A9">
        <v>8</v>
      </c>
      <c r="B9">
        <f>COUNTIFS(Tasks!$A:$A, "8", Tasks!$C:$C, "Alice")</f>
        <v>0</v>
      </c>
      <c r="C9">
        <f>COUNTIFS(Tasks!$A:$A, "8", Tasks!$C:$C, "Ava")</f>
        <v>0</v>
      </c>
      <c r="D9">
        <f>COUNTIFS(Tasks!$A:$A, "8", Tasks!$C:$C, "Daniel")</f>
        <v>0</v>
      </c>
      <c r="E9">
        <f>COUNTIFS(Tasks!$A:$A, "8", Tasks!$C:$C, "David")</f>
        <v>0</v>
      </c>
      <c r="F9">
        <f>COUNTIFS(Tasks!$A:$A, "8", Tasks!$C:$C, "Emily")</f>
        <v>0</v>
      </c>
      <c r="G9">
        <f>COUNTIFS(Tasks!$A:$A, "8", Tasks!$C:$C, "John")</f>
        <v>0</v>
      </c>
      <c r="H9">
        <f>COUNTIFS(Tasks!$A:$A, "8", Tasks!$C:$C, "Liam")</f>
        <v>0</v>
      </c>
      <c r="I9">
        <f>COUNTIFS(Tasks!$A:$A, "8", Tasks!$C:$C, "Michael")</f>
        <v>0</v>
      </c>
      <c r="J9">
        <f>COUNTIFS(Tasks!$A:$A, "8", Tasks!$C:$C, "Noah")</f>
        <v>0</v>
      </c>
      <c r="K9">
        <f>COUNTIFS(Tasks!$A:$A, "8", Tasks!$C:$C, "Olivia")</f>
        <v>0</v>
      </c>
      <c r="L9">
        <f>COUNTIFS(Tasks!$A:$A, "8", Tasks!$C:$C, "Sophia")</f>
        <v>0</v>
      </c>
      <c r="M9">
        <f t="shared" si="0"/>
        <v>0</v>
      </c>
    </row>
    <row r="10" spans="1:13" x14ac:dyDescent="0.25">
      <c r="A10">
        <v>9</v>
      </c>
      <c r="B10">
        <f>COUNTIFS(Tasks!$A:$A, "9", Tasks!$C:$C, "Alice")</f>
        <v>0</v>
      </c>
      <c r="C10">
        <f>COUNTIFS(Tasks!$A:$A, "9", Tasks!$C:$C, "Ava")</f>
        <v>0</v>
      </c>
      <c r="D10">
        <f>COUNTIFS(Tasks!$A:$A, "9", Tasks!$C:$C, "Daniel")</f>
        <v>0</v>
      </c>
      <c r="E10">
        <f>COUNTIFS(Tasks!$A:$A, "9", Tasks!$C:$C, "David")</f>
        <v>0</v>
      </c>
      <c r="F10">
        <f>COUNTIFS(Tasks!$A:$A, "9", Tasks!$C:$C, "Emily")</f>
        <v>0</v>
      </c>
      <c r="G10">
        <f>COUNTIFS(Tasks!$A:$A, "9", Tasks!$C:$C, "John")</f>
        <v>0</v>
      </c>
      <c r="H10">
        <f>COUNTIFS(Tasks!$A:$A, "9", Tasks!$C:$C, "Liam")</f>
        <v>0</v>
      </c>
      <c r="I10">
        <f>COUNTIFS(Tasks!$A:$A, "9", Tasks!$C:$C, "Michael")</f>
        <v>0</v>
      </c>
      <c r="J10">
        <f>COUNTIFS(Tasks!$A:$A, "9", Tasks!$C:$C, "Noah")</f>
        <v>0</v>
      </c>
      <c r="K10">
        <f>COUNTIFS(Tasks!$A:$A, "9", Tasks!$C:$C, "Olivia")</f>
        <v>0</v>
      </c>
      <c r="L10">
        <f>COUNTIFS(Tasks!$A:$A, "9", Tasks!$C:$C, "Sophia")</f>
        <v>0</v>
      </c>
      <c r="M10">
        <f t="shared" si="0"/>
        <v>0</v>
      </c>
    </row>
    <row r="11" spans="1:13" x14ac:dyDescent="0.25">
      <c r="A11">
        <v>10</v>
      </c>
      <c r="B11">
        <f>COUNTIFS(Tasks!$A:$A, "10", Tasks!$C:$C, "Alice")</f>
        <v>0</v>
      </c>
      <c r="C11">
        <f>COUNTIFS(Tasks!$A:$A, "10", Tasks!$C:$C, "Ava")</f>
        <v>0</v>
      </c>
      <c r="D11">
        <f>COUNTIFS(Tasks!$A:$A, "10", Tasks!$C:$C, "Daniel")</f>
        <v>0</v>
      </c>
      <c r="E11">
        <f>COUNTIFS(Tasks!$A:$A, "10", Tasks!$C:$C, "David")</f>
        <v>0</v>
      </c>
      <c r="F11">
        <f>COUNTIFS(Tasks!$A:$A, "10", Tasks!$C:$C, "Emily")</f>
        <v>0</v>
      </c>
      <c r="G11">
        <f>COUNTIFS(Tasks!$A:$A, "10", Tasks!$C:$C, "John")</f>
        <v>0</v>
      </c>
      <c r="H11">
        <f>COUNTIFS(Tasks!$A:$A, "10", Tasks!$C:$C, "Liam")</f>
        <v>0</v>
      </c>
      <c r="I11">
        <f>COUNTIFS(Tasks!$A:$A, "10", Tasks!$C:$C, "Michael")</f>
        <v>0</v>
      </c>
      <c r="J11">
        <f>COUNTIFS(Tasks!$A:$A, "10", Tasks!$C:$C, "Noah")</f>
        <v>0</v>
      </c>
      <c r="K11">
        <f>COUNTIFS(Tasks!$A:$A, "10", Tasks!$C:$C, "Olivia")</f>
        <v>0</v>
      </c>
      <c r="L11">
        <f>COUNTIFS(Tasks!$A:$A, "10", Tasks!$C:$C, "Sophia")</f>
        <v>0</v>
      </c>
      <c r="M11">
        <f t="shared" si="0"/>
        <v>0</v>
      </c>
    </row>
    <row r="12" spans="1:13" x14ac:dyDescent="0.25">
      <c r="A12">
        <v>11</v>
      </c>
      <c r="B12">
        <f>COUNTIFS(Tasks!$A:$A, "11", Tasks!$C:$C, "Alice")</f>
        <v>0</v>
      </c>
      <c r="C12">
        <f>COUNTIFS(Tasks!$A:$A, "11", Tasks!$C:$C, "Ava")</f>
        <v>0</v>
      </c>
      <c r="D12">
        <f>COUNTIFS(Tasks!$A:$A, "11", Tasks!$C:$C, "Daniel")</f>
        <v>0</v>
      </c>
      <c r="E12">
        <f>COUNTIFS(Tasks!$A:$A, "11", Tasks!$C:$C, "David")</f>
        <v>0</v>
      </c>
      <c r="F12">
        <f>COUNTIFS(Tasks!$A:$A, "11", Tasks!$C:$C, "Emily")</f>
        <v>0</v>
      </c>
      <c r="G12">
        <f>COUNTIFS(Tasks!$A:$A, "11", Tasks!$C:$C, "John")</f>
        <v>0</v>
      </c>
      <c r="H12">
        <f>COUNTIFS(Tasks!$A:$A, "11", Tasks!$C:$C, "Liam")</f>
        <v>0</v>
      </c>
      <c r="I12">
        <f>COUNTIFS(Tasks!$A:$A, "11", Tasks!$C:$C, "Michael")</f>
        <v>0</v>
      </c>
      <c r="J12">
        <f>COUNTIFS(Tasks!$A:$A, "11", Tasks!$C:$C, "Noah")</f>
        <v>0</v>
      </c>
      <c r="K12">
        <f>COUNTIFS(Tasks!$A:$A, "11", Tasks!$C:$C, "Olivia")</f>
        <v>0</v>
      </c>
      <c r="L12">
        <f>COUNTIFS(Tasks!$A:$A, "11", Tasks!$C:$C, "Sophia")</f>
        <v>0</v>
      </c>
      <c r="M12">
        <f t="shared" si="0"/>
        <v>0</v>
      </c>
    </row>
    <row r="13" spans="1:13" x14ac:dyDescent="0.25">
      <c r="A13">
        <v>12</v>
      </c>
      <c r="B13">
        <f>COUNTIFS(Tasks!$A:$A, "12", Tasks!$C:$C, "Alice")</f>
        <v>0</v>
      </c>
      <c r="C13">
        <f>COUNTIFS(Tasks!$A:$A, "12", Tasks!$C:$C, "Ava")</f>
        <v>0</v>
      </c>
      <c r="D13">
        <f>COUNTIFS(Tasks!$A:$A, "12", Tasks!$C:$C, "Daniel")</f>
        <v>0</v>
      </c>
      <c r="E13">
        <f>COUNTIFS(Tasks!$A:$A, "12", Tasks!$C:$C, "David")</f>
        <v>0</v>
      </c>
      <c r="F13">
        <f>COUNTIFS(Tasks!$A:$A, "12", Tasks!$C:$C, "Emily")</f>
        <v>0</v>
      </c>
      <c r="G13">
        <f>COUNTIFS(Tasks!$A:$A, "12", Tasks!$C:$C, "John")</f>
        <v>0</v>
      </c>
      <c r="H13">
        <f>COUNTIFS(Tasks!$A:$A, "12", Tasks!$C:$C, "Liam")</f>
        <v>0</v>
      </c>
      <c r="I13">
        <f>COUNTIFS(Tasks!$A:$A, "12", Tasks!$C:$C, "Michael")</f>
        <v>0</v>
      </c>
      <c r="J13">
        <f>COUNTIFS(Tasks!$A:$A, "12", Tasks!$C:$C, "Noah")</f>
        <v>0</v>
      </c>
      <c r="K13">
        <f>COUNTIFS(Tasks!$A:$A, "12", Tasks!$C:$C, "Olivia")</f>
        <v>0</v>
      </c>
      <c r="L13">
        <f>COUNTIFS(Tasks!$A:$A, "12", Tasks!$C:$C, "Sophia")</f>
        <v>0</v>
      </c>
      <c r="M13">
        <f t="shared" si="0"/>
        <v>0</v>
      </c>
    </row>
    <row r="14" spans="1:13" x14ac:dyDescent="0.25">
      <c r="A14">
        <v>13</v>
      </c>
      <c r="B14">
        <f>COUNTIFS(Tasks!$A:$A, "13", Tasks!$C:$C, "Alice")</f>
        <v>0</v>
      </c>
      <c r="C14">
        <f>COUNTIFS(Tasks!$A:$A, "13", Tasks!$C:$C, "Ava")</f>
        <v>0</v>
      </c>
      <c r="D14">
        <f>COUNTIFS(Tasks!$A:$A, "13", Tasks!$C:$C, "Daniel")</f>
        <v>0</v>
      </c>
      <c r="E14">
        <f>COUNTIFS(Tasks!$A:$A, "13", Tasks!$C:$C, "David")</f>
        <v>0</v>
      </c>
      <c r="F14">
        <f>COUNTIFS(Tasks!$A:$A, "13", Tasks!$C:$C, "Emily")</f>
        <v>0</v>
      </c>
      <c r="G14">
        <f>COUNTIFS(Tasks!$A:$A, "13", Tasks!$C:$C, "John")</f>
        <v>0</v>
      </c>
      <c r="H14">
        <f>COUNTIFS(Tasks!$A:$A, "13", Tasks!$C:$C, "Liam")</f>
        <v>0</v>
      </c>
      <c r="I14">
        <f>COUNTIFS(Tasks!$A:$A, "13", Tasks!$C:$C, "Michael")</f>
        <v>0</v>
      </c>
      <c r="J14">
        <f>COUNTIFS(Tasks!$A:$A, "13", Tasks!$C:$C, "Noah")</f>
        <v>0</v>
      </c>
      <c r="K14">
        <f>COUNTIFS(Tasks!$A:$A, "13", Tasks!$C:$C, "Olivia")</f>
        <v>0</v>
      </c>
      <c r="L14">
        <f>COUNTIFS(Tasks!$A:$A, "13", Tasks!$C:$C, "Sophia")</f>
        <v>0</v>
      </c>
      <c r="M14">
        <f t="shared" si="0"/>
        <v>0</v>
      </c>
    </row>
    <row r="15" spans="1:13" x14ac:dyDescent="0.25">
      <c r="A15">
        <v>14</v>
      </c>
      <c r="B15">
        <f>COUNTIFS(Tasks!$A:$A, "14", Tasks!$C:$C, "Alice")</f>
        <v>0</v>
      </c>
      <c r="C15">
        <f>COUNTIFS(Tasks!$A:$A, "14", Tasks!$C:$C, "Ava")</f>
        <v>0</v>
      </c>
      <c r="D15">
        <f>COUNTIFS(Tasks!$A:$A, "14", Tasks!$C:$C, "Daniel")</f>
        <v>0</v>
      </c>
      <c r="E15">
        <f>COUNTIFS(Tasks!$A:$A, "14", Tasks!$C:$C, "David")</f>
        <v>0</v>
      </c>
      <c r="F15">
        <f>COUNTIFS(Tasks!$A:$A, "14", Tasks!$C:$C, "Emily")</f>
        <v>0</v>
      </c>
      <c r="G15">
        <f>COUNTIFS(Tasks!$A:$A, "14", Tasks!$C:$C, "John")</f>
        <v>0</v>
      </c>
      <c r="H15">
        <f>COUNTIFS(Tasks!$A:$A, "14", Tasks!$C:$C, "Liam")</f>
        <v>0</v>
      </c>
      <c r="I15">
        <f>COUNTIFS(Tasks!$A:$A, "14", Tasks!$C:$C, "Michael")</f>
        <v>0</v>
      </c>
      <c r="J15">
        <f>COUNTIFS(Tasks!$A:$A, "14", Tasks!$C:$C, "Noah")</f>
        <v>0</v>
      </c>
      <c r="K15">
        <f>COUNTIFS(Tasks!$A:$A, "14", Tasks!$C:$C, "Olivia")</f>
        <v>0</v>
      </c>
      <c r="L15">
        <f>COUNTIFS(Tasks!$A:$A, "14", Tasks!$C:$C, "Sophia")</f>
        <v>0</v>
      </c>
      <c r="M15">
        <f t="shared" si="0"/>
        <v>0</v>
      </c>
    </row>
    <row r="16" spans="1:13" x14ac:dyDescent="0.25">
      <c r="A16">
        <v>15</v>
      </c>
      <c r="B16">
        <f>COUNTIFS(Tasks!$A:$A, "15", Tasks!$C:$C, "Alice")</f>
        <v>0</v>
      </c>
      <c r="C16">
        <f>COUNTIFS(Tasks!$A:$A, "15", Tasks!$C:$C, "Ava")</f>
        <v>0</v>
      </c>
      <c r="D16">
        <f>COUNTIFS(Tasks!$A:$A, "15", Tasks!$C:$C, "Daniel")</f>
        <v>0</v>
      </c>
      <c r="E16">
        <f>COUNTIFS(Tasks!$A:$A, "15", Tasks!$C:$C, "David")</f>
        <v>0</v>
      </c>
      <c r="F16">
        <f>COUNTIFS(Tasks!$A:$A, "15", Tasks!$C:$C, "Emily")</f>
        <v>0</v>
      </c>
      <c r="G16">
        <f>COUNTIFS(Tasks!$A:$A, "15", Tasks!$C:$C, "John")</f>
        <v>0</v>
      </c>
      <c r="H16">
        <f>COUNTIFS(Tasks!$A:$A, "15", Tasks!$C:$C, "Liam")</f>
        <v>0</v>
      </c>
      <c r="I16">
        <f>COUNTIFS(Tasks!$A:$A, "15", Tasks!$C:$C, "Michael")</f>
        <v>0</v>
      </c>
      <c r="J16">
        <f>COUNTIFS(Tasks!$A:$A, "15", Tasks!$C:$C, "Noah")</f>
        <v>0</v>
      </c>
      <c r="K16">
        <f>COUNTIFS(Tasks!$A:$A, "15", Tasks!$C:$C, "Olivia")</f>
        <v>0</v>
      </c>
      <c r="L16">
        <f>COUNTIFS(Tasks!$A:$A, "15", Tasks!$C:$C, "Sophia")</f>
        <v>0</v>
      </c>
      <c r="M16">
        <f t="shared" si="0"/>
        <v>0</v>
      </c>
    </row>
    <row r="17" spans="1:13" x14ac:dyDescent="0.25">
      <c r="A17">
        <v>16</v>
      </c>
      <c r="B17">
        <f>COUNTIFS(Tasks!$A:$A, "16", Tasks!$C:$C, "Alice")</f>
        <v>0</v>
      </c>
      <c r="C17">
        <f>COUNTIFS(Tasks!$A:$A, "16", Tasks!$C:$C, "Ava")</f>
        <v>0</v>
      </c>
      <c r="D17">
        <f>COUNTIFS(Tasks!$A:$A, "16", Tasks!$C:$C, "Daniel")</f>
        <v>0</v>
      </c>
      <c r="E17">
        <f>COUNTIFS(Tasks!$A:$A, "16", Tasks!$C:$C, "David")</f>
        <v>0</v>
      </c>
      <c r="F17">
        <f>COUNTIFS(Tasks!$A:$A, "16", Tasks!$C:$C, "Emily")</f>
        <v>0</v>
      </c>
      <c r="G17">
        <f>COUNTIFS(Tasks!$A:$A, "16", Tasks!$C:$C, "John")</f>
        <v>0</v>
      </c>
      <c r="H17">
        <f>COUNTIFS(Tasks!$A:$A, "16", Tasks!$C:$C, "Liam")</f>
        <v>0</v>
      </c>
      <c r="I17">
        <f>COUNTIFS(Tasks!$A:$A, "16", Tasks!$C:$C, "Michael")</f>
        <v>0</v>
      </c>
      <c r="J17">
        <f>COUNTIFS(Tasks!$A:$A, "16", Tasks!$C:$C, "Noah")</f>
        <v>0</v>
      </c>
      <c r="K17">
        <f>COUNTIFS(Tasks!$A:$A, "16", Tasks!$C:$C, "Olivia")</f>
        <v>0</v>
      </c>
      <c r="L17">
        <f>COUNTIFS(Tasks!$A:$A, "16", Tasks!$C:$C, "Sophia")</f>
        <v>0</v>
      </c>
      <c r="M17">
        <f t="shared" si="0"/>
        <v>0</v>
      </c>
    </row>
    <row r="18" spans="1:13" x14ac:dyDescent="0.25">
      <c r="A18">
        <v>17</v>
      </c>
      <c r="B18">
        <f>COUNTIFS(Tasks!$A:$A, "17", Tasks!$C:$C, "Alice")</f>
        <v>0</v>
      </c>
      <c r="C18">
        <f>COUNTIFS(Tasks!$A:$A, "17", Tasks!$C:$C, "Ava")</f>
        <v>0</v>
      </c>
      <c r="D18">
        <f>COUNTIFS(Tasks!$A:$A, "17", Tasks!$C:$C, "Daniel")</f>
        <v>0</v>
      </c>
      <c r="E18">
        <f>COUNTIFS(Tasks!$A:$A, "17", Tasks!$C:$C, "David")</f>
        <v>0</v>
      </c>
      <c r="F18">
        <f>COUNTIFS(Tasks!$A:$A, "17", Tasks!$C:$C, "Emily")</f>
        <v>0</v>
      </c>
      <c r="G18">
        <f>COUNTIFS(Tasks!$A:$A, "17", Tasks!$C:$C, "John")</f>
        <v>0</v>
      </c>
      <c r="H18">
        <f>COUNTIFS(Tasks!$A:$A, "17", Tasks!$C:$C, "Liam")</f>
        <v>0</v>
      </c>
      <c r="I18">
        <f>COUNTIFS(Tasks!$A:$A, "17", Tasks!$C:$C, "Michael")</f>
        <v>0</v>
      </c>
      <c r="J18">
        <f>COUNTIFS(Tasks!$A:$A, "17", Tasks!$C:$C, "Noah")</f>
        <v>0</v>
      </c>
      <c r="K18">
        <f>COUNTIFS(Tasks!$A:$A, "17", Tasks!$C:$C, "Olivia")</f>
        <v>0</v>
      </c>
      <c r="L18">
        <f>COUNTIFS(Tasks!$A:$A, "17", Tasks!$C:$C, "Sophia")</f>
        <v>0</v>
      </c>
      <c r="M18">
        <f t="shared" si="0"/>
        <v>0</v>
      </c>
    </row>
    <row r="19" spans="1:13" x14ac:dyDescent="0.25">
      <c r="A19">
        <v>18</v>
      </c>
      <c r="B19">
        <f>COUNTIFS(Tasks!$A:$A, "18", Tasks!$C:$C, "Alice")</f>
        <v>0</v>
      </c>
      <c r="C19">
        <f>COUNTIFS(Tasks!$A:$A, "18", Tasks!$C:$C, "Ava")</f>
        <v>0</v>
      </c>
      <c r="D19">
        <f>COUNTIFS(Tasks!$A:$A, "18", Tasks!$C:$C, "Daniel")</f>
        <v>0</v>
      </c>
      <c r="E19">
        <f>COUNTIFS(Tasks!$A:$A, "18", Tasks!$C:$C, "David")</f>
        <v>0</v>
      </c>
      <c r="F19">
        <f>COUNTIFS(Tasks!$A:$A, "18", Tasks!$C:$C, "Emily")</f>
        <v>0</v>
      </c>
      <c r="G19">
        <f>COUNTIFS(Tasks!$A:$A, "18", Tasks!$C:$C, "John")</f>
        <v>0</v>
      </c>
      <c r="H19">
        <f>COUNTIFS(Tasks!$A:$A, "18", Tasks!$C:$C, "Liam")</f>
        <v>0</v>
      </c>
      <c r="I19">
        <f>COUNTIFS(Tasks!$A:$A, "18", Tasks!$C:$C, "Michael")</f>
        <v>0</v>
      </c>
      <c r="J19">
        <f>COUNTIFS(Tasks!$A:$A, "18", Tasks!$C:$C, "Noah")</f>
        <v>0</v>
      </c>
      <c r="K19">
        <f>COUNTIFS(Tasks!$A:$A, "18", Tasks!$C:$C, "Olivia")</f>
        <v>0</v>
      </c>
      <c r="L19">
        <f>COUNTIFS(Tasks!$A:$A, "18", Tasks!$C:$C, "Sophia")</f>
        <v>0</v>
      </c>
      <c r="M19">
        <f t="shared" si="0"/>
        <v>0</v>
      </c>
    </row>
    <row r="20" spans="1:13" x14ac:dyDescent="0.25">
      <c r="A20">
        <v>19</v>
      </c>
      <c r="B20">
        <f>COUNTIFS(Tasks!$A:$A, "19", Tasks!$C:$C, "Alice")</f>
        <v>0</v>
      </c>
      <c r="C20">
        <f>COUNTIFS(Tasks!$A:$A, "19", Tasks!$C:$C, "Ava")</f>
        <v>0</v>
      </c>
      <c r="D20">
        <f>COUNTIFS(Tasks!$A:$A, "19", Tasks!$C:$C, "Daniel")</f>
        <v>0</v>
      </c>
      <c r="E20">
        <f>COUNTIFS(Tasks!$A:$A, "19", Tasks!$C:$C, "David")</f>
        <v>0</v>
      </c>
      <c r="F20">
        <f>COUNTIFS(Tasks!$A:$A, "19", Tasks!$C:$C, "Emily")</f>
        <v>0</v>
      </c>
      <c r="G20">
        <f>COUNTIFS(Tasks!$A:$A, "19", Tasks!$C:$C, "John")</f>
        <v>0</v>
      </c>
      <c r="H20">
        <f>COUNTIFS(Tasks!$A:$A, "19", Tasks!$C:$C, "Liam")</f>
        <v>0</v>
      </c>
      <c r="I20">
        <f>COUNTIFS(Tasks!$A:$A, "19", Tasks!$C:$C, "Michael")</f>
        <v>0</v>
      </c>
      <c r="J20">
        <f>COUNTIFS(Tasks!$A:$A, "19", Tasks!$C:$C, "Noah")</f>
        <v>0</v>
      </c>
      <c r="K20">
        <f>COUNTIFS(Tasks!$A:$A, "19", Tasks!$C:$C, "Olivia")</f>
        <v>0</v>
      </c>
      <c r="L20">
        <f>COUNTIFS(Tasks!$A:$A, "19", Tasks!$C:$C, "Sophia")</f>
        <v>0</v>
      </c>
      <c r="M20">
        <f t="shared" si="0"/>
        <v>0</v>
      </c>
    </row>
    <row r="21" spans="1:13" x14ac:dyDescent="0.25">
      <c r="A21">
        <v>20</v>
      </c>
      <c r="B21">
        <f>COUNTIFS(Tasks!$A:$A, "20", Tasks!$C:$C, "Alice")</f>
        <v>0</v>
      </c>
      <c r="C21">
        <f>COUNTIFS(Tasks!$A:$A, "20", Tasks!$C:$C, "Ava")</f>
        <v>0</v>
      </c>
      <c r="D21">
        <f>COUNTIFS(Tasks!$A:$A, "20", Tasks!$C:$C, "Daniel")</f>
        <v>0</v>
      </c>
      <c r="E21">
        <f>COUNTIFS(Tasks!$A:$A, "20", Tasks!$C:$C, "David")</f>
        <v>0</v>
      </c>
      <c r="F21">
        <f>COUNTIFS(Tasks!$A:$A, "20", Tasks!$C:$C, "Emily")</f>
        <v>0</v>
      </c>
      <c r="G21">
        <f>COUNTIFS(Tasks!$A:$A, "20", Tasks!$C:$C, "John")</f>
        <v>0</v>
      </c>
      <c r="H21">
        <f>COUNTIFS(Tasks!$A:$A, "20", Tasks!$C:$C, "Liam")</f>
        <v>0</v>
      </c>
      <c r="I21">
        <f>COUNTIFS(Tasks!$A:$A, "20", Tasks!$C:$C, "Michael")</f>
        <v>0</v>
      </c>
      <c r="J21">
        <f>COUNTIFS(Tasks!$A:$A, "20", Tasks!$C:$C, "Noah")</f>
        <v>0</v>
      </c>
      <c r="K21">
        <f>COUNTIFS(Tasks!$A:$A, "20", Tasks!$C:$C, "Olivia")</f>
        <v>0</v>
      </c>
      <c r="L21">
        <f>COUNTIFS(Tasks!$A:$A, "20", Tasks!$C:$C, "Sophia")</f>
        <v>0</v>
      </c>
      <c r="M21">
        <f t="shared" si="0"/>
        <v>0</v>
      </c>
    </row>
    <row r="22" spans="1:13" x14ac:dyDescent="0.25">
      <c r="A22">
        <v>21</v>
      </c>
      <c r="B22">
        <f>COUNTIFS(Tasks!$A:$A, "21", Tasks!$C:$C, "Alice")</f>
        <v>0</v>
      </c>
      <c r="C22">
        <f>COUNTIFS(Tasks!$A:$A, "21", Tasks!$C:$C, "Ava")</f>
        <v>0</v>
      </c>
      <c r="D22">
        <f>COUNTIFS(Tasks!$A:$A, "21", Tasks!$C:$C, "Daniel")</f>
        <v>0</v>
      </c>
      <c r="E22">
        <f>COUNTIFS(Tasks!$A:$A, "21", Tasks!$C:$C, "David")</f>
        <v>0</v>
      </c>
      <c r="F22">
        <f>COUNTIFS(Tasks!$A:$A, "21", Tasks!$C:$C, "Emily")</f>
        <v>0</v>
      </c>
      <c r="G22">
        <f>COUNTIFS(Tasks!$A:$A, "21", Tasks!$C:$C, "John")</f>
        <v>0</v>
      </c>
      <c r="H22">
        <f>COUNTIFS(Tasks!$A:$A, "21", Tasks!$C:$C, "Liam")</f>
        <v>0</v>
      </c>
      <c r="I22">
        <f>COUNTIFS(Tasks!$A:$A, "21", Tasks!$C:$C, "Michael")</f>
        <v>0</v>
      </c>
      <c r="J22">
        <f>COUNTIFS(Tasks!$A:$A, "21", Tasks!$C:$C, "Noah")</f>
        <v>0</v>
      </c>
      <c r="K22">
        <f>COUNTIFS(Tasks!$A:$A, "21", Tasks!$C:$C, "Olivia")</f>
        <v>0</v>
      </c>
      <c r="L22">
        <f>COUNTIFS(Tasks!$A:$A, "21", Tasks!$C:$C, "Sophia")</f>
        <v>0</v>
      </c>
      <c r="M22">
        <f t="shared" si="0"/>
        <v>0</v>
      </c>
    </row>
    <row r="23" spans="1:13" x14ac:dyDescent="0.25">
      <c r="A23">
        <v>22</v>
      </c>
      <c r="B23">
        <f>COUNTIFS(Tasks!$A:$A, "22", Tasks!$C:$C, "Alice")</f>
        <v>0</v>
      </c>
      <c r="C23">
        <f>COUNTIFS(Tasks!$A:$A, "22", Tasks!$C:$C, "Ava")</f>
        <v>0</v>
      </c>
      <c r="D23">
        <f>COUNTIFS(Tasks!$A:$A, "22", Tasks!$C:$C, "Daniel")</f>
        <v>0</v>
      </c>
      <c r="E23">
        <f>COUNTIFS(Tasks!$A:$A, "22", Tasks!$C:$C, "David")</f>
        <v>0</v>
      </c>
      <c r="F23">
        <f>COUNTIFS(Tasks!$A:$A, "22", Tasks!$C:$C, "Emily")</f>
        <v>0</v>
      </c>
      <c r="G23">
        <f>COUNTIFS(Tasks!$A:$A, "22", Tasks!$C:$C, "John")</f>
        <v>0</v>
      </c>
      <c r="H23">
        <f>COUNTIFS(Tasks!$A:$A, "22", Tasks!$C:$C, "Liam")</f>
        <v>0</v>
      </c>
      <c r="I23">
        <f>COUNTIFS(Tasks!$A:$A, "22", Tasks!$C:$C, "Michael")</f>
        <v>0</v>
      </c>
      <c r="J23">
        <f>COUNTIFS(Tasks!$A:$A, "22", Tasks!$C:$C, "Noah")</f>
        <v>0</v>
      </c>
      <c r="K23">
        <f>COUNTIFS(Tasks!$A:$A, "22", Tasks!$C:$C, "Olivia")</f>
        <v>0</v>
      </c>
      <c r="L23">
        <f>COUNTIFS(Tasks!$A:$A, "22", Tasks!$C:$C, "Sophia")</f>
        <v>0</v>
      </c>
      <c r="M23">
        <f t="shared" si="0"/>
        <v>0</v>
      </c>
    </row>
    <row r="24" spans="1:13" x14ac:dyDescent="0.25">
      <c r="A24">
        <v>23</v>
      </c>
      <c r="B24">
        <f>COUNTIFS(Tasks!$A:$A, "23", Tasks!$C:$C, "Alice")</f>
        <v>0</v>
      </c>
      <c r="C24">
        <f>COUNTIFS(Tasks!$A:$A, "23", Tasks!$C:$C, "Ava")</f>
        <v>0</v>
      </c>
      <c r="D24">
        <f>COUNTIFS(Tasks!$A:$A, "23", Tasks!$C:$C, "Daniel")</f>
        <v>0</v>
      </c>
      <c r="E24">
        <f>COUNTIFS(Tasks!$A:$A, "23", Tasks!$C:$C, "David")</f>
        <v>0</v>
      </c>
      <c r="F24">
        <f>COUNTIFS(Tasks!$A:$A, "23", Tasks!$C:$C, "Emily")</f>
        <v>0</v>
      </c>
      <c r="G24">
        <f>COUNTIFS(Tasks!$A:$A, "23", Tasks!$C:$C, "John")</f>
        <v>0</v>
      </c>
      <c r="H24">
        <f>COUNTIFS(Tasks!$A:$A, "23", Tasks!$C:$C, "Liam")</f>
        <v>0</v>
      </c>
      <c r="I24">
        <f>COUNTIFS(Tasks!$A:$A, "23", Tasks!$C:$C, "Michael")</f>
        <v>0</v>
      </c>
      <c r="J24">
        <f>COUNTIFS(Tasks!$A:$A, "23", Tasks!$C:$C, "Noah")</f>
        <v>0</v>
      </c>
      <c r="K24">
        <f>COUNTIFS(Tasks!$A:$A, "23", Tasks!$C:$C, "Olivia")</f>
        <v>0</v>
      </c>
      <c r="L24">
        <f>COUNTIFS(Tasks!$A:$A, "23", Tasks!$C:$C, "Sophia")</f>
        <v>0</v>
      </c>
      <c r="M24">
        <f t="shared" si="0"/>
        <v>0</v>
      </c>
    </row>
    <row r="25" spans="1:13" x14ac:dyDescent="0.25">
      <c r="A25">
        <v>24</v>
      </c>
      <c r="B25">
        <f>COUNTIFS(Tasks!$A:$A, "24", Tasks!$C:$C, "Alice")</f>
        <v>0</v>
      </c>
      <c r="C25">
        <f>COUNTIFS(Tasks!$A:$A, "24", Tasks!$C:$C, "Ava")</f>
        <v>0</v>
      </c>
      <c r="D25">
        <f>COUNTIFS(Tasks!$A:$A, "24", Tasks!$C:$C, "Daniel")</f>
        <v>0</v>
      </c>
      <c r="E25">
        <f>COUNTIFS(Tasks!$A:$A, "24", Tasks!$C:$C, "David")</f>
        <v>0</v>
      </c>
      <c r="F25">
        <f>COUNTIFS(Tasks!$A:$A, "24", Tasks!$C:$C, "Emily")</f>
        <v>0</v>
      </c>
      <c r="G25">
        <f>COUNTIFS(Tasks!$A:$A, "24", Tasks!$C:$C, "John")</f>
        <v>0</v>
      </c>
      <c r="H25">
        <f>COUNTIFS(Tasks!$A:$A, "24", Tasks!$C:$C, "Liam")</f>
        <v>0</v>
      </c>
      <c r="I25">
        <f>COUNTIFS(Tasks!$A:$A, "24", Tasks!$C:$C, "Michael")</f>
        <v>0</v>
      </c>
      <c r="J25">
        <f>COUNTIFS(Tasks!$A:$A, "24", Tasks!$C:$C, "Noah")</f>
        <v>0</v>
      </c>
      <c r="K25">
        <f>COUNTIFS(Tasks!$A:$A, "24", Tasks!$C:$C, "Olivia")</f>
        <v>0</v>
      </c>
      <c r="L25">
        <f>COUNTIFS(Tasks!$A:$A, "24", Tasks!$C:$C, "Sophia")</f>
        <v>0</v>
      </c>
      <c r="M25">
        <f t="shared" si="0"/>
        <v>0</v>
      </c>
    </row>
    <row r="26" spans="1:13" x14ac:dyDescent="0.25">
      <c r="A26">
        <v>25</v>
      </c>
      <c r="B26">
        <f>COUNTIFS(Tasks!$A:$A, "25", Tasks!$C:$C, "Alice")</f>
        <v>0</v>
      </c>
      <c r="C26">
        <f>COUNTIFS(Tasks!$A:$A, "25", Tasks!$C:$C, "Ava")</f>
        <v>0</v>
      </c>
      <c r="D26">
        <f>COUNTIFS(Tasks!$A:$A, "25", Tasks!$C:$C, "Daniel")</f>
        <v>0</v>
      </c>
      <c r="E26">
        <f>COUNTIFS(Tasks!$A:$A, "25", Tasks!$C:$C, "David")</f>
        <v>0</v>
      </c>
      <c r="F26">
        <f>COUNTIFS(Tasks!$A:$A, "25", Tasks!$C:$C, "Emily")</f>
        <v>0</v>
      </c>
      <c r="G26">
        <f>COUNTIFS(Tasks!$A:$A, "25", Tasks!$C:$C, "John")</f>
        <v>0</v>
      </c>
      <c r="H26">
        <f>COUNTIFS(Tasks!$A:$A, "25", Tasks!$C:$C, "Liam")</f>
        <v>0</v>
      </c>
      <c r="I26">
        <f>COUNTIFS(Tasks!$A:$A, "25", Tasks!$C:$C, "Michael")</f>
        <v>0</v>
      </c>
      <c r="J26">
        <f>COUNTIFS(Tasks!$A:$A, "25", Tasks!$C:$C, "Noah")</f>
        <v>0</v>
      </c>
      <c r="K26">
        <f>COUNTIFS(Tasks!$A:$A, "25", Tasks!$C:$C, "Olivia")</f>
        <v>0</v>
      </c>
      <c r="L26">
        <f>COUNTIFS(Tasks!$A:$A, "25", Tasks!$C:$C, "Sophia")</f>
        <v>0</v>
      </c>
      <c r="M26">
        <f t="shared" si="0"/>
        <v>0</v>
      </c>
    </row>
    <row r="27" spans="1:13" x14ac:dyDescent="0.25">
      <c r="A27">
        <v>26</v>
      </c>
      <c r="B27">
        <f>COUNTIFS(Tasks!$A:$A, "26", Tasks!$C:$C, "Alice")</f>
        <v>0</v>
      </c>
      <c r="C27">
        <f>COUNTIFS(Tasks!$A:$A, "26", Tasks!$C:$C, "Ava")</f>
        <v>0</v>
      </c>
      <c r="D27">
        <f>COUNTIFS(Tasks!$A:$A, "26", Tasks!$C:$C, "Daniel")</f>
        <v>0</v>
      </c>
      <c r="E27">
        <f>COUNTIFS(Tasks!$A:$A, "26", Tasks!$C:$C, "David")</f>
        <v>0</v>
      </c>
      <c r="F27">
        <f>COUNTIFS(Tasks!$A:$A, "26", Tasks!$C:$C, "Emily")</f>
        <v>0</v>
      </c>
      <c r="G27">
        <f>COUNTIFS(Tasks!$A:$A, "26", Tasks!$C:$C, "John")</f>
        <v>0</v>
      </c>
      <c r="H27">
        <f>COUNTIFS(Tasks!$A:$A, "26", Tasks!$C:$C, "Liam")</f>
        <v>0</v>
      </c>
      <c r="I27">
        <f>COUNTIFS(Tasks!$A:$A, "26", Tasks!$C:$C, "Michael")</f>
        <v>0</v>
      </c>
      <c r="J27">
        <f>COUNTIFS(Tasks!$A:$A, "26", Tasks!$C:$C, "Noah")</f>
        <v>0</v>
      </c>
      <c r="K27">
        <f>COUNTIFS(Tasks!$A:$A, "26", Tasks!$C:$C, "Olivia")</f>
        <v>0</v>
      </c>
      <c r="L27">
        <f>COUNTIFS(Tasks!$A:$A, "26", Tasks!$C:$C, "Sophia")</f>
        <v>0</v>
      </c>
      <c r="M27">
        <f t="shared" si="0"/>
        <v>0</v>
      </c>
    </row>
    <row r="28" spans="1:13" x14ac:dyDescent="0.25">
      <c r="A28" t="s">
        <v>268</v>
      </c>
      <c r="B28">
        <f t="shared" ref="B28:L28" si="1">SUM(B2:B27)</f>
        <v>0</v>
      </c>
      <c r="C28">
        <f t="shared" si="1"/>
        <v>0</v>
      </c>
      <c r="D28">
        <f t="shared" si="1"/>
        <v>0</v>
      </c>
      <c r="E28">
        <f t="shared" si="1"/>
        <v>0</v>
      </c>
      <c r="F28">
        <f t="shared" si="1"/>
        <v>0</v>
      </c>
      <c r="G28">
        <f t="shared" si="1"/>
        <v>0</v>
      </c>
      <c r="H28">
        <f t="shared" si="1"/>
        <v>0</v>
      </c>
      <c r="I28">
        <f t="shared" si="1"/>
        <v>0</v>
      </c>
      <c r="J28">
        <f t="shared" si="1"/>
        <v>0</v>
      </c>
      <c r="K28">
        <f t="shared" si="1"/>
        <v>0</v>
      </c>
      <c r="L28">
        <f t="shared" si="1"/>
        <v>0</v>
      </c>
      <c r="M28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Tasks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tak lam</cp:lastModifiedBy>
  <dcterms:created xsi:type="dcterms:W3CDTF">2025-10-21T16:44:12Z</dcterms:created>
  <dcterms:modified xsi:type="dcterms:W3CDTF">2025-10-23T13:03:21Z</dcterms:modified>
</cp:coreProperties>
</file>