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F749E89B-0A9E-B046-AFF0-7C83C1861B08}" xr6:coauthVersionLast="47" xr6:coauthVersionMax="47" xr10:uidLastSave="{00000000-0000-0000-0000-000000000000}"/>
  <bookViews>
    <workbookView xWindow="0" yWindow="76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9" l="1"/>
  <c r="P5" i="28" a="1"/>
  <c r="R2" i="17" a="1"/>
  <c r="Q10" i="27" a="1"/>
  <c r="P5" i="27" a="1"/>
  <c r="R11" i="29" a="1"/>
  <c r="Q3" i="34" a="1"/>
  <c r="Q12" i="11" a="1"/>
  <c r="R6" i="39" a="1"/>
  <c r="P12" i="39" a="1"/>
  <c r="P5" i="35" a="1"/>
  <c r="P2" i="36" a="1"/>
  <c r="R3" i="30" a="1"/>
  <c r="Q4" i="42" a="1"/>
  <c r="R4" i="37" a="1"/>
  <c r="R4" i="14" a="1"/>
  <c r="P11" i="30" a="1"/>
  <c r="R6" i="28" a="1"/>
  <c r="R8" i="38" a="1"/>
  <c r="Q10" i="26" a="1"/>
  <c r="Q12" i="17" a="1"/>
  <c r="P10" i="33" a="1"/>
  <c r="R10" i="19" a="1"/>
  <c r="Q11" i="17" a="1"/>
  <c r="P4" i="24" a="1"/>
  <c r="Q5" i="37" a="1"/>
  <c r="Q4" i="28" a="1"/>
  <c r="P12" i="42" a="1"/>
  <c r="R7" i="29" a="1"/>
  <c r="R7" i="34" a="1"/>
  <c r="R6" i="38" a="1"/>
  <c r="Q12" i="39" a="1"/>
  <c r="P5" i="17" a="1"/>
  <c r="R4" i="26" a="1"/>
  <c r="Q9" i="42" a="1"/>
  <c r="P2" i="32" a="1"/>
  <c r="Q4" i="27" a="1"/>
  <c r="Q11" i="42" a="1"/>
  <c r="Q9" i="14" a="1"/>
  <c r="Q12" i="19" a="1"/>
  <c r="Q9" i="37" a="1"/>
  <c r="R10" i="14" a="1"/>
  <c r="P2" i="43" a="1"/>
  <c r="P5" i="33" a="1"/>
  <c r="Q4" i="24" a="1"/>
  <c r="P4" i="11" a="1"/>
  <c r="P10" i="22" a="1"/>
  <c r="Q11" i="38" a="1"/>
  <c r="R6" i="19" a="1"/>
  <c r="R6" i="23" a="1"/>
  <c r="R3" i="33" a="1"/>
  <c r="P9" i="37" a="1"/>
  <c r="R7" i="26" a="1"/>
  <c r="P11" i="21" a="1"/>
  <c r="Q4" i="22" a="1"/>
  <c r="P11" i="27" a="1"/>
  <c r="Q12" i="16" a="1"/>
  <c r="P5" i="20" a="1"/>
  <c r="P3" i="16" a="1"/>
  <c r="R7" i="28" a="1"/>
  <c r="P9" i="21" a="1"/>
  <c r="P2" i="14" a="1"/>
  <c r="P2" i="16" a="1"/>
  <c r="P12" i="11" a="1"/>
  <c r="P5" i="26" a="1"/>
  <c r="P3" i="15" a="1"/>
  <c r="P9" i="17" a="1"/>
  <c r="P2" i="42" a="1"/>
  <c r="Q3" i="29" a="1"/>
  <c r="P2" i="37" a="1"/>
  <c r="R7" i="40" a="1"/>
  <c r="Q5" i="35" a="1"/>
  <c r="P12" i="14" a="1"/>
  <c r="Q4" i="11" a="1"/>
  <c r="P3" i="17" a="1"/>
  <c r="Q9" i="17" a="1"/>
  <c r="Q9" i="16" a="1"/>
  <c r="P12" i="20" a="1"/>
  <c r="R4" i="35" a="1"/>
  <c r="R11" i="31" a="1"/>
  <c r="P3" i="35" a="1"/>
  <c r="Q3" i="17" a="1"/>
  <c r="R4" i="29" a="1"/>
  <c r="Q11" i="37" a="1"/>
  <c r="P10" i="18" a="1"/>
  <c r="R3" i="24" a="1"/>
  <c r="R6" i="17" a="1"/>
  <c r="P5" i="29" a="1"/>
  <c r="Q5" i="41" a="1"/>
  <c r="R6" i="34" a="1"/>
  <c r="Q9" i="23" a="1"/>
  <c r="R10" i="33" a="1"/>
  <c r="P11" i="41" a="1"/>
  <c r="R10" i="31" a="1"/>
  <c r="Q10" i="23" a="1"/>
  <c r="R4" i="21" a="1"/>
  <c r="P5" i="34" a="1"/>
  <c r="Q11" i="32" a="1"/>
  <c r="P11" i="32" a="1"/>
  <c r="R8" i="24" a="1"/>
  <c r="Q5" i="22" a="1"/>
  <c r="P4" i="23" a="1"/>
  <c r="R10" i="36" a="1"/>
  <c r="Q12" i="36" a="1"/>
  <c r="R11" i="30" a="1"/>
  <c r="R3" i="21" a="1"/>
  <c r="R2" i="19" a="1"/>
  <c r="R3" i="42" a="1"/>
  <c r="R11" i="23" a="1"/>
  <c r="P12" i="26" a="1"/>
  <c r="P3" i="21" a="1"/>
  <c r="R3" i="22" a="1"/>
  <c r="Q5" i="36" a="1"/>
  <c r="P5" i="32" a="1"/>
  <c r="Q5" i="42" a="1"/>
  <c r="P9" i="26" a="1"/>
  <c r="Q10" i="43" a="1"/>
  <c r="R4" i="41" a="1"/>
  <c r="P9" i="41" a="1"/>
  <c r="Q12" i="20" a="1"/>
  <c r="R3" i="43" a="1"/>
  <c r="R10" i="39" a="1"/>
  <c r="R4" i="27" a="1"/>
  <c r="P3" i="40" a="1"/>
  <c r="P2" i="31" a="1"/>
  <c r="R3" i="36" a="1"/>
  <c r="R7" i="41" a="1"/>
  <c r="P2" i="29" a="1"/>
  <c r="P9" i="18" a="1"/>
  <c r="R7" i="33" a="1"/>
  <c r="R8" i="41" a="1"/>
  <c r="R2" i="32" a="1"/>
  <c r="Q3" i="35" a="1"/>
  <c r="R2" i="38" a="1"/>
  <c r="R2" i="40" a="1"/>
  <c r="Q11" i="26" a="1"/>
  <c r="R10" i="18" a="1"/>
  <c r="Q5" i="29" a="1"/>
  <c r="R4" i="30" a="1"/>
  <c r="Q5" i="20" a="1"/>
  <c r="Q12" i="34" a="1"/>
  <c r="P10" i="29" a="1"/>
  <c r="Q9" i="41" a="1"/>
  <c r="P4" i="20" a="1"/>
  <c r="P10" i="40" a="1"/>
  <c r="R8" i="23" a="1"/>
  <c r="R6" i="11" a="1"/>
  <c r="R4" i="23" a="1"/>
  <c r="Q9" i="40" a="1"/>
  <c r="Q5" i="40" a="1"/>
  <c r="R8" i="15" a="1"/>
  <c r="P4" i="27" a="1"/>
  <c r="R6" i="16" a="1"/>
  <c r="Q10" i="37" a="1"/>
  <c r="Q9" i="43" a="1"/>
  <c r="P9" i="33" a="1"/>
  <c r="R8" i="37" a="1"/>
  <c r="Q4" i="19" a="1"/>
  <c r="Q11" i="29" a="1"/>
  <c r="R10" i="43" a="1"/>
  <c r="Q11" i="15" a="1"/>
  <c r="P3" i="41" a="1"/>
  <c r="Q3" i="20" a="1"/>
  <c r="Q9" i="11" a="1"/>
  <c r="R10" i="41" a="1"/>
  <c r="P10" i="11" a="1"/>
  <c r="P11" i="34" a="1"/>
  <c r="P2" i="38" a="1"/>
  <c r="R10" i="24" a="1"/>
  <c r="P4" i="42" a="1"/>
  <c r="R11" i="42" a="1"/>
  <c r="R6" i="42" a="1"/>
  <c r="R3" i="39" a="1"/>
  <c r="P11" i="38" a="1"/>
  <c r="R8" i="26" a="1"/>
  <c r="Q3" i="14" a="1"/>
  <c r="R2" i="30" a="1"/>
  <c r="R6" i="31" a="1"/>
  <c r="P12" i="38" a="1"/>
  <c r="R6" i="15" a="1"/>
  <c r="R11" i="39" a="1"/>
  <c r="P10" i="20" a="1"/>
  <c r="R11" i="41" a="1"/>
  <c r="P4" i="40" a="1"/>
  <c r="P10" i="34" a="1"/>
  <c r="R10" i="40" a="1"/>
  <c r="P3" i="14" a="1"/>
  <c r="Q10" i="42" a="1"/>
  <c r="P4" i="19" a="1"/>
  <c r="R6" i="32" a="1"/>
  <c r="P10" i="16" a="1"/>
  <c r="Q12" i="28" a="1"/>
  <c r="P12" i="43" a="1"/>
  <c r="Q3" i="15" a="1"/>
  <c r="P12" i="33" a="1"/>
  <c r="P4" i="28" a="1"/>
  <c r="P12" i="23" a="1"/>
  <c r="P5" i="22" a="1"/>
  <c r="R2" i="14" a="1"/>
  <c r="Q3" i="16" a="1"/>
  <c r="R2" i="33" a="1"/>
  <c r="R8" i="27" a="1"/>
  <c r="P12" i="18" a="1"/>
  <c r="R3" i="20" a="1"/>
  <c r="R7" i="38" a="1"/>
  <c r="P12" i="30" a="1"/>
  <c r="R6" i="36" a="1"/>
  <c r="R7" i="24" a="1"/>
  <c r="R10" i="32" a="1"/>
  <c r="Q10" i="29" a="1"/>
  <c r="R11" i="18" a="1"/>
  <c r="P11" i="35" a="1"/>
  <c r="P9" i="38" a="1"/>
  <c r="P12" i="31" a="1"/>
  <c r="R2" i="23" a="1"/>
  <c r="Q11" i="20" a="1"/>
  <c r="Q9" i="36" a="1"/>
  <c r="Q3" i="42" a="1"/>
  <c r="P9" i="42" a="1"/>
  <c r="R4" i="24" a="1"/>
  <c r="P9" i="32" a="1"/>
  <c r="P5" i="15" a="1"/>
  <c r="R11" i="32" a="1"/>
  <c r="P9" i="30" a="1"/>
  <c r="R10" i="28" a="1"/>
  <c r="R11" i="38" a="1"/>
  <c r="R8" i="30" a="1"/>
  <c r="P5" i="18" a="1"/>
  <c r="Q4" i="31" a="1"/>
  <c r="Q4" i="14" a="1"/>
  <c r="P12" i="17" a="1"/>
  <c r="Q12" i="33" a="1"/>
  <c r="P3" i="18" a="1"/>
  <c r="R4" i="28" a="1"/>
  <c r="P11" i="17" a="1"/>
  <c r="Q11" i="18" a="1"/>
  <c r="Q4" i="23" a="1"/>
  <c r="R8" i="14" a="1"/>
  <c r="R11" i="16" a="1"/>
  <c r="Q3" i="28" a="1"/>
  <c r="R11" i="27" a="1"/>
  <c r="R2" i="15" a="1"/>
  <c r="R8" i="16" a="1"/>
  <c r="P2" i="15" a="1"/>
  <c r="P4" i="22" a="1"/>
  <c r="Q4" i="35" a="1"/>
  <c r="Q12" i="24" a="1"/>
  <c r="Q11" i="24" a="1"/>
  <c r="Q5" i="30" a="1"/>
  <c r="R11" i="34" a="1"/>
  <c r="Q10" i="28" a="1"/>
  <c r="Q11" i="27" a="1"/>
  <c r="R6" i="24" a="1"/>
  <c r="Q11" i="16" a="1"/>
  <c r="P12" i="28" a="1"/>
  <c r="Q10" i="36" a="1"/>
  <c r="Q4" i="34" a="1"/>
  <c r="P5" i="38" a="1"/>
  <c r="Q3" i="38" a="1"/>
  <c r="R11" i="26" a="1"/>
  <c r="P9" i="23" a="1"/>
  <c r="Q9" i="24" a="1"/>
  <c r="R8" i="39" a="1"/>
  <c r="Q5" i="24" a="1"/>
  <c r="R8" i="33" a="1"/>
  <c r="R4" i="43" a="1"/>
  <c r="R3" i="29" a="1"/>
  <c r="Q11" i="41" a="1"/>
  <c r="R11" i="36" a="1"/>
  <c r="R3" i="34" a="1"/>
  <c r="Q3" i="37" a="1"/>
  <c r="Q5" i="23" a="1"/>
  <c r="R2" i="28" a="1"/>
  <c r="P10" i="28" a="1"/>
  <c r="Q11" i="14" a="1"/>
  <c r="P9" i="31" a="1"/>
  <c r="Q11" i="28" a="1"/>
  <c r="Q4" i="17" a="1"/>
  <c r="Q5" i="11" a="1"/>
  <c r="Q10" i="33" a="1"/>
  <c r="P2" i="11" a="1"/>
  <c r="P12" i="16" a="1"/>
  <c r="R3" i="16" a="1"/>
  <c r="R6" i="35" a="1"/>
  <c r="Q3" i="26" a="1"/>
  <c r="R11" i="37" a="1"/>
  <c r="P3" i="43" a="1"/>
  <c r="Q4" i="37" a="1"/>
  <c r="P9" i="34" a="1"/>
  <c r="Q12" i="38" a="1"/>
  <c r="P5" i="11" a="1"/>
  <c r="R3" i="26" a="1"/>
  <c r="R6" i="40" a="1"/>
  <c r="R6" i="27" a="1"/>
  <c r="P9" i="40" a="1"/>
  <c r="Q12" i="27" a="1"/>
  <c r="Q5" i="14" a="1"/>
  <c r="Q4" i="32" a="1"/>
  <c r="P9" i="24" a="1"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r="P12" i="27" a="1"/>
  <c r="Q3" i="43" a="1"/>
  <c r="P3" i="24" a="1"/>
  <c r="Q5" i="28" a="1"/>
  <c r="P4" i="14" a="1"/>
  <c r="Q9" i="15" a="1"/>
  <c r="P3" i="42" a="1"/>
  <c r="Q3" i="19" a="1"/>
  <c r="R11" i="15" a="1"/>
  <c r="P11" i="29" a="1"/>
  <c r="R6" i="20" a="1"/>
  <c r="R7" i="31" a="1"/>
  <c r="P5" i="37" a="1"/>
  <c r="Q10" i="31" a="1"/>
  <c r="Q9" i="39" a="1"/>
  <c r="Q11" i="23" a="1"/>
  <c r="R4" i="17" a="1"/>
  <c r="P2" i="24" a="1"/>
  <c r="P11" i="37" a="1"/>
  <c r="R7" i="17" a="1"/>
  <c r="P4" i="36" a="1"/>
  <c r="R2" i="34" a="1"/>
  <c r="Q12" i="43" a="1"/>
  <c r="Q9" i="27" a="1"/>
  <c r="Q10" i="35" a="1"/>
  <c r="Q9" i="19" a="1"/>
  <c r="R2" i="29" a="1"/>
  <c r="R4" i="22" a="1"/>
  <c r="Q12" i="40" a="1"/>
  <c r="Q9" i="33" a="1"/>
  <c r="P12" i="35" a="1"/>
  <c r="P4" i="38" a="1"/>
  <c r="Q3" i="40" a="1"/>
  <c r="R6" i="22" a="1"/>
  <c r="Q4" i="26" a="1"/>
  <c r="R10" i="34" a="1"/>
  <c r="Q5" i="21" a="1"/>
  <c r="P2" i="40" a="1"/>
  <c r="P11" i="23" a="1"/>
  <c r="P11" i="43" a="1"/>
  <c r="Q11" i="43" a="1"/>
  <c r="Q11" i="22" a="1"/>
  <c r="R3" i="18" a="1"/>
  <c r="Q3" i="30" a="1"/>
  <c r="P5" i="36" a="1"/>
  <c r="Q5" i="32" a="1"/>
  <c r="P11" i="24" a="1"/>
  <c r="P10" i="15" a="1"/>
  <c r="Q11" i="34" a="1"/>
  <c r="Q11" i="21" a="1"/>
  <c r="P3" i="32" a="1"/>
  <c r="P9" i="28" a="1"/>
  <c r="R2" i="16" a="1"/>
  <c r="Q10" i="15" a="1"/>
  <c r="P9" i="20" a="1"/>
  <c r="Q12" i="23" a="1"/>
  <c r="R8" i="17" a="1"/>
  <c r="P2" i="19" a="1"/>
  <c r="R8" i="21" a="1"/>
  <c r="R4" i="33" a="1"/>
  <c r="Q4" i="41" a="1"/>
  <c r="R10" i="16" a="1"/>
  <c r="Q11" i="36" a="1"/>
  <c r="P10" i="38" a="1"/>
  <c r="R8" i="43" a="1"/>
  <c r="P11" i="14" a="1"/>
  <c r="P11" i="31" a="1"/>
  <c r="P5" i="16" a="1"/>
  <c r="R10" i="11" a="1"/>
  <c r="R8" i="40" a="1"/>
  <c r="P4" i="21" a="1"/>
  <c r="P10" i="27" a="1"/>
  <c r="Q3" i="41" a="1"/>
  <c r="P4" i="31" a="1"/>
  <c r="R10" i="17" a="1"/>
  <c r="P12" i="34" a="1"/>
  <c r="R2" i="42" a="1"/>
  <c r="Q12" i="14" a="1"/>
  <c r="R7" i="11" a="1"/>
  <c r="R8" i="29" a="1"/>
  <c r="R3" i="19" a="1"/>
  <c r="P10" i="24" a="1"/>
  <c r="P4" i="26" a="1"/>
  <c r="R2" i="31" a="1"/>
  <c r="Q12" i="26" a="1"/>
  <c r="Q11" i="35" a="1"/>
  <c r="P2" i="33" a="1"/>
  <c r="Q5" i="34" a="1"/>
  <c r="R11" i="17" a="1"/>
  <c r="R7" i="35" a="1"/>
  <c r="R3" i="40" a="1"/>
  <c r="Q3" i="24" a="1"/>
  <c r="Q5" i="26" a="1"/>
  <c r="Q5" i="38" a="1"/>
  <c r="R7" i="37" a="1"/>
  <c r="Q4" i="29" a="1"/>
  <c r="P9" i="43" a="1"/>
  <c r="Q4" i="43" a="1"/>
  <c r="R8" i="19" a="1"/>
  <c r="P3" i="36" a="1"/>
  <c r="Q10" i="38" a="1"/>
  <c r="P4" i="43" a="1"/>
  <c r="R8" i="34" a="1"/>
  <c r="P3" i="26" a="1"/>
  <c r="P3" i="19" a="1"/>
  <c r="Q3" i="23" a="1"/>
  <c r="P10" i="43" a="1"/>
  <c r="R2" i="37" a="1"/>
  <c r="R7" i="23" a="1"/>
  <c r="P5" i="21" a="1"/>
  <c r="P3" i="20" a="1"/>
  <c r="P2" i="21" a="1"/>
  <c r="P10" i="39" a="1"/>
  <c r="P9" i="15" a="1"/>
  <c r="Q12" i="35" a="1"/>
  <c r="P9" i="19" a="1"/>
  <c r="R4" i="40" a="1"/>
  <c r="P5" i="41" a="1"/>
  <c r="Q4" i="36" a="1"/>
  <c r="Q10" i="32" a="1"/>
  <c r="P12" i="29" a="1"/>
  <c r="P11" i="28" a="1"/>
  <c r="R4" i="15" a="1"/>
  <c r="P10" i="36" a="1"/>
  <c r="R2" i="26" a="1"/>
  <c r="R7" i="21" a="1"/>
  <c r="R11" i="33" a="1"/>
  <c r="Q5" i="43" a="1"/>
  <c r="P10" i="14" a="1"/>
  <c r="R6" i="29" a="1"/>
  <c r="R7" i="42" a="1"/>
  <c r="P4" i="33" a="1"/>
  <c r="Q5" i="16" a="1"/>
  <c r="P9" i="14" a="1"/>
  <c r="R4" i="34" a="1"/>
  <c r="P12" i="36" a="1"/>
  <c r="R2" i="27" a="1"/>
  <c r="P5" i="42" a="1"/>
  <c r="P9" i="29" a="1"/>
  <c r="R4" i="20" a="1"/>
  <c r="P3" i="30" a="1"/>
  <c r="R7" i="30" a="1"/>
  <c r="R3" i="37" a="1"/>
  <c r="P10" i="35" a="1"/>
  <c r="R3" i="14" a="1"/>
  <c r="R2" i="21" a="1"/>
  <c r="P10" i="19" a="1"/>
  <c r="R7" i="36" a="1"/>
  <c r="P12" i="21" a="1"/>
  <c r="R2" i="43" a="1"/>
  <c r="P4" i="34" a="1"/>
  <c r="P10" i="42" a="1"/>
  <c r="Q12" i="22" a="1"/>
  <c r="R2" i="39" a="1"/>
  <c r="Q10" i="16" a="1"/>
  <c r="R2" i="41" a="1"/>
  <c r="P5" i="31" a="1"/>
  <c r="Q10" i="34" a="1"/>
  <c r="R3" i="23" a="1"/>
  <c r="R3" i="27" a="1"/>
  <c r="R6" i="26" a="1"/>
  <c r="Q9" i="28" a="1"/>
  <c r="Q5" i="39" a="1"/>
  <c r="R10" i="26" a="1"/>
  <c r="Q9" i="26" a="1"/>
  <c r="R10" i="29" a="1"/>
  <c r="Q12" i="18" a="1"/>
  <c r="R6" i="43" a="1"/>
  <c r="P5" i="19" a="1"/>
  <c r="R11" i="14" a="1"/>
  <c r="P12" i="40" a="1"/>
  <c r="Q9" i="35" a="1"/>
  <c r="Q11" i="40" a="1"/>
  <c r="P5" i="43" a="1"/>
  <c r="R3" i="11" a="1"/>
  <c r="R11" i="35" a="1"/>
  <c r="R11" i="19" a="1"/>
  <c r="P11" i="22" a="1"/>
  <c r="R4" i="36" a="1"/>
  <c r="P5" i="14" a="1"/>
  <c r="Q10" i="41" a="1"/>
  <c r="P3" i="27" a="1"/>
  <c r="R10" i="37" a="1"/>
  <c r="P11" i="42" a="1"/>
  <c r="R4" i="42" a="1"/>
  <c r="R11" i="40" a="1"/>
  <c r="Q9" i="30" a="1"/>
  <c r="P2" i="20" a="1"/>
  <c r="R2" i="36" a="1"/>
  <c r="R7" i="15" a="1"/>
  <c r="P2" i="28" a="1"/>
  <c r="P3" i="34" a="1"/>
  <c r="Q4" i="33" a="1"/>
  <c r="Q3" i="18" a="1"/>
  <c r="Q4" i="18" a="1"/>
  <c r="R7" i="19" a="1"/>
  <c r="R6" i="21" a="1"/>
  <c r="P2" i="22" a="1"/>
  <c r="R10" i="27" a="1"/>
  <c r="R6" i="41" a="1"/>
  <c r="P3" i="37" a="1"/>
  <c r="P4" i="41" a="1"/>
  <c r="Q3" i="22" a="1"/>
  <c r="P12" i="32" a="1"/>
  <c r="R8" i="35" a="1"/>
  <c r="Q3" i="39" a="1"/>
  <c r="P10" i="41" a="1"/>
  <c r="Q3" i="27" a="1"/>
  <c r="Q10" i="21" a="1"/>
  <c r="Q3" i="31" a="1"/>
  <c r="P3" i="39" a="1"/>
  <c r="R7" i="27" a="1"/>
  <c r="Q4" i="16" a="1"/>
  <c r="R10" i="38" a="1"/>
  <c r="P2" i="17" a="1"/>
  <c r="R10" i="20" a="1"/>
  <c r="Q10" i="17" a="1"/>
  <c r="Q3" i="21" a="1"/>
  <c r="P10" i="37" a="1"/>
  <c r="P2" i="34" a="1"/>
  <c r="P2" i="30" a="1"/>
  <c r="Q5" i="19" a="1"/>
  <c r="R2" i="18" a="1"/>
  <c r="P3" i="28" a="1"/>
  <c r="Q3" i="32" a="1"/>
  <c r="P9" i="35" a="1"/>
  <c r="Q9" i="21" a="1"/>
  <c r="Q11" i="33" a="1"/>
  <c r="Q11" i="31" a="1"/>
  <c r="P9" i="36" a="1"/>
  <c r="Q10" i="18" a="1"/>
  <c r="R8" i="22" a="1"/>
  <c r="P4" i="37" a="1"/>
  <c r="R8" i="36" a="1"/>
  <c r="P12" i="19" a="1"/>
  <c r="Q12" i="37" a="1"/>
  <c r="P9" i="22" a="1"/>
  <c r="P9" i="39" a="1"/>
  <c r="Q11" i="30" a="1"/>
  <c r="R2" i="11" a="1"/>
  <c r="R11" i="28" a="1"/>
  <c r="P3" i="11" a="1"/>
  <c r="Q12" i="31" a="1"/>
  <c r="R7" i="18" a="1"/>
  <c r="R10" i="23" a="1"/>
  <c r="R7" i="32" a="1"/>
  <c r="R7" i="43" a="1"/>
  <c r="R4" i="19" a="1"/>
  <c r="R6" i="18" a="1"/>
  <c r="R3" i="28" a="1"/>
  <c r="P11" i="16" a="1"/>
  <c r="R3" i="31" a="1"/>
  <c r="Q4" i="30" a="1"/>
  <c r="P5" i="23" a="1"/>
  <c r="Q10" i="11" a="1"/>
  <c r="R6" i="30" a="1"/>
  <c r="P3" i="38" a="1"/>
  <c r="P2" i="41" a="1"/>
  <c r="P4" i="35" a="1"/>
  <c r="R11" i="21" a="1"/>
  <c r="P5" i="39" a="1"/>
  <c r="R3" i="32" a="1"/>
  <c r="P12" i="22" a="1"/>
  <c r="R4" i="39" a="1"/>
  <c r="R10" i="35" a="1"/>
  <c r="P12" i="24" a="1"/>
  <c r="R4" i="32" a="1"/>
  <c r="R4" i="18" a="1"/>
  <c r="Q12" i="42" a="1"/>
  <c r="R8" i="20" a="1"/>
  <c r="P11" i="36" a="1"/>
  <c r="Q11" i="19" a="1"/>
  <c r="R7" i="39" a="1"/>
  <c r="R2" i="35" a="1"/>
  <c r="Q4" i="40" a="1"/>
  <c r="P11" i="40" a="1"/>
  <c r="Q9" i="20" a="1"/>
  <c r="R7" i="16" a="1"/>
  <c r="P3" i="22" a="1"/>
  <c r="Q10" i="40" a="1"/>
  <c r="R4" i="31" a="1"/>
  <c r="P3" i="23" a="1"/>
  <c r="P10" i="17" a="1"/>
  <c r="P3" i="31" a="1"/>
  <c r="Q3" i="36" a="1"/>
  <c r="R10" i="42" a="1"/>
  <c r="P4" i="39" a="1"/>
  <c r="Q5" i="33" a="1"/>
  <c r="P4" i="29" a="1"/>
  <c r="P10" i="30" a="1"/>
  <c r="Q9" i="29" a="1"/>
  <c r="Q11" i="39" a="1"/>
  <c r="P11" i="39" a="1"/>
  <c r="P2" i="18" a="1"/>
  <c r="Q10" i="14" a="1"/>
  <c r="P4" i="16" a="1"/>
  <c r="Q12" i="21" a="1"/>
  <c r="Q9" i="22" a="1"/>
  <c r="P4" i="32" a="1"/>
  <c r="Q10" i="22" a="1"/>
  <c r="Q11" i="11" a="1"/>
  <c r="P11" i="15" a="1"/>
  <c r="Q12" i="41" a="1"/>
  <c r="P2" i="26" a="1"/>
  <c r="R8" i="31" a="1"/>
  <c r="P9" i="11" a="1"/>
  <c r="P10" i="26" a="1"/>
  <c r="R3" i="15" a="1"/>
  <c r="R4" i="11" a="1"/>
  <c r="Q9" i="38" a="1"/>
  <c r="P4" i="30" a="1"/>
  <c r="P10" i="32" a="1"/>
  <c r="R2" i="20" a="1"/>
  <c r="Q10" i="20" a="1"/>
  <c r="P4" i="18" a="1"/>
  <c r="Q10" i="24" a="1"/>
  <c r="R2" i="24" a="1"/>
  <c r="Q5" i="17" a="1"/>
  <c r="R10" i="22" a="1"/>
  <c r="Q12" i="29" a="1"/>
  <c r="Q5" i="15" a="1"/>
  <c r="R10" i="15" a="1"/>
  <c r="P11" i="33" a="1"/>
  <c r="Q9" i="32" a="1"/>
  <c r="P12" i="15" a="1"/>
  <c r="Q4" i="38" a="1"/>
  <c r="P2" i="35" a="1"/>
  <c r="R7" i="14" a="1"/>
  <c r="Q10" i="19" a="1"/>
  <c r="R11" i="20" a="1"/>
  <c r="R8" i="28" a="1"/>
  <c r="P11" i="18" a="1"/>
  <c r="R10" i="30" a="1"/>
  <c r="R10" i="21" a="1"/>
  <c r="R11" i="24" a="1"/>
  <c r="Q4" i="15" a="1"/>
  <c r="Q4" i="21" a="1"/>
  <c r="R4" i="38" a="1"/>
  <c r="R11" i="43" a="1"/>
  <c r="Q9" i="34" a="1"/>
  <c r="P11" i="20" a="1"/>
  <c r="P10" i="31" a="1"/>
  <c r="P12" i="37" a="1"/>
  <c r="P10" i="23" a="1"/>
  <c r="P11" i="26" a="1"/>
  <c r="R3" i="38" a="1"/>
  <c r="R4" i="16" a="1"/>
  <c r="R3" i="35" a="1"/>
  <c r="P11" i="11" a="1"/>
  <c r="P9" i="27" a="1"/>
  <c r="P12" i="41" a="1"/>
  <c r="Q12" i="32" a="1"/>
  <c r="P10" i="21" a="1"/>
  <c r="Q12" i="15" a="1"/>
  <c r="Q5" i="18" a="1"/>
  <c r="R8" i="42" a="1"/>
  <c r="P5" i="24" a="1"/>
  <c r="Q9" i="18" a="1"/>
  <c r="Q5" i="31" a="1"/>
  <c r="R3" i="41" a="1"/>
  <c r="R8" i="32" a="1"/>
  <c r="R3" i="17" a="1"/>
  <c r="P2" i="39" a="1"/>
  <c r="R6" i="37" a="1"/>
  <c r="P4" i="15" a="1"/>
  <c r="R2" i="22" a="1"/>
  <c r="Q3" i="33" a="1"/>
  <c r="R11" i="22" a="1"/>
  <c r="R11" i="11" a="1"/>
  <c r="Q9" i="31" a="1"/>
  <c r="Q5" i="27" a="1"/>
  <c r="P9" i="16" a="1"/>
  <c r="Q4" i="20" a="1"/>
  <c r="R6" i="33" a="1"/>
  <c r="Q10" i="30" a="1"/>
  <c r="R6" i="14" a="1"/>
  <c r="P5" i="30" a="1"/>
  <c r="R7" i="20" a="1"/>
  <c r="P5" i="40" a="1"/>
  <c r="Q10" i="39" a="1"/>
  <c r="P4" i="17" a="1"/>
  <c r="P2" i="23" a="1"/>
  <c r="R4" i="19" l="1"/>
  <c r="R3" i="19"/>
  <c r="P5" i="42"/>
  <c r="P2" i="22"/>
  <c r="R11" i="20"/>
  <c r="Q9" i="36"/>
  <c r="R7" i="31"/>
  <c r="Q11" i="22"/>
  <c r="P11" i="33"/>
  <c r="P12" i="41"/>
  <c r="P5" i="20"/>
  <c r="Q4" i="23"/>
  <c r="R6" i="38"/>
  <c r="Q4" i="26"/>
  <c r="R4" i="42"/>
  <c r="R7" i="24"/>
  <c r="R11" i="28"/>
  <c r="R7" i="20"/>
  <c r="Q5" i="22"/>
  <c r="R3" i="14"/>
  <c r="R11" i="27"/>
  <c r="P2" i="18"/>
  <c r="P4" i="37"/>
  <c r="Q3" i="32"/>
  <c r="Q10" i="24"/>
  <c r="Q3" i="26"/>
  <c r="R6" i="19"/>
  <c r="P3" i="26"/>
  <c r="R4" i="11"/>
  <c r="Q10" i="28"/>
  <c r="P10" i="30"/>
  <c r="P2" i="14"/>
  <c r="P11" i="30"/>
  <c r="Q3" i="14"/>
  <c r="Q12" i="11"/>
  <c r="P2" i="26"/>
  <c r="R2" i="28"/>
  <c r="R6" i="37"/>
  <c r="F5" i="37" s="1"/>
  <c r="P11" i="16"/>
  <c r="Q10" i="36"/>
  <c r="P12" i="29"/>
  <c r="Q11" i="31"/>
  <c r="P2" i="36"/>
  <c r="P4" i="36"/>
  <c r="Q9" i="26"/>
  <c r="R11" i="15"/>
  <c r="R11" i="24"/>
  <c r="P12" i="39"/>
  <c r="R6" i="24"/>
  <c r="P11" i="37"/>
  <c r="Q12" i="37"/>
  <c r="R8" i="38"/>
  <c r="Q4" i="16"/>
  <c r="R6" i="18"/>
  <c r="P9" i="17"/>
  <c r="R11" i="39"/>
  <c r="Q3" i="30"/>
  <c r="P4" i="20"/>
  <c r="P4" i="21"/>
  <c r="R2" i="23"/>
  <c r="P5" i="15"/>
  <c r="Q12" i="34"/>
  <c r="Q5" i="40"/>
  <c r="R7" i="28"/>
  <c r="P3" i="17"/>
  <c r="Q5" i="26"/>
  <c r="R7" i="39"/>
  <c r="Q11" i="37"/>
  <c r="R2" i="43"/>
  <c r="R4" i="22"/>
  <c r="R11" i="11"/>
  <c r="R2" i="14"/>
  <c r="P12" i="24"/>
  <c r="R8" i="16"/>
  <c r="R8" i="43"/>
  <c r="R11" i="26"/>
  <c r="Q9" i="33"/>
  <c r="Q9" i="34"/>
  <c r="Q12" i="33"/>
  <c r="R2" i="33"/>
  <c r="R3" i="17"/>
  <c r="P4" i="27"/>
  <c r="Q5" i="24"/>
  <c r="Q11" i="39"/>
  <c r="P2" i="43"/>
  <c r="R4" i="27"/>
  <c r="P12" i="18"/>
  <c r="R8" i="30"/>
  <c r="R4" i="34"/>
  <c r="Q5" i="41"/>
  <c r="P11" i="29"/>
  <c r="Q9" i="16"/>
  <c r="Q12" i="17"/>
  <c r="P2" i="31"/>
  <c r="Q4" i="34"/>
  <c r="R2" i="36"/>
  <c r="Q9" i="23"/>
  <c r="R6" i="32"/>
  <c r="P12" i="42"/>
  <c r="R10" i="40"/>
  <c r="P10" i="29"/>
  <c r="R2" i="21"/>
  <c r="Q12" i="26"/>
  <c r="P2" i="28"/>
  <c r="P3" i="22"/>
  <c r="R7" i="36"/>
  <c r="R2" i="42"/>
  <c r="R11" i="18"/>
  <c r="Q11" i="19"/>
  <c r="R6" i="14"/>
  <c r="Q11" i="15"/>
  <c r="R2" i="32"/>
  <c r="P10" i="43"/>
  <c r="Q4" i="32"/>
  <c r="R7" i="21"/>
  <c r="P4" i="24"/>
  <c r="P5" i="30"/>
  <c r="Q5" i="19"/>
  <c r="Q4" i="42"/>
  <c r="R3" i="38"/>
  <c r="R7" i="37"/>
  <c r="P3" i="41"/>
  <c r="Q3" i="33"/>
  <c r="R11" i="19"/>
  <c r="R10" i="35"/>
  <c r="R3" i="11"/>
  <c r="R3" i="35"/>
  <c r="P11" i="15"/>
  <c r="P2" i="41"/>
  <c r="R4" i="20"/>
  <c r="Q3" i="17"/>
  <c r="P10" i="33"/>
  <c r="Q12" i="27"/>
  <c r="P5" i="16"/>
  <c r="P10" i="26"/>
  <c r="Q9" i="19"/>
  <c r="R7" i="30"/>
  <c r="Q11" i="41"/>
  <c r="Q3" i="31"/>
  <c r="P3" i="23"/>
  <c r="P10" i="24"/>
  <c r="Q10" i="41"/>
  <c r="R7" i="40"/>
  <c r="R6" i="35"/>
  <c r="Q3" i="23"/>
  <c r="P12" i="16"/>
  <c r="P3" i="31"/>
  <c r="P12" i="38"/>
  <c r="R6" i="11"/>
  <c r="Q12" i="30"/>
  <c r="Q9" i="43"/>
  <c r="Q5" i="17"/>
  <c r="R3" i="20"/>
  <c r="R2" i="11"/>
  <c r="R2" i="22"/>
  <c r="Q11" i="30"/>
  <c r="R7" i="22"/>
  <c r="R3" i="40"/>
  <c r="P9" i="23"/>
  <c r="P12" i="26"/>
  <c r="R4" i="38"/>
  <c r="P11" i="21"/>
  <c r="Q10" i="11"/>
  <c r="Q5" i="31"/>
  <c r="R8" i="23"/>
  <c r="P5" i="24"/>
  <c r="R8" i="22"/>
  <c r="P3" i="20"/>
  <c r="R6" i="42"/>
  <c r="P5" i="11"/>
  <c r="R10" i="28"/>
  <c r="R10" i="31"/>
  <c r="P2" i="38"/>
  <c r="Q5" i="29"/>
  <c r="Q9" i="15"/>
  <c r="Q10" i="43"/>
  <c r="R6" i="40"/>
  <c r="Q5" i="28"/>
  <c r="R7" i="41"/>
  <c r="R4" i="21"/>
  <c r="R8" i="36"/>
  <c r="Q3" i="29"/>
  <c r="P10" i="18"/>
  <c r="R3" i="23"/>
  <c r="P10" i="31"/>
  <c r="Q11" i="26"/>
  <c r="Q11" i="32"/>
  <c r="P2" i="24"/>
  <c r="Q11" i="34"/>
  <c r="P5" i="28"/>
  <c r="Q4" i="35"/>
  <c r="Q3" i="39"/>
  <c r="R8" i="26"/>
  <c r="Q11" i="42"/>
  <c r="Q4" i="31"/>
  <c r="Q10" i="34"/>
  <c r="Q10" i="27"/>
  <c r="Q10" i="39"/>
  <c r="P2" i="35"/>
  <c r="Q3" i="20"/>
  <c r="R4" i="15"/>
  <c r="P11" i="31"/>
  <c r="P12" i="37"/>
  <c r="P4" i="33"/>
  <c r="R6" i="21"/>
  <c r="P2" i="32"/>
  <c r="R10" i="41"/>
  <c r="Q3" i="18"/>
  <c r="Q10" i="18"/>
  <c r="Q12" i="22"/>
  <c r="R8" i="20"/>
  <c r="Q4" i="24"/>
  <c r="R7" i="33"/>
  <c r="Q3" i="42"/>
  <c r="P11" i="43"/>
  <c r="R6" i="29"/>
  <c r="R2" i="39"/>
  <c r="Q12" i="16"/>
  <c r="R2" i="20"/>
  <c r="Q10" i="14"/>
  <c r="P2" i="34"/>
  <c r="R2" i="30"/>
  <c r="Q4" i="20"/>
  <c r="P5" i="41"/>
  <c r="P3" i="28"/>
  <c r="Q9" i="32"/>
  <c r="Q12" i="21"/>
  <c r="Q3" i="28"/>
  <c r="Q10" i="17"/>
  <c r="Q10" i="15"/>
  <c r="R7" i="23"/>
  <c r="Q5" i="15"/>
  <c r="P9" i="28"/>
  <c r="R3" i="24"/>
  <c r="R6" i="30"/>
  <c r="P9" i="19"/>
  <c r="Q12" i="23"/>
  <c r="P4" i="29"/>
  <c r="Q9" i="28"/>
  <c r="R6" i="41"/>
  <c r="Q11" i="23"/>
  <c r="P11" i="28"/>
  <c r="Q4" i="14"/>
  <c r="P5" i="22"/>
  <c r="R7" i="17"/>
  <c r="R3" i="22"/>
  <c r="Q11" i="35"/>
  <c r="R10" i="39"/>
  <c r="P12" i="11"/>
  <c r="P9" i="42"/>
  <c r="R7" i="32"/>
  <c r="R4" i="32"/>
  <c r="Q9" i="22"/>
  <c r="P4" i="19"/>
  <c r="P4" i="17"/>
  <c r="R10" i="36"/>
  <c r="P9" i="32"/>
  <c r="P2" i="20"/>
  <c r="Q11" i="24"/>
  <c r="R10" i="19"/>
  <c r="R3" i="21"/>
  <c r="R8" i="32"/>
  <c r="R8" i="21"/>
  <c r="Q12" i="31"/>
  <c r="P3" i="16"/>
  <c r="P4" i="30"/>
  <c r="P11" i="42"/>
  <c r="P11" i="23"/>
  <c r="R10" i="16"/>
  <c r="R7" i="38"/>
  <c r="Q4" i="22"/>
  <c r="Q12" i="28"/>
  <c r="P3" i="42"/>
  <c r="R3" i="33"/>
  <c r="R2" i="15"/>
  <c r="P9" i="34"/>
  <c r="R6" i="36"/>
  <c r="P5" i="43"/>
  <c r="Q12" i="19"/>
  <c r="R6" i="39"/>
  <c r="R4" i="33"/>
  <c r="R11" i="22"/>
  <c r="P9" i="30"/>
  <c r="Q11" i="14"/>
  <c r="Q9" i="29"/>
  <c r="P4" i="28"/>
  <c r="P5" i="35"/>
  <c r="Q5" i="42"/>
  <c r="Q3" i="43"/>
  <c r="Q11" i="11"/>
  <c r="P2" i="23"/>
  <c r="Q5" i="35"/>
  <c r="Q12" i="29"/>
  <c r="Q4" i="21"/>
  <c r="P3" i="40"/>
  <c r="Q4" i="30"/>
  <c r="Q12" i="41"/>
  <c r="Q10" i="35"/>
  <c r="P11" i="40"/>
  <c r="R3" i="29"/>
  <c r="R4" i="35"/>
  <c r="R8" i="37"/>
  <c r="Q10" i="29"/>
  <c r="Q5" i="32"/>
  <c r="R7" i="15"/>
  <c r="P12" i="28"/>
  <c r="Q3" i="19"/>
  <c r="P2" i="11"/>
  <c r="R10" i="37"/>
  <c r="R6" i="31"/>
  <c r="R8" i="14"/>
  <c r="P10" i="23"/>
  <c r="P11" i="32"/>
  <c r="Q5" i="36"/>
  <c r="Q4" i="39"/>
  <c r="Q3" i="41"/>
  <c r="R6" i="15"/>
  <c r="P10" i="16"/>
  <c r="R3" i="32"/>
  <c r="R7" i="35"/>
  <c r="Q4" i="19"/>
  <c r="R11" i="17"/>
  <c r="R10" i="38"/>
  <c r="P4" i="38"/>
  <c r="R11" i="35"/>
  <c r="Q4" i="17"/>
  <c r="Q3" i="24"/>
  <c r="R8" i="42"/>
  <c r="P5" i="19"/>
  <c r="P5" i="38"/>
  <c r="P4" i="39"/>
  <c r="R10" i="27"/>
  <c r="R10" i="43"/>
  <c r="P4" i="22"/>
  <c r="P2" i="17"/>
  <c r="R4" i="28"/>
  <c r="Q3" i="38"/>
  <c r="R2" i="40"/>
  <c r="R8" i="34"/>
  <c r="Q4" i="33"/>
  <c r="Q12" i="20"/>
  <c r="R10" i="34"/>
  <c r="R11" i="41"/>
  <c r="P11" i="41"/>
  <c r="R3" i="16"/>
  <c r="R2" i="27"/>
  <c r="R11" i="36"/>
  <c r="P9" i="22"/>
  <c r="P2" i="39"/>
  <c r="P5" i="32"/>
  <c r="R11" i="40"/>
  <c r="P9" i="35"/>
  <c r="R6" i="33"/>
  <c r="P10" i="19"/>
  <c r="Q10" i="38"/>
  <c r="R7" i="34"/>
  <c r="P9" i="26"/>
  <c r="Q9" i="42"/>
  <c r="Q9" i="41"/>
  <c r="R10" i="15"/>
  <c r="Q5" i="21"/>
  <c r="P10" i="21"/>
  <c r="P3" i="35"/>
  <c r="R8" i="19"/>
  <c r="Q9" i="18"/>
  <c r="R10" i="22"/>
  <c r="R2" i="26"/>
  <c r="P10" i="14"/>
  <c r="R4" i="29"/>
  <c r="R8" i="24"/>
  <c r="Q9" i="35"/>
  <c r="P5" i="37"/>
  <c r="P12" i="14"/>
  <c r="P9" i="27"/>
  <c r="R10" i="18"/>
  <c r="R4" i="14"/>
  <c r="P4" i="23"/>
  <c r="Q3" i="11"/>
  <c r="R11" i="43"/>
  <c r="R3" i="15"/>
  <c r="Q12" i="43"/>
  <c r="Q9" i="39"/>
  <c r="P9" i="41"/>
  <c r="P10" i="35"/>
  <c r="P9" i="39"/>
  <c r="R11" i="21"/>
  <c r="Q9" i="38"/>
  <c r="Q12" i="35"/>
  <c r="R11" i="38"/>
  <c r="R3" i="28"/>
  <c r="Q5" i="11"/>
  <c r="P9" i="21"/>
  <c r="Q12" i="42"/>
  <c r="R10" i="42"/>
  <c r="Q4" i="27"/>
  <c r="R7" i="27"/>
  <c r="R3" i="31"/>
  <c r="Q4" i="37"/>
  <c r="P12" i="19"/>
  <c r="Q11" i="27"/>
  <c r="P5" i="40"/>
  <c r="P2" i="15"/>
  <c r="R11" i="30"/>
  <c r="P2" i="27"/>
  <c r="R7" i="42"/>
  <c r="Q9" i="40"/>
  <c r="Q11" i="16"/>
  <c r="P12" i="33"/>
  <c r="P10" i="36"/>
  <c r="R8" i="40"/>
  <c r="Q12" i="15"/>
  <c r="P11" i="39"/>
  <c r="P3" i="36"/>
  <c r="Q5" i="37"/>
  <c r="P11" i="35"/>
  <c r="R8" i="39"/>
  <c r="P10" i="27"/>
  <c r="P3" i="14"/>
  <c r="P2" i="30"/>
  <c r="Q11" i="28"/>
  <c r="Q3" i="35"/>
  <c r="R4" i="43"/>
  <c r="Q5" i="27"/>
  <c r="P9" i="40"/>
  <c r="R4" i="40"/>
  <c r="P11" i="38"/>
  <c r="R8" i="29"/>
  <c r="Q3" i="27"/>
  <c r="P5" i="21"/>
  <c r="P12" i="17"/>
  <c r="P5" i="31"/>
  <c r="P3" i="34"/>
  <c r="R6" i="16"/>
  <c r="Q5" i="20"/>
  <c r="Q12" i="18"/>
  <c r="P9" i="18"/>
  <c r="P3" i="18"/>
  <c r="Q11" i="38"/>
  <c r="R4" i="17"/>
  <c r="P9" i="14"/>
  <c r="P5" i="17"/>
  <c r="P9" i="24"/>
  <c r="R10" i="17"/>
  <c r="R11" i="29"/>
  <c r="P12" i="23"/>
  <c r="P3" i="32"/>
  <c r="P12" i="36"/>
  <c r="Q5" i="23"/>
  <c r="R7" i="43"/>
  <c r="Q4" i="28"/>
  <c r="R11" i="33"/>
  <c r="P11" i="22"/>
  <c r="P4" i="34"/>
  <c r="P11" i="34"/>
  <c r="Q10" i="42"/>
  <c r="Q10" i="19"/>
  <c r="R7" i="29"/>
  <c r="R10" i="21"/>
  <c r="P11" i="27"/>
  <c r="P11" i="36"/>
  <c r="P11" i="19"/>
  <c r="R10" i="23"/>
  <c r="Q11" i="18"/>
  <c r="Q10" i="16"/>
  <c r="P3" i="11"/>
  <c r="R4" i="18"/>
  <c r="Q10" i="32"/>
  <c r="R3" i="18"/>
  <c r="R11" i="16"/>
  <c r="R3" i="30"/>
  <c r="P10" i="39"/>
  <c r="P4" i="40"/>
  <c r="P4" i="42"/>
  <c r="R8" i="35"/>
  <c r="R6" i="23"/>
  <c r="P4" i="18"/>
  <c r="R4" i="37"/>
  <c r="Q11" i="20"/>
  <c r="Q5" i="33"/>
  <c r="P3" i="38"/>
  <c r="R11" i="37"/>
  <c r="R3" i="27"/>
  <c r="Q12" i="39"/>
  <c r="P2" i="19"/>
  <c r="P10" i="28"/>
  <c r="P10" i="37"/>
  <c r="P4" i="35"/>
  <c r="Q12" i="40"/>
  <c r="R3" i="43"/>
  <c r="Q10" i="21"/>
  <c r="P12" i="43"/>
  <c r="R3" i="41"/>
  <c r="Q11" i="33"/>
  <c r="P4" i="41"/>
  <c r="Q4" i="15"/>
  <c r="R10" i="26"/>
  <c r="P3" i="39"/>
  <c r="R8" i="27"/>
  <c r="Q9" i="30"/>
  <c r="Q4" i="11"/>
  <c r="R2" i="41"/>
  <c r="R4" i="30"/>
  <c r="R6" i="28"/>
  <c r="R11" i="32"/>
  <c r="P5" i="36"/>
  <c r="P3" i="15"/>
  <c r="R4" i="23"/>
  <c r="R6" i="34"/>
  <c r="P2" i="40"/>
  <c r="R6" i="17"/>
  <c r="P10" i="41"/>
  <c r="Q5" i="34"/>
  <c r="P2" i="37"/>
  <c r="P12" i="15"/>
  <c r="R2" i="19"/>
  <c r="R11" i="34"/>
  <c r="Q9" i="24"/>
  <c r="P12" i="34"/>
  <c r="Q11" i="40"/>
  <c r="R11" i="42"/>
  <c r="P4" i="11"/>
  <c r="R10" i="11"/>
  <c r="R10" i="24"/>
  <c r="R10" i="32"/>
  <c r="P12" i="35"/>
  <c r="P10" i="38"/>
  <c r="R3" i="39"/>
  <c r="P9" i="43"/>
  <c r="Q9" i="27"/>
  <c r="R3" i="36"/>
  <c r="Q3" i="37"/>
  <c r="Q5" i="16"/>
  <c r="R8" i="15"/>
  <c r="R7" i="26"/>
  <c r="R2" i="37"/>
  <c r="R10" i="14"/>
  <c r="P2" i="29"/>
  <c r="R4" i="16"/>
  <c r="Q10" i="33"/>
  <c r="P10" i="15"/>
  <c r="P11" i="18"/>
  <c r="P9" i="38"/>
  <c r="R8" i="33"/>
  <c r="R8" i="31"/>
  <c r="R10" i="33"/>
  <c r="Q10" i="37"/>
  <c r="Q11" i="21"/>
  <c r="P3" i="30"/>
  <c r="Q3" i="22"/>
  <c r="Q4" i="38"/>
  <c r="Q11" i="43"/>
  <c r="Q4" i="36"/>
  <c r="Q9" i="31"/>
  <c r="Q11" i="29"/>
  <c r="Q12" i="14"/>
  <c r="R7" i="16"/>
  <c r="R7" i="14"/>
  <c r="P10" i="17"/>
  <c r="Q5" i="18"/>
  <c r="P9" i="36"/>
  <c r="P12" i="31"/>
  <c r="P4" i="32"/>
  <c r="R8" i="41"/>
  <c r="P10" i="20"/>
  <c r="Q4" i="43"/>
  <c r="Q9" i="21"/>
  <c r="R6" i="22"/>
  <c r="R8" i="11"/>
  <c r="R2" i="38"/>
  <c r="P10" i="32"/>
  <c r="R2" i="29"/>
  <c r="Q3" i="34"/>
  <c r="R2" i="16"/>
  <c r="Q5" i="38"/>
  <c r="P11" i="11"/>
  <c r="R4" i="39"/>
  <c r="Q10" i="20"/>
  <c r="P3" i="21"/>
  <c r="P2" i="33"/>
  <c r="R10" i="20"/>
  <c r="Q3" i="16"/>
  <c r="R7" i="19"/>
  <c r="R8" i="28"/>
  <c r="P4" i="14"/>
  <c r="R3" i="37"/>
  <c r="P12" i="40"/>
  <c r="Q3" i="21"/>
  <c r="R3" i="26"/>
  <c r="R4" i="26"/>
  <c r="R6" i="26"/>
  <c r="P5" i="29"/>
  <c r="R7" i="18"/>
  <c r="P5" i="14"/>
  <c r="R3" i="34"/>
  <c r="Q3" i="36"/>
  <c r="P3" i="19"/>
  <c r="Q5" i="39"/>
  <c r="P5" i="34"/>
  <c r="Q5" i="43"/>
  <c r="P2" i="16"/>
  <c r="P10" i="34"/>
  <c r="P9" i="37"/>
  <c r="R2" i="24"/>
  <c r="R4" i="41"/>
  <c r="R8" i="18"/>
  <c r="P4" i="15"/>
  <c r="P5" i="26"/>
  <c r="R2" i="17"/>
  <c r="P3" i="33"/>
  <c r="Q12" i="24"/>
  <c r="Q4" i="29"/>
  <c r="P9" i="16"/>
  <c r="P10" i="42"/>
  <c r="R2" i="35"/>
  <c r="Q10" i="26"/>
  <c r="P10" i="40"/>
  <c r="Q5" i="30"/>
  <c r="Q9" i="11"/>
  <c r="P9" i="15"/>
  <c r="Q4" i="41"/>
  <c r="P11" i="26"/>
  <c r="P9" i="31"/>
  <c r="R10" i="29"/>
  <c r="Q12" i="36"/>
  <c r="R6" i="27"/>
  <c r="P9" i="33"/>
  <c r="Q11" i="36"/>
  <c r="P4" i="26"/>
  <c r="P3" i="43"/>
  <c r="Q9" i="14"/>
  <c r="P9" i="29"/>
  <c r="P11" i="24"/>
  <c r="P2" i="42"/>
  <c r="Q12" i="32"/>
  <c r="R2" i="34"/>
  <c r="P11" i="20"/>
  <c r="Q9" i="37"/>
  <c r="P4" i="16"/>
  <c r="Q3" i="15"/>
  <c r="P12" i="27"/>
  <c r="R4" i="31"/>
  <c r="R3" i="42"/>
  <c r="Q9" i="17"/>
  <c r="P5" i="23"/>
  <c r="P5" i="27"/>
  <c r="P5" i="18"/>
  <c r="P3" i="24"/>
  <c r="P9" i="20"/>
  <c r="Q4" i="18"/>
  <c r="Q4" i="40"/>
  <c r="P3" i="29"/>
  <c r="Q3" i="40"/>
  <c r="P11" i="14"/>
  <c r="P12" i="20"/>
  <c r="P10" i="11"/>
  <c r="Q10" i="31"/>
  <c r="Q9" i="20"/>
  <c r="P3" i="37"/>
  <c r="Q10" i="22"/>
  <c r="P3" i="27"/>
  <c r="R11" i="23"/>
  <c r="Q10" i="30"/>
  <c r="P5" i="33"/>
  <c r="P4" i="31"/>
  <c r="R2" i="31"/>
  <c r="R4" i="36"/>
  <c r="Q5" i="14"/>
  <c r="R4" i="24"/>
  <c r="P10" i="22"/>
  <c r="P5" i="39"/>
  <c r="Q12" i="38"/>
  <c r="P9" i="11"/>
  <c r="R11" i="31"/>
  <c r="R6" i="20"/>
  <c r="P12" i="32"/>
  <c r="R2" i="18"/>
  <c r="P12" i="22"/>
  <c r="Q11" i="17"/>
  <c r="P12" i="21"/>
  <c r="R6" i="43"/>
  <c r="Q10" i="23"/>
  <c r="R7" i="11"/>
  <c r="Q10" i="40"/>
  <c r="P11" i="17"/>
  <c r="R8" i="17"/>
  <c r="P2" i="21"/>
  <c r="R11" i="14"/>
  <c r="P12" i="30"/>
  <c r="R10" i="30"/>
  <c r="P4" i="43"/>
  <c r="C2" i="36" l="1"/>
  <c r="C2" i="38"/>
  <c r="C2" i="43"/>
  <c r="C2" i="40"/>
  <c r="G3" i="39"/>
  <c r="F5" i="19"/>
  <c r="C2" i="37"/>
  <c r="D2" i="39"/>
  <c r="C2" i="42"/>
  <c r="C2" i="41"/>
  <c r="R9" i="34"/>
  <c r="O4" i="39"/>
  <c r="L11" i="43"/>
  <c r="R9" i="43"/>
  <c r="F5" i="43"/>
  <c r="F5" i="26"/>
  <c r="R9" i="26"/>
  <c r="L11" i="42"/>
  <c r="R9" i="17"/>
  <c r="F5" i="17"/>
  <c r="G3" i="35"/>
  <c r="I7" i="35"/>
  <c r="M7" i="35" s="1"/>
  <c r="F5" i="31"/>
  <c r="R9" i="31"/>
  <c r="R9" i="39"/>
  <c r="R9" i="41"/>
  <c r="F5" i="41"/>
  <c r="H4" i="20"/>
  <c r="D2" i="20"/>
  <c r="F5" i="14"/>
  <c r="R9" i="14"/>
  <c r="H4" i="41"/>
  <c r="D2" i="41"/>
  <c r="I8" i="35"/>
  <c r="M8" i="35" s="1"/>
  <c r="O8" i="35" s="1"/>
  <c r="S8" i="35" s="1"/>
  <c r="L11" i="38"/>
  <c r="F5" i="42"/>
  <c r="R9" i="42"/>
  <c r="R9" i="11"/>
  <c r="F5" i="11"/>
  <c r="F5" i="24"/>
  <c r="R9" i="24"/>
  <c r="F5" i="32"/>
  <c r="R9" i="32"/>
  <c r="R9" i="37"/>
  <c r="G3" i="20"/>
  <c r="I7" i="20"/>
  <c r="M7" i="20" s="1"/>
  <c r="F5" i="40"/>
  <c r="R9" i="40"/>
  <c r="C2" i="35"/>
  <c r="F3" i="39"/>
  <c r="F5" i="39" s="1"/>
  <c r="C2" i="39"/>
  <c r="L11" i="36"/>
  <c r="F5" i="15"/>
  <c r="R9" i="15"/>
  <c r="R9" i="29"/>
  <c r="F5" i="29"/>
  <c r="L11" i="39"/>
  <c r="F5" i="36"/>
  <c r="R9" i="36"/>
  <c r="D2" i="36"/>
  <c r="H4" i="36"/>
  <c r="F5" i="27"/>
  <c r="R9" i="27"/>
  <c r="R9" i="23"/>
  <c r="F5" i="23"/>
  <c r="D2" i="40"/>
  <c r="H4" i="40"/>
  <c r="L11" i="35"/>
  <c r="F5" i="30"/>
  <c r="R9" i="30"/>
  <c r="R9" i="21"/>
  <c r="F5" i="21"/>
  <c r="L10" i="35"/>
  <c r="D2" i="42"/>
  <c r="H4" i="42"/>
  <c r="L11" i="20"/>
  <c r="F5" i="20"/>
  <c r="R9" i="20"/>
  <c r="I6" i="20"/>
  <c r="M6" i="20" s="1"/>
  <c r="B17" i="35"/>
  <c r="R9" i="35"/>
  <c r="F5" i="35"/>
  <c r="I6" i="35"/>
  <c r="R9" i="18"/>
  <c r="F5" i="18"/>
  <c r="F5" i="16"/>
  <c r="R9" i="16"/>
  <c r="L11" i="41"/>
  <c r="C2" i="20"/>
  <c r="R9" i="38"/>
  <c r="F5" i="38"/>
  <c r="F5" i="33"/>
  <c r="R9" i="33"/>
  <c r="D2" i="43"/>
  <c r="H4" i="43"/>
  <c r="F5" i="22"/>
  <c r="R9" i="22"/>
  <c r="R9" i="28"/>
  <c r="F5" i="28"/>
  <c r="L11" i="40"/>
  <c r="D2" i="35"/>
  <c r="H4" i="38"/>
  <c r="D2" i="38"/>
  <c r="M4" i="38" l="1"/>
  <c r="S4" i="39"/>
  <c r="C18" i="38"/>
  <c r="C13" i="38" s="1"/>
  <c r="M11" i="41"/>
  <c r="O11" i="41" s="1"/>
  <c r="M11" i="35"/>
  <c r="O11" i="35" s="1"/>
  <c r="C18" i="41"/>
  <c r="C13" i="41" s="1"/>
  <c r="M11" i="20"/>
  <c r="O11" i="20" s="1"/>
  <c r="J19" i="35"/>
  <c r="K19" i="35" s="1"/>
  <c r="K9" i="35" s="1"/>
  <c r="M11" i="40"/>
  <c r="O11" i="40" s="1"/>
  <c r="M4" i="43"/>
  <c r="M4" i="42"/>
  <c r="G18" i="20"/>
  <c r="G13" i="20" s="1"/>
  <c r="C18" i="37"/>
  <c r="C13" i="37" s="1"/>
  <c r="H3" i="39"/>
  <c r="M11" i="42"/>
  <c r="O11" i="42" s="1"/>
  <c r="D18" i="39"/>
  <c r="D13" i="39" s="1"/>
  <c r="M11" i="38"/>
  <c r="O11" i="38" s="1"/>
  <c r="F3" i="35"/>
  <c r="M11" i="36"/>
  <c r="O11" i="36" s="1"/>
  <c r="C18" i="40"/>
  <c r="C13" i="40" s="1"/>
  <c r="M4" i="36"/>
  <c r="M4" i="41"/>
  <c r="M11" i="43"/>
  <c r="O11" i="43" s="1"/>
  <c r="C18" i="43"/>
  <c r="C13" i="43" s="1"/>
  <c r="C18" i="20"/>
  <c r="C13" i="20" s="1"/>
  <c r="C18" i="35"/>
  <c r="C13" i="35" s="1"/>
  <c r="C18" i="36"/>
  <c r="C13" i="36" s="1"/>
  <c r="F3" i="20"/>
  <c r="M4" i="40"/>
  <c r="M11" i="39"/>
  <c r="O11" i="39" s="1"/>
  <c r="C18" i="42"/>
  <c r="C13" i="42" s="1"/>
  <c r="D18" i="40"/>
  <c r="D13" i="40" s="1"/>
  <c r="M2" i="40"/>
  <c r="Q2" i="40" s="1"/>
  <c r="O7" i="35"/>
  <c r="S7" i="35" s="1"/>
  <c r="D18" i="42"/>
  <c r="D13" i="42" s="1"/>
  <c r="M2" i="42"/>
  <c r="Q2" i="42" s="1"/>
  <c r="G18" i="35"/>
  <c r="G13" i="35" s="1"/>
  <c r="M2" i="20"/>
  <c r="Q2" i="20" s="1"/>
  <c r="D18" i="20"/>
  <c r="D13" i="20" s="1"/>
  <c r="O7" i="20"/>
  <c r="S7" i="20" s="1"/>
  <c r="M17" i="35"/>
  <c r="B18" i="35"/>
  <c r="M10" i="35"/>
  <c r="R12" i="35"/>
  <c r="L18" i="35"/>
  <c r="O6" i="20"/>
  <c r="S6" i="20" s="1"/>
  <c r="M2" i="35"/>
  <c r="D18" i="35"/>
  <c r="D13" i="35" s="1"/>
  <c r="M2" i="38"/>
  <c r="Q2" i="38" s="1"/>
  <c r="D18" i="38"/>
  <c r="D13" i="38" s="1"/>
  <c r="M2" i="43"/>
  <c r="Q2" i="43" s="1"/>
  <c r="D18" i="43"/>
  <c r="D13" i="43" s="1"/>
  <c r="C18" i="39"/>
  <c r="C13" i="39" s="1"/>
  <c r="M2" i="39"/>
  <c r="Q2" i="39" s="1"/>
  <c r="M2" i="36"/>
  <c r="Q2" i="36" s="1"/>
  <c r="D18" i="36"/>
  <c r="D13" i="36" s="1"/>
  <c r="M6" i="35"/>
  <c r="I18" i="35"/>
  <c r="I13" i="35" s="1"/>
  <c r="I19" i="35" s="1"/>
  <c r="M2" i="41"/>
  <c r="Q2" i="41" s="1"/>
  <c r="D18" i="41"/>
  <c r="D13" i="41" s="1"/>
  <c r="O4" i="43" l="1"/>
  <c r="S4" i="43" s="1"/>
  <c r="O4" i="40"/>
  <c r="S4" i="40" s="1"/>
  <c r="O4" i="41"/>
  <c r="S4" i="41" s="1"/>
  <c r="O4" i="36"/>
  <c r="S4" i="36" s="1"/>
  <c r="O4" i="42"/>
  <c r="S4" i="42" s="1"/>
  <c r="O4" i="38"/>
  <c r="S4" i="38" s="1"/>
  <c r="F18" i="35"/>
  <c r="F13" i="35" s="1"/>
  <c r="F19" i="35" s="1"/>
  <c r="S11" i="20"/>
  <c r="J9" i="35"/>
  <c r="K18" i="35"/>
  <c r="K14" i="35" s="1"/>
  <c r="S11" i="39"/>
  <c r="S11" i="41"/>
  <c r="S11" i="38"/>
  <c r="D19" i="20"/>
  <c r="D19" i="41"/>
  <c r="C19" i="39"/>
  <c r="H3" i="20"/>
  <c r="C19" i="36"/>
  <c r="S11" i="40"/>
  <c r="G19" i="35"/>
  <c r="F18" i="20"/>
  <c r="F13" i="20" s="1"/>
  <c r="C19" i="35"/>
  <c r="D19" i="39"/>
  <c r="C19" i="41"/>
  <c r="C19" i="20"/>
  <c r="H3" i="35"/>
  <c r="N12" i="35"/>
  <c r="C19" i="43"/>
  <c r="H5" i="39"/>
  <c r="D19" i="43"/>
  <c r="S11" i="42"/>
  <c r="S11" i="35"/>
  <c r="D19" i="38"/>
  <c r="D19" i="42"/>
  <c r="S11" i="36"/>
  <c r="S11" i="43"/>
  <c r="C19" i="37"/>
  <c r="C19" i="38"/>
  <c r="D19" i="36"/>
  <c r="G19" i="20"/>
  <c r="C19" i="42"/>
  <c r="D19" i="35"/>
  <c r="D19" i="40"/>
  <c r="C19" i="40"/>
  <c r="L14" i="35"/>
  <c r="O6" i="35"/>
  <c r="S6" i="35" s="1"/>
  <c r="B13" i="35"/>
  <c r="S17" i="35"/>
  <c r="R17" i="35"/>
  <c r="O10" i="35"/>
  <c r="Q2" i="35"/>
  <c r="C2" i="34"/>
  <c r="M9" i="35" l="1"/>
  <c r="O9" i="35" s="1"/>
  <c r="J18" i="35"/>
  <c r="J14" i="35" s="1"/>
  <c r="L19" i="35"/>
  <c r="C18" i="34"/>
  <c r="S10" i="35"/>
  <c r="H5" i="20"/>
  <c r="M3" i="35"/>
  <c r="O2" i="35"/>
  <c r="S12" i="35"/>
  <c r="F19" i="20"/>
  <c r="B19" i="35"/>
  <c r="D2" i="34"/>
  <c r="H4" i="34"/>
  <c r="O3" i="35" l="1"/>
  <c r="S3" i="35" s="1"/>
  <c r="M14" i="35"/>
  <c r="E15" i="35"/>
  <c r="S2" i="35"/>
  <c r="S9" i="35"/>
  <c r="M4" i="34"/>
  <c r="M2" i="34"/>
  <c r="Q2" i="34" s="1"/>
  <c r="D18" i="34"/>
  <c r="O4" i="34" l="1"/>
  <c r="S4" i="34" s="1"/>
  <c r="H5" i="35"/>
  <c r="M15" i="35"/>
  <c r="S15" i="35" s="1"/>
  <c r="L11" i="34"/>
  <c r="H4" i="35" l="1"/>
  <c r="M5" i="35"/>
  <c r="R15" i="35"/>
  <c r="M11" i="34"/>
  <c r="O11" i="34" s="1"/>
  <c r="C13" i="34"/>
  <c r="D13" i="34"/>
  <c r="R5" i="35" l="1"/>
  <c r="E18" i="35" s="1"/>
  <c r="E13" i="35" s="1"/>
  <c r="H18" i="35"/>
  <c r="H13" i="35" s="1"/>
  <c r="H19" i="35" s="1"/>
  <c r="M4" i="35"/>
  <c r="S5" i="35"/>
  <c r="C19" i="34"/>
  <c r="D19" i="34"/>
  <c r="S11" i="34"/>
  <c r="E16" i="35" l="1"/>
  <c r="M16" i="35" s="1"/>
  <c r="O4" i="35"/>
  <c r="S4" i="35" s="1"/>
  <c r="M18" i="35"/>
  <c r="R18" i="35" s="1"/>
  <c r="E19" i="35"/>
  <c r="M13" i="35"/>
  <c r="D2" i="33"/>
  <c r="H4" i="33"/>
  <c r="L11" i="33"/>
  <c r="C2" i="33"/>
  <c r="D2" i="32"/>
  <c r="H4" i="32"/>
  <c r="C2" i="32"/>
  <c r="L11" i="32"/>
  <c r="H4" i="31"/>
  <c r="D2" i="31"/>
  <c r="L11" i="31"/>
  <c r="C2" i="31"/>
  <c r="L11" i="30"/>
  <c r="H4" i="30"/>
  <c r="D2" i="30"/>
  <c r="C2" i="30"/>
  <c r="L11" i="29"/>
  <c r="D2" i="29"/>
  <c r="C2" i="29"/>
  <c r="L11" i="28"/>
  <c r="D2" i="28"/>
  <c r="H4" i="28"/>
  <c r="C2" i="28"/>
  <c r="L11" i="27"/>
  <c r="D2" i="27"/>
  <c r="H4" i="27"/>
  <c r="C2" i="27"/>
  <c r="H4" i="26"/>
  <c r="D2" i="26"/>
  <c r="L11" i="26"/>
  <c r="C2" i="26"/>
  <c r="L11" i="24"/>
  <c r="C2" i="24"/>
  <c r="H4" i="24"/>
  <c r="D2" i="24"/>
  <c r="C2" i="23"/>
  <c r="L11" i="23"/>
  <c r="H4" i="23"/>
  <c r="D2" i="23"/>
  <c r="H4" i="22"/>
  <c r="D2" i="22"/>
  <c r="C2" i="22"/>
  <c r="H4" i="21"/>
  <c r="D2" i="21"/>
  <c r="C2" i="21"/>
  <c r="C2" i="19"/>
  <c r="H4" i="19"/>
  <c r="D2" i="19"/>
  <c r="D2" i="18"/>
  <c r="H4" i="18"/>
  <c r="C2" i="18"/>
  <c r="C2" i="17"/>
  <c r="H4" i="17"/>
  <c r="D2" i="17"/>
  <c r="N14" i="35" l="1"/>
  <c r="S14" i="35" s="1"/>
  <c r="S18" i="35"/>
  <c r="M4" i="22"/>
  <c r="M4" i="19"/>
  <c r="M11" i="23"/>
  <c r="O11" i="23" s="1"/>
  <c r="C18" i="27"/>
  <c r="C13" i="27" s="1"/>
  <c r="M11" i="29"/>
  <c r="O11" i="29" s="1"/>
  <c r="C18" i="32"/>
  <c r="C13" i="32" s="1"/>
  <c r="M11" i="26"/>
  <c r="O11" i="26" s="1"/>
  <c r="M11" i="28"/>
  <c r="O11" i="28" s="1"/>
  <c r="C18" i="19"/>
  <c r="C13" i="19" s="1"/>
  <c r="C18" i="23"/>
  <c r="C13" i="23" s="1"/>
  <c r="M4" i="27"/>
  <c r="C18" i="30"/>
  <c r="C13" i="30" s="1"/>
  <c r="M4" i="32"/>
  <c r="C18" i="21"/>
  <c r="C13" i="21" s="1"/>
  <c r="M4" i="24"/>
  <c r="M11" i="27"/>
  <c r="O11" i="27" s="1"/>
  <c r="M4" i="30"/>
  <c r="M4" i="17"/>
  <c r="M11" i="30"/>
  <c r="O11" i="30" s="1"/>
  <c r="C18" i="33"/>
  <c r="C13" i="33" s="1"/>
  <c r="M4" i="21"/>
  <c r="C18" i="24"/>
  <c r="C13" i="24" s="1"/>
  <c r="C18" i="28"/>
  <c r="C13" i="28" s="1"/>
  <c r="M11" i="33"/>
  <c r="O11" i="33" s="1"/>
  <c r="C18" i="22"/>
  <c r="C13" i="22" s="1"/>
  <c r="M4" i="28"/>
  <c r="C18" i="17"/>
  <c r="C13" i="17" s="1"/>
  <c r="M11" i="24"/>
  <c r="O11" i="24" s="1"/>
  <c r="C18" i="31"/>
  <c r="C13" i="31" s="1"/>
  <c r="M4" i="33"/>
  <c r="C18" i="18"/>
  <c r="C13" i="18" s="1"/>
  <c r="C18" i="26"/>
  <c r="C13" i="26" s="1"/>
  <c r="M11" i="31"/>
  <c r="O11" i="31" s="1"/>
  <c r="M4" i="31"/>
  <c r="M4" i="18"/>
  <c r="C18" i="29"/>
  <c r="C13" i="29" s="1"/>
  <c r="M4" i="23"/>
  <c r="M4" i="26"/>
  <c r="M11" i="32"/>
  <c r="O11" i="32" s="1"/>
  <c r="R13" i="35"/>
  <c r="S13" i="35"/>
  <c r="S16" i="35"/>
  <c r="R16" i="35"/>
  <c r="D18" i="22"/>
  <c r="D13" i="22" s="1"/>
  <c r="D18" i="28"/>
  <c r="D13" i="28" s="1"/>
  <c r="D18" i="30"/>
  <c r="D18" i="27"/>
  <c r="D18" i="31"/>
  <c r="D18" i="19"/>
  <c r="D13" i="19" s="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29"/>
  <c r="D13" i="29" s="1"/>
  <c r="D18" i="33"/>
  <c r="D18" i="32"/>
  <c r="M2" i="33"/>
  <c r="Q2" i="33" s="1"/>
  <c r="M2" i="32"/>
  <c r="Q2" i="32" s="1"/>
  <c r="M2" i="31"/>
  <c r="Q2" i="31" s="1"/>
  <c r="M2" i="30"/>
  <c r="Q2" i="30" s="1"/>
  <c r="M2" i="29"/>
  <c r="Q2" i="29" s="1"/>
  <c r="M2" i="28"/>
  <c r="Q2" i="28" s="1"/>
  <c r="M2" i="27"/>
  <c r="Q2" i="27" s="1"/>
  <c r="M2" i="26"/>
  <c r="Q2" i="26" s="1"/>
  <c r="M2" i="24"/>
  <c r="Q2" i="24" s="1"/>
  <c r="M2" i="23"/>
  <c r="Q2" i="23" s="1"/>
  <c r="M2" i="22"/>
  <c r="Q2" i="22" s="1"/>
  <c r="M2" i="21"/>
  <c r="Q2" i="21" s="1"/>
  <c r="M2" i="19"/>
  <c r="M2" i="18"/>
  <c r="Q2" i="18" s="1"/>
  <c r="M2" i="17"/>
  <c r="Q2" i="17" s="1"/>
  <c r="R14" i="35" l="1"/>
  <c r="O4" i="17"/>
  <c r="S4" i="17" s="1"/>
  <c r="O4" i="30"/>
  <c r="S4" i="30" s="1"/>
  <c r="O4" i="28"/>
  <c r="S4" i="28" s="1"/>
  <c r="O4" i="18"/>
  <c r="S4" i="18" s="1"/>
  <c r="O4" i="24"/>
  <c r="S4" i="24" s="1"/>
  <c r="O4" i="31"/>
  <c r="S4" i="31" s="1"/>
  <c r="O4" i="26"/>
  <c r="S4" i="26" s="1"/>
  <c r="O4" i="23"/>
  <c r="S4" i="23" s="1"/>
  <c r="O4" i="32"/>
  <c r="S4" i="32" s="1"/>
  <c r="O4" i="19"/>
  <c r="S4" i="19" s="1"/>
  <c r="O4" i="21"/>
  <c r="S4" i="21" s="1"/>
  <c r="O4" i="27"/>
  <c r="S4" i="27" s="1"/>
  <c r="O4" i="22"/>
  <c r="S4" i="22" s="1"/>
  <c r="O4" i="33"/>
  <c r="S4" i="33" s="1"/>
  <c r="S11" i="27"/>
  <c r="S11" i="26"/>
  <c r="S11" i="23"/>
  <c r="C19" i="24"/>
  <c r="C19" i="26"/>
  <c r="C19" i="31"/>
  <c r="C19" i="28"/>
  <c r="C19" i="22"/>
  <c r="C19" i="32"/>
  <c r="C19" i="17"/>
  <c r="C19" i="19"/>
  <c r="C19" i="29"/>
  <c r="C19" i="21"/>
  <c r="C19" i="18"/>
  <c r="S11" i="29"/>
  <c r="S11" i="33"/>
  <c r="C19" i="33"/>
  <c r="C19" i="23"/>
  <c r="C19" i="27"/>
  <c r="C19" i="30"/>
  <c r="S11" i="24"/>
  <c r="S11" i="31"/>
  <c r="S11" i="30"/>
  <c r="S11" i="28"/>
  <c r="S11" i="32"/>
  <c r="D19" i="21"/>
  <c r="D19" i="23"/>
  <c r="D19" i="17"/>
  <c r="D19" i="18"/>
  <c r="D19" i="19"/>
  <c r="D19" i="29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D2" i="16"/>
  <c r="C2" i="16"/>
  <c r="H4" i="11"/>
  <c r="D2" i="11"/>
  <c r="C2" i="11"/>
  <c r="C18" i="11" l="1"/>
  <c r="D18" i="11"/>
  <c r="D13" i="11" s="1"/>
  <c r="M4" i="11"/>
  <c r="D18" i="16"/>
  <c r="D13" i="16" s="1"/>
  <c r="C18" i="16"/>
  <c r="M4" i="16"/>
  <c r="M2" i="16"/>
  <c r="Q2" i="16" s="1"/>
  <c r="M2" i="11"/>
  <c r="Q2" i="11" s="1"/>
  <c r="O4" i="11" l="1"/>
  <c r="S4" i="11" s="1"/>
  <c r="O4" i="16"/>
  <c r="S4" i="16" s="1"/>
  <c r="D19" i="11"/>
  <c r="D19" i="16"/>
  <c r="C13" i="16"/>
  <c r="D2" i="15"/>
  <c r="C2" i="15"/>
  <c r="C18" i="15" l="1"/>
  <c r="C13" i="15" s="1"/>
  <c r="C19" i="16"/>
  <c r="L10" i="37"/>
  <c r="L10" i="20"/>
  <c r="I8" i="20"/>
  <c r="J19" i="20"/>
  <c r="O2" i="20"/>
  <c r="B17" i="20"/>
  <c r="L10" i="34"/>
  <c r="F3" i="18"/>
  <c r="H4" i="29"/>
  <c r="F3" i="16"/>
  <c r="F3" i="17"/>
  <c r="F3" i="22"/>
  <c r="F3" i="11"/>
  <c r="F3" i="15"/>
  <c r="B17" i="37"/>
  <c r="B18" i="37" s="1"/>
  <c r="B13" i="37" s="1"/>
  <c r="B19" i="37" s="1"/>
  <c r="B17" i="39"/>
  <c r="M17" i="39" s="1"/>
  <c r="I6" i="39"/>
  <c r="M6" i="39" s="1"/>
  <c r="O6" i="39" s="1"/>
  <c r="S6" i="39" s="1"/>
  <c r="F3" i="33"/>
  <c r="I6" i="33"/>
  <c r="M6" i="33" s="1"/>
  <c r="O6" i="33" s="1"/>
  <c r="S6" i="33" s="1"/>
  <c r="F5" i="34"/>
  <c r="I6" i="34"/>
  <c r="M6" i="34" s="1"/>
  <c r="O6" i="34" s="1"/>
  <c r="S6" i="34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1"/>
  <c r="I6" i="41"/>
  <c r="M6" i="41" s="1"/>
  <c r="O6" i="41" s="1"/>
  <c r="S6" i="41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B17" i="40"/>
  <c r="I8" i="33"/>
  <c r="I8" i="41"/>
  <c r="L10" i="30"/>
  <c r="B17" i="38"/>
  <c r="I8" i="30"/>
  <c r="I8" i="28"/>
  <c r="L10" i="41"/>
  <c r="L10" i="39"/>
  <c r="L10" i="40"/>
  <c r="L10" i="26"/>
  <c r="L10" i="23"/>
  <c r="B17" i="41"/>
  <c r="L10" i="29"/>
  <c r="I8" i="36"/>
  <c r="B17" i="28"/>
  <c r="I8" i="42"/>
  <c r="I8" i="26"/>
  <c r="L10" i="33"/>
  <c r="I8" i="23"/>
  <c r="I8" i="38"/>
  <c r="L10" i="42"/>
  <c r="B17" i="34"/>
  <c r="L10" i="38"/>
  <c r="L10" i="28"/>
  <c r="B17" i="30"/>
  <c r="I8" i="34"/>
  <c r="B17" i="26"/>
  <c r="B17" i="29"/>
  <c r="B17" i="33"/>
  <c r="I8" i="24"/>
  <c r="I8" i="39"/>
  <c r="B17" i="42"/>
  <c r="I8" i="32"/>
  <c r="I8" i="27"/>
  <c r="B17" i="32"/>
  <c r="I8" i="43"/>
  <c r="B17" i="27"/>
  <c r="I8" i="31"/>
  <c r="B17" i="24"/>
  <c r="L10" i="32"/>
  <c r="L10" i="24"/>
  <c r="I8" i="40"/>
  <c r="B17" i="43"/>
  <c r="L10" i="31"/>
  <c r="B17" i="31"/>
  <c r="L10" i="36"/>
  <c r="H4" i="37"/>
  <c r="D2" i="37"/>
  <c r="L11" i="37"/>
  <c r="B17" i="11"/>
  <c r="B17" i="22"/>
  <c r="B17" i="21"/>
  <c r="B17" i="18"/>
  <c r="B17" i="14"/>
  <c r="B17" i="16"/>
  <c r="B17" i="17"/>
  <c r="B17" i="19"/>
  <c r="D18" i="15"/>
  <c r="D13" i="15" s="1"/>
  <c r="L11" i="15"/>
  <c r="L10" i="15"/>
  <c r="L11" i="11"/>
  <c r="L11" i="21"/>
  <c r="L11" i="17"/>
  <c r="L11" i="22"/>
  <c r="L10" i="16"/>
  <c r="L11" i="18"/>
  <c r="L11" i="16"/>
  <c r="L10" i="11"/>
  <c r="L11" i="19"/>
  <c r="I8" i="15"/>
  <c r="M8" i="15" s="1"/>
  <c r="O8" i="15" s="1"/>
  <c r="S8" i="15" s="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8" i="19"/>
  <c r="M8" i="19" s="1"/>
  <c r="O8" i="19" s="1"/>
  <c r="S8" i="19" s="1"/>
  <c r="I6" i="15"/>
  <c r="I6" i="17"/>
  <c r="I6" i="16"/>
  <c r="L10" i="18"/>
  <c r="I6" i="19"/>
  <c r="L10" i="21"/>
  <c r="I6" i="18"/>
  <c r="Q2" i="19"/>
  <c r="L10" i="19"/>
  <c r="I6" i="11"/>
  <c r="I6" i="21"/>
  <c r="L10" i="22"/>
  <c r="I6" i="22"/>
  <c r="L10" i="17"/>
  <c r="I8" i="11"/>
  <c r="M8" i="11" s="1"/>
  <c r="O8" i="11" s="1"/>
  <c r="S8" i="11" s="1"/>
  <c r="I8" i="16"/>
  <c r="I8" i="17"/>
  <c r="M2" i="15"/>
  <c r="Q2" i="15" s="1"/>
  <c r="H4" i="14"/>
  <c r="D2" i="14"/>
  <c r="I6" i="14"/>
  <c r="L11" i="14"/>
  <c r="L10" i="14"/>
  <c r="I8" i="14"/>
  <c r="M8" i="14" s="1"/>
  <c r="C2" i="14"/>
  <c r="M11" i="18" l="1"/>
  <c r="O11" i="18" s="1"/>
  <c r="R12" i="36"/>
  <c r="M4" i="14"/>
  <c r="M11" i="22"/>
  <c r="O11" i="22" s="1"/>
  <c r="R12" i="31"/>
  <c r="R12" i="28"/>
  <c r="R12" i="38"/>
  <c r="R12" i="29"/>
  <c r="R12" i="30"/>
  <c r="M11" i="21"/>
  <c r="O11" i="21" s="1"/>
  <c r="F18" i="11"/>
  <c r="F13" i="11" s="1"/>
  <c r="M11" i="11"/>
  <c r="O11" i="11" s="1"/>
  <c r="R12" i="24"/>
  <c r="R12" i="42"/>
  <c r="R12" i="23"/>
  <c r="F18" i="22"/>
  <c r="F13" i="22" s="1"/>
  <c r="R12" i="20"/>
  <c r="F18" i="17"/>
  <c r="F13" i="17" s="1"/>
  <c r="R12" i="26"/>
  <c r="M11" i="19"/>
  <c r="O11" i="19" s="1"/>
  <c r="M11" i="15"/>
  <c r="O11" i="15" s="1"/>
  <c r="M11" i="37"/>
  <c r="O11" i="37" s="1"/>
  <c r="R12" i="40"/>
  <c r="R12" i="27"/>
  <c r="F3" i="34"/>
  <c r="F18" i="16"/>
  <c r="F13" i="16" s="1"/>
  <c r="M4" i="29"/>
  <c r="C19" i="15"/>
  <c r="M11" i="17"/>
  <c r="O11" i="17" s="1"/>
  <c r="R12" i="32"/>
  <c r="R12" i="33"/>
  <c r="R12" i="39"/>
  <c r="M11" i="14"/>
  <c r="O11" i="14" s="1"/>
  <c r="M11" i="16"/>
  <c r="O11" i="16" s="1"/>
  <c r="R12" i="41"/>
  <c r="F18" i="18"/>
  <c r="F13" i="18" s="1"/>
  <c r="R12" i="34"/>
  <c r="D18" i="14"/>
  <c r="D13" i="14" s="1"/>
  <c r="S2" i="20"/>
  <c r="R12" i="15"/>
  <c r="F18" i="39"/>
  <c r="F13" i="39" s="1"/>
  <c r="F18" i="15"/>
  <c r="F13" i="15" s="1"/>
  <c r="D19" i="15"/>
  <c r="R12" i="11"/>
  <c r="R12" i="17"/>
  <c r="R12" i="18"/>
  <c r="R12" i="22"/>
  <c r="R12" i="16"/>
  <c r="R12" i="21"/>
  <c r="R12" i="14"/>
  <c r="R12" i="37"/>
  <c r="M10" i="20"/>
  <c r="L18" i="20"/>
  <c r="B18" i="20"/>
  <c r="M17" i="20"/>
  <c r="J9" i="20"/>
  <c r="K19" i="20"/>
  <c r="K9" i="20" s="1"/>
  <c r="M8" i="20"/>
  <c r="I18" i="20"/>
  <c r="I13" i="20" s="1"/>
  <c r="I19" i="20" s="1"/>
  <c r="R12" i="19"/>
  <c r="L18" i="34"/>
  <c r="M10" i="34"/>
  <c r="O10" i="34" s="1"/>
  <c r="G3" i="14"/>
  <c r="I6" i="29"/>
  <c r="M6" i="29" s="1"/>
  <c r="O6" i="29" s="1"/>
  <c r="S6" i="29" s="1"/>
  <c r="I7" i="14"/>
  <c r="M7" i="14" s="1"/>
  <c r="O7" i="14" s="1"/>
  <c r="I8" i="29"/>
  <c r="M8" i="29" s="1"/>
  <c r="O8" i="29" s="1"/>
  <c r="S8" i="29" s="1"/>
  <c r="R9" i="19"/>
  <c r="O2" i="33"/>
  <c r="O2" i="28"/>
  <c r="O2" i="40"/>
  <c r="O2" i="39"/>
  <c r="O2" i="31"/>
  <c r="O2" i="34"/>
  <c r="O2" i="26"/>
  <c r="O2" i="38"/>
  <c r="O2" i="27"/>
  <c r="O2" i="42"/>
  <c r="O2" i="41"/>
  <c r="O2" i="32"/>
  <c r="O2" i="24"/>
  <c r="O2" i="29"/>
  <c r="O2" i="43"/>
  <c r="O2" i="30"/>
  <c r="M17" i="37"/>
  <c r="S17" i="37" s="1"/>
  <c r="B18" i="39"/>
  <c r="B13" i="39" s="1"/>
  <c r="B19" i="39" s="1"/>
  <c r="B17" i="36"/>
  <c r="M17" i="36" s="1"/>
  <c r="F3" i="29"/>
  <c r="G3" i="23"/>
  <c r="I7" i="23"/>
  <c r="M7" i="23" s="1"/>
  <c r="I7" i="11"/>
  <c r="M7" i="11" s="1"/>
  <c r="O7" i="11" s="1"/>
  <c r="S7" i="11" s="1"/>
  <c r="G3" i="11"/>
  <c r="G3" i="24"/>
  <c r="I7" i="24"/>
  <c r="M7" i="24" s="1"/>
  <c r="G3" i="22"/>
  <c r="I7" i="22"/>
  <c r="M7" i="22" s="1"/>
  <c r="I7" i="33"/>
  <c r="M7" i="33" s="1"/>
  <c r="G3" i="33"/>
  <c r="G3" i="36"/>
  <c r="I7" i="36"/>
  <c r="M7" i="36" s="1"/>
  <c r="I7" i="17"/>
  <c r="M7" i="17" s="1"/>
  <c r="G3" i="17"/>
  <c r="I7" i="30"/>
  <c r="M7" i="30" s="1"/>
  <c r="G3" i="30"/>
  <c r="I7" i="18"/>
  <c r="M7" i="18" s="1"/>
  <c r="G3" i="18"/>
  <c r="I7" i="40"/>
  <c r="M7" i="40" s="1"/>
  <c r="G3" i="40"/>
  <c r="G3" i="15"/>
  <c r="I7" i="15"/>
  <c r="M7" i="15" s="1"/>
  <c r="O7" i="15" s="1"/>
  <c r="S7" i="15" s="1"/>
  <c r="G3" i="34"/>
  <c r="I7" i="34"/>
  <c r="M7" i="34" s="1"/>
  <c r="G3" i="16"/>
  <c r="I7" i="16"/>
  <c r="M7" i="16" s="1"/>
  <c r="O7" i="16" s="1"/>
  <c r="S7" i="16" s="1"/>
  <c r="G3" i="21"/>
  <c r="I7" i="21"/>
  <c r="M7" i="21" s="1"/>
  <c r="G3" i="38"/>
  <c r="I7" i="38"/>
  <c r="M7" i="38" s="1"/>
  <c r="I7" i="31"/>
  <c r="M7" i="31" s="1"/>
  <c r="G3" i="31"/>
  <c r="I7" i="43"/>
  <c r="M7" i="43" s="1"/>
  <c r="G3" i="43"/>
  <c r="I7" i="41"/>
  <c r="M7" i="41" s="1"/>
  <c r="O7" i="41" s="1"/>
  <c r="S7" i="41" s="1"/>
  <c r="G3" i="41"/>
  <c r="G3" i="42"/>
  <c r="I7" i="42"/>
  <c r="M7" i="42" s="1"/>
  <c r="G3" i="26"/>
  <c r="I7" i="26"/>
  <c r="M7" i="26" s="1"/>
  <c r="I7" i="32"/>
  <c r="M7" i="32" s="1"/>
  <c r="G3" i="32"/>
  <c r="I7" i="29"/>
  <c r="M7" i="29" s="1"/>
  <c r="G3" i="29"/>
  <c r="I7" i="28"/>
  <c r="M7" i="28" s="1"/>
  <c r="G3" i="28"/>
  <c r="I7" i="27"/>
  <c r="M7" i="27" s="1"/>
  <c r="G3" i="27"/>
  <c r="G3" i="19"/>
  <c r="I7" i="19"/>
  <c r="M7" i="19" s="1"/>
  <c r="I7" i="39"/>
  <c r="M7" i="39" s="1"/>
  <c r="F18" i="33"/>
  <c r="F13" i="33" s="1"/>
  <c r="F18" i="42"/>
  <c r="F13" i="42" s="1"/>
  <c r="F18" i="38"/>
  <c r="F13" i="38" s="1"/>
  <c r="F18" i="26"/>
  <c r="F13" i="26" s="1"/>
  <c r="F18" i="30"/>
  <c r="F13" i="30" s="1"/>
  <c r="F18" i="36"/>
  <c r="F13" i="36" s="1"/>
  <c r="F18" i="32"/>
  <c r="F13" i="32" s="1"/>
  <c r="F18" i="43"/>
  <c r="F13" i="43" s="1"/>
  <c r="F18" i="23"/>
  <c r="F13" i="23" s="1"/>
  <c r="F18" i="27"/>
  <c r="F13" i="27" s="1"/>
  <c r="F18" i="31"/>
  <c r="F13" i="31" s="1"/>
  <c r="F18" i="41"/>
  <c r="F13" i="41" s="1"/>
  <c r="F18" i="24"/>
  <c r="F13" i="24" s="1"/>
  <c r="F3" i="37"/>
  <c r="I6" i="37"/>
  <c r="M6" i="37" s="1"/>
  <c r="O6" i="37" s="1"/>
  <c r="S6" i="37" s="1"/>
  <c r="F18" i="28"/>
  <c r="F13" i="28" s="1"/>
  <c r="F18" i="40"/>
  <c r="F13" i="40" s="1"/>
  <c r="M10" i="31"/>
  <c r="O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L18" i="40"/>
  <c r="M8" i="33"/>
  <c r="O8" i="33" s="1"/>
  <c r="S8" i="33" s="1"/>
  <c r="L18" i="27"/>
  <c r="M10" i="27"/>
  <c r="O10" i="27" s="1"/>
  <c r="M8" i="32"/>
  <c r="O8" i="32" s="1"/>
  <c r="S8" i="32" s="1"/>
  <c r="B18" i="34"/>
  <c r="B13" i="34" s="1"/>
  <c r="B19" i="34" s="1"/>
  <c r="M17" i="34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L18" i="23"/>
  <c r="M10" i="23"/>
  <c r="O10" i="23" s="1"/>
  <c r="M8" i="30"/>
  <c r="O8" i="30" s="1"/>
  <c r="S8" i="30" s="1"/>
  <c r="L18" i="30"/>
  <c r="M10" i="30"/>
  <c r="O10" i="30" s="1"/>
  <c r="M10" i="32"/>
  <c r="O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B18" i="42"/>
  <c r="B13" i="42" s="1"/>
  <c r="B19" i="42" s="1"/>
  <c r="M17" i="42"/>
  <c r="M8" i="34"/>
  <c r="M10" i="29"/>
  <c r="O10" i="29" s="1"/>
  <c r="L18" i="29"/>
  <c r="M8" i="41"/>
  <c r="O8" i="41" s="1"/>
  <c r="S8" i="41" s="1"/>
  <c r="L18" i="24"/>
  <c r="M10" i="24"/>
  <c r="O10" i="24" s="1"/>
  <c r="M8" i="39"/>
  <c r="O8" i="39" s="1"/>
  <c r="S8" i="39" s="1"/>
  <c r="B18" i="29"/>
  <c r="B13" i="29" s="1"/>
  <c r="B19" i="29" s="1"/>
  <c r="M17" i="29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L18" i="41"/>
  <c r="M10" i="41"/>
  <c r="O10" i="41" s="1"/>
  <c r="B18" i="38"/>
  <c r="B13" i="38" s="1"/>
  <c r="B19" i="38" s="1"/>
  <c r="M17" i="38"/>
  <c r="L18" i="36"/>
  <c r="M10" i="36"/>
  <c r="O10" i="36" s="1"/>
  <c r="B18" i="28"/>
  <c r="B13" i="28" s="1"/>
  <c r="B19" i="28" s="1"/>
  <c r="M17" i="28"/>
  <c r="J19" i="41"/>
  <c r="K19" i="41" s="1"/>
  <c r="S17" i="39"/>
  <c r="R17" i="39"/>
  <c r="B18" i="30"/>
  <c r="B13" i="30" s="1"/>
  <c r="B19" i="30" s="1"/>
  <c r="M17" i="30"/>
  <c r="L18" i="38"/>
  <c r="M10" i="38"/>
  <c r="O10" i="38" s="1"/>
  <c r="M10" i="42"/>
  <c r="O10" i="42" s="1"/>
  <c r="L18" i="42"/>
  <c r="M10" i="33"/>
  <c r="O10" i="33" s="1"/>
  <c r="L18" i="33"/>
  <c r="B18" i="41"/>
  <c r="B13" i="41" s="1"/>
  <c r="B19" i="41" s="1"/>
  <c r="M17" i="41"/>
  <c r="M8" i="28"/>
  <c r="I8" i="37"/>
  <c r="M10" i="37"/>
  <c r="O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4"/>
  <c r="B13" i="14" s="1"/>
  <c r="B19" i="14" s="1"/>
  <c r="M17" i="14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9"/>
  <c r="B13" i="19" s="1"/>
  <c r="B19" i="19" s="1"/>
  <c r="M17" i="19"/>
  <c r="B18" i="17"/>
  <c r="B13" i="17" s="1"/>
  <c r="B19" i="17" s="1"/>
  <c r="M17" i="17"/>
  <c r="B17" i="15"/>
  <c r="L18" i="19"/>
  <c r="L18" i="18"/>
  <c r="L18" i="14"/>
  <c r="L18" i="21"/>
  <c r="L18" i="17"/>
  <c r="M10" i="16"/>
  <c r="O10" i="16" s="1"/>
  <c r="L18" i="16"/>
  <c r="M10" i="15"/>
  <c r="O10" i="15" s="1"/>
  <c r="L18" i="15"/>
  <c r="M10" i="11"/>
  <c r="O10" i="11" s="1"/>
  <c r="L18" i="11"/>
  <c r="M6" i="11"/>
  <c r="O6" i="11" s="1"/>
  <c r="S6" i="11" s="1"/>
  <c r="M6" i="17"/>
  <c r="O6" i="17" s="1"/>
  <c r="S6" i="17" s="1"/>
  <c r="M6" i="16"/>
  <c r="O6" i="16" s="1"/>
  <c r="S6" i="16" s="1"/>
  <c r="C18" i="14"/>
  <c r="O2" i="16"/>
  <c r="O2" i="11"/>
  <c r="O2" i="17"/>
  <c r="O2" i="21"/>
  <c r="O2" i="18"/>
  <c r="O2" i="19"/>
  <c r="M6" i="15"/>
  <c r="O6" i="15" s="1"/>
  <c r="S6" i="15" s="1"/>
  <c r="M10" i="22"/>
  <c r="O10" i="22" s="1"/>
  <c r="F3" i="21"/>
  <c r="M10" i="21"/>
  <c r="O10" i="21" s="1"/>
  <c r="M10" i="18"/>
  <c r="O10" i="18" s="1"/>
  <c r="M6" i="21"/>
  <c r="O6" i="21" s="1"/>
  <c r="S6" i="21" s="1"/>
  <c r="M6" i="22"/>
  <c r="O6" i="22" s="1"/>
  <c r="S6" i="22" s="1"/>
  <c r="M6" i="18"/>
  <c r="O6" i="18" s="1"/>
  <c r="S6" i="18" s="1"/>
  <c r="M10" i="19"/>
  <c r="O10" i="19" s="1"/>
  <c r="M6" i="19"/>
  <c r="O6" i="19" s="1"/>
  <c r="S6" i="19" s="1"/>
  <c r="M10" i="17"/>
  <c r="O10" i="17" s="1"/>
  <c r="M8" i="17"/>
  <c r="M8" i="16"/>
  <c r="O8" i="16" s="1"/>
  <c r="S8" i="16" s="1"/>
  <c r="M6" i="14"/>
  <c r="O8" i="14"/>
  <c r="S8" i="14" s="1"/>
  <c r="F3" i="14"/>
  <c r="M10" i="14"/>
  <c r="O4" i="29" l="1"/>
  <c r="S4" i="29" s="1"/>
  <c r="O4" i="14"/>
  <c r="S4" i="14" s="1"/>
  <c r="F18" i="34"/>
  <c r="F13" i="34" s="1"/>
  <c r="F19" i="34" s="1"/>
  <c r="N12" i="34"/>
  <c r="N12" i="20"/>
  <c r="S11" i="21"/>
  <c r="S11" i="37"/>
  <c r="S11" i="11"/>
  <c r="S11" i="18"/>
  <c r="S11" i="19"/>
  <c r="S11" i="17"/>
  <c r="S11" i="22"/>
  <c r="L14" i="34"/>
  <c r="F19" i="18"/>
  <c r="F19" i="43"/>
  <c r="G18" i="40"/>
  <c r="G13" i="40" s="1"/>
  <c r="G18" i="33"/>
  <c r="G13" i="33" s="1"/>
  <c r="F18" i="29"/>
  <c r="F13" i="29" s="1"/>
  <c r="F18" i="21"/>
  <c r="F13" i="21" s="1"/>
  <c r="F19" i="11"/>
  <c r="F19" i="40"/>
  <c r="F19" i="32"/>
  <c r="G18" i="19"/>
  <c r="G13" i="19" s="1"/>
  <c r="G18" i="26"/>
  <c r="G13" i="26" s="1"/>
  <c r="G18" i="38"/>
  <c r="G13" i="38" s="1"/>
  <c r="F19" i="17"/>
  <c r="F19" i="36"/>
  <c r="F19" i="30"/>
  <c r="G18" i="42"/>
  <c r="G13" i="42" s="1"/>
  <c r="G18" i="21"/>
  <c r="G13" i="21" s="1"/>
  <c r="G18" i="22"/>
  <c r="G13" i="22" s="1"/>
  <c r="F19" i="28"/>
  <c r="G18" i="27"/>
  <c r="G13" i="27" s="1"/>
  <c r="G18" i="18"/>
  <c r="G13" i="18" s="1"/>
  <c r="K18" i="20"/>
  <c r="K14" i="20" s="1"/>
  <c r="F19" i="26"/>
  <c r="G18" i="28"/>
  <c r="G13" i="28" s="1"/>
  <c r="G18" i="41"/>
  <c r="G13" i="41" s="1"/>
  <c r="G18" i="30"/>
  <c r="G13" i="30" s="1"/>
  <c r="F19" i="22"/>
  <c r="F19" i="38"/>
  <c r="G18" i="16"/>
  <c r="G13" i="16" s="1"/>
  <c r="G18" i="24"/>
  <c r="G13" i="24" s="1"/>
  <c r="F19" i="24"/>
  <c r="F19" i="41"/>
  <c r="F19" i="42"/>
  <c r="G18" i="29"/>
  <c r="G13" i="29" s="1"/>
  <c r="G18" i="43"/>
  <c r="G13" i="43" s="1"/>
  <c r="G18" i="17"/>
  <c r="G13" i="17" s="1"/>
  <c r="G18" i="11"/>
  <c r="G13" i="11" s="1"/>
  <c r="G18" i="14"/>
  <c r="G13" i="14" s="1"/>
  <c r="F19" i="31"/>
  <c r="F19" i="33"/>
  <c r="G18" i="34"/>
  <c r="G13" i="34" s="1"/>
  <c r="F18" i="14"/>
  <c r="F13" i="14" s="1"/>
  <c r="F19" i="16"/>
  <c r="F19" i="27"/>
  <c r="G18" i="32"/>
  <c r="G13" i="32" s="1"/>
  <c r="G18" i="31"/>
  <c r="G13" i="31" s="1"/>
  <c r="F19" i="15"/>
  <c r="S11" i="15"/>
  <c r="F19" i="23"/>
  <c r="G18" i="15"/>
  <c r="G13" i="15" s="1"/>
  <c r="G18" i="36"/>
  <c r="G13" i="36" s="1"/>
  <c r="G18" i="23"/>
  <c r="G13" i="23" s="1"/>
  <c r="F19" i="39"/>
  <c r="S11" i="16"/>
  <c r="S11" i="14"/>
  <c r="S10" i="22"/>
  <c r="S10" i="26"/>
  <c r="S10" i="24"/>
  <c r="S10" i="40"/>
  <c r="S10" i="33"/>
  <c r="S10" i="42"/>
  <c r="S10" i="23"/>
  <c r="S10" i="36"/>
  <c r="S10" i="11"/>
  <c r="S10" i="38"/>
  <c r="S10" i="28"/>
  <c r="S10" i="37"/>
  <c r="S10" i="34"/>
  <c r="S10" i="17"/>
  <c r="S10" i="15"/>
  <c r="S10" i="18"/>
  <c r="S10" i="27"/>
  <c r="S10" i="29"/>
  <c r="S10" i="21"/>
  <c r="S10" i="16"/>
  <c r="S10" i="41"/>
  <c r="S10" i="39"/>
  <c r="S10" i="32"/>
  <c r="S10" i="31"/>
  <c r="S10" i="30"/>
  <c r="S10" i="19"/>
  <c r="S2" i="40"/>
  <c r="S2" i="41"/>
  <c r="S2" i="39"/>
  <c r="S2" i="38"/>
  <c r="S2" i="34"/>
  <c r="S2" i="33"/>
  <c r="S2" i="31"/>
  <c r="S2" i="32"/>
  <c r="S2" i="18"/>
  <c r="S2" i="30"/>
  <c r="S2" i="29"/>
  <c r="S2" i="28"/>
  <c r="S2" i="26"/>
  <c r="S2" i="27"/>
  <c r="S2" i="24"/>
  <c r="S2" i="21"/>
  <c r="S2" i="17"/>
  <c r="S2" i="11"/>
  <c r="S2" i="19"/>
  <c r="H3" i="15"/>
  <c r="D19" i="37"/>
  <c r="D19" i="14"/>
  <c r="L14" i="20"/>
  <c r="O10" i="20"/>
  <c r="O8" i="20"/>
  <c r="S8" i="20" s="1"/>
  <c r="J18" i="20"/>
  <c r="J14" i="20" s="1"/>
  <c r="M9" i="20"/>
  <c r="O9" i="20" s="1"/>
  <c r="R17" i="20"/>
  <c r="S17" i="20"/>
  <c r="B13" i="20"/>
  <c r="B19" i="20" s="1"/>
  <c r="J19" i="15"/>
  <c r="K19" i="15" s="1"/>
  <c r="K9" i="15" s="1"/>
  <c r="H3" i="23"/>
  <c r="J19" i="11"/>
  <c r="K19" i="11" s="1"/>
  <c r="K9" i="11" s="1"/>
  <c r="J19" i="18"/>
  <c r="K19" i="18" s="1"/>
  <c r="K9" i="18" s="1"/>
  <c r="J19" i="31"/>
  <c r="K19" i="31" s="1"/>
  <c r="K9" i="31" s="1"/>
  <c r="S2" i="42"/>
  <c r="J19" i="17"/>
  <c r="J9" i="17" s="1"/>
  <c r="J19" i="19"/>
  <c r="J9" i="19" s="1"/>
  <c r="J19" i="21"/>
  <c r="K19" i="21" s="1"/>
  <c r="K9" i="21" s="1"/>
  <c r="J19" i="33"/>
  <c r="J9" i="33" s="1"/>
  <c r="J19" i="16"/>
  <c r="J9" i="16" s="1"/>
  <c r="J19" i="22"/>
  <c r="K19" i="22" s="1"/>
  <c r="K9" i="22" s="1"/>
  <c r="J19" i="26"/>
  <c r="J9" i="26" s="1"/>
  <c r="S2" i="43"/>
  <c r="S7" i="14"/>
  <c r="I18" i="14"/>
  <c r="I13" i="14" s="1"/>
  <c r="I19" i="14" s="1"/>
  <c r="O4" i="37"/>
  <c r="N12" i="36"/>
  <c r="N12" i="24"/>
  <c r="N12" i="38"/>
  <c r="N12" i="29"/>
  <c r="N12" i="11"/>
  <c r="N12" i="26"/>
  <c r="N12" i="30"/>
  <c r="N12" i="27"/>
  <c r="N12" i="37"/>
  <c r="N12" i="33"/>
  <c r="N12" i="23"/>
  <c r="N12" i="31"/>
  <c r="N12" i="42"/>
  <c r="N12" i="41"/>
  <c r="N12" i="39"/>
  <c r="N12" i="40"/>
  <c r="N12" i="32"/>
  <c r="N12" i="28"/>
  <c r="H3" i="11"/>
  <c r="I18" i="17"/>
  <c r="I13" i="17" s="1"/>
  <c r="I19" i="17" s="1"/>
  <c r="J19" i="29"/>
  <c r="K19" i="29" s="1"/>
  <c r="K9" i="29" s="1"/>
  <c r="J19" i="39"/>
  <c r="J19" i="30"/>
  <c r="J19" i="38"/>
  <c r="J19" i="27"/>
  <c r="J19" i="36"/>
  <c r="J19" i="28"/>
  <c r="J19" i="32"/>
  <c r="J19" i="24"/>
  <c r="J19" i="42"/>
  <c r="J19" i="40"/>
  <c r="J19" i="23"/>
  <c r="R17" i="37"/>
  <c r="O2" i="36"/>
  <c r="B18" i="36"/>
  <c r="B13" i="36" s="1"/>
  <c r="B19" i="36" s="1"/>
  <c r="I18" i="11"/>
  <c r="H3" i="17"/>
  <c r="I18" i="23"/>
  <c r="I13" i="23" s="1"/>
  <c r="I19" i="23" s="1"/>
  <c r="I18" i="21"/>
  <c r="I13" i="21" s="1"/>
  <c r="I19" i="21" s="1"/>
  <c r="I18" i="15"/>
  <c r="I13" i="15" s="1"/>
  <c r="I19" i="15" s="1"/>
  <c r="I18" i="34"/>
  <c r="I13" i="34" s="1"/>
  <c r="I19" i="34" s="1"/>
  <c r="H3" i="22"/>
  <c r="I18" i="36"/>
  <c r="I13" i="36" s="1"/>
  <c r="I19" i="36" s="1"/>
  <c r="I18" i="24"/>
  <c r="I13" i="24" s="1"/>
  <c r="I19" i="24" s="1"/>
  <c r="H3" i="18"/>
  <c r="I18" i="19"/>
  <c r="I13" i="19" s="1"/>
  <c r="I19" i="19" s="1"/>
  <c r="I18" i="28"/>
  <c r="I13" i="28" s="1"/>
  <c r="I19" i="28" s="1"/>
  <c r="H3" i="16"/>
  <c r="I18" i="18"/>
  <c r="I13" i="18" s="1"/>
  <c r="I19" i="18" s="1"/>
  <c r="I18" i="32"/>
  <c r="I13" i="32" s="1"/>
  <c r="I19" i="32" s="1"/>
  <c r="I18" i="27"/>
  <c r="I13" i="27" s="1"/>
  <c r="I19" i="27" s="1"/>
  <c r="H3" i="24"/>
  <c r="H3" i="40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I18" i="38"/>
  <c r="I13" i="38" s="1"/>
  <c r="I19" i="38" s="1"/>
  <c r="L14" i="30"/>
  <c r="H3" i="31"/>
  <c r="I18" i="41"/>
  <c r="I13" i="41" s="1"/>
  <c r="I19" i="41" s="1"/>
  <c r="H3" i="33"/>
  <c r="I18" i="43"/>
  <c r="I13" i="43" s="1"/>
  <c r="I19" i="43" s="1"/>
  <c r="H3" i="26"/>
  <c r="H3" i="32"/>
  <c r="I18" i="30"/>
  <c r="I13" i="30" s="1"/>
  <c r="I19" i="30" s="1"/>
  <c r="H3" i="28"/>
  <c r="J19" i="34"/>
  <c r="J9" i="34" s="1"/>
  <c r="H3" i="34"/>
  <c r="H3" i="42"/>
  <c r="I18" i="29"/>
  <c r="I13" i="29" s="1"/>
  <c r="I19" i="29" s="1"/>
  <c r="H3" i="41"/>
  <c r="L14" i="29"/>
  <c r="H3" i="38"/>
  <c r="I18" i="26"/>
  <c r="I13" i="26" s="1"/>
  <c r="I19" i="26" s="1"/>
  <c r="H3" i="29"/>
  <c r="I18" i="42"/>
  <c r="I13" i="42" s="1"/>
  <c r="I19" i="42" s="1"/>
  <c r="H3" i="27"/>
  <c r="H3" i="36"/>
  <c r="H3" i="43"/>
  <c r="O7" i="26"/>
  <c r="S7" i="26" s="1"/>
  <c r="O7" i="30"/>
  <c r="S7" i="30" s="1"/>
  <c r="O7" i="31"/>
  <c r="S7" i="31" s="1"/>
  <c r="O7" i="24"/>
  <c r="S7" i="24" s="1"/>
  <c r="L14" i="38"/>
  <c r="L14" i="36"/>
  <c r="L14" i="26"/>
  <c r="L14" i="24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O7" i="40"/>
  <c r="S7" i="40" s="1"/>
  <c r="O7" i="23"/>
  <c r="S7" i="23" s="1"/>
  <c r="O7" i="39"/>
  <c r="S7" i="39" s="1"/>
  <c r="O7" i="29"/>
  <c r="S7" i="29" s="1"/>
  <c r="O7" i="19"/>
  <c r="S7" i="19" s="1"/>
  <c r="O7" i="18"/>
  <c r="S7" i="18" s="1"/>
  <c r="O7" i="33"/>
  <c r="S7" i="33" s="1"/>
  <c r="O7" i="32"/>
  <c r="S7" i="32" s="1"/>
  <c r="O7" i="43"/>
  <c r="S7" i="43" s="1"/>
  <c r="O7" i="34"/>
  <c r="S7" i="34" s="1"/>
  <c r="O7" i="22"/>
  <c r="S7" i="22" s="1"/>
  <c r="I7" i="37"/>
  <c r="M7" i="37" s="1"/>
  <c r="O7" i="37" s="1"/>
  <c r="G3" i="37"/>
  <c r="L14" i="39"/>
  <c r="L14" i="32"/>
  <c r="L14" i="28"/>
  <c r="J19" i="14"/>
  <c r="K19" i="14" s="1"/>
  <c r="L14" i="33"/>
  <c r="L14" i="42"/>
  <c r="F18" i="37"/>
  <c r="F13" i="37" s="1"/>
  <c r="O8" i="34"/>
  <c r="S8" i="34" s="1"/>
  <c r="S17" i="29"/>
  <c r="R17" i="29"/>
  <c r="S17" i="42"/>
  <c r="R17" i="42"/>
  <c r="L14" i="3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S17" i="41"/>
  <c r="R17" i="41"/>
  <c r="S17" i="27"/>
  <c r="R17" i="27"/>
  <c r="R17" i="43"/>
  <c r="S17" i="43"/>
  <c r="L14" i="27"/>
  <c r="L14" i="41"/>
  <c r="O8" i="23"/>
  <c r="S8" i="23" s="1"/>
  <c r="L10" i="43"/>
  <c r="J19" i="43"/>
  <c r="K19" i="43" s="1"/>
  <c r="K9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S17" i="34"/>
  <c r="R17" i="34"/>
  <c r="L14" i="37"/>
  <c r="B17" i="23"/>
  <c r="K9" i="41"/>
  <c r="J9" i="41"/>
  <c r="S17" i="21"/>
  <c r="R17" i="21"/>
  <c r="S17" i="17"/>
  <c r="R17" i="17"/>
  <c r="S17" i="18"/>
  <c r="R17" i="18"/>
  <c r="S17" i="19"/>
  <c r="R17" i="19"/>
  <c r="S17" i="14"/>
  <c r="R17" i="14"/>
  <c r="S17" i="11"/>
  <c r="R17" i="11"/>
  <c r="S17" i="16"/>
  <c r="R17" i="16"/>
  <c r="S17" i="22"/>
  <c r="R17" i="22"/>
  <c r="B18" i="15"/>
  <c r="B13" i="15" s="1"/>
  <c r="B19" i="15" s="1"/>
  <c r="M17" i="15"/>
  <c r="C13" i="14"/>
  <c r="S2" i="16"/>
  <c r="L14" i="15"/>
  <c r="L14" i="11"/>
  <c r="L14" i="16"/>
  <c r="N12" i="17"/>
  <c r="N12" i="18"/>
  <c r="N12" i="16"/>
  <c r="N12" i="22"/>
  <c r="N12" i="15"/>
  <c r="N12" i="21"/>
  <c r="N12" i="14"/>
  <c r="N12" i="19"/>
  <c r="O2" i="15"/>
  <c r="O2" i="22"/>
  <c r="L14" i="19"/>
  <c r="L14" i="21"/>
  <c r="L14" i="18"/>
  <c r="L14" i="22"/>
  <c r="H3" i="21"/>
  <c r="L14" i="17"/>
  <c r="O8" i="17"/>
  <c r="S8" i="17" s="1"/>
  <c r="L14" i="14"/>
  <c r="H3" i="14"/>
  <c r="O10" i="14"/>
  <c r="O6" i="14"/>
  <c r="S6" i="14" s="1"/>
  <c r="S12" i="20" l="1"/>
  <c r="S12" i="34"/>
  <c r="L19" i="34"/>
  <c r="S12" i="41"/>
  <c r="S12" i="29"/>
  <c r="J18" i="16"/>
  <c r="J14" i="16" s="1"/>
  <c r="K18" i="15"/>
  <c r="K14" i="15" s="1"/>
  <c r="G19" i="11"/>
  <c r="G19" i="22"/>
  <c r="S12" i="28"/>
  <c r="F19" i="14"/>
  <c r="L19" i="16"/>
  <c r="L19" i="41"/>
  <c r="L19" i="39"/>
  <c r="L19" i="14"/>
  <c r="L19" i="11"/>
  <c r="L19" i="27"/>
  <c r="G18" i="37"/>
  <c r="G13" i="37" s="1"/>
  <c r="M3" i="43"/>
  <c r="M3" i="42"/>
  <c r="H5" i="31"/>
  <c r="H5" i="40"/>
  <c r="S12" i="42"/>
  <c r="S12" i="38"/>
  <c r="M3" i="15"/>
  <c r="G19" i="17"/>
  <c r="G19" i="21"/>
  <c r="L19" i="38"/>
  <c r="M3" i="32"/>
  <c r="H5" i="16"/>
  <c r="M3" i="36"/>
  <c r="M3" i="34"/>
  <c r="L19" i="30"/>
  <c r="H5" i="24"/>
  <c r="S12" i="31"/>
  <c r="S12" i="24"/>
  <c r="K18" i="21"/>
  <c r="K14" i="21" s="1"/>
  <c r="G19" i="23"/>
  <c r="G19" i="43"/>
  <c r="G19" i="30"/>
  <c r="G19" i="42"/>
  <c r="L19" i="24"/>
  <c r="K18" i="29"/>
  <c r="K14" i="29" s="1"/>
  <c r="S12" i="23"/>
  <c r="S12" i="36"/>
  <c r="J18" i="19"/>
  <c r="J14" i="19" s="1"/>
  <c r="G19" i="36"/>
  <c r="G19" i="29"/>
  <c r="G19" i="41"/>
  <c r="F19" i="29"/>
  <c r="S12" i="22"/>
  <c r="S12" i="19"/>
  <c r="L19" i="15"/>
  <c r="L19" i="17"/>
  <c r="F19" i="37"/>
  <c r="G19" i="39"/>
  <c r="L19" i="26"/>
  <c r="H5" i="28"/>
  <c r="H5" i="30"/>
  <c r="S12" i="33"/>
  <c r="J18" i="17"/>
  <c r="J14" i="17" s="1"/>
  <c r="G19" i="15"/>
  <c r="G19" i="28"/>
  <c r="G19" i="33"/>
  <c r="S12" i="14"/>
  <c r="F19" i="21"/>
  <c r="S12" i="21"/>
  <c r="C19" i="14"/>
  <c r="K18" i="41"/>
  <c r="K14" i="41" s="1"/>
  <c r="S12" i="15"/>
  <c r="L19" i="42"/>
  <c r="L19" i="36"/>
  <c r="M3" i="29"/>
  <c r="H5" i="11"/>
  <c r="S12" i="37"/>
  <c r="G19" i="40"/>
  <c r="G19" i="34"/>
  <c r="G19" i="38"/>
  <c r="L19" i="22"/>
  <c r="L19" i="37"/>
  <c r="L19" i="33"/>
  <c r="L19" i="18"/>
  <c r="S12" i="16"/>
  <c r="K18" i="43"/>
  <c r="K14" i="43" s="1"/>
  <c r="M3" i="38"/>
  <c r="M3" i="26"/>
  <c r="S12" i="32"/>
  <c r="S12" i="30"/>
  <c r="G19" i="24"/>
  <c r="G19" i="18"/>
  <c r="G19" i="26"/>
  <c r="L19" i="31"/>
  <c r="G19" i="16"/>
  <c r="G19" i="27"/>
  <c r="G19" i="19"/>
  <c r="S12" i="27"/>
  <c r="K18" i="31"/>
  <c r="K14" i="31" s="1"/>
  <c r="L19" i="21"/>
  <c r="S12" i="18"/>
  <c r="R12" i="43"/>
  <c r="L19" i="40"/>
  <c r="L19" i="28"/>
  <c r="L19" i="29"/>
  <c r="S12" i="40"/>
  <c r="S12" i="26"/>
  <c r="K18" i="11"/>
  <c r="K14" i="11" s="1"/>
  <c r="L19" i="20"/>
  <c r="G19" i="31"/>
  <c r="L19" i="19"/>
  <c r="S12" i="17"/>
  <c r="L19" i="23"/>
  <c r="L19" i="32"/>
  <c r="M3" i="33"/>
  <c r="S12" i="39"/>
  <c r="S12" i="11"/>
  <c r="H5" i="23"/>
  <c r="G19" i="32"/>
  <c r="G19" i="14"/>
  <c r="H5" i="22"/>
  <c r="M3" i="17"/>
  <c r="S10" i="20"/>
  <c r="S10" i="14"/>
  <c r="S9" i="20"/>
  <c r="S4" i="37"/>
  <c r="S2" i="36"/>
  <c r="S2" i="22"/>
  <c r="M3" i="18"/>
  <c r="H5" i="18"/>
  <c r="E15" i="20"/>
  <c r="M14" i="20"/>
  <c r="J9" i="15"/>
  <c r="K19" i="17"/>
  <c r="K9" i="17" s="1"/>
  <c r="K19" i="34"/>
  <c r="K9" i="34" s="1"/>
  <c r="J9" i="11"/>
  <c r="K19" i="33"/>
  <c r="K9" i="33" s="1"/>
  <c r="M3" i="23"/>
  <c r="K19" i="16"/>
  <c r="K9" i="16" s="1"/>
  <c r="J9" i="22"/>
  <c r="J9" i="18"/>
  <c r="K19" i="19"/>
  <c r="K9" i="19" s="1"/>
  <c r="J9" i="21"/>
  <c r="K19" i="26"/>
  <c r="K9" i="26" s="1"/>
  <c r="J9" i="31"/>
  <c r="O3" i="39"/>
  <c r="J9" i="29"/>
  <c r="J19" i="37"/>
  <c r="K19" i="39"/>
  <c r="K9" i="39" s="1"/>
  <c r="J9" i="39"/>
  <c r="K19" i="42"/>
  <c r="K9" i="42" s="1"/>
  <c r="J9" i="42"/>
  <c r="K19" i="24"/>
  <c r="K9" i="24" s="1"/>
  <c r="J9" i="24"/>
  <c r="K19" i="32"/>
  <c r="K9" i="32" s="1"/>
  <c r="J9" i="32"/>
  <c r="K19" i="28"/>
  <c r="K9" i="28" s="1"/>
  <c r="J9" i="28"/>
  <c r="K19" i="36"/>
  <c r="K9" i="36" s="1"/>
  <c r="J9" i="36"/>
  <c r="J9" i="27"/>
  <c r="K19" i="27"/>
  <c r="K9" i="27" s="1"/>
  <c r="K19" i="23"/>
  <c r="K9" i="23" s="1"/>
  <c r="J9" i="23"/>
  <c r="K19" i="38"/>
  <c r="K9" i="38" s="1"/>
  <c r="J9" i="38"/>
  <c r="K19" i="40"/>
  <c r="K9" i="40" s="1"/>
  <c r="J9" i="40"/>
  <c r="K19" i="30"/>
  <c r="K9" i="30" s="1"/>
  <c r="J9" i="30"/>
  <c r="H5" i="17"/>
  <c r="O2" i="37"/>
  <c r="S2" i="23"/>
  <c r="M3" i="22"/>
  <c r="M3" i="16"/>
  <c r="I18" i="37"/>
  <c r="I13" i="37" s="1"/>
  <c r="I19" i="37" s="1"/>
  <c r="M3" i="24"/>
  <c r="M3" i="40"/>
  <c r="M3" i="30"/>
  <c r="M3" i="31"/>
  <c r="M3" i="28"/>
  <c r="H5" i="26"/>
  <c r="H5" i="33"/>
  <c r="H5" i="41"/>
  <c r="H5" i="42"/>
  <c r="H5" i="34"/>
  <c r="M3" i="41"/>
  <c r="H5" i="32"/>
  <c r="H5" i="27"/>
  <c r="M3" i="27"/>
  <c r="H3" i="37"/>
  <c r="H5" i="29"/>
  <c r="H5" i="38"/>
  <c r="H5" i="36"/>
  <c r="S7" i="37"/>
  <c r="M5" i="39"/>
  <c r="J9" i="43"/>
  <c r="H5" i="43"/>
  <c r="J18" i="26"/>
  <c r="J14" i="26" s="1"/>
  <c r="L18" i="43"/>
  <c r="M10" i="43"/>
  <c r="O10" i="43" s="1"/>
  <c r="J18" i="33"/>
  <c r="J14" i="33" s="1"/>
  <c r="B18" i="23"/>
  <c r="M17" i="23"/>
  <c r="J18" i="41"/>
  <c r="M9" i="41"/>
  <c r="J18" i="34"/>
  <c r="J14" i="34" s="1"/>
  <c r="S17" i="15"/>
  <c r="R17" i="15"/>
  <c r="K18" i="22"/>
  <c r="K14" i="22" s="1"/>
  <c r="K18" i="18"/>
  <c r="K14" i="18" s="1"/>
  <c r="M3" i="21"/>
  <c r="S2" i="15"/>
  <c r="H5" i="21"/>
  <c r="H5" i="14"/>
  <c r="M3" i="14"/>
  <c r="O3" i="34" l="1"/>
  <c r="S3" i="34" s="1"/>
  <c r="O3" i="36"/>
  <c r="S3" i="36" s="1"/>
  <c r="O3" i="42"/>
  <c r="S3" i="42" s="1"/>
  <c r="O3" i="32"/>
  <c r="S3" i="32" s="1"/>
  <c r="O3" i="43"/>
  <c r="S3" i="43" s="1"/>
  <c r="O3" i="26"/>
  <c r="S3" i="26" s="1"/>
  <c r="O3" i="38"/>
  <c r="S3" i="38" s="1"/>
  <c r="O3" i="15"/>
  <c r="S3" i="15" s="1"/>
  <c r="O3" i="33"/>
  <c r="S3" i="33" s="1"/>
  <c r="O3" i="29"/>
  <c r="S3" i="29" s="1"/>
  <c r="H18" i="31"/>
  <c r="H13" i="31" s="1"/>
  <c r="H19" i="31" s="1"/>
  <c r="M5" i="16"/>
  <c r="H18" i="30"/>
  <c r="H13" i="30" s="1"/>
  <c r="H19" i="30" s="1"/>
  <c r="H18" i="23"/>
  <c r="H13" i="23" s="1"/>
  <c r="H19" i="23" s="1"/>
  <c r="H18" i="24"/>
  <c r="H13" i="24" s="1"/>
  <c r="H19" i="24" s="1"/>
  <c r="H18" i="40"/>
  <c r="H13" i="40" s="1"/>
  <c r="H19" i="40" s="1"/>
  <c r="M5" i="21"/>
  <c r="M5" i="43"/>
  <c r="M5" i="32"/>
  <c r="K18" i="23"/>
  <c r="K14" i="23" s="1"/>
  <c r="K18" i="27"/>
  <c r="K14" i="27" s="1"/>
  <c r="J18" i="21"/>
  <c r="J14" i="21" s="1"/>
  <c r="M9" i="17"/>
  <c r="O9" i="17" s="1"/>
  <c r="M5" i="30"/>
  <c r="K18" i="26"/>
  <c r="K14" i="26" s="1"/>
  <c r="K18" i="34"/>
  <c r="K14" i="34" s="1"/>
  <c r="M5" i="36"/>
  <c r="M5" i="38"/>
  <c r="M5" i="41"/>
  <c r="M5" i="17"/>
  <c r="K18" i="42"/>
  <c r="K14" i="42" s="1"/>
  <c r="M5" i="28"/>
  <c r="G19" i="37"/>
  <c r="M5" i="29"/>
  <c r="M5" i="33"/>
  <c r="J18" i="18"/>
  <c r="J14" i="18" s="1"/>
  <c r="M5" i="14"/>
  <c r="M3" i="37"/>
  <c r="M5" i="26"/>
  <c r="K18" i="30"/>
  <c r="K14" i="30" s="1"/>
  <c r="K18" i="36"/>
  <c r="K14" i="36" s="1"/>
  <c r="K18" i="39"/>
  <c r="K14" i="39" s="1"/>
  <c r="J18" i="22"/>
  <c r="J14" i="22" s="1"/>
  <c r="M5" i="23"/>
  <c r="K18" i="24"/>
  <c r="K14" i="24" s="1"/>
  <c r="M5" i="34"/>
  <c r="M5" i="42"/>
  <c r="K18" i="19"/>
  <c r="K14" i="19" s="1"/>
  <c r="M9" i="15"/>
  <c r="O9" i="15" s="1"/>
  <c r="K18" i="16"/>
  <c r="K14" i="16" s="1"/>
  <c r="M5" i="27"/>
  <c r="K18" i="40"/>
  <c r="K14" i="40" s="1"/>
  <c r="K18" i="28"/>
  <c r="K14" i="28" s="1"/>
  <c r="J18" i="29"/>
  <c r="J14" i="29" s="1"/>
  <c r="M5" i="22"/>
  <c r="H18" i="11"/>
  <c r="H13" i="11" s="1"/>
  <c r="M5" i="24"/>
  <c r="M5" i="18"/>
  <c r="J18" i="43"/>
  <c r="J14" i="43" s="1"/>
  <c r="H18" i="28"/>
  <c r="H13" i="28" s="1"/>
  <c r="K18" i="38"/>
  <c r="K14" i="38" s="1"/>
  <c r="K18" i="32"/>
  <c r="K14" i="32" s="1"/>
  <c r="K18" i="33"/>
  <c r="K14" i="33" s="1"/>
  <c r="M5" i="40"/>
  <c r="J18" i="31"/>
  <c r="J14" i="31" s="1"/>
  <c r="J18" i="11"/>
  <c r="J14" i="11" s="1"/>
  <c r="M5" i="31"/>
  <c r="H18" i="16"/>
  <c r="H13" i="16" s="1"/>
  <c r="H18" i="22"/>
  <c r="H13" i="22" s="1"/>
  <c r="O3" i="17"/>
  <c r="R5" i="39"/>
  <c r="O3" i="23"/>
  <c r="O3" i="18"/>
  <c r="S10" i="43"/>
  <c r="S3" i="39"/>
  <c r="S2" i="37"/>
  <c r="M4" i="20"/>
  <c r="M15" i="20"/>
  <c r="J18" i="15"/>
  <c r="J14" i="15" s="1"/>
  <c r="K18" i="17"/>
  <c r="K14" i="17" s="1"/>
  <c r="M9" i="11"/>
  <c r="O9" i="11" s="1"/>
  <c r="M9" i="34"/>
  <c r="O9" i="34" s="1"/>
  <c r="M9" i="33"/>
  <c r="O9" i="33" s="1"/>
  <c r="M9" i="22"/>
  <c r="O9" i="22" s="1"/>
  <c r="M9" i="16"/>
  <c r="O9" i="16" s="1"/>
  <c r="M9" i="18"/>
  <c r="O9" i="18" s="1"/>
  <c r="M9" i="19"/>
  <c r="O9" i="19" s="1"/>
  <c r="M9" i="21"/>
  <c r="O9" i="21" s="1"/>
  <c r="M9" i="26"/>
  <c r="O9" i="26" s="1"/>
  <c r="M9" i="31"/>
  <c r="O9" i="31" s="1"/>
  <c r="O3" i="27"/>
  <c r="O3" i="28"/>
  <c r="O3" i="31"/>
  <c r="O3" i="24"/>
  <c r="O3" i="16"/>
  <c r="O3" i="41"/>
  <c r="O3" i="30"/>
  <c r="O3" i="22"/>
  <c r="O3" i="21"/>
  <c r="O3" i="40"/>
  <c r="N12" i="43"/>
  <c r="M9" i="29"/>
  <c r="O9" i="29" s="1"/>
  <c r="H18" i="17"/>
  <c r="M9" i="40"/>
  <c r="O9" i="40" s="1"/>
  <c r="J18" i="40"/>
  <c r="J14" i="40" s="1"/>
  <c r="J18" i="28"/>
  <c r="J14" i="28" s="1"/>
  <c r="M9" i="28"/>
  <c r="O9" i="28" s="1"/>
  <c r="J18" i="39"/>
  <c r="J14" i="39" s="1"/>
  <c r="M9" i="39"/>
  <c r="O9" i="39" s="1"/>
  <c r="M9" i="38"/>
  <c r="O9" i="38" s="1"/>
  <c r="J18" i="38"/>
  <c r="J14" i="38" s="1"/>
  <c r="J18" i="32"/>
  <c r="J14" i="32" s="1"/>
  <c r="M9" i="32"/>
  <c r="O9" i="32" s="1"/>
  <c r="K19" i="37"/>
  <c r="K9" i="37" s="1"/>
  <c r="J9" i="37"/>
  <c r="M9" i="23"/>
  <c r="O9" i="23" s="1"/>
  <c r="J18" i="23"/>
  <c r="J14" i="23" s="1"/>
  <c r="J18" i="24"/>
  <c r="J14" i="24" s="1"/>
  <c r="M9" i="24"/>
  <c r="O9" i="24" s="1"/>
  <c r="J18" i="27"/>
  <c r="J14" i="27" s="1"/>
  <c r="M9" i="27"/>
  <c r="O9" i="27" s="1"/>
  <c r="M9" i="30"/>
  <c r="O9" i="30" s="1"/>
  <c r="J18" i="30"/>
  <c r="J14" i="30" s="1"/>
  <c r="J18" i="36"/>
  <c r="J14" i="36" s="1"/>
  <c r="M9" i="36"/>
  <c r="O9" i="36" s="1"/>
  <c r="J18" i="42"/>
  <c r="J14" i="42" s="1"/>
  <c r="M9" i="42"/>
  <c r="O9" i="42" s="1"/>
  <c r="H18" i="18"/>
  <c r="H13" i="18" s="1"/>
  <c r="H18" i="41"/>
  <c r="H13" i="41" s="1"/>
  <c r="H18" i="34"/>
  <c r="H13" i="34" s="1"/>
  <c r="H18" i="32"/>
  <c r="H13" i="32" s="1"/>
  <c r="H18" i="26"/>
  <c r="H13" i="26" s="1"/>
  <c r="H18" i="27"/>
  <c r="H13" i="27" s="1"/>
  <c r="H18" i="38"/>
  <c r="H13" i="38" s="1"/>
  <c r="H18" i="33"/>
  <c r="H13" i="33" s="1"/>
  <c r="H18" i="42"/>
  <c r="H13" i="42" s="1"/>
  <c r="H18" i="43"/>
  <c r="H13" i="43" s="1"/>
  <c r="H18" i="29"/>
  <c r="H13" i="29" s="1"/>
  <c r="H18" i="36"/>
  <c r="H13" i="36" s="1"/>
  <c r="M9" i="43"/>
  <c r="O9" i="43" s="1"/>
  <c r="H18" i="39"/>
  <c r="H13" i="39" s="1"/>
  <c r="H5" i="37"/>
  <c r="S5" i="39"/>
  <c r="L14" i="43"/>
  <c r="S17" i="23"/>
  <c r="R17" i="23"/>
  <c r="B13" i="23"/>
  <c r="B19" i="23" s="1"/>
  <c r="O9" i="41"/>
  <c r="J14" i="41"/>
  <c r="H18" i="21"/>
  <c r="H13" i="21" s="1"/>
  <c r="H18" i="14"/>
  <c r="H13" i="14" s="1"/>
  <c r="O3" i="14"/>
  <c r="S5" i="22" l="1"/>
  <c r="R5" i="34"/>
  <c r="E18" i="34" s="1"/>
  <c r="E13" i="34" s="1"/>
  <c r="R5" i="33"/>
  <c r="E18" i="33" s="1"/>
  <c r="E13" i="33" s="1"/>
  <c r="S5" i="29"/>
  <c r="R5" i="16"/>
  <c r="E18" i="16" s="1"/>
  <c r="M18" i="16" s="1"/>
  <c r="R5" i="17"/>
  <c r="E18" i="17" s="1"/>
  <c r="E13" i="17" s="1"/>
  <c r="E19" i="17" s="1"/>
  <c r="S5" i="27"/>
  <c r="R5" i="26"/>
  <c r="E18" i="26" s="1"/>
  <c r="E13" i="26" s="1"/>
  <c r="R5" i="41"/>
  <c r="E18" i="41" s="1"/>
  <c r="E13" i="41" s="1"/>
  <c r="R5" i="32"/>
  <c r="E18" i="32" s="1"/>
  <c r="E13" i="32" s="1"/>
  <c r="O3" i="37"/>
  <c r="S3" i="37" s="1"/>
  <c r="R5" i="38"/>
  <c r="E18" i="38" s="1"/>
  <c r="E13" i="38" s="1"/>
  <c r="S5" i="43"/>
  <c r="S5" i="42"/>
  <c r="R5" i="14"/>
  <c r="E18" i="14" s="1"/>
  <c r="R5" i="36"/>
  <c r="E18" i="36" s="1"/>
  <c r="E13" i="36" s="1"/>
  <c r="R5" i="21"/>
  <c r="E18" i="21" s="1"/>
  <c r="M18" i="21" s="1"/>
  <c r="S5" i="16"/>
  <c r="E15" i="31"/>
  <c r="M14" i="29"/>
  <c r="M14" i="18"/>
  <c r="E15" i="22"/>
  <c r="E15" i="21"/>
  <c r="E15" i="11"/>
  <c r="M14" i="34"/>
  <c r="E15" i="26"/>
  <c r="M14" i="16"/>
  <c r="M14" i="19"/>
  <c r="E15" i="33"/>
  <c r="E15" i="34"/>
  <c r="S5" i="36"/>
  <c r="S5" i="21"/>
  <c r="S5" i="41"/>
  <c r="S5" i="14"/>
  <c r="M14" i="21"/>
  <c r="E15" i="16"/>
  <c r="M14" i="22"/>
  <c r="S9" i="17"/>
  <c r="S5" i="34"/>
  <c r="S5" i="33"/>
  <c r="E15" i="18"/>
  <c r="S5" i="32"/>
  <c r="M14" i="33"/>
  <c r="S5" i="26"/>
  <c r="S5" i="38"/>
  <c r="R5" i="43"/>
  <c r="E18" i="43" s="1"/>
  <c r="E13" i="43" s="1"/>
  <c r="R5" i="22"/>
  <c r="E18" i="22" s="1"/>
  <c r="M18" i="22" s="1"/>
  <c r="S18" i="22" s="1"/>
  <c r="S9" i="15"/>
  <c r="S5" i="17"/>
  <c r="R5" i="27"/>
  <c r="E18" i="27" s="1"/>
  <c r="R5" i="42"/>
  <c r="E18" i="42" s="1"/>
  <c r="E13" i="42" s="1"/>
  <c r="E15" i="19"/>
  <c r="H19" i="41"/>
  <c r="M14" i="31"/>
  <c r="H19" i="29"/>
  <c r="H19" i="18"/>
  <c r="S5" i="24"/>
  <c r="R5" i="24"/>
  <c r="E18" i="24" s="1"/>
  <c r="E13" i="24" s="1"/>
  <c r="H19" i="39"/>
  <c r="H19" i="43"/>
  <c r="S12" i="43"/>
  <c r="S3" i="18"/>
  <c r="R5" i="40"/>
  <c r="E18" i="40" s="1"/>
  <c r="E13" i="40" s="1"/>
  <c r="M13" i="40" s="1"/>
  <c r="R13" i="40" s="1"/>
  <c r="S5" i="40"/>
  <c r="H19" i="11"/>
  <c r="H19" i="27"/>
  <c r="H19" i="33"/>
  <c r="S3" i="23"/>
  <c r="R5" i="29"/>
  <c r="E18" i="29" s="1"/>
  <c r="E15" i="29"/>
  <c r="H19" i="42"/>
  <c r="H19" i="14"/>
  <c r="H19" i="38"/>
  <c r="S3" i="17"/>
  <c r="S5" i="23"/>
  <c r="R5" i="23"/>
  <c r="E18" i="23" s="1"/>
  <c r="E13" i="23" s="1"/>
  <c r="M13" i="23" s="1"/>
  <c r="R5" i="30"/>
  <c r="E18" i="30" s="1"/>
  <c r="E13" i="30" s="1"/>
  <c r="S5" i="30"/>
  <c r="H19" i="26"/>
  <c r="E15" i="17"/>
  <c r="H19" i="16"/>
  <c r="H19" i="28"/>
  <c r="H19" i="22"/>
  <c r="M5" i="37"/>
  <c r="H19" i="32"/>
  <c r="K18" i="37"/>
  <c r="K14" i="37" s="1"/>
  <c r="M14" i="26"/>
  <c r="E15" i="15"/>
  <c r="R5" i="31"/>
  <c r="E18" i="31" s="1"/>
  <c r="E13" i="31" s="1"/>
  <c r="S5" i="31"/>
  <c r="S5" i="28"/>
  <c r="R5" i="28"/>
  <c r="E18" i="28" s="1"/>
  <c r="E13" i="28" s="1"/>
  <c r="H19" i="21"/>
  <c r="H19" i="36"/>
  <c r="L19" i="43"/>
  <c r="H19" i="34"/>
  <c r="M14" i="11"/>
  <c r="O4" i="20"/>
  <c r="H13" i="17"/>
  <c r="S9" i="42"/>
  <c r="S9" i="39"/>
  <c r="S9" i="33"/>
  <c r="S9" i="31"/>
  <c r="S9" i="36"/>
  <c r="S9" i="32"/>
  <c r="S9" i="40"/>
  <c r="S9" i="43"/>
  <c r="S9" i="29"/>
  <c r="S9" i="18"/>
  <c r="S9" i="30"/>
  <c r="S9" i="38"/>
  <c r="S9" i="16"/>
  <c r="S9" i="23"/>
  <c r="S9" i="28"/>
  <c r="S9" i="26"/>
  <c r="S9" i="27"/>
  <c r="S9" i="24"/>
  <c r="S9" i="22"/>
  <c r="S9" i="11"/>
  <c r="S9" i="21"/>
  <c r="S9" i="19"/>
  <c r="S3" i="21"/>
  <c r="S3" i="22"/>
  <c r="S3" i="40"/>
  <c r="S3" i="27"/>
  <c r="S3" i="30"/>
  <c r="S3" i="41"/>
  <c r="S3" i="14"/>
  <c r="S3" i="16"/>
  <c r="S3" i="24"/>
  <c r="S3" i="31"/>
  <c r="S3" i="28"/>
  <c r="M5" i="20"/>
  <c r="R15" i="20"/>
  <c r="S15" i="20"/>
  <c r="M14" i="15"/>
  <c r="M14" i="17"/>
  <c r="S9" i="41"/>
  <c r="S9" i="34"/>
  <c r="E18" i="39"/>
  <c r="M18" i="39" s="1"/>
  <c r="E15" i="42"/>
  <c r="M14" i="42"/>
  <c r="E15" i="23"/>
  <c r="M14" i="23"/>
  <c r="E15" i="39"/>
  <c r="M14" i="39"/>
  <c r="E15" i="36"/>
  <c r="M14" i="36"/>
  <c r="E15" i="28"/>
  <c r="M14" i="28"/>
  <c r="M14" i="30"/>
  <c r="E15" i="30"/>
  <c r="M9" i="37"/>
  <c r="O9" i="37" s="1"/>
  <c r="J18" i="37"/>
  <c r="J14" i="37" s="1"/>
  <c r="M14" i="40"/>
  <c r="E15" i="40"/>
  <c r="M14" i="27"/>
  <c r="E15" i="27"/>
  <c r="M14" i="32"/>
  <c r="E15" i="32"/>
  <c r="M14" i="38"/>
  <c r="E15" i="38"/>
  <c r="M14" i="24"/>
  <c r="E15" i="24"/>
  <c r="H18" i="37"/>
  <c r="H13" i="37" s="1"/>
  <c r="E15" i="43"/>
  <c r="M14" i="43"/>
  <c r="E15" i="41"/>
  <c r="M14" i="41"/>
  <c r="M18" i="17" l="1"/>
  <c r="S18" i="17" s="1"/>
  <c r="R5" i="37"/>
  <c r="E18" i="37" s="1"/>
  <c r="E13" i="37" s="1"/>
  <c r="M15" i="33"/>
  <c r="S15" i="33" s="1"/>
  <c r="M15" i="22"/>
  <c r="S15" i="22" s="1"/>
  <c r="M15" i="34"/>
  <c r="R15" i="34" s="1"/>
  <c r="M15" i="26"/>
  <c r="S15" i="26" s="1"/>
  <c r="M15" i="11"/>
  <c r="R15" i="11" s="1"/>
  <c r="M15" i="21"/>
  <c r="S15" i="21" s="1"/>
  <c r="M15" i="31"/>
  <c r="S15" i="31" s="1"/>
  <c r="M15" i="16"/>
  <c r="R15" i="16" s="1"/>
  <c r="M15" i="19"/>
  <c r="S15" i="19" s="1"/>
  <c r="E16" i="22"/>
  <c r="E13" i="22"/>
  <c r="E19" i="22" s="1"/>
  <c r="H5" i="15"/>
  <c r="E16" i="17"/>
  <c r="M15" i="18"/>
  <c r="R15" i="18" s="1"/>
  <c r="M18" i="40"/>
  <c r="S18" i="40" s="1"/>
  <c r="M18" i="28"/>
  <c r="R18" i="28" s="1"/>
  <c r="E16" i="29"/>
  <c r="M15" i="15"/>
  <c r="S15" i="15" s="1"/>
  <c r="M15" i="17"/>
  <c r="S15" i="17" s="1"/>
  <c r="M18" i="23"/>
  <c r="S18" i="23" s="1"/>
  <c r="E16" i="31"/>
  <c r="M18" i="31"/>
  <c r="S18" i="31" s="1"/>
  <c r="M18" i="30"/>
  <c r="R18" i="30" s="1"/>
  <c r="E19" i="43"/>
  <c r="E19" i="30"/>
  <c r="M13" i="30"/>
  <c r="E19" i="28"/>
  <c r="M13" i="28"/>
  <c r="E19" i="38"/>
  <c r="E19" i="32"/>
  <c r="H19" i="17"/>
  <c r="E19" i="42"/>
  <c r="E19" i="26"/>
  <c r="E19" i="36"/>
  <c r="S5" i="37"/>
  <c r="M15" i="29"/>
  <c r="M18" i="24"/>
  <c r="S18" i="24" s="1"/>
  <c r="S4" i="20"/>
  <c r="E19" i="31"/>
  <c r="H19" i="37"/>
  <c r="E19" i="40"/>
  <c r="E19" i="24"/>
  <c r="M13" i="24"/>
  <c r="E19" i="23"/>
  <c r="E19" i="33"/>
  <c r="M13" i="31"/>
  <c r="R13" i="31" s="1"/>
  <c r="R18" i="22"/>
  <c r="R5" i="20"/>
  <c r="E18" i="20" s="1"/>
  <c r="M13" i="17"/>
  <c r="R13" i="17" s="1"/>
  <c r="S9" i="37"/>
  <c r="S13" i="40"/>
  <c r="M13" i="41"/>
  <c r="S13" i="41" s="1"/>
  <c r="E19" i="41"/>
  <c r="M13" i="34"/>
  <c r="R13" i="34" s="1"/>
  <c r="E19" i="34"/>
  <c r="M3" i="20"/>
  <c r="H18" i="20"/>
  <c r="S5" i="20"/>
  <c r="M15" i="39"/>
  <c r="R15" i="39" s="1"/>
  <c r="M15" i="32"/>
  <c r="S15" i="32" s="1"/>
  <c r="M15" i="27"/>
  <c r="R15" i="27" s="1"/>
  <c r="M15" i="42"/>
  <c r="R15" i="42" s="1"/>
  <c r="M15" i="38"/>
  <c r="S15" i="38" s="1"/>
  <c r="M15" i="40"/>
  <c r="R15" i="40" s="1"/>
  <c r="M15" i="36"/>
  <c r="S15" i="36" s="1"/>
  <c r="M13" i="26"/>
  <c r="R13" i="26" s="1"/>
  <c r="E16" i="43"/>
  <c r="E13" i="29"/>
  <c r="E16" i="26"/>
  <c r="M18" i="43"/>
  <c r="S18" i="43" s="1"/>
  <c r="M18" i="32"/>
  <c r="S18" i="32" s="1"/>
  <c r="E16" i="27"/>
  <c r="M18" i="29"/>
  <c r="S18" i="29" s="1"/>
  <c r="M13" i="43"/>
  <c r="S13" i="43" s="1"/>
  <c r="E16" i="39"/>
  <c r="E16" i="36"/>
  <c r="M18" i="41"/>
  <c r="S18" i="41" s="1"/>
  <c r="M18" i="36"/>
  <c r="R18" i="36" s="1"/>
  <c r="M18" i="38"/>
  <c r="S18" i="38" s="1"/>
  <c r="M18" i="33"/>
  <c r="R18" i="33" s="1"/>
  <c r="E16" i="34"/>
  <c r="E16" i="42"/>
  <c r="E13" i="39"/>
  <c r="M18" i="27"/>
  <c r="S18" i="27" s="1"/>
  <c r="E13" i="27"/>
  <c r="M13" i="33"/>
  <c r="R13" i="33" s="1"/>
  <c r="E16" i="32"/>
  <c r="E16" i="33"/>
  <c r="M15" i="28"/>
  <c r="E16" i="28"/>
  <c r="E16" i="38"/>
  <c r="M14" i="37"/>
  <c r="E15" i="37"/>
  <c r="M15" i="30"/>
  <c r="E16" i="30"/>
  <c r="M18" i="42"/>
  <c r="R18" i="42" s="1"/>
  <c r="M18" i="34"/>
  <c r="R18" i="34" s="1"/>
  <c r="M18" i="26"/>
  <c r="R18" i="26" s="1"/>
  <c r="M15" i="24"/>
  <c r="E16" i="24"/>
  <c r="E16" i="40"/>
  <c r="M15" i="23"/>
  <c r="E16" i="23"/>
  <c r="M15" i="43"/>
  <c r="R15" i="43" s="1"/>
  <c r="M13" i="42"/>
  <c r="M13" i="32"/>
  <c r="M13" i="36"/>
  <c r="M13" i="38"/>
  <c r="S18" i="39"/>
  <c r="R18" i="39"/>
  <c r="S13" i="23"/>
  <c r="R13" i="23"/>
  <c r="M15" i="41"/>
  <c r="E16" i="41"/>
  <c r="S18" i="16"/>
  <c r="R18" i="16"/>
  <c r="S18" i="21"/>
  <c r="R18" i="21"/>
  <c r="E16" i="16"/>
  <c r="E13" i="21"/>
  <c r="E16" i="21"/>
  <c r="E13" i="16"/>
  <c r="E13" i="14"/>
  <c r="R18" i="17" l="1"/>
  <c r="H4" i="15"/>
  <c r="R15" i="33"/>
  <c r="R15" i="22"/>
  <c r="S15" i="34"/>
  <c r="R15" i="31"/>
  <c r="R15" i="21"/>
  <c r="S15" i="11"/>
  <c r="R15" i="26"/>
  <c r="R15" i="19"/>
  <c r="S15" i="16"/>
  <c r="M13" i="22"/>
  <c r="R13" i="22" s="1"/>
  <c r="N14" i="17"/>
  <c r="N14" i="22"/>
  <c r="N14" i="29"/>
  <c r="M16" i="22"/>
  <c r="S16" i="22" s="1"/>
  <c r="M16" i="17"/>
  <c r="S16" i="17" s="1"/>
  <c r="R15" i="15"/>
  <c r="S15" i="18"/>
  <c r="R18" i="40"/>
  <c r="R15" i="17"/>
  <c r="M16" i="29"/>
  <c r="R16" i="29" s="1"/>
  <c r="N14" i="31"/>
  <c r="S18" i="28"/>
  <c r="R18" i="23"/>
  <c r="M16" i="31"/>
  <c r="S16" i="31" s="1"/>
  <c r="S18" i="30"/>
  <c r="R18" i="31"/>
  <c r="S13" i="31"/>
  <c r="R18" i="24"/>
  <c r="E19" i="16"/>
  <c r="E19" i="29"/>
  <c r="E19" i="21"/>
  <c r="R13" i="28"/>
  <c r="S13" i="28"/>
  <c r="E19" i="37"/>
  <c r="S13" i="30"/>
  <c r="R13" i="30"/>
  <c r="S15" i="29"/>
  <c r="R15" i="29"/>
  <c r="R13" i="24"/>
  <c r="S13" i="24"/>
  <c r="O3" i="20"/>
  <c r="H13" i="20"/>
  <c r="S13" i="17"/>
  <c r="R13" i="41"/>
  <c r="S13" i="34"/>
  <c r="M13" i="27"/>
  <c r="R13" i="27" s="1"/>
  <c r="E19" i="27"/>
  <c r="M13" i="39"/>
  <c r="S13" i="39" s="1"/>
  <c r="E19" i="39"/>
  <c r="M13" i="14"/>
  <c r="S13" i="14" s="1"/>
  <c r="E19" i="14"/>
  <c r="E16" i="20"/>
  <c r="E13" i="20"/>
  <c r="M18" i="20"/>
  <c r="S15" i="39"/>
  <c r="S15" i="40"/>
  <c r="R15" i="32"/>
  <c r="S15" i="27"/>
  <c r="S15" i="42"/>
  <c r="R15" i="38"/>
  <c r="N14" i="27"/>
  <c r="M16" i="33"/>
  <c r="R16" i="33" s="1"/>
  <c r="R15" i="36"/>
  <c r="N14" i="32"/>
  <c r="M16" i="21"/>
  <c r="R16" i="21" s="1"/>
  <c r="N14" i="26"/>
  <c r="M16" i="36"/>
  <c r="S16" i="36" s="1"/>
  <c r="N14" i="43"/>
  <c r="M16" i="16"/>
  <c r="S16" i="16" s="1"/>
  <c r="M16" i="34"/>
  <c r="R16" i="34" s="1"/>
  <c r="M15" i="37"/>
  <c r="R15" i="37" s="1"/>
  <c r="M16" i="43"/>
  <c r="R16" i="43" s="1"/>
  <c r="M16" i="26"/>
  <c r="S16" i="26" s="1"/>
  <c r="S18" i="36"/>
  <c r="R18" i="32"/>
  <c r="R18" i="41"/>
  <c r="R18" i="29"/>
  <c r="N14" i="34"/>
  <c r="N14" i="36"/>
  <c r="S18" i="33"/>
  <c r="M13" i="29"/>
  <c r="S13" i="29" s="1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8" i="34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S15" i="43"/>
  <c r="S13" i="32"/>
  <c r="R13" i="32"/>
  <c r="S13" i="42"/>
  <c r="R13" i="42"/>
  <c r="M13" i="37"/>
  <c r="R13" i="36"/>
  <c r="S13" i="36"/>
  <c r="S13" i="38"/>
  <c r="R13" i="38"/>
  <c r="M16" i="41"/>
  <c r="N14" i="41"/>
  <c r="R15" i="41"/>
  <c r="S15" i="41"/>
  <c r="M13" i="21"/>
  <c r="N14" i="16"/>
  <c r="M13" i="16"/>
  <c r="N14" i="21"/>
  <c r="R14" i="31" l="1"/>
  <c r="R14" i="29"/>
  <c r="S14" i="22"/>
  <c r="R14" i="17"/>
  <c r="S13" i="22"/>
  <c r="S14" i="17"/>
  <c r="S14" i="29"/>
  <c r="R14" i="22"/>
  <c r="R16" i="22"/>
  <c r="R16" i="17"/>
  <c r="S16" i="29"/>
  <c r="S14" i="31"/>
  <c r="R16" i="31"/>
  <c r="S14" i="34"/>
  <c r="S14" i="33"/>
  <c r="R14" i="21"/>
  <c r="E19" i="20"/>
  <c r="S14" i="32"/>
  <c r="R14" i="27"/>
  <c r="H19" i="20"/>
  <c r="S3" i="20"/>
  <c r="R14" i="16"/>
  <c r="S14" i="36"/>
  <c r="S14" i="43"/>
  <c r="R14" i="26"/>
  <c r="S13" i="27"/>
  <c r="R13" i="14"/>
  <c r="R13" i="39"/>
  <c r="S18" i="20"/>
  <c r="R18" i="20"/>
  <c r="M13" i="20"/>
  <c r="N14" i="20"/>
  <c r="M16" i="20"/>
  <c r="R14" i="32"/>
  <c r="S16" i="21"/>
  <c r="S16" i="33"/>
  <c r="S14" i="26"/>
  <c r="R16" i="36"/>
  <c r="S15" i="37"/>
  <c r="R14" i="43"/>
  <c r="S14" i="27"/>
  <c r="R16" i="16"/>
  <c r="S16" i="34"/>
  <c r="N14" i="37"/>
  <c r="R16" i="26"/>
  <c r="S16" i="43"/>
  <c r="S16" i="32"/>
  <c r="R14" i="34"/>
  <c r="R13" i="29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4" i="41"/>
  <c r="R14" i="41"/>
  <c r="S16" i="41"/>
  <c r="R16" i="41"/>
  <c r="S13" i="21"/>
  <c r="R13" i="21"/>
  <c r="S13" i="16"/>
  <c r="R13" i="16"/>
  <c r="S14" i="21"/>
  <c r="S14" i="16"/>
  <c r="R14" i="37" l="1"/>
  <c r="S16" i="20"/>
  <c r="R16" i="20"/>
  <c r="R14" i="20"/>
  <c r="S14" i="20"/>
  <c r="R13" i="20"/>
  <c r="S13" i="20"/>
  <c r="S14" i="37"/>
  <c r="R16" i="37"/>
  <c r="M2" i="14"/>
  <c r="Q2" i="14" s="1"/>
  <c r="O2" i="14" l="1"/>
  <c r="M3" i="11"/>
  <c r="C13" i="11"/>
  <c r="C19" i="11" l="1"/>
  <c r="S2" i="14"/>
  <c r="O3" i="11"/>
  <c r="S3" i="11" l="1"/>
  <c r="M5" i="15"/>
  <c r="R5" i="15" l="1"/>
  <c r="M4" i="15"/>
  <c r="H18" i="15"/>
  <c r="S5" i="15"/>
  <c r="O4" i="15" l="1"/>
  <c r="E18" i="15"/>
  <c r="M18" i="15" s="1"/>
  <c r="H13" i="15"/>
  <c r="H19" i="15" l="1"/>
  <c r="S4" i="15"/>
  <c r="S18" i="15"/>
  <c r="R18" i="15"/>
  <c r="E16" i="15"/>
  <c r="E13" i="15"/>
  <c r="E19" i="15" l="1"/>
  <c r="M16" i="15"/>
  <c r="S16" i="15" s="1"/>
  <c r="N14" i="15"/>
  <c r="M13" i="15"/>
  <c r="I13" i="11"/>
  <c r="I19" i="11" s="1"/>
  <c r="M5" i="11"/>
  <c r="S14" i="15" l="1"/>
  <c r="R5" i="11"/>
  <c r="R16" i="15"/>
  <c r="R14" i="15"/>
  <c r="S13" i="15"/>
  <c r="R13" i="15"/>
  <c r="S5" i="11"/>
  <c r="E18" i="11" l="1"/>
  <c r="M18" i="11" s="1"/>
  <c r="S18" i="11" l="1"/>
  <c r="R18" i="11"/>
  <c r="E16" i="11"/>
  <c r="E13" i="11"/>
  <c r="E19" i="11" l="1"/>
  <c r="N14" i="11"/>
  <c r="M13" i="11"/>
  <c r="M16" i="11"/>
  <c r="K9" i="14"/>
  <c r="J9" i="14"/>
  <c r="J18" i="14" l="1"/>
  <c r="K18" i="14"/>
  <c r="K14" i="14" s="1"/>
  <c r="R14" i="11"/>
  <c r="S14" i="11"/>
  <c r="S16" i="11"/>
  <c r="R16" i="11"/>
  <c r="S13" i="11"/>
  <c r="R13" i="11"/>
  <c r="M9" i="14"/>
  <c r="O9" i="14" s="1"/>
  <c r="M18" i="14" l="1"/>
  <c r="S18" i="14" s="1"/>
  <c r="J14" i="14"/>
  <c r="S9" i="14"/>
  <c r="E15" i="14" l="1"/>
  <c r="R18" i="14"/>
  <c r="M14" i="14"/>
  <c r="M15" i="14" l="1"/>
  <c r="S15" i="14" s="1"/>
  <c r="E16" i="14"/>
  <c r="R15" i="14" l="1"/>
  <c r="M16" i="14"/>
  <c r="R16" i="14" s="1"/>
  <c r="N14" i="14"/>
  <c r="S16" i="14" l="1"/>
  <c r="R14" i="14"/>
  <c r="S14" i="14"/>
  <c r="F3" i="19"/>
  <c r="H3" i="19" l="1"/>
  <c r="F18" i="19"/>
  <c r="F13" i="19" s="1"/>
  <c r="F19" i="19" l="1"/>
  <c r="H5" i="19"/>
  <c r="M3" i="19"/>
  <c r="H18" i="19" l="1"/>
  <c r="H13" i="19" s="1"/>
  <c r="H19" i="19" s="1"/>
  <c r="M5" i="19"/>
  <c r="O3" i="19"/>
  <c r="R5" i="19" l="1"/>
  <c r="E18" i="19" s="1"/>
  <c r="E13" i="19" s="1"/>
  <c r="S5" i="19"/>
  <c r="S3" i="19"/>
  <c r="M18" i="19" l="1"/>
  <c r="R18" i="19" s="1"/>
  <c r="E16" i="19"/>
  <c r="M13" i="19"/>
  <c r="R13" i="19" s="1"/>
  <c r="E19" i="19"/>
  <c r="M16" i="19" l="1"/>
  <c r="S16" i="19" s="1"/>
  <c r="S18" i="19"/>
  <c r="N14" i="19"/>
  <c r="S13" i="19"/>
  <c r="S14" i="19" l="1"/>
  <c r="R16" i="19"/>
  <c r="R14" i="19"/>
  <c r="R5" i="18"/>
  <c r="E18" i="18" s="1"/>
  <c r="S5" i="18"/>
  <c r="E16" i="18" l="1"/>
  <c r="E13" i="18"/>
  <c r="M18" i="18"/>
  <c r="S18" i="18" l="1"/>
  <c r="R18" i="18"/>
  <c r="E19" i="18"/>
  <c r="M13" i="18"/>
  <c r="M16" i="18"/>
  <c r="N14" i="18"/>
  <c r="R14" i="18" l="1"/>
  <c r="S14" i="18"/>
  <c r="R16" i="18"/>
  <c r="S16" i="18"/>
  <c r="R13" i="18"/>
  <c r="S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<sst xmlns="http://schemas.openxmlformats.org/spreadsheetml/2006/main" count="1224" uniqueCount="110">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</sst>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10" sqref="B10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47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101428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47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62633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23958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47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47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22100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22459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47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11903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47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47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7218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47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18944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47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47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62</v>
      </c>
      <c r="C16" s="1">
        <v>6106</v>
      </c>
      <c r="D16" s="1">
        <v>3236</v>
      </c>
      <c r="E16" s="47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47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47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47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47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703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6.5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1528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47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47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1949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47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47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47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1575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763286.57223518682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763286.57223518682</v>
      </c>
      <c r="N2" s="17"/>
      <c r="O2" s="17">
        <f ca="1">R2-(M2+P2+Q2)</f>
        <v>0</v>
      </c>
      <c r="P2" s="11" cm="1">
        <f t="array" aca="1" ref="P2" ca="1">INDIRECT("'data'!$F$" &amp; $A$1)</f>
        <v>9545.9</v>
      </c>
      <c r="Q2" s="13">
        <f ca="1">IF(-(M2-R2+P2)&lt;0, -(M2-R2+P2), 0)</f>
        <v>-555423.02231339144</v>
      </c>
      <c r="R2" s="17" cm="1">
        <f t="array" aca="1" ref="R2" ca="1">INDIRECT("'data'!$D$" &amp; $A$1)</f>
        <v>217409.44992179537</v>
      </c>
      <c r="S2" s="17">
        <f ca="1">SUM(M2:Q2)</f>
        <v>217409.4499217954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718310.81940298504</v>
      </c>
      <c r="G3" s="14">
        <f ca="1">R7/parameters!$B$6</f>
        <v>0</v>
      </c>
      <c r="H3" s="14">
        <f ca="1">R3-P3-Q3-F3-G3</f>
        <v>41111.102427120204</v>
      </c>
      <c r="I3" s="14"/>
      <c r="J3" s="14"/>
      <c r="K3" s="14"/>
      <c r="L3" s="13"/>
      <c r="M3" s="16">
        <f t="shared" ref="M3:M11" ca="1" si="0">SUM(B3:L3)</f>
        <v>759421.92183010525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-945</v>
      </c>
      <c r="R3" s="16" cm="1">
        <f t="array" aca="1" ref="R3" ca="1">INDIRECT("'data'!$G$" &amp; $A$1)*parameters!$B$13</f>
        <v>758477.86683010519</v>
      </c>
      <c r="S3" s="16">
        <f t="shared" ref="S3:S11" ca="1" si="2">SUM(M3:Q3)</f>
        <v>758477.86683010519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1255.8</v>
      </c>
      <c r="I4" s="14"/>
      <c r="J4" s="14"/>
      <c r="K4" s="14"/>
      <c r="L4" s="13"/>
      <c r="M4" s="16">
        <f t="shared" ca="1" si="0"/>
        <v>1255.8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-1255.8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214560.3746268657</v>
      </c>
      <c r="G5" s="14"/>
      <c r="H5" s="14">
        <f ca="1">R8/parameters!$B$7-(H3+H4)</f>
        <v>61498.761104750229</v>
      </c>
      <c r="I5" s="14"/>
      <c r="J5" s="14"/>
      <c r="K5" s="14"/>
      <c r="L5" s="13"/>
      <c r="M5" s="16">
        <f t="shared" ca="1" si="0"/>
        <v>276059.13573161594</v>
      </c>
      <c r="N5" s="16"/>
      <c r="O5" s="16"/>
      <c r="P5" s="11" cm="1">
        <f t="array" aca="1" ref="P5" ca="1">INDIRECT("'data'!$M$" &amp; $A$1)*parameters!$B$15</f>
        <v>2.94</v>
      </c>
      <c r="Q5" s="13" cm="1">
        <f t="array" aca="1" ref="Q5" ca="1">-INDIRECT("'data'!$N$" &amp; $A$1)*parameters!$B$15</f>
        <v>-180.32</v>
      </c>
      <c r="R5" s="16">
        <f ca="1">SUM(M5:Q5)</f>
        <v>275881.75573161594</v>
      </c>
      <c r="S5" s="16">
        <f t="shared" ca="1" si="2"/>
        <v>275881.75573161594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875033.17999999993</v>
      </c>
      <c r="J6" s="14"/>
      <c r="K6" s="14"/>
      <c r="L6" s="13"/>
      <c r="M6" s="16">
        <f t="shared" ca="1" si="0"/>
        <v>875033.17999999993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875033.17999999993</v>
      </c>
      <c r="S6" s="16">
        <f t="shared" ca="1" si="2"/>
        <v>875033.17999999993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99399.44</v>
      </c>
      <c r="J8" s="14"/>
      <c r="K8" s="14"/>
      <c r="L8" s="13"/>
      <c r="M8" s="16">
        <f t="shared" ca="1" si="0"/>
        <v>99399.44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99399.44</v>
      </c>
      <c r="S8" s="16">
        <f t="shared" ca="1" si="2"/>
        <v>99399.44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607134.13595343195</v>
      </c>
      <c r="K9" s="14">
        <f ca="1">R11/K19</f>
        <v>370304.14404656796</v>
      </c>
      <c r="L9" s="13"/>
      <c r="M9" s="16">
        <f t="shared" ca="1" si="0"/>
        <v>977438.27999999991</v>
      </c>
      <c r="N9" s="16"/>
      <c r="O9" s="16">
        <f t="shared" ca="1" si="3"/>
        <v>0</v>
      </c>
      <c r="P9" s="11" cm="1">
        <f t="array" aca="1" ref="P9" ca="1">INDIRECT("'data'!$R$" &amp; $A$1)*parameters!$B$15</f>
        <v>37.24</v>
      </c>
      <c r="Q9" s="13" cm="1">
        <f t="array" aca="1" ref="Q9" ca="1">-INDIRECT("'data'!$S$" &amp; $A$1)*parameters!$B$15</f>
        <v>-3042.9</v>
      </c>
      <c r="R9" s="16">
        <f ca="1">SUM(R6:R8)</f>
        <v>974432.61999999988</v>
      </c>
      <c r="S9" s="16">
        <f t="shared" ca="1" si="2"/>
        <v>974432.61999999988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559406.54</v>
      </c>
      <c r="M10" s="16">
        <f t="shared" ca="1" si="0"/>
        <v>559406.54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15054.76</v>
      </c>
      <c r="Q10" s="13" cm="1">
        <f t="array" aca="1" ref="Q10" ca="1">-INDIRECT("'data'!$V$" &amp; $A$1)*parameters!$B$15</f>
        <v>-1584.66</v>
      </c>
      <c r="R10" s="16" cm="1">
        <f t="array" aca="1" ref="R10" ca="1">INDIRECT("'data'!$T$" &amp; $A$1)*parameters!$B$15</f>
        <v>572876.64</v>
      </c>
      <c r="S10" s="16">
        <f t="shared" ca="1" si="2"/>
        <v>572876.64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321852.16179231869</v>
      </c>
      <c r="M11" s="16">
        <f t="shared" ca="1" si="0"/>
        <v>321852.16179231869</v>
      </c>
      <c r="N11" s="16"/>
      <c r="O11" s="16">
        <f t="shared" ca="1" si="3"/>
        <v>0</v>
      </c>
      <c r="P11" s="11" cm="1">
        <f t="array" aca="1" ref="P11" ca="1">INDIRECT("'data'!$X$" &amp; $A$1)*parameters!$B$15</f>
        <v>37675.120000000003</v>
      </c>
      <c r="Q11" s="13" cm="1">
        <f t="array" aca="1" ref="Q11" ca="1">-INDIRECT("'data'!$Y$" &amp; $A$1)*parameters!$B$15</f>
        <v>-10117.52</v>
      </c>
      <c r="R11" s="16" cm="1">
        <f t="array" aca="1" ref="R11" ca="1">INDIRECT("'data'!$W$" &amp; $A$1)*parameters!$B$15</f>
        <v>349409.76179231866</v>
      </c>
      <c r="S11" s="16">
        <f t="shared" ca="1" si="2"/>
        <v>349409.76179231866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717979.66674139409</v>
      </c>
      <c r="O12" s="19"/>
      <c r="P12" s="21" cm="1">
        <f t="array" aca="1" ref="P12" ca="1">INDIRECT("'data'!$Z$" &amp; $A$1)*parameters!$B$15</f>
        <v>93871.26</v>
      </c>
      <c r="Q12" s="27" cm="1">
        <f t="array" aca="1" ref="Q12" ca="1">-INDIRECT("'data'!$AA$" &amp; $A$1)*parameters!$B$15</f>
        <v>-9215.92</v>
      </c>
      <c r="R12" s="16">
        <f ca="1">L10*parameters!$B$10+L11*parameters!$B$11</f>
        <v>802635.00674139406</v>
      </c>
      <c r="S12" s="16">
        <f t="shared" ref="S12:S18" ca="1" si="4">SUM(M12:Q12)</f>
        <v>802635.00674139406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-4808.7054050816223</v>
      </c>
      <c r="D13" s="9">
        <f ca="1">-(D18-R4)</f>
        <v>0</v>
      </c>
      <c r="E13" s="9">
        <f ca="1">-(E18-R5)</f>
        <v>-34097.745090424432</v>
      </c>
      <c r="F13" s="9">
        <f ca="1">-(F18-R6)</f>
        <v>-57838.014029850834</v>
      </c>
      <c r="G13" s="9">
        <f ca="1">-(G18-R7)</f>
        <v>0</v>
      </c>
      <c r="H13" s="9">
        <f ca="1">-(H18-R8)</f>
        <v>-4466.2235318704334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-101210.68805722732</v>
      </c>
      <c r="N13" s="17"/>
      <c r="O13" s="17"/>
      <c r="P13" s="10"/>
      <c r="Q13" s="12"/>
      <c r="R13" s="9">
        <f t="shared" ref="R13:R18" ca="1" si="6">SUM(M13:Q13)</f>
        <v>-101210.68805722732</v>
      </c>
      <c r="S13" s="17">
        <f t="shared" ca="1" si="4"/>
        <v>-101210.68805722732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-34257.495953431935</v>
      </c>
      <c r="K14" s="14">
        <f ca="1">-(K18-R11)</f>
        <v>-20894.3822542493</v>
      </c>
      <c r="L14" s="13">
        <f ca="1">-(L18-R12)</f>
        <v>-78623.695050924667</v>
      </c>
      <c r="M14" s="14">
        <f t="shared" ca="1" si="5"/>
        <v>-133775.5732586059</v>
      </c>
      <c r="N14" s="16">
        <f ca="1">-E16</f>
        <v>-176203.92756343447</v>
      </c>
      <c r="O14" s="16"/>
      <c r="P14" s="11"/>
      <c r="Q14" s="13"/>
      <c r="R14" s="14">
        <f t="shared" ca="1" si="6"/>
        <v>-309979.50082204037</v>
      </c>
      <c r="S14" s="16">
        <f t="shared" ca="1" si="4"/>
        <v>-309979.50082204037</v>
      </c>
    </row>
    <row r="15" spans="1:21">
      <c r="A15" s="18" t="s">
        <v>79</v>
      </c>
      <c r="B15" s="11"/>
      <c r="C15" s="14"/>
      <c r="D15" s="14"/>
      <c r="E15" s="14">
        <f ca="1">-(J14+K14)-L14</f>
        <v>133775.5732586059</v>
      </c>
      <c r="F15" s="14"/>
      <c r="G15" s="14"/>
      <c r="H15" s="14"/>
      <c r="I15" s="14"/>
      <c r="J15" s="14"/>
      <c r="K15" s="14"/>
      <c r="L15" s="13"/>
      <c r="M15" s="14">
        <f t="shared" ca="1" si="5"/>
        <v>133775.5732586059</v>
      </c>
      <c r="N15" s="16"/>
      <c r="O15" s="16"/>
      <c r="P15" s="11"/>
      <c r="Q15" s="13"/>
      <c r="R15" s="14">
        <f t="shared" ca="1" si="6"/>
        <v>133775.5732586059</v>
      </c>
      <c r="S15" s="16">
        <f t="shared" ca="1" si="4"/>
        <v>133775.5732586059</v>
      </c>
    </row>
    <row r="16" spans="1:21">
      <c r="A16" s="18" t="s">
        <v>80</v>
      </c>
      <c r="B16" s="11"/>
      <c r="C16" s="14"/>
      <c r="D16" s="14"/>
      <c r="E16" s="14">
        <f ca="1">E18-E15</f>
        <v>176203.92756343447</v>
      </c>
      <c r="F16" s="14"/>
      <c r="G16" s="14"/>
      <c r="H16" s="14"/>
      <c r="I16" s="14"/>
      <c r="J16" s="14"/>
      <c r="K16" s="14"/>
      <c r="L16" s="13"/>
      <c r="M16" s="14">
        <f t="shared" ca="1" si="5"/>
        <v>176203.92756343447</v>
      </c>
      <c r="N16" s="16"/>
      <c r="O16" s="16"/>
      <c r="P16" s="11"/>
      <c r="Q16" s="13"/>
      <c r="R16" s="14">
        <f t="shared" ca="1" si="6"/>
        <v>176203.92756343447</v>
      </c>
      <c r="S16" s="16">
        <f t="shared" ca="1" si="4"/>
        <v>176203.92756343447</v>
      </c>
    </row>
    <row r="17" spans="1:19">
      <c r="A17" s="30" t="s">
        <v>90</v>
      </c>
      <c r="B17" s="21">
        <f ca="1">R2</f>
        <v>217409.44992179537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217409.44992179537</v>
      </c>
      <c r="N17" s="19"/>
      <c r="O17" s="19"/>
      <c r="P17" s="21"/>
      <c r="Q17" s="27"/>
      <c r="R17" s="22">
        <f t="shared" ca="1" si="6"/>
        <v>217409.44992179537</v>
      </c>
      <c r="S17" s="19">
        <f t="shared" ca="1" si="4"/>
        <v>217409.44992179537</v>
      </c>
    </row>
    <row r="18" spans="1:19">
      <c r="A18" s="29" t="s">
        <v>89</v>
      </c>
      <c r="B18" s="9">
        <f ca="1">B17</f>
        <v>217409.44992179537</v>
      </c>
      <c r="C18" s="9">
        <f ca="1">SUM(C$2:C$12)</f>
        <v>763286.57223518682</v>
      </c>
      <c r="D18" s="9">
        <f ca="1">SUM(D$2:D$12)</f>
        <v>0</v>
      </c>
      <c r="E18" s="9">
        <f ca="1">$R$5/parameters!$B$4</f>
        <v>309979.50082204037</v>
      </c>
      <c r="F18" s="9">
        <f t="shared" ref="F18:L18" ca="1" si="7">SUM(F$2:F$12)</f>
        <v>932871.19402985077</v>
      </c>
      <c r="G18" s="9">
        <f t="shared" ca="1" si="7"/>
        <v>0</v>
      </c>
      <c r="H18" s="9">
        <f t="shared" ca="1" si="7"/>
        <v>103865.66353187044</v>
      </c>
      <c r="I18" s="9">
        <f t="shared" ca="1" si="7"/>
        <v>974432.61999999988</v>
      </c>
      <c r="J18" s="9">
        <f t="shared" ca="1" si="7"/>
        <v>607134.13595343195</v>
      </c>
      <c r="K18" s="9">
        <f t="shared" ca="1" si="7"/>
        <v>370304.14404656796</v>
      </c>
      <c r="L18" s="9">
        <f t="shared" ca="1" si="7"/>
        <v>881258.70179231872</v>
      </c>
      <c r="M18" s="17">
        <f ca="1">SUM(B18:L18)</f>
        <v>5160541.9823330622</v>
      </c>
      <c r="N18" s="17"/>
      <c r="O18" s="17"/>
      <c r="P18" s="9"/>
      <c r="Q18" s="14"/>
      <c r="R18" s="11">
        <f t="shared" ca="1" si="6"/>
        <v>5160541.9823330622</v>
      </c>
      <c r="S18" s="17">
        <f t="shared" ca="1" si="4"/>
        <v>5160541.9823330622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0.94357507851270028</v>
      </c>
      <c r="K19" s="39">
        <f ca="1">J19</f>
        <v>0.94357507851270028</v>
      </c>
      <c r="L19" s="40">
        <f ca="1">1-(-L14)/L18</f>
        <v>0.91078250360419877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61194.204094913461</v>
      </c>
      <c r="D2" s="9">
        <f ca="1">R4/parameters!$B$3</f>
        <v>27105.978651459915</v>
      </c>
      <c r="E2" s="9"/>
      <c r="F2" s="9"/>
      <c r="G2" s="9"/>
      <c r="H2" s="9"/>
      <c r="I2" s="9"/>
      <c r="J2" s="9"/>
      <c r="K2" s="9"/>
      <c r="L2" s="12"/>
      <c r="M2" s="17">
        <f ca="1">SUM(B2:L2)</f>
        <v>88300.182746373379</v>
      </c>
      <c r="N2" s="17"/>
      <c r="O2" s="17">
        <f ca="1">R2-(M2+P2+Q2)</f>
        <v>747.36817082011839</v>
      </c>
      <c r="P2" s="11" cm="1">
        <f t="array" aca="1" ref="P2" ca="1">INDIRECT("'data'!$F$" &amp; $A$1)</f>
        <v>20287.150000000001</v>
      </c>
      <c r="Q2" s="13">
        <f ca="1">IF(-(M2-R2+P2)&lt;0, -(M2-R2+P2), 0)</f>
        <v>0</v>
      </c>
      <c r="R2" s="17" cm="1">
        <f t="array" aca="1" ref="R2" ca="1">INDIRECT("'data'!$D$" &amp; $A$1)</f>
        <v>109334.70091719349</v>
      </c>
      <c r="S2" s="17">
        <f ca="1">SUM(M2:Q2)</f>
        <v>109334.70091719349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40687.761194029852</v>
      </c>
      <c r="G3" s="14">
        <f ca="1">R7/parameters!$B$6</f>
        <v>0</v>
      </c>
      <c r="H3" s="14">
        <f ca="1">R3-P3-Q3-F3-G3</f>
        <v>19878.054415085659</v>
      </c>
      <c r="I3" s="14"/>
      <c r="J3" s="14"/>
      <c r="K3" s="14"/>
      <c r="L3" s="13"/>
      <c r="M3" s="16">
        <f t="shared" ref="M3:M11" ca="1" si="0">SUM(B3:L3)</f>
        <v>60565.815609115511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261.76499999999999</v>
      </c>
      <c r="Q3" s="13" cm="1">
        <f t="array" aca="1" ref="Q3" ca="1">-INDIRECT("'data'!$I$" &amp; $A$1)*parameters!$B$13</f>
        <v>-18.899999999999999</v>
      </c>
      <c r="R3" s="16" cm="1">
        <f t="array" aca="1" ref="R3" ca="1">INDIRECT("'data'!$G$" &amp; $A$1)*parameters!$B$13</f>
        <v>60808.680609115509</v>
      </c>
      <c r="S3" s="16">
        <f t="shared" ref="S3:S11" ca="1" si="2">SUM(M3:Q3)</f>
        <v>60808.680609115509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26196.450985955718</v>
      </c>
      <c r="I4" s="14"/>
      <c r="J4" s="14"/>
      <c r="K4" s="14"/>
      <c r="L4" s="13"/>
      <c r="M4" s="16">
        <f t="shared" ca="1" si="0"/>
        <v>26196.450985955718</v>
      </c>
      <c r="N4" s="16"/>
      <c r="O4" s="16">
        <f t="shared" ca="1" si="1"/>
        <v>0</v>
      </c>
      <c r="P4" s="11" cm="1">
        <f t="array" aca="1" ref="P4" ca="1">INDIRECT("'data'!$K$" &amp; $A$1)*parameters!$B$14</f>
        <v>792.12</v>
      </c>
      <c r="Q4" s="13" cm="1">
        <f t="array" aca="1" ref="Q4" ca="1">-INDIRECT("'data'!$L$" &amp; $A$1)*parameters!$B$14</f>
        <v>-53.36</v>
      </c>
      <c r="R4" s="16" cm="1">
        <f t="array" aca="1" ref="R4" ca="1">INDIRECT("'data'!$J$" &amp; $A$1)*parameters!$B$14</f>
        <v>26935.210985955717</v>
      </c>
      <c r="S4" s="16">
        <f t="shared" ca="1" si="2"/>
        <v>26935.210985955717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10171.940298507463</v>
      </c>
      <c r="G5" s="14"/>
      <c r="H5" s="14">
        <f ca="1">R8/parameters!$B$7-(H3+H4)</f>
        <v>18063.780910348389</v>
      </c>
      <c r="I5" s="14"/>
      <c r="J5" s="14"/>
      <c r="K5" s="14"/>
      <c r="L5" s="13"/>
      <c r="M5" s="16">
        <f t="shared" ca="1" si="0"/>
        <v>28235.721208855852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-6911.94</v>
      </c>
      <c r="R5" s="16">
        <f ca="1">SUM(M5:Q5)</f>
        <v>21323.781208855853</v>
      </c>
      <c r="S5" s="16">
        <f t="shared" ca="1" si="2"/>
        <v>21323.781208855853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47706.400000000001</v>
      </c>
      <c r="J6" s="14"/>
      <c r="K6" s="14"/>
      <c r="L6" s="13"/>
      <c r="M6" s="16">
        <f t="shared" ca="1" si="0"/>
        <v>47706.400000000001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47706.400000000001</v>
      </c>
      <c r="S6" s="16">
        <f t="shared" ca="1" si="2"/>
        <v>47706.400000000001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61380.34</v>
      </c>
      <c r="J8" s="14"/>
      <c r="K8" s="14"/>
      <c r="L8" s="13"/>
      <c r="M8" s="16">
        <f t="shared" ca="1" si="0"/>
        <v>61380.34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61380.34</v>
      </c>
      <c r="S8" s="16">
        <f t="shared" ca="1" si="2"/>
        <v>61380.34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56971.601086014831</v>
      </c>
      <c r="K9" s="14">
        <f ca="1">R11/K19</f>
        <v>49821.93891398517</v>
      </c>
      <c r="L9" s="13"/>
      <c r="M9" s="16">
        <f t="shared" ca="1" si="0"/>
        <v>106793.54000000001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2662.66</v>
      </c>
      <c r="Q9" s="13" cm="1">
        <f t="array" aca="1" ref="Q9" ca="1">-INDIRECT("'data'!$S$" &amp; $A$1)*parameters!$B$15</f>
        <v>-369.46</v>
      </c>
      <c r="R9" s="16">
        <f ca="1">SUM(R6:R8)</f>
        <v>109086.73999999999</v>
      </c>
      <c r="S9" s="16">
        <f t="shared" ca="1" si="2"/>
        <v>109086.74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53560.920000000006</v>
      </c>
      <c r="M10" s="16">
        <f t="shared" ca="1" si="0"/>
        <v>53560.920000000006</v>
      </c>
      <c r="N10" s="16"/>
      <c r="O10" s="16">
        <f t="shared" ca="1" si="3"/>
        <v>0</v>
      </c>
      <c r="P10" s="11" cm="1">
        <f t="array" aca="1" ref="P10" ca="1">INDIRECT("'data'!$U$" &amp; $A$1)*parameters!$B$15</f>
        <v>1509.2</v>
      </c>
      <c r="Q10" s="13" cm="1">
        <f t="array" aca="1" ref="Q10" ca="1">-INDIRECT("'data'!$V$" &amp; $A$1)*parameters!$B$15</f>
        <v>-1089.76</v>
      </c>
      <c r="R10" s="16" cm="1">
        <f t="array" aca="1" ref="R10" ca="1">INDIRECT("'data'!$T$" &amp; $A$1)*parameters!$B$15</f>
        <v>53980.36</v>
      </c>
      <c r="S10" s="16">
        <f t="shared" ca="1" si="2"/>
        <v>53980.36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46156.504210526313</v>
      </c>
      <c r="M11" s="16">
        <f t="shared" ca="1" si="0"/>
        <v>46156.504210526313</v>
      </c>
      <c r="N11" s="16"/>
      <c r="O11" s="16">
        <f t="shared" ca="1" si="3"/>
        <v>0</v>
      </c>
      <c r="P11" s="11" cm="1">
        <f t="array" aca="1" ref="P11" ca="1">INDIRECT("'data'!$X$" &amp; $A$1)*parameters!$B$15</f>
        <v>7390.18</v>
      </c>
      <c r="Q11" s="13" cm="1">
        <f t="array" aca="1" ref="Q11" ca="1">-INDIRECT("'data'!$Y$" &amp; $A$1)*parameters!$B$15</f>
        <v>-6340.5999999999995</v>
      </c>
      <c r="R11" s="16" cm="1">
        <f t="array" aca="1" ref="R11" ca="1">INDIRECT("'data'!$W$" &amp; $A$1)*parameters!$B$15</f>
        <v>47206.084210526315</v>
      </c>
      <c r="S11" s="16">
        <f t="shared" ca="1" si="2"/>
        <v>47206.084210526315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89927.198421052628</v>
      </c>
      <c r="O12" s="19"/>
      <c r="P12" s="21" cm="1">
        <f t="array" aca="1" ref="P12" ca="1">INDIRECT("'data'!$Z$" &amp; $A$1)*parameters!$B$15</f>
        <v>5449.78</v>
      </c>
      <c r="Q12" s="27" cm="1">
        <f t="array" aca="1" ref="Q12" ca="1">-INDIRECT("'data'!$AA$" &amp; $A$1)*parameters!$B$15</f>
        <v>-5335.12</v>
      </c>
      <c r="R12" s="16">
        <f ca="1">L10*parameters!$B$10+L11*parameters!$B$11</f>
        <v>90041.858421052631</v>
      </c>
      <c r="S12" s="16">
        <f t="shared" ref="S12:S18" ca="1" si="4">SUM(M12:Q12)</f>
        <v>90041.858421052631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-385.52348579795216</v>
      </c>
      <c r="D13" s="9">
        <f ca="1">-(D18-R4)</f>
        <v>-170.76766550419779</v>
      </c>
      <c r="E13" s="9">
        <f ca="1">-(E18-R5)</f>
        <v>-2635.5235201956675</v>
      </c>
      <c r="F13" s="9">
        <f ca="1">-(F18-R6)</f>
        <v>-3153.3014925373136</v>
      </c>
      <c r="G13" s="9">
        <f ca="1">-(G18-R7)</f>
        <v>0</v>
      </c>
      <c r="H13" s="9">
        <f ca="1">-(H18-R8)</f>
        <v>-2757.9463113897655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-9103.0624754248965</v>
      </c>
      <c r="N13" s="17"/>
      <c r="O13" s="17"/>
      <c r="P13" s="10"/>
      <c r="Q13" s="12"/>
      <c r="R13" s="9">
        <f t="shared" ref="R13:R18" ca="1" si="6">SUM(M13:Q13)</f>
        <v>-9103.0624754248965</v>
      </c>
      <c r="S13" s="17">
        <f t="shared" ca="1" si="4"/>
        <v>-9103.0624754248965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-2991.2410860148302</v>
      </c>
      <c r="K14" s="14">
        <f ca="1">-(K18-R11)</f>
        <v>-2615.8547034588555</v>
      </c>
      <c r="L14" s="13">
        <f ca="1">-(L18-R12)</f>
        <v>-9675.5657894736796</v>
      </c>
      <c r="M14" s="14">
        <f t="shared" ca="1" si="5"/>
        <v>-15282.661578947365</v>
      </c>
      <c r="N14" s="16">
        <f ca="1">-E16</f>
        <v>-8676.6431501041552</v>
      </c>
      <c r="O14" s="16"/>
      <c r="P14" s="11"/>
      <c r="Q14" s="13"/>
      <c r="R14" s="14">
        <f t="shared" ca="1" si="6"/>
        <v>-23959.304729051521</v>
      </c>
      <c r="S14" s="16">
        <f t="shared" ca="1" si="4"/>
        <v>-23959.304729051521</v>
      </c>
    </row>
    <row r="15" spans="1:23">
      <c r="A15" s="18" t="s">
        <v>79</v>
      </c>
      <c r="B15" s="11"/>
      <c r="C15" s="14"/>
      <c r="D15" s="14"/>
      <c r="E15" s="14">
        <f ca="1">-(J14+K14)-L14</f>
        <v>15282.661578947365</v>
      </c>
      <c r="F15" s="14"/>
      <c r="G15" s="14"/>
      <c r="H15" s="14"/>
      <c r="I15" s="14"/>
      <c r="J15" s="14"/>
      <c r="K15" s="14"/>
      <c r="L15" s="13"/>
      <c r="M15" s="14">
        <f t="shared" ca="1" si="5"/>
        <v>15282.661578947365</v>
      </c>
      <c r="N15" s="16"/>
      <c r="O15" s="16"/>
      <c r="P15" s="11"/>
      <c r="Q15" s="13"/>
      <c r="R15" s="14">
        <f t="shared" ca="1" si="6"/>
        <v>15282.661578947365</v>
      </c>
      <c r="S15" s="16">
        <f t="shared" ca="1" si="4"/>
        <v>15282.661578947365</v>
      </c>
    </row>
    <row r="16" spans="1:23">
      <c r="A16" s="18" t="s">
        <v>80</v>
      </c>
      <c r="B16" s="11"/>
      <c r="C16" s="14"/>
      <c r="D16" s="14"/>
      <c r="E16" s="14">
        <f ca="1">E18-E15</f>
        <v>8676.6431501041552</v>
      </c>
      <c r="F16" s="14"/>
      <c r="G16" s="14"/>
      <c r="H16" s="14"/>
      <c r="I16" s="14"/>
      <c r="J16" s="14"/>
      <c r="K16" s="14"/>
      <c r="L16" s="13"/>
      <c r="M16" s="14">
        <f t="shared" ca="1" si="5"/>
        <v>8676.6431501041552</v>
      </c>
      <c r="N16" s="16"/>
      <c r="O16" s="16"/>
      <c r="P16" s="11"/>
      <c r="Q16" s="13"/>
      <c r="R16" s="14">
        <f t="shared" ca="1" si="6"/>
        <v>8676.6431501041552</v>
      </c>
      <c r="S16" s="16">
        <f t="shared" ca="1" si="4"/>
        <v>8676.6431501041552</v>
      </c>
    </row>
    <row r="17" spans="1:19">
      <c r="A17" s="30" t="s">
        <v>90</v>
      </c>
      <c r="B17" s="21">
        <f ca="1">R2</f>
        <v>109334.70091719349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109334.70091719349</v>
      </c>
      <c r="N17" s="19"/>
      <c r="O17" s="19"/>
      <c r="P17" s="21"/>
      <c r="Q17" s="27"/>
      <c r="R17" s="22">
        <f t="shared" ca="1" si="6"/>
        <v>109334.70091719349</v>
      </c>
      <c r="S17" s="19">
        <f t="shared" ca="1" si="4"/>
        <v>109334.70091719349</v>
      </c>
    </row>
    <row r="18" spans="1:19">
      <c r="A18" s="29" t="s">
        <v>89</v>
      </c>
      <c r="B18" s="9">
        <f ca="1">B17</f>
        <v>109334.70091719349</v>
      </c>
      <c r="C18" s="9">
        <f ca="1">SUM(C$2:C$12)</f>
        <v>61194.204094913461</v>
      </c>
      <c r="D18" s="9">
        <f ca="1">SUM(D$2:D$12)</f>
        <v>27105.978651459915</v>
      </c>
      <c r="E18" s="9">
        <f ca="1">$R$5/parameters!$B$4</f>
        <v>23959.304729051521</v>
      </c>
      <c r="F18" s="9">
        <f t="shared" ref="F18:L18" ca="1" si="7">SUM(F$2:F$12)</f>
        <v>50859.701492537315</v>
      </c>
      <c r="G18" s="9">
        <f t="shared" ca="1" si="7"/>
        <v>0</v>
      </c>
      <c r="H18" s="9">
        <f t="shared" ca="1" si="7"/>
        <v>64138.286311389762</v>
      </c>
      <c r="I18" s="9">
        <f t="shared" ca="1" si="7"/>
        <v>109086.73999999999</v>
      </c>
      <c r="J18" s="9">
        <f t="shared" ca="1" si="7"/>
        <v>56971.601086014831</v>
      </c>
      <c r="K18" s="9">
        <f t="shared" ca="1" si="7"/>
        <v>49821.93891398517</v>
      </c>
      <c r="L18" s="9">
        <f t="shared" ca="1" si="7"/>
        <v>99717.424210526311</v>
      </c>
      <c r="M18" s="17">
        <f ca="1">SUM(B18:L18)</f>
        <v>652189.88040707179</v>
      </c>
      <c r="N18" s="17"/>
      <c r="O18" s="17"/>
      <c r="P18" s="9"/>
      <c r="Q18" s="14"/>
      <c r="R18" s="11">
        <f t="shared" ca="1" si="6"/>
        <v>652189.88040707179</v>
      </c>
      <c r="S18" s="17">
        <f t="shared" ca="1" si="4"/>
        <v>652189.88040707179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0.9474959272866722</v>
      </c>
      <c r="K19" s="39">
        <f ca="1">J19</f>
        <v>0.9474959272866722</v>
      </c>
      <c r="L19" s="40">
        <f ca="1">1-(-L14)/L18</f>
        <v>0.90297015926678625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71235.90117741772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71235.90117741772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-71235.90117741772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69722.998507462675</v>
      </c>
      <c r="G3" s="14">
        <f ca="1">R7/parameters!$B$6</f>
        <v>0</v>
      </c>
      <c r="H3" s="14">
        <f ca="1">R3-P3-Q3-F3-G3</f>
        <v>1177.5164925373101</v>
      </c>
      <c r="I3" s="14"/>
      <c r="J3" s="14"/>
      <c r="K3" s="14"/>
      <c r="L3" s="13"/>
      <c r="M3" s="16">
        <f t="shared" ref="M3:M11" ca="1" si="0">SUM(B3:L3)</f>
        <v>70900.514999999985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41.58</v>
      </c>
      <c r="Q3" s="13" cm="1">
        <f t="array" aca="1" ref="Q3" ca="1">-INDIRECT("'data'!$I$" &amp; $A$1)*parameters!$B$13</f>
        <v>-154.97999999999999</v>
      </c>
      <c r="R3" s="16" cm="1">
        <f t="array" aca="1" ref="R3" ca="1">INDIRECT("'data'!$G$" &amp; $A$1)*parameters!$B$13</f>
        <v>70787.114999999991</v>
      </c>
      <c r="S3" s="16">
        <f t="shared" ref="S3:S11" ca="1" si="2">SUM(M3:Q3)</f>
        <v>70787.114999999991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17.48</v>
      </c>
      <c r="I4" s="14"/>
      <c r="J4" s="14"/>
      <c r="K4" s="14"/>
      <c r="L4" s="13"/>
      <c r="M4" s="16">
        <f t="shared" ca="1" si="0"/>
        <v>17.48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-17.48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8617.4492537313436</v>
      </c>
      <c r="G5" s="14"/>
      <c r="H5" s="14">
        <f ca="1">R8/parameters!$B$7-(H3+H4)</f>
        <v>23338.796610910966</v>
      </c>
      <c r="I5" s="14"/>
      <c r="J5" s="14"/>
      <c r="K5" s="14"/>
      <c r="L5" s="13"/>
      <c r="M5" s="16">
        <f t="shared" ca="1" si="0"/>
        <v>31956.245864642311</v>
      </c>
      <c r="N5" s="16"/>
      <c r="O5" s="16"/>
      <c r="P5" s="11" cm="1">
        <f t="array" aca="1" ref="P5" ca="1">INDIRECT("'data'!$M$" &amp; $A$1)*parameters!$B$15</f>
        <v>7503.86</v>
      </c>
      <c r="Q5" s="13" cm="1">
        <f t="array" aca="1" ref="Q5" ca="1">-INDIRECT("'data'!$N$" &amp; $A$1)*parameters!$B$15</f>
        <v>-104.86</v>
      </c>
      <c r="R5" s="16">
        <f ca="1">SUM(M5:Q5)</f>
        <v>39355.245864642311</v>
      </c>
      <c r="S5" s="16">
        <f t="shared" ca="1" si="2"/>
        <v>39355.245864642311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73483.34</v>
      </c>
      <c r="J6" s="14"/>
      <c r="K6" s="14"/>
      <c r="L6" s="13"/>
      <c r="M6" s="16">
        <f t="shared" ca="1" si="0"/>
        <v>73483.34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73483.34</v>
      </c>
      <c r="S6" s="16">
        <f t="shared" ca="1" si="2"/>
        <v>73483.34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23478.84</v>
      </c>
      <c r="J8" s="14"/>
      <c r="K8" s="14"/>
      <c r="L8" s="13"/>
      <c r="M8" s="16">
        <f t="shared" ca="1" si="0"/>
        <v>23478.84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23478.84</v>
      </c>
      <c r="S8" s="16">
        <f t="shared" ca="1" si="2"/>
        <v>23478.84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31779.396861092879</v>
      </c>
      <c r="K9" s="14">
        <f ca="1">R11/K19</f>
        <v>62085.983138907104</v>
      </c>
      <c r="L9" s="13"/>
      <c r="M9" s="16">
        <f t="shared" ca="1" si="0"/>
        <v>93865.379999999976</v>
      </c>
      <c r="N9" s="16"/>
      <c r="O9" s="16">
        <f t="shared" ca="1" si="3"/>
        <v>0</v>
      </c>
      <c r="P9" s="11" cm="1">
        <f t="array" aca="1" ref="P9" ca="1">INDIRECT("'data'!$R$" &amp; $A$1)*parameters!$B$15</f>
        <v>3423.14</v>
      </c>
      <c r="Q9" s="13" cm="1">
        <f t="array" aca="1" ref="Q9" ca="1">-INDIRECT("'data'!$S$" &amp; $A$1)*parameters!$B$15</f>
        <v>-326.33999999999997</v>
      </c>
      <c r="R9" s="16">
        <f ca="1">SUM(R6:R8)</f>
        <v>96962.18</v>
      </c>
      <c r="S9" s="16">
        <f t="shared" ca="1" si="2"/>
        <v>96962.179999999978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25501.559999999998</v>
      </c>
      <c r="M10" s="16">
        <f t="shared" ca="1" si="0"/>
        <v>25501.559999999998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4184.6000000000004</v>
      </c>
      <c r="Q10" s="13" cm="1">
        <f t="array" aca="1" ref="Q10" ca="1">-INDIRECT("'data'!$V$" &amp; $A$1)*parameters!$B$15</f>
        <v>-1088.78</v>
      </c>
      <c r="R10" s="16" cm="1">
        <f t="array" aca="1" ref="R10" ca="1">INDIRECT("'data'!$T$" &amp; $A$1)*parameters!$B$15</f>
        <v>28597.38</v>
      </c>
      <c r="S10" s="16">
        <f t="shared" ca="1" si="2"/>
        <v>28597.379999999997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37231.779431009956</v>
      </c>
      <c r="M11" s="16">
        <f t="shared" ca="1" si="0"/>
        <v>37231.779431009956</v>
      </c>
      <c r="N11" s="16"/>
      <c r="O11" s="16">
        <f t="shared" ca="1" si="3"/>
        <v>0</v>
      </c>
      <c r="P11" s="11" cm="1">
        <f t="array" aca="1" ref="P11" ca="1">INDIRECT("'data'!$X$" &amp; $A$1)*parameters!$B$15</f>
        <v>23222.079999999998</v>
      </c>
      <c r="Q11" s="13" cm="1">
        <f t="array" aca="1" ref="Q11" ca="1">-INDIRECT("'data'!$Y$" &amp; $A$1)*parameters!$B$15</f>
        <v>-4584.4399999999996</v>
      </c>
      <c r="R11" s="16" cm="1">
        <f t="array" aca="1" ref="R11" ca="1">INDIRECT("'data'!$W$" &amp; $A$1)*parameters!$B$15</f>
        <v>55869.419431009956</v>
      </c>
      <c r="S11" s="16">
        <f t="shared" ca="1" si="2"/>
        <v>55869.419431009956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42417.796710668561</v>
      </c>
      <c r="O12" s="19"/>
      <c r="P12" s="21" cm="1">
        <f t="array" aca="1" ref="P12" ca="1">INDIRECT("'data'!$Z$" &amp; $A$1)*parameters!$B$15</f>
        <v>21294.42</v>
      </c>
      <c r="Q12" s="27" cm="1">
        <f t="array" aca="1" ref="Q12" ca="1">-INDIRECT("'data'!$AA$" &amp; $A$1)*parameters!$B$15</f>
        <v>-7721.42</v>
      </c>
      <c r="R12" s="16">
        <f ca="1">L10*parameters!$B$10+L11*parameters!$B$11</f>
        <v>55990.796710668561</v>
      </c>
      <c r="S12" s="16">
        <f t="shared" ref="S12:S18" ca="1" si="4">SUM(M12:Q12)</f>
        <v>55990.796710668561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-448.78617741772905</v>
      </c>
      <c r="D13" s="9">
        <f ca="1">-(D18-R4)</f>
        <v>0</v>
      </c>
      <c r="E13" s="9">
        <f ca="1">-(E18-R5)</f>
        <v>-4864.1315113602832</v>
      </c>
      <c r="F13" s="9">
        <f ca="1">-(F18-R6)</f>
        <v>-4857.1077611940273</v>
      </c>
      <c r="G13" s="9">
        <f ca="1">-(G18-R7)</f>
        <v>0</v>
      </c>
      <c r="H13" s="9">
        <f ca="1">-(H18-R8)</f>
        <v>-1054.9531034482752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-11224.978553420315</v>
      </c>
      <c r="N13" s="17"/>
      <c r="O13" s="17"/>
      <c r="P13" s="10"/>
      <c r="Q13" s="12"/>
      <c r="R13" s="9">
        <f t="shared" ref="R13:R18" ca="1" si="6">SUM(M13:Q13)</f>
        <v>-11224.978553420315</v>
      </c>
      <c r="S13" s="17">
        <f t="shared" ca="1" si="4"/>
        <v>-11224.978553420315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-3182.0168610928777</v>
      </c>
      <c r="K14" s="14">
        <f ca="1">-(K18-R11)</f>
        <v>-6216.5637078971486</v>
      </c>
      <c r="L14" s="13">
        <f ca="1">-(L18-R12)</f>
        <v>-6742.5427203413929</v>
      </c>
      <c r="M14" s="14">
        <f t="shared" ca="1" si="5"/>
        <v>-16141.123289331419</v>
      </c>
      <c r="N14" s="16">
        <f ca="1">-E16</f>
        <v>-28078.254086671175</v>
      </c>
      <c r="O14" s="16"/>
      <c r="P14" s="11"/>
      <c r="Q14" s="13"/>
      <c r="R14" s="14">
        <f t="shared" ca="1" si="6"/>
        <v>-44219.377376002594</v>
      </c>
      <c r="S14" s="16">
        <f t="shared" ca="1" si="4"/>
        <v>-44219.377376002594</v>
      </c>
    </row>
    <row r="15" spans="1:21">
      <c r="A15" s="18" t="s">
        <v>79</v>
      </c>
      <c r="B15" s="11"/>
      <c r="C15" s="14"/>
      <c r="D15" s="14"/>
      <c r="E15" s="14">
        <f ca="1">-(J14+K14)-L14</f>
        <v>16141.123289331419</v>
      </c>
      <c r="F15" s="14"/>
      <c r="G15" s="14"/>
      <c r="H15" s="14"/>
      <c r="I15" s="14"/>
      <c r="J15" s="14"/>
      <c r="K15" s="14"/>
      <c r="L15" s="13"/>
      <c r="M15" s="14">
        <f t="shared" ca="1" si="5"/>
        <v>16141.123289331419</v>
      </c>
      <c r="N15" s="16"/>
      <c r="O15" s="16"/>
      <c r="P15" s="11"/>
      <c r="Q15" s="13"/>
      <c r="R15" s="14">
        <f t="shared" ca="1" si="6"/>
        <v>16141.123289331419</v>
      </c>
      <c r="S15" s="16">
        <f t="shared" ca="1" si="4"/>
        <v>16141.123289331419</v>
      </c>
    </row>
    <row r="16" spans="1:21">
      <c r="A16" s="18" t="s">
        <v>80</v>
      </c>
      <c r="B16" s="11"/>
      <c r="C16" s="14"/>
      <c r="D16" s="14"/>
      <c r="E16" s="14">
        <f ca="1">E18-E15</f>
        <v>28078.254086671175</v>
      </c>
      <c r="F16" s="14"/>
      <c r="G16" s="14"/>
      <c r="H16" s="14"/>
      <c r="I16" s="14"/>
      <c r="J16" s="14"/>
      <c r="K16" s="14"/>
      <c r="L16" s="13"/>
      <c r="M16" s="14">
        <f t="shared" ca="1" si="5"/>
        <v>28078.254086671175</v>
      </c>
      <c r="N16" s="16"/>
      <c r="O16" s="16"/>
      <c r="P16" s="11"/>
      <c r="Q16" s="13"/>
      <c r="R16" s="14">
        <f t="shared" ca="1" si="6"/>
        <v>28078.254086671175</v>
      </c>
      <c r="S16" s="16">
        <f t="shared" ca="1" si="4"/>
        <v>28078.254086671175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71235.90117741772</v>
      </c>
      <c r="D18" s="9">
        <f ca="1">SUM(D$2:D$12)</f>
        <v>0</v>
      </c>
      <c r="E18" s="9">
        <f ca="1">$R$5/parameters!$B$4</f>
        <v>44219.377376002594</v>
      </c>
      <c r="F18" s="9">
        <f t="shared" ref="F18:L18" ca="1" si="7">SUM(F$2:F$12)</f>
        <v>78340.447761194024</v>
      </c>
      <c r="G18" s="9">
        <f t="shared" ca="1" si="7"/>
        <v>0</v>
      </c>
      <c r="H18" s="9">
        <f t="shared" ca="1" si="7"/>
        <v>24533.793103448275</v>
      </c>
      <c r="I18" s="9">
        <f t="shared" ca="1" si="7"/>
        <v>96962.18</v>
      </c>
      <c r="J18" s="9">
        <f t="shared" ca="1" si="7"/>
        <v>31779.396861092879</v>
      </c>
      <c r="K18" s="9">
        <f t="shared" ca="1" si="7"/>
        <v>62085.983138907104</v>
      </c>
      <c r="L18" s="9">
        <f t="shared" ca="1" si="7"/>
        <v>62733.339431009954</v>
      </c>
      <c r="M18" s="17">
        <f ca="1">SUM(B18:L18)</f>
        <v>471890.41884907259</v>
      </c>
      <c r="N18" s="17"/>
      <c r="O18" s="17"/>
      <c r="P18" s="9"/>
      <c r="Q18" s="14"/>
      <c r="R18" s="11">
        <f t="shared" ca="1" si="6"/>
        <v>471890.41884907259</v>
      </c>
      <c r="S18" s="17">
        <f t="shared" ca="1" si="4"/>
        <v>471890.41884907259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0.89987170382743853</v>
      </c>
      <c r="K19" s="39">
        <f ca="1">J19</f>
        <v>0.89987170382743853</v>
      </c>
      <c r="L19" s="40">
        <f ca="1">1-(-L14)/L18</f>
        <v>0.89252058344899043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  <row r="28" spans="1:19">
      <c r="F28" s="48"/>
      <c r="H28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21208.055751232765</v>
      </c>
      <c r="D2" s="9">
        <f ca="1">R4/parameters!$B$3</f>
        <v>2999.6980980175103</v>
      </c>
      <c r="E2" s="9"/>
      <c r="F2" s="9"/>
      <c r="G2" s="9"/>
      <c r="H2" s="9"/>
      <c r="I2" s="9"/>
      <c r="J2" s="9"/>
      <c r="K2" s="9"/>
      <c r="L2" s="12"/>
      <c r="M2" s="17">
        <f ca="1">SUM(B2:L2)</f>
        <v>24207.753849250275</v>
      </c>
      <c r="N2" s="17"/>
      <c r="O2" s="17">
        <f ca="1">R2-(M2+P2+Q2)</f>
        <v>0</v>
      </c>
      <c r="P2" s="11" cm="1">
        <f t="array" aca="1" ref="P2" ca="1">INDIRECT("'data'!$F$" &amp; $A$1)</f>
        <v>7370.35</v>
      </c>
      <c r="Q2" s="13">
        <f ca="1">IF(-(M2-R2+P2)&lt;0, -(M2-R2+P2), 0)</f>
        <v>-1778.1038492502757</v>
      </c>
      <c r="R2" s="17" cm="1">
        <f t="array" aca="1" ref="R2" ca="1">INDIRECT("'data'!$D$" &amp; $A$1)</f>
        <v>29800</v>
      </c>
      <c r="S2" s="17">
        <f ca="1">SUM(M2:Q2)</f>
        <v>29800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22780.089552238809</v>
      </c>
      <c r="G3" s="14">
        <f ca="1">R7/parameters!$B$6</f>
        <v>0</v>
      </c>
      <c r="H3" s="14">
        <f ca="1">R3-P3-Q3-F3-G3</f>
        <v>3013.6854477611887</v>
      </c>
      <c r="I3" s="14"/>
      <c r="J3" s="14"/>
      <c r="K3" s="14"/>
      <c r="L3" s="13"/>
      <c r="M3" s="16">
        <f t="shared" ref="M3:M11" ca="1" si="0">SUM(B3:L3)</f>
        <v>25793.774999999998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10.395</v>
      </c>
      <c r="Q3" s="13" cm="1">
        <f t="array" aca="1" ref="Q3" ca="1">-INDIRECT("'data'!$I$" &amp; $A$1)*parameters!$B$13</f>
        <v>-4729.7249999999995</v>
      </c>
      <c r="R3" s="16" cm="1">
        <f t="array" aca="1" ref="R3" ca="1">INDIRECT("'data'!$G$" &amp; $A$1)*parameters!$B$13</f>
        <v>21074.445</v>
      </c>
      <c r="S3" s="16">
        <f t="shared" ref="S3:S11" ca="1" si="2">SUM(M3:Q3)</f>
        <v>21074.445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4006.6000000000004</v>
      </c>
      <c r="I4" s="14"/>
      <c r="J4" s="14"/>
      <c r="K4" s="14"/>
      <c r="L4" s="13"/>
      <c r="M4" s="16">
        <f t="shared" ca="1" si="0"/>
        <v>4006.6000000000004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595.24</v>
      </c>
      <c r="Q4" s="13" cm="1">
        <f t="array" aca="1" ref="Q4" ca="1">-INDIRECT("'data'!$L$" &amp; $A$1)*parameters!$B$14</f>
        <v>-1621.04</v>
      </c>
      <c r="R4" s="16" cm="1">
        <f t="array" aca="1" ref="R4" ca="1">INDIRECT("'data'!$J$" &amp; $A$1)*parameters!$B$14</f>
        <v>2980.8</v>
      </c>
      <c r="S4" s="16">
        <f t="shared" ca="1" si="2"/>
        <v>2980.8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5000.507462686568</v>
      </c>
      <c r="G5" s="14"/>
      <c r="H5" s="14">
        <f ca="1">R8/parameters!$B$7-(H3+H4)</f>
        <v>55620.863977526169</v>
      </c>
      <c r="I5" s="14"/>
      <c r="J5" s="14"/>
      <c r="K5" s="14"/>
      <c r="L5" s="13"/>
      <c r="M5" s="16">
        <f t="shared" ca="1" si="0"/>
        <v>60621.371440212737</v>
      </c>
      <c r="N5" s="16"/>
      <c r="O5" s="16"/>
      <c r="P5" s="11" cm="1">
        <f t="array" aca="1" ref="P5" ca="1">INDIRECT("'data'!$M$" &amp; $A$1)*parameters!$B$15</f>
        <v>17331.3</v>
      </c>
      <c r="Q5" s="13" cm="1">
        <f t="array" aca="1" ref="Q5" ca="1">-INDIRECT("'data'!$N$" &amp; $A$1)*parameters!$B$15</f>
        <v>-4182.6400000000003</v>
      </c>
      <c r="R5" s="16">
        <f ca="1">SUM(M5:Q5)</f>
        <v>73770.031440212741</v>
      </c>
      <c r="S5" s="16">
        <f t="shared" ca="1" si="2"/>
        <v>73770.031440212741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26058.2</v>
      </c>
      <c r="J6" s="14"/>
      <c r="K6" s="14"/>
      <c r="L6" s="13"/>
      <c r="M6" s="16">
        <f t="shared" ca="1" si="0"/>
        <v>26058.2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26058.2</v>
      </c>
      <c r="S6" s="16">
        <f t="shared" ca="1" si="2"/>
        <v>26058.2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59947.58</v>
      </c>
      <c r="J8" s="14"/>
      <c r="K8" s="14"/>
      <c r="L8" s="13"/>
      <c r="M8" s="16">
        <f t="shared" ca="1" si="0"/>
        <v>59947.58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59947.58</v>
      </c>
      <c r="S8" s="16">
        <f t="shared" ca="1" si="2"/>
        <v>59947.58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30562.817848055773</v>
      </c>
      <c r="K9" s="14">
        <f ca="1">R11/K19</f>
        <v>62415.662151944234</v>
      </c>
      <c r="L9" s="13"/>
      <c r="M9" s="16">
        <f t="shared" ca="1" si="0"/>
        <v>92978.48000000001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74.48</v>
      </c>
      <c r="Q9" s="13" cm="1">
        <f t="array" aca="1" ref="Q9" ca="1">-INDIRECT("'data'!$S$" &amp; $A$1)*parameters!$B$15</f>
        <v>-7047.18</v>
      </c>
      <c r="R9" s="16">
        <f ca="1">SUM(R6:R8)</f>
        <v>86005.78</v>
      </c>
      <c r="S9" s="16">
        <f t="shared" ca="1" si="2"/>
        <v>86005.78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30574.039999999997</v>
      </c>
      <c r="M10" s="16">
        <f t="shared" ca="1" si="0"/>
        <v>30574.039999999997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1424.92</v>
      </c>
      <c r="Q10" s="13" cm="1">
        <f t="array" aca="1" ref="Q10" ca="1">-INDIRECT("'data'!$V$" &amp; $A$1)*parameters!$B$15</f>
        <v>-4600.12</v>
      </c>
      <c r="R10" s="16" cm="1">
        <f t="array" aca="1" ref="R10" ca="1">INDIRECT("'data'!$T$" &amp; $A$1)*parameters!$B$15</f>
        <v>27398.84</v>
      </c>
      <c r="S10" s="16">
        <f t="shared" ca="1" si="2"/>
        <v>27398.84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60148.558065433856</v>
      </c>
      <c r="M11" s="16">
        <f t="shared" ca="1" si="0"/>
        <v>60148.558065433856</v>
      </c>
      <c r="N11" s="16"/>
      <c r="O11" s="16">
        <f t="shared" ca="1" si="3"/>
        <v>0</v>
      </c>
      <c r="P11" s="11" cm="1">
        <f t="array" aca="1" ref="P11" ca="1">INDIRECT("'data'!$X$" &amp; $A$1)*parameters!$B$15</f>
        <v>4686.3599999999997</v>
      </c>
      <c r="Q11" s="13" cm="1">
        <f t="array" aca="1" ref="Q11" ca="1">-INDIRECT("'data'!$Y$" &amp; $A$1)*parameters!$B$15</f>
        <v>-8880.76</v>
      </c>
      <c r="R11" s="16" cm="1">
        <f t="array" aca="1" ref="R11" ca="1">INDIRECT("'data'!$W$" &amp; $A$1)*parameters!$B$15</f>
        <v>55954.158065433854</v>
      </c>
      <c r="S11" s="16">
        <f t="shared" ca="1" si="2"/>
        <v>55954.158065433854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108040.63753627311</v>
      </c>
      <c r="O12" s="19"/>
      <c r="P12" s="21" cm="1">
        <f t="array" aca="1" ref="P12" ca="1">INDIRECT("'data'!$Z$" &amp; $A$1)*parameters!$B$15</f>
        <v>20447.7</v>
      </c>
      <c r="Q12" s="27" cm="1">
        <f t="array" aca="1" ref="Q12" ca="1">-INDIRECT("'data'!$AA$" &amp; $A$1)*parameters!$B$15</f>
        <v>-48020.979999999996</v>
      </c>
      <c r="R12" s="16">
        <f ca="1">L10*parameters!$B$10+L11*parameters!$B$11</f>
        <v>80467.357536273106</v>
      </c>
      <c r="S12" s="16">
        <f t="shared" ref="S12:S18" ca="1" si="4">SUM(M12:Q12)</f>
        <v>80467.357536273106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-133.61075123276532</v>
      </c>
      <c r="D13" s="9">
        <f ca="1">-(D18-R4)</f>
        <v>-18.898098017510165</v>
      </c>
      <c r="E13" s="9">
        <f ca="1">-(E18-R5)</f>
        <v>-9117.6443353071954</v>
      </c>
      <c r="F13" s="9">
        <f ca="1">-(F18-R6)</f>
        <v>-1722.3970149253764</v>
      </c>
      <c r="G13" s="9">
        <f ca="1">-(G18-R7)</f>
        <v>0</v>
      </c>
      <c r="H13" s="9">
        <f ca="1">-(H18-R8)</f>
        <v>-2693.5694252873582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-13686.119624770206</v>
      </c>
      <c r="N13" s="17"/>
      <c r="O13" s="17"/>
      <c r="P13" s="10"/>
      <c r="Q13" s="12"/>
      <c r="R13" s="9">
        <f t="shared" ref="R13:R18" ca="1" si="6">SUM(M13:Q13)</f>
        <v>-13686.119624770206</v>
      </c>
      <c r="S13" s="17">
        <f t="shared" ca="1" si="4"/>
        <v>-13686.119624770206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-3163.9778480557725</v>
      </c>
      <c r="K14" s="14">
        <f ca="1">-(K18-R11)</f>
        <v>-6461.5040865103801</v>
      </c>
      <c r="L14" s="13">
        <f ca="1">-(L18-R12)</f>
        <v>-10255.240529160743</v>
      </c>
      <c r="M14" s="14">
        <f t="shared" ca="1" si="5"/>
        <v>-19880.722463726896</v>
      </c>
      <c r="N14" s="16">
        <f ca="1">-E16</f>
        <v>-63006.95331179304</v>
      </c>
      <c r="O14" s="16"/>
      <c r="P14" s="11"/>
      <c r="Q14" s="13"/>
      <c r="R14" s="14">
        <f t="shared" ca="1" si="6"/>
        <v>-82887.675775519936</v>
      </c>
      <c r="S14" s="16">
        <f t="shared" ca="1" si="4"/>
        <v>-82887.675775519936</v>
      </c>
    </row>
    <row r="15" spans="1:21">
      <c r="A15" s="18" t="s">
        <v>79</v>
      </c>
      <c r="B15" s="11"/>
      <c r="C15" s="14"/>
      <c r="D15" s="14"/>
      <c r="E15" s="14">
        <f ca="1">-(J14+K14)-L14</f>
        <v>19880.722463726896</v>
      </c>
      <c r="F15" s="14"/>
      <c r="G15" s="14"/>
      <c r="H15" s="14"/>
      <c r="I15" s="14"/>
      <c r="J15" s="14"/>
      <c r="K15" s="14"/>
      <c r="L15" s="13"/>
      <c r="M15" s="14">
        <f t="shared" ca="1" si="5"/>
        <v>19880.722463726896</v>
      </c>
      <c r="N15" s="16"/>
      <c r="O15" s="16"/>
      <c r="P15" s="11"/>
      <c r="Q15" s="13"/>
      <c r="R15" s="14">
        <f t="shared" ca="1" si="6"/>
        <v>19880.722463726896</v>
      </c>
      <c r="S15" s="16">
        <f t="shared" ca="1" si="4"/>
        <v>19880.722463726896</v>
      </c>
    </row>
    <row r="16" spans="1:21">
      <c r="A16" s="18" t="s">
        <v>80</v>
      </c>
      <c r="B16" s="11"/>
      <c r="C16" s="14"/>
      <c r="D16" s="14"/>
      <c r="E16" s="14">
        <f ca="1">E18-E15</f>
        <v>63006.95331179304</v>
      </c>
      <c r="F16" s="14"/>
      <c r="G16" s="14"/>
      <c r="H16" s="14"/>
      <c r="I16" s="14"/>
      <c r="J16" s="14"/>
      <c r="K16" s="14"/>
      <c r="L16" s="13"/>
      <c r="M16" s="14">
        <f t="shared" ca="1" si="5"/>
        <v>63006.95331179304</v>
      </c>
      <c r="N16" s="16"/>
      <c r="O16" s="16"/>
      <c r="P16" s="11"/>
      <c r="Q16" s="13"/>
      <c r="R16" s="14">
        <f t="shared" ca="1" si="6"/>
        <v>63006.95331179304</v>
      </c>
      <c r="S16" s="16">
        <f t="shared" ca="1" si="4"/>
        <v>63006.95331179304</v>
      </c>
    </row>
    <row r="17" spans="1:19">
      <c r="A17" s="30" t="s">
        <v>90</v>
      </c>
      <c r="B17" s="21">
        <f ca="1">R2</f>
        <v>29800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29800</v>
      </c>
      <c r="N17" s="19"/>
      <c r="O17" s="19"/>
      <c r="P17" s="21"/>
      <c r="Q17" s="27"/>
      <c r="R17" s="22">
        <f t="shared" ca="1" si="6"/>
        <v>29800</v>
      </c>
      <c r="S17" s="19">
        <f t="shared" ca="1" si="4"/>
        <v>29800</v>
      </c>
    </row>
    <row r="18" spans="1:19">
      <c r="A18" s="29" t="s">
        <v>89</v>
      </c>
      <c r="B18" s="9">
        <f ca="1">B17</f>
        <v>29800</v>
      </c>
      <c r="C18" s="9">
        <f ca="1">SUM(C$2:C$12)</f>
        <v>21208.055751232765</v>
      </c>
      <c r="D18" s="9">
        <f ca="1">SUM(D$2:D$12)</f>
        <v>2999.6980980175103</v>
      </c>
      <c r="E18" s="9">
        <f ca="1">$R$5/parameters!$B$4</f>
        <v>82887.675775519936</v>
      </c>
      <c r="F18" s="9">
        <f t="shared" ref="F18:L18" ca="1" si="7">SUM(F$2:F$12)</f>
        <v>27780.597014925377</v>
      </c>
      <c r="G18" s="9">
        <f t="shared" ca="1" si="7"/>
        <v>0</v>
      </c>
      <c r="H18" s="9">
        <f t="shared" ca="1" si="7"/>
        <v>62641.14942528736</v>
      </c>
      <c r="I18" s="9">
        <f t="shared" ca="1" si="7"/>
        <v>86005.78</v>
      </c>
      <c r="J18" s="9">
        <f t="shared" ca="1" si="7"/>
        <v>30562.817848055773</v>
      </c>
      <c r="K18" s="9">
        <f t="shared" ca="1" si="7"/>
        <v>62415.662151944234</v>
      </c>
      <c r="L18" s="9">
        <f t="shared" ca="1" si="7"/>
        <v>90722.598065433849</v>
      </c>
      <c r="M18" s="17">
        <f ca="1">SUM(B18:L18)</f>
        <v>497024.03413041681</v>
      </c>
      <c r="N18" s="17"/>
      <c r="O18" s="17"/>
      <c r="P18" s="9"/>
      <c r="Q18" s="14"/>
      <c r="R18" s="11">
        <f t="shared" ca="1" si="6"/>
        <v>497024.03413041681</v>
      </c>
      <c r="S18" s="17">
        <f t="shared" ca="1" si="4"/>
        <v>497024.03413041681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0.89647623907633089</v>
      </c>
      <c r="K19" s="39">
        <f ca="1">J19</f>
        <v>0.89647623907633089</v>
      </c>
      <c r="L19" s="40">
        <f ca="1">1-(-L14)/L18</f>
        <v>0.88696046246642835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48571.877830331083</v>
      </c>
      <c r="D2" s="9">
        <f ca="1">R4/parameters!$B$3</f>
        <v>7434.4369528026573</v>
      </c>
      <c r="E2" s="9"/>
      <c r="F2" s="9"/>
      <c r="G2" s="9"/>
      <c r="H2" s="9"/>
      <c r="I2" s="9"/>
      <c r="J2" s="9"/>
      <c r="K2" s="9"/>
      <c r="L2" s="12"/>
      <c r="M2" s="17">
        <f ca="1">SUM(B2:L2)</f>
        <v>56006.314783133741</v>
      </c>
      <c r="N2" s="17"/>
      <c r="O2" s="17">
        <f ca="1">R2-(M2+P2+Q2)</f>
        <v>0</v>
      </c>
      <c r="P2" s="11" cm="1">
        <f t="array" aca="1" ref="P2" ca="1">INDIRECT("'data'!$F$" &amp; $A$1)</f>
        <v>14545.7</v>
      </c>
      <c r="Q2" s="13">
        <f ca="1">IF(-(M2-R2+P2)&lt;0, -(M2-R2+P2), 0)</f>
        <v>-6265.0147831337417</v>
      </c>
      <c r="R2" s="17" cm="1">
        <f t="array" aca="1" ref="R2" ca="1">INDIRECT("'data'!$D$" &amp; $A$1)</f>
        <v>64287</v>
      </c>
      <c r="S2" s="17">
        <f ca="1">SUM(M2:Q2)</f>
        <v>64287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39166.567164179098</v>
      </c>
      <c r="G3" s="14">
        <f ca="1">R7/parameters!$B$6</f>
        <v>1420.8955223880598</v>
      </c>
      <c r="H3" s="14">
        <f ca="1">R3-P3-Q3-F3-G3</f>
        <v>3659.3273134328433</v>
      </c>
      <c r="I3" s="14"/>
      <c r="J3" s="14"/>
      <c r="K3" s="14"/>
      <c r="L3" s="13"/>
      <c r="M3" s="16">
        <f t="shared" ref="M3:M11" ca="1" si="0">SUM(B3:L3)</f>
        <v>44246.79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4019.0849999999996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48265.875</v>
      </c>
      <c r="S3" s="16">
        <f t="shared" ref="S3:S11" ca="1" si="2">SUM(M3:Q3)</f>
        <v>48265.875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3769.2400000000002</v>
      </c>
      <c r="I4" s="14"/>
      <c r="J4" s="14"/>
      <c r="K4" s="14"/>
      <c r="L4" s="13"/>
      <c r="M4" s="16">
        <f t="shared" ca="1" si="0"/>
        <v>3769.2400000000002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3618.36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7387.6</v>
      </c>
      <c r="S4" s="16">
        <f t="shared" ca="1" si="2"/>
        <v>7387.6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9791.6417910447763</v>
      </c>
      <c r="G5" s="14"/>
      <c r="H5" s="14">
        <f ca="1">R8/parameters!$B$7-(H3+H4)</f>
        <v>15202.571662533719</v>
      </c>
      <c r="I5" s="14"/>
      <c r="J5" s="14"/>
      <c r="K5" s="14"/>
      <c r="L5" s="13"/>
      <c r="M5" s="16">
        <f t="shared" ca="1" si="0"/>
        <v>24994.213453578493</v>
      </c>
      <c r="N5" s="16"/>
      <c r="O5" s="16"/>
      <c r="P5" s="11" cm="1">
        <f t="array" aca="1" ref="P5" ca="1">INDIRECT("'data'!$M$" &amp; $A$1)*parameters!$B$15</f>
        <v>3646.58</v>
      </c>
      <c r="Q5" s="13" cm="1">
        <f t="array" aca="1" ref="Q5" ca="1">-INDIRECT("'data'!$N$" &amp; $A$1)*parameters!$B$15</f>
        <v>-1019.1999999999999</v>
      </c>
      <c r="R5" s="16">
        <f ca="1">SUM(M5:Q5)</f>
        <v>27621.593453578495</v>
      </c>
      <c r="S5" s="16">
        <f t="shared" ca="1" si="2"/>
        <v>27621.593453578495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45922.799999999996</v>
      </c>
      <c r="J6" s="14"/>
      <c r="K6" s="14"/>
      <c r="L6" s="13"/>
      <c r="M6" s="16">
        <f t="shared" ca="1" si="0"/>
        <v>45922.799999999996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45922.799999999996</v>
      </c>
      <c r="S6" s="16">
        <f t="shared" ca="1" si="2"/>
        <v>45922.799999999996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1332.8</v>
      </c>
      <c r="J7" s="14"/>
      <c r="K7" s="14"/>
      <c r="L7" s="13"/>
      <c r="M7" s="16">
        <f t="shared" ca="1" si="0"/>
        <v>1332.8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1332.8</v>
      </c>
      <c r="S7" s="16">
        <f t="shared" ca="1" si="2"/>
        <v>1332.8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21658</v>
      </c>
      <c r="J8" s="14"/>
      <c r="K8" s="14"/>
      <c r="L8" s="13"/>
      <c r="M8" s="16">
        <f t="shared" ca="1" si="0"/>
        <v>21658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21658</v>
      </c>
      <c r="S8" s="16">
        <f t="shared" ca="1" si="2"/>
        <v>21658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24515.422255098252</v>
      </c>
      <c r="K9" s="14">
        <f ca="1">R11/K19</f>
        <v>29813.817744901749</v>
      </c>
      <c r="L9" s="13"/>
      <c r="M9" s="16">
        <f t="shared" ca="1" si="0"/>
        <v>54329.240000000005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14966.56</v>
      </c>
      <c r="Q9" s="13" cm="1">
        <f t="array" aca="1" ref="Q9" ca="1">-INDIRECT("'data'!$S$" &amp; $A$1)*parameters!$B$15</f>
        <v>-382.2</v>
      </c>
      <c r="R9" s="16">
        <f ca="1">SUM(R6:R8)</f>
        <v>68913.600000000006</v>
      </c>
      <c r="S9" s="16">
        <f t="shared" ca="1" si="2"/>
        <v>68913.600000000006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18926.740000000002</v>
      </c>
      <c r="M10" s="16">
        <f t="shared" ca="1" si="0"/>
        <v>18926.740000000002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4345.32</v>
      </c>
      <c r="Q10" s="13" cm="1">
        <f t="array" aca="1" ref="Q10" ca="1">-INDIRECT("'data'!$V$" &amp; $A$1)*parameters!$B$15</f>
        <v>-1541.54</v>
      </c>
      <c r="R10" s="16" cm="1">
        <f t="array" aca="1" ref="R10" ca="1">INDIRECT("'data'!$T$" &amp; $A$1)*parameters!$B$15</f>
        <v>21730.52</v>
      </c>
      <c r="S10" s="16">
        <f t="shared" ca="1" si="2"/>
        <v>21730.52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22645.208506401137</v>
      </c>
      <c r="M11" s="16">
        <f t="shared" ca="1" si="0"/>
        <v>22645.208506401137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7478.38</v>
      </c>
      <c r="Q11" s="13" cm="1">
        <f t="array" aca="1" ref="Q11" ca="1">-INDIRECT("'data'!$Y$" &amp; $A$1)*parameters!$B$15</f>
        <v>-3696.56</v>
      </c>
      <c r="R11" s="16" cm="1">
        <f t="array" aca="1" ref="R11" ca="1">INDIRECT("'data'!$W$" &amp; $A$1)*parameters!$B$15</f>
        <v>26427.028506401137</v>
      </c>
      <c r="S11" s="16">
        <f t="shared" ca="1" si="2"/>
        <v>26427.028506401137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43404.734915504981</v>
      </c>
      <c r="O12" s="19"/>
      <c r="P12" s="21" cm="1">
        <f t="array" aca="1" ref="P12" ca="1">INDIRECT("'data'!$Z$" &amp; $A$1)*parameters!$B$15</f>
        <v>2449.02</v>
      </c>
      <c r="Q12" s="27" cm="1">
        <f t="array" aca="1" ref="Q12" ca="1">-INDIRECT("'data'!$AA$" &amp; $A$1)*parameters!$B$15</f>
        <v>-8587.74</v>
      </c>
      <c r="R12" s="16">
        <f ca="1">L10*parameters!$B$10+L11*parameters!$B$11</f>
        <v>37266.01491550498</v>
      </c>
      <c r="S12" s="16">
        <f t="shared" ref="S12:S18" ca="1" si="4">SUM(M12:Q12)</f>
        <v>37266.01491550498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-306.00283033108281</v>
      </c>
      <c r="D13" s="9">
        <f ca="1">-(D18-R4)</f>
        <v>-46.836952802656924</v>
      </c>
      <c r="E13" s="9">
        <f ca="1">-(E18-R5)</f>
        <v>-3413.9048088692507</v>
      </c>
      <c r="F13" s="9">
        <f ca="1">-(F18-R6)</f>
        <v>-3035.4089552238802</v>
      </c>
      <c r="G13" s="9">
        <f ca="1">-(G18-R7)</f>
        <v>-88.095522388059862</v>
      </c>
      <c r="H13" s="9">
        <f ca="1">-(H18-R8)</f>
        <v>-973.1389759665617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-7863.3880455814924</v>
      </c>
      <c r="N13" s="17"/>
      <c r="O13" s="17"/>
      <c r="P13" s="10"/>
      <c r="Q13" s="12"/>
      <c r="R13" s="9">
        <f t="shared" ref="R13:R18" ca="1" si="6">SUM(M13:Q13)</f>
        <v>-7863.3880455814924</v>
      </c>
      <c r="S13" s="17">
        <f t="shared" ca="1" si="4"/>
        <v>-7863.3880455814924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-2784.9022550982518</v>
      </c>
      <c r="K14" s="14">
        <f ca="1">-(K18-R11)</f>
        <v>-3386.7892385006126</v>
      </c>
      <c r="L14" s="13">
        <f ca="1">-(L18-R12)</f>
        <v>-4305.9335908961584</v>
      </c>
      <c r="M14" s="14">
        <f t="shared" ca="1" si="5"/>
        <v>-10477.625084495023</v>
      </c>
      <c r="N14" s="16">
        <f ca="1">-E16</f>
        <v>-20557.873177952722</v>
      </c>
      <c r="O14" s="16"/>
      <c r="P14" s="11"/>
      <c r="Q14" s="13"/>
      <c r="R14" s="14">
        <f t="shared" ca="1" si="6"/>
        <v>-31035.498262447745</v>
      </c>
      <c r="S14" s="16">
        <f t="shared" ca="1" si="4"/>
        <v>-31035.498262447745</v>
      </c>
    </row>
    <row r="15" spans="1:21">
      <c r="A15" s="18" t="s">
        <v>79</v>
      </c>
      <c r="B15" s="11"/>
      <c r="C15" s="14"/>
      <c r="D15" s="14"/>
      <c r="E15" s="14">
        <f ca="1">-(J14+K14)-L14</f>
        <v>10477.625084495023</v>
      </c>
      <c r="F15" s="14"/>
      <c r="G15" s="14"/>
      <c r="H15" s="14"/>
      <c r="I15" s="14"/>
      <c r="J15" s="14"/>
      <c r="K15" s="14"/>
      <c r="L15" s="13"/>
      <c r="M15" s="14">
        <f t="shared" ca="1" si="5"/>
        <v>10477.625084495023</v>
      </c>
      <c r="N15" s="16"/>
      <c r="O15" s="16"/>
      <c r="P15" s="11"/>
      <c r="Q15" s="13"/>
      <c r="R15" s="14">
        <f t="shared" ca="1" si="6"/>
        <v>10477.625084495023</v>
      </c>
      <c r="S15" s="16">
        <f t="shared" ca="1" si="4"/>
        <v>10477.625084495023</v>
      </c>
    </row>
    <row r="16" spans="1:21">
      <c r="A16" s="18" t="s">
        <v>80</v>
      </c>
      <c r="B16" s="11"/>
      <c r="C16" s="14"/>
      <c r="D16" s="14"/>
      <c r="E16" s="14">
        <f ca="1">E18-E15</f>
        <v>20557.873177952722</v>
      </c>
      <c r="F16" s="14"/>
      <c r="G16" s="14"/>
      <c r="H16" s="14"/>
      <c r="I16" s="14"/>
      <c r="J16" s="14"/>
      <c r="K16" s="14"/>
      <c r="L16" s="13"/>
      <c r="M16" s="14">
        <f t="shared" ca="1" si="5"/>
        <v>20557.873177952722</v>
      </c>
      <c r="N16" s="16"/>
      <c r="O16" s="16"/>
      <c r="P16" s="11"/>
      <c r="Q16" s="13"/>
      <c r="R16" s="14">
        <f t="shared" ca="1" si="6"/>
        <v>20557.873177952722</v>
      </c>
      <c r="S16" s="16">
        <f t="shared" ca="1" si="4"/>
        <v>20557.873177952722</v>
      </c>
    </row>
    <row r="17" spans="1:19">
      <c r="A17" s="30" t="s">
        <v>90</v>
      </c>
      <c r="B17" s="21">
        <f ca="1">R2</f>
        <v>64287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64287</v>
      </c>
      <c r="N17" s="19"/>
      <c r="O17" s="19"/>
      <c r="P17" s="21"/>
      <c r="Q17" s="27"/>
      <c r="R17" s="22">
        <f t="shared" ca="1" si="6"/>
        <v>64287</v>
      </c>
      <c r="S17" s="19">
        <f t="shared" ca="1" si="4"/>
        <v>64287</v>
      </c>
    </row>
    <row r="18" spans="1:19">
      <c r="A18" s="29" t="s">
        <v>89</v>
      </c>
      <c r="B18" s="9">
        <f ca="1">B17</f>
        <v>64287</v>
      </c>
      <c r="C18" s="9">
        <f ca="1">SUM(C$2:C$12)</f>
        <v>48571.877830331083</v>
      </c>
      <c r="D18" s="9">
        <f ca="1">SUM(D$2:D$12)</f>
        <v>7434.4369528026573</v>
      </c>
      <c r="E18" s="9">
        <f ca="1">$R$5/parameters!$B$4</f>
        <v>31035.498262447745</v>
      </c>
      <c r="F18" s="9">
        <f t="shared" ref="F18:L18" ca="1" si="7">SUM(F$2:F$12)</f>
        <v>48958.208955223876</v>
      </c>
      <c r="G18" s="9">
        <f t="shared" ca="1" si="7"/>
        <v>1420.8955223880598</v>
      </c>
      <c r="H18" s="9">
        <f t="shared" ca="1" si="7"/>
        <v>22631.138975966562</v>
      </c>
      <c r="I18" s="9">
        <f t="shared" ca="1" si="7"/>
        <v>68913.600000000006</v>
      </c>
      <c r="J18" s="9">
        <f t="shared" ca="1" si="7"/>
        <v>24515.422255098252</v>
      </c>
      <c r="K18" s="9">
        <f t="shared" ca="1" si="7"/>
        <v>29813.817744901749</v>
      </c>
      <c r="L18" s="9">
        <f t="shared" ca="1" si="7"/>
        <v>41571.948506401139</v>
      </c>
      <c r="M18" s="17">
        <f ca="1">SUM(B18:L18)</f>
        <v>389153.84500556113</v>
      </c>
      <c r="N18" s="17"/>
      <c r="O18" s="17"/>
      <c r="P18" s="9"/>
      <c r="Q18" s="14"/>
      <c r="R18" s="11">
        <f t="shared" ca="1" si="6"/>
        <v>389153.84500556113</v>
      </c>
      <c r="S18" s="17">
        <f t="shared" ca="1" si="4"/>
        <v>389153.84500556113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0.8864020278288659</v>
      </c>
      <c r="K19" s="39">
        <f ca="1">J19</f>
        <v>0.8864020278288659</v>
      </c>
      <c r="L19" s="40">
        <f ca="1">1-(-L14)/L18</f>
        <v>0.89642213690721895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45192.05494616081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45192.05494616081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-45192.05494616081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40717.850746268654</v>
      </c>
      <c r="G3" s="14">
        <f ca="1">R7/parameters!$B$6</f>
        <v>0</v>
      </c>
      <c r="H3" s="14">
        <f ca="1">R3-P3-Q3-F3-G3</f>
        <v>4275.4892537313499</v>
      </c>
      <c r="I3" s="14"/>
      <c r="J3" s="14"/>
      <c r="K3" s="14"/>
      <c r="L3" s="13"/>
      <c r="M3" s="16">
        <f t="shared" ref="M3:M11" ca="1" si="0">SUM(B3:L3)</f>
        <v>44993.340000000004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73.709999999999994</v>
      </c>
      <c r="Q3" s="13" cm="1">
        <f t="array" aca="1" ref="Q3" ca="1">-INDIRECT("'data'!$I$" &amp; $A$1)*parameters!$B$13</f>
        <v>-159.70499999999998</v>
      </c>
      <c r="R3" s="16" cm="1">
        <f t="array" aca="1" ref="R3" ca="1">INDIRECT("'data'!$G$" &amp; $A$1)*parameters!$B$13</f>
        <v>44907.345000000001</v>
      </c>
      <c r="S3" s="16">
        <f t="shared" ref="S3:S11" ca="1" si="2">SUM(M3:Q3)</f>
        <v>44907.345000000001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373.52000000000004</v>
      </c>
      <c r="I4" s="14"/>
      <c r="J4" s="14"/>
      <c r="K4" s="14"/>
      <c r="L4" s="13"/>
      <c r="M4" s="16">
        <f t="shared" ca="1" si="0"/>
        <v>373.52000000000004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-373.52000000000004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10179.462686567165</v>
      </c>
      <c r="G5" s="14"/>
      <c r="H5" s="14">
        <f ca="1">R8/parameters!$B$7-(H3+H4)</f>
        <v>18349.75772641494</v>
      </c>
      <c r="I5" s="14"/>
      <c r="J5" s="14"/>
      <c r="K5" s="14"/>
      <c r="L5" s="13"/>
      <c r="M5" s="16">
        <f t="shared" ca="1" si="0"/>
        <v>28529.220412982104</v>
      </c>
      <c r="N5" s="16"/>
      <c r="O5" s="16"/>
      <c r="P5" s="11" cm="1">
        <f t="array" aca="1" ref="P5" ca="1">INDIRECT("'data'!$M$" &amp; $A$1)*parameters!$B$15</f>
        <v>221.48</v>
      </c>
      <c r="Q5" s="13" cm="1">
        <f t="array" aca="1" ref="Q5" ca="1">-INDIRECT("'data'!$N$" &amp; $A$1)*parameters!$B$15</f>
        <v>-6371.96</v>
      </c>
      <c r="R5" s="16">
        <f ca="1">SUM(M5:Q5)</f>
        <v>22378.740412982104</v>
      </c>
      <c r="S5" s="16">
        <f t="shared" ca="1" si="2"/>
        <v>22378.740412982104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47741.68</v>
      </c>
      <c r="J6" s="14"/>
      <c r="K6" s="14"/>
      <c r="L6" s="13"/>
      <c r="M6" s="16">
        <f t="shared" ca="1" si="0"/>
        <v>47741.68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47741.68</v>
      </c>
      <c r="S6" s="16">
        <f t="shared" ca="1" si="2"/>
        <v>47741.68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22009.82</v>
      </c>
      <c r="J8" s="14"/>
      <c r="K8" s="14"/>
      <c r="L8" s="13"/>
      <c r="M8" s="16">
        <f t="shared" ca="1" si="0"/>
        <v>22009.82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22009.82</v>
      </c>
      <c r="S8" s="16">
        <f t="shared" ca="1" si="2"/>
        <v>22009.82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21883.345137085569</v>
      </c>
      <c r="K9" s="14">
        <f ca="1">R11/K19</f>
        <v>49721.334862914424</v>
      </c>
      <c r="L9" s="13"/>
      <c r="M9" s="16">
        <f t="shared" ca="1" si="0"/>
        <v>71604.679999999993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335.15999999999997</v>
      </c>
      <c r="Q9" s="13" cm="1">
        <f t="array" aca="1" ref="Q9" ca="1">-INDIRECT("'data'!$S$" &amp; $A$1)*parameters!$B$15</f>
        <v>-2188.34</v>
      </c>
      <c r="R9" s="16">
        <f ca="1">SUM(R6:R8)</f>
        <v>69751.5</v>
      </c>
      <c r="S9" s="16">
        <f t="shared" ca="1" si="2"/>
        <v>69751.5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20367.34</v>
      </c>
      <c r="M10" s="16">
        <f t="shared" ca="1" si="0"/>
        <v>20367.34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3621.1</v>
      </c>
      <c r="Q10" s="13" cm="1">
        <f t="array" aca="1" ref="Q10" ca="1">-INDIRECT("'data'!$V$" &amp; $A$1)*parameters!$B$15</f>
        <v>-3988.6</v>
      </c>
      <c r="R10" s="16" cm="1">
        <f t="array" aca="1" ref="R10" ca="1">INDIRECT("'data'!$T$" &amp; $A$1)*parameters!$B$15</f>
        <v>19999.84</v>
      </c>
      <c r="S10" s="16">
        <f t="shared" ca="1" si="2"/>
        <v>19999.84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31054.426799431003</v>
      </c>
      <c r="M11" s="16">
        <f t="shared" ca="1" si="0"/>
        <v>31054.426799431003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23519.02</v>
      </c>
      <c r="Q11" s="13" cm="1">
        <f t="array" aca="1" ref="Q11" ca="1">-INDIRECT("'data'!$Y$" &amp; $A$1)*parameters!$B$15</f>
        <v>-9131.64</v>
      </c>
      <c r="R11" s="16" cm="1">
        <f t="array" aca="1" ref="R11" ca="1">INDIRECT("'data'!$W$" &amp; $A$1)*parameters!$B$15</f>
        <v>45441.806799431004</v>
      </c>
      <c r="S11" s="16">
        <f t="shared" ca="1" si="2"/>
        <v>45441.806799431004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33359.066647510663</v>
      </c>
      <c r="O12" s="19"/>
      <c r="P12" s="21" cm="1">
        <f t="array" aca="1" ref="P12" ca="1">INDIRECT("'data'!$Z$" &amp; $A$1)*parameters!$B$15</f>
        <v>17579.239999999998</v>
      </c>
      <c r="Q12" s="27" cm="1">
        <f t="array" aca="1" ref="Q12" ca="1">-INDIRECT("'data'!$AA$" &amp; $A$1)*parameters!$B$15</f>
        <v>-5086.2</v>
      </c>
      <c r="R12" s="16">
        <f ca="1">L10*parameters!$B$10+L11*parameters!$B$11</f>
        <v>45852.106647510664</v>
      </c>
      <c r="S12" s="16">
        <f t="shared" ref="S12:S18" ca="1" si="4">SUM(M12:Q12)</f>
        <v>45852.106647510664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-284.70994616080861</v>
      </c>
      <c r="D13" s="9">
        <f ca="1">-(D18-R4)</f>
        <v>0</v>
      </c>
      <c r="E13" s="9">
        <f ca="1">-(E18-R5)</f>
        <v>-2765.9117364359918</v>
      </c>
      <c r="F13" s="9">
        <f ca="1">-(F18-R6)</f>
        <v>-3155.6334328358207</v>
      </c>
      <c r="G13" s="9">
        <f ca="1">-(G18-R7)</f>
        <v>0</v>
      </c>
      <c r="H13" s="9">
        <f ca="1">-(H18-R8)</f>
        <v>-988.94698014629103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-7195.2020955789121</v>
      </c>
      <c r="N13" s="17"/>
      <c r="O13" s="17"/>
      <c r="P13" s="10"/>
      <c r="Q13" s="12"/>
      <c r="R13" s="9">
        <f t="shared" ref="R13:R18" ca="1" si="6">SUM(M13:Q13)</f>
        <v>-7195.2020955789121</v>
      </c>
      <c r="S13" s="17">
        <f t="shared" ca="1" si="4"/>
        <v>-7195.2020955789121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-1883.505137085569</v>
      </c>
      <c r="K14" s="14">
        <f ca="1">-(K18-R11)</f>
        <v>-4279.5280634834198</v>
      </c>
      <c r="L14" s="13">
        <f ca="1">-(L18-R12)</f>
        <v>-5569.6601519203396</v>
      </c>
      <c r="M14" s="14">
        <f t="shared" ca="1" si="5"/>
        <v>-11732.693352489328</v>
      </c>
      <c r="N14" s="16">
        <f ca="1">-E16</f>
        <v>-13411.958796928768</v>
      </c>
      <c r="O14" s="16"/>
      <c r="P14" s="11"/>
      <c r="Q14" s="13"/>
      <c r="R14" s="14">
        <f t="shared" ca="1" si="6"/>
        <v>-25144.652149418096</v>
      </c>
      <c r="S14" s="16">
        <f t="shared" ca="1" si="4"/>
        <v>-25144.652149418096</v>
      </c>
    </row>
    <row r="15" spans="1:21">
      <c r="A15" s="18" t="s">
        <v>79</v>
      </c>
      <c r="B15" s="11"/>
      <c r="C15" s="14"/>
      <c r="D15" s="14"/>
      <c r="E15" s="14">
        <f ca="1">-(J14+K14)-L14</f>
        <v>11732.693352489328</v>
      </c>
      <c r="F15" s="14"/>
      <c r="G15" s="14"/>
      <c r="H15" s="14"/>
      <c r="I15" s="14"/>
      <c r="J15" s="14"/>
      <c r="K15" s="14"/>
      <c r="L15" s="13"/>
      <c r="M15" s="14">
        <f t="shared" ca="1" si="5"/>
        <v>11732.693352489328</v>
      </c>
      <c r="N15" s="16"/>
      <c r="O15" s="16"/>
      <c r="P15" s="11"/>
      <c r="Q15" s="13"/>
      <c r="R15" s="14">
        <f t="shared" ca="1" si="6"/>
        <v>11732.693352489328</v>
      </c>
      <c r="S15" s="16">
        <f t="shared" ca="1" si="4"/>
        <v>11732.693352489328</v>
      </c>
    </row>
    <row r="16" spans="1:21">
      <c r="A16" s="18" t="s">
        <v>80</v>
      </c>
      <c r="B16" s="11"/>
      <c r="C16" s="14"/>
      <c r="D16" s="14"/>
      <c r="E16" s="14">
        <f ca="1">E18-E15</f>
        <v>13411.958796928768</v>
      </c>
      <c r="F16" s="14"/>
      <c r="G16" s="14"/>
      <c r="H16" s="14"/>
      <c r="I16" s="14"/>
      <c r="J16" s="14"/>
      <c r="K16" s="14"/>
      <c r="L16" s="13"/>
      <c r="M16" s="14">
        <f t="shared" ca="1" si="5"/>
        <v>13411.958796928768</v>
      </c>
      <c r="N16" s="16"/>
      <c r="O16" s="16"/>
      <c r="P16" s="11"/>
      <c r="Q16" s="13"/>
      <c r="R16" s="14">
        <f t="shared" ca="1" si="6"/>
        <v>13411.958796928768</v>
      </c>
      <c r="S16" s="16">
        <f t="shared" ca="1" si="4"/>
        <v>13411.958796928768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45192.05494616081</v>
      </c>
      <c r="D18" s="9">
        <f ca="1">SUM(D$2:D$12)</f>
        <v>0</v>
      </c>
      <c r="E18" s="9">
        <f ca="1">$R$5/parameters!$B$4</f>
        <v>25144.652149418096</v>
      </c>
      <c r="F18" s="9">
        <f t="shared" ref="F18:L18" ca="1" si="7">SUM(F$2:F$12)</f>
        <v>50897.313432835821</v>
      </c>
      <c r="G18" s="9">
        <f t="shared" ca="1" si="7"/>
        <v>0</v>
      </c>
      <c r="H18" s="9">
        <f t="shared" ca="1" si="7"/>
        <v>22998.766980146291</v>
      </c>
      <c r="I18" s="9">
        <f t="shared" ca="1" si="7"/>
        <v>69751.5</v>
      </c>
      <c r="J18" s="9">
        <f t="shared" ca="1" si="7"/>
        <v>21883.345137085569</v>
      </c>
      <c r="K18" s="9">
        <f t="shared" ca="1" si="7"/>
        <v>49721.334862914424</v>
      </c>
      <c r="L18" s="9">
        <f t="shared" ca="1" si="7"/>
        <v>51421.766799431003</v>
      </c>
      <c r="M18" s="17">
        <f ca="1">SUM(B18:L18)</f>
        <v>337010.73430799198</v>
      </c>
      <c r="N18" s="17"/>
      <c r="O18" s="17"/>
      <c r="P18" s="9"/>
      <c r="Q18" s="14"/>
      <c r="R18" s="11">
        <f t="shared" ca="1" si="6"/>
        <v>337010.73430799198</v>
      </c>
      <c r="S18" s="17">
        <f t="shared" ca="1" si="4"/>
        <v>337010.73430799198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0.91392974313174802</v>
      </c>
      <c r="K19" s="39">
        <f ca="1">J19</f>
        <v>0.91392974313174802</v>
      </c>
      <c r="L19" s="40">
        <f ca="1">1-(-L14)/L18</f>
        <v>0.89168672142976679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24269.296568380796</v>
      </c>
      <c r="D2" s="9">
        <f ca="1">R4/parameters!$B$3</f>
        <v>435.14139076179936</v>
      </c>
      <c r="E2" s="9"/>
      <c r="F2" s="9"/>
      <c r="G2" s="9"/>
      <c r="H2" s="9"/>
      <c r="I2" s="9"/>
      <c r="J2" s="9"/>
      <c r="K2" s="9"/>
      <c r="L2" s="12"/>
      <c r="M2" s="17">
        <f ca="1">SUM(B2:L2)</f>
        <v>24704.437959142597</v>
      </c>
      <c r="N2" s="17"/>
      <c r="O2" s="16">
        <v>0</v>
      </c>
      <c r="P2" s="11" cm="1">
        <f t="array" aca="1" ref="P2" ca="1">INDIRECT("'data'!$F$" &amp; $A$1)</f>
        <v>280.15000000000003</v>
      </c>
      <c r="Q2" s="13">
        <f ca="1">IF(-(M2-R2+P2)&lt;0, -(M2-R2+P2), 0)</f>
        <v>-24984.587959142598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23170.626865671646</v>
      </c>
      <c r="G3" s="14">
        <f ca="1">R7/parameters!$B$6</f>
        <v>0</v>
      </c>
      <c r="H3" s="14">
        <f ca="1">R3-P3-Q3-F3-G3</f>
        <v>1169.7381343283523</v>
      </c>
      <c r="I3" s="14"/>
      <c r="J3" s="14"/>
      <c r="K3" s="14"/>
      <c r="L3" s="13"/>
      <c r="M3" s="16">
        <f t="shared" ref="M3:M11" ca="1" si="0">SUM(B3:L3)</f>
        <v>24340.364999999998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180.495</v>
      </c>
      <c r="Q3" s="13" cm="1">
        <f t="array" aca="1" ref="Q3" ca="1">-INDIRECT("'data'!$I$" &amp; $A$1)*parameters!$B$13</f>
        <v>-404.46</v>
      </c>
      <c r="R3" s="16" cm="1">
        <f t="array" aca="1" ref="R3" ca="1">INDIRECT("'data'!$G$" &amp; $A$1)*parameters!$B$13</f>
        <v>24116.399999999998</v>
      </c>
      <c r="S3" s="16">
        <f t="shared" ref="S3:S11" ca="1" si="2">SUM(M3:Q3)</f>
        <v>24116.399999999998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1138.04</v>
      </c>
      <c r="I4" s="14"/>
      <c r="J4" s="14"/>
      <c r="K4" s="14"/>
      <c r="L4" s="13"/>
      <c r="M4" s="16">
        <f t="shared" ca="1" si="0"/>
        <v>1138.04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-705.64</v>
      </c>
      <c r="R4" s="16" cm="1">
        <f t="array" aca="1" ref="R4" ca="1">INDIRECT("'data'!$J$" &amp; $A$1)*parameters!$B$14</f>
        <v>432.40000000000003</v>
      </c>
      <c r="S4" s="16">
        <f t="shared" ca="1" si="2"/>
        <v>432.4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5792.6567164179114</v>
      </c>
      <c r="G5" s="14"/>
      <c r="H5" s="14">
        <f ca="1">R8/parameters!$B$7-(H3+H4)</f>
        <v>9881.2918761209694</v>
      </c>
      <c r="I5" s="14"/>
      <c r="J5" s="14"/>
      <c r="K5" s="14"/>
      <c r="L5" s="13"/>
      <c r="M5" s="16">
        <f t="shared" ca="1" si="0"/>
        <v>15673.94859253888</v>
      </c>
      <c r="N5" s="16"/>
      <c r="O5" s="16"/>
      <c r="P5" s="11" cm="1">
        <f t="array" aca="1" ref="P5" ca="1">INDIRECT("'data'!$M$" &amp; $A$1)*parameters!$B$15</f>
        <v>7781.2</v>
      </c>
      <c r="Q5" s="13" cm="1">
        <f t="array" aca="1" ref="Q5" ca="1">-INDIRECT("'data'!$N$" &amp; $A$1)*parameters!$B$15</f>
        <v>-3910.2</v>
      </c>
      <c r="R5" s="16">
        <f ca="1">SUM(M5:Q5)</f>
        <v>19544.94859253888</v>
      </c>
      <c r="S5" s="16">
        <f t="shared" ca="1" si="2"/>
        <v>19544.94859253888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27167.56</v>
      </c>
      <c r="J6" s="14"/>
      <c r="K6" s="14"/>
      <c r="L6" s="13"/>
      <c r="M6" s="16">
        <f t="shared" ca="1" si="0"/>
        <v>27167.56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27167.56</v>
      </c>
      <c r="S6" s="16">
        <f t="shared" ca="1" si="2"/>
        <v>27167.56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11664.94</v>
      </c>
      <c r="J8" s="14"/>
      <c r="K8" s="14"/>
      <c r="L8" s="13"/>
      <c r="M8" s="16">
        <f t="shared" ca="1" si="0"/>
        <v>11664.94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11664.94</v>
      </c>
      <c r="S8" s="16">
        <f t="shared" ca="1" si="2"/>
        <v>11664.94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14392.504107094899</v>
      </c>
      <c r="K9" s="14">
        <f ca="1">R11/K19</f>
        <v>23981.355892905103</v>
      </c>
      <c r="L9" s="13"/>
      <c r="M9" s="16">
        <f t="shared" ca="1" si="0"/>
        <v>38373.86</v>
      </c>
      <c r="N9" s="16"/>
      <c r="O9" s="16">
        <f t="shared" ca="1" si="3"/>
        <v>0</v>
      </c>
      <c r="P9" s="11" cm="1">
        <f t="array" aca="1" ref="P9" ca="1">INDIRECT("'data'!$R$" &amp; $A$1)*parameters!$B$15</f>
        <v>1455.3</v>
      </c>
      <c r="Q9" s="13" cm="1">
        <f t="array" aca="1" ref="Q9" ca="1">-INDIRECT("'data'!$S$" &amp; $A$1)*parameters!$B$15</f>
        <v>-996.66</v>
      </c>
      <c r="R9" s="16">
        <f ca="1">SUM(R6:R8)</f>
        <v>38832.5</v>
      </c>
      <c r="S9" s="16">
        <f t="shared" ca="1" si="2"/>
        <v>38832.5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12865.44</v>
      </c>
      <c r="M10" s="16">
        <f t="shared" ca="1" si="0"/>
        <v>12865.44</v>
      </c>
      <c r="N10" s="16"/>
      <c r="O10" s="16">
        <f t="shared" ca="1" si="3"/>
        <v>0</v>
      </c>
      <c r="P10" s="11" cm="1">
        <f t="array" aca="1" ref="P10" ca="1">INDIRECT("'data'!$U$" &amp; $A$1)*parameters!$B$15</f>
        <v>6269.0599999999995</v>
      </c>
      <c r="Q10" s="13" cm="1">
        <f t="array" aca="1" ref="Q10" ca="1">-INDIRECT("'data'!$V$" &amp; $A$1)*parameters!$B$15</f>
        <v>-6362.16</v>
      </c>
      <c r="R10" s="16" cm="1">
        <f t="array" aca="1" ref="R10" ca="1">INDIRECT("'data'!$T$" &amp; $A$1)*parameters!$B$15</f>
        <v>12772.34</v>
      </c>
      <c r="S10" s="16">
        <f t="shared" ca="1" si="2"/>
        <v>12772.34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20716.314793741109</v>
      </c>
      <c r="M11" s="16">
        <f t="shared" ca="1" si="0"/>
        <v>20716.314793741109</v>
      </c>
      <c r="N11" s="16"/>
      <c r="O11" s="16">
        <f t="shared" ca="1" si="3"/>
        <v>0</v>
      </c>
      <c r="P11" s="11" cm="1">
        <f t="array" aca="1" ref="P11" ca="1">INDIRECT("'data'!$X$" &amp; $A$1)*parameters!$B$15</f>
        <v>13463.24</v>
      </c>
      <c r="Q11" s="13" cm="1">
        <f t="array" aca="1" ref="Q11" ca="1">-INDIRECT("'data'!$Y$" &amp; $A$1)*parameters!$B$15</f>
        <v>-12897.78</v>
      </c>
      <c r="R11" s="16" cm="1">
        <f t="array" aca="1" ref="R11" ca="1">INDIRECT("'data'!$W$" &amp; $A$1)*parameters!$B$15</f>
        <v>21281.774793741108</v>
      </c>
      <c r="S11" s="16">
        <f t="shared" ca="1" si="2"/>
        <v>21281.774793741111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22830.024322617352</v>
      </c>
      <c r="O12" s="19"/>
      <c r="P12" s="21" cm="1">
        <f t="array" aca="1" ref="P12" ca="1">INDIRECT("'data'!$Z$" &amp; $A$1)*parameters!$B$15</f>
        <v>32241.02</v>
      </c>
      <c r="Q12" s="27" cm="1">
        <f t="array" aca="1" ref="Q12" ca="1">-INDIRECT("'data'!$AA$" &amp; $A$1)*parameters!$B$15</f>
        <v>-25161.5</v>
      </c>
      <c r="R12" s="16">
        <f ca="1">L10*parameters!$B$10+L11*parameters!$B$11</f>
        <v>29909.544322617352</v>
      </c>
      <c r="S12" s="16">
        <f t="shared" ref="S12:S18" ca="1" si="4">SUM(M12:Q12)</f>
        <v>29909.544322617352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-152.89656838079827</v>
      </c>
      <c r="D13" s="9">
        <f ca="1">-(D18-R4)</f>
        <v>-2.7413907617993232</v>
      </c>
      <c r="E13" s="9">
        <f ca="1">-(E18-R5)</f>
        <v>-2415.6678035722216</v>
      </c>
      <c r="F13" s="9">
        <f ca="1">-(F18-R6)</f>
        <v>-1795.7235820895548</v>
      </c>
      <c r="G13" s="9">
        <f ca="1">-(G18-R7)</f>
        <v>0</v>
      </c>
      <c r="H13" s="9">
        <f ca="1">-(H18-R8)</f>
        <v>-524.13001044932207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-4891.159355253696</v>
      </c>
      <c r="N13" s="17"/>
      <c r="O13" s="17"/>
      <c r="P13" s="10"/>
      <c r="Q13" s="12"/>
      <c r="R13" s="9">
        <f t="shared" ref="R13:R18" ca="1" si="6">SUM(M13:Q13)</f>
        <v>-4891.159355253696</v>
      </c>
      <c r="S13" s="17">
        <f t="shared" ca="1" si="4"/>
        <v>-4891.159355253696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-1620.164107094899</v>
      </c>
      <c r="K14" s="14">
        <f ca="1">-(K18-R11)</f>
        <v>-2699.5810991639955</v>
      </c>
      <c r="L14" s="13">
        <f ca="1">-(L18-R12)</f>
        <v>-3672.2104711237553</v>
      </c>
      <c r="M14" s="14">
        <f t="shared" ca="1" si="5"/>
        <v>-7991.9556773826498</v>
      </c>
      <c r="N14" s="16">
        <f ca="1">-E16</f>
        <v>-13968.660718728452</v>
      </c>
      <c r="O14" s="16"/>
      <c r="P14" s="11"/>
      <c r="Q14" s="13"/>
      <c r="R14" s="14">
        <f t="shared" ca="1" si="6"/>
        <v>-21960.616396111101</v>
      </c>
      <c r="S14" s="16">
        <f t="shared" ca="1" si="4"/>
        <v>-21960.616396111101</v>
      </c>
    </row>
    <row r="15" spans="1:21">
      <c r="A15" s="18" t="s">
        <v>79</v>
      </c>
      <c r="B15" s="11"/>
      <c r="C15" s="14"/>
      <c r="D15" s="14"/>
      <c r="E15" s="14">
        <f ca="1">-(J14+K14)-L14</f>
        <v>7991.9556773826498</v>
      </c>
      <c r="F15" s="14"/>
      <c r="G15" s="14"/>
      <c r="H15" s="14"/>
      <c r="I15" s="14"/>
      <c r="J15" s="14"/>
      <c r="K15" s="14"/>
      <c r="L15" s="13"/>
      <c r="M15" s="14">
        <f t="shared" ca="1" si="5"/>
        <v>7991.9556773826498</v>
      </c>
      <c r="N15" s="16"/>
      <c r="O15" s="16"/>
      <c r="P15" s="11"/>
      <c r="Q15" s="13"/>
      <c r="R15" s="14">
        <f t="shared" ca="1" si="6"/>
        <v>7991.9556773826498</v>
      </c>
      <c r="S15" s="16">
        <f t="shared" ca="1" si="4"/>
        <v>7991.9556773826498</v>
      </c>
    </row>
    <row r="16" spans="1:21">
      <c r="A16" s="18" t="s">
        <v>80</v>
      </c>
      <c r="B16" s="11"/>
      <c r="C16" s="14"/>
      <c r="D16" s="14"/>
      <c r="E16" s="14">
        <f ca="1">E18-E15</f>
        <v>13968.660718728452</v>
      </c>
      <c r="F16" s="14"/>
      <c r="G16" s="14"/>
      <c r="H16" s="14"/>
      <c r="I16" s="14"/>
      <c r="J16" s="14"/>
      <c r="K16" s="14"/>
      <c r="L16" s="13"/>
      <c r="M16" s="14">
        <f t="shared" ca="1" si="5"/>
        <v>13968.660718728452</v>
      </c>
      <c r="N16" s="16"/>
      <c r="O16" s="16"/>
      <c r="P16" s="11"/>
      <c r="Q16" s="13"/>
      <c r="R16" s="14">
        <f t="shared" ca="1" si="6"/>
        <v>13968.660718728452</v>
      </c>
      <c r="S16" s="16">
        <f t="shared" ca="1" si="4"/>
        <v>13968.660718728452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24269.296568380796</v>
      </c>
      <c r="D18" s="9">
        <f ca="1">SUM(D$2:D$12)</f>
        <v>435.14139076179936</v>
      </c>
      <c r="E18" s="9">
        <f ca="1">$R$5/parameters!$B$4</f>
        <v>21960.616396111101</v>
      </c>
      <c r="F18" s="9">
        <f t="shared" ref="F18:L18" ca="1" si="7">SUM(F$2:F$12)</f>
        <v>28963.283582089556</v>
      </c>
      <c r="G18" s="9">
        <f t="shared" ca="1" si="7"/>
        <v>0</v>
      </c>
      <c r="H18" s="9">
        <f t="shared" ca="1" si="7"/>
        <v>12189.070010449323</v>
      </c>
      <c r="I18" s="9">
        <f t="shared" ca="1" si="7"/>
        <v>38832.5</v>
      </c>
      <c r="J18" s="9">
        <f t="shared" ca="1" si="7"/>
        <v>14392.504107094899</v>
      </c>
      <c r="K18" s="9">
        <f t="shared" ca="1" si="7"/>
        <v>23981.355892905103</v>
      </c>
      <c r="L18" s="9">
        <f t="shared" ca="1" si="7"/>
        <v>33581.754793741107</v>
      </c>
      <c r="M18" s="17">
        <f ca="1">SUM(B18:L18)</f>
        <v>198605.52274153367</v>
      </c>
      <c r="N18" s="17"/>
      <c r="O18" s="17"/>
      <c r="P18" s="9"/>
      <c r="Q18" s="14"/>
      <c r="R18" s="11">
        <f t="shared" ca="1" si="6"/>
        <v>198605.52274153367</v>
      </c>
      <c r="S18" s="17">
        <f t="shared" ca="1" si="4"/>
        <v>198605.52274153367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0.88743000557517815</v>
      </c>
      <c r="K19" s="39">
        <f ca="1">J19</f>
        <v>0.88743000557517815</v>
      </c>
      <c r="L19" s="40">
        <f ca="1">1-(-L14)/L18</f>
        <v>0.89064864258349674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9385.3325953507083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9385.3325953507083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-275.33259535070829</v>
      </c>
      <c r="R2" s="17" cm="1">
        <f t="array" aca="1" ref="R2" ca="1">INDIRECT("'data'!$D$" &amp; $A$1)</f>
        <v>9110</v>
      </c>
      <c r="S2" s="17">
        <f ca="1">SUM(M2:Q2)</f>
        <v>9110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9076.1791044776128</v>
      </c>
      <c r="G3" s="14">
        <f ca="1">R7/parameters!$B$6</f>
        <v>0</v>
      </c>
      <c r="H3" s="14">
        <f ca="1">R3-P3-Q3-F3-G3</f>
        <v>1412.3758955223875</v>
      </c>
      <c r="I3" s="14"/>
      <c r="J3" s="14"/>
      <c r="K3" s="14"/>
      <c r="L3" s="13"/>
      <c r="M3" s="16">
        <f t="shared" ref="M3:M11" ca="1" si="0">SUM(B3:L3)</f>
        <v>10488.555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-1164.24</v>
      </c>
      <c r="R3" s="16" cm="1">
        <f t="array" aca="1" ref="R3" ca="1">INDIRECT("'data'!$G$" &amp; $A$1)*parameters!$B$13</f>
        <v>9326.2049999999999</v>
      </c>
      <c r="S3" s="16">
        <f t="shared" ref="S3:S11" ca="1" si="2">SUM(M3:Q3)</f>
        <v>9326.2049999999999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366.16</v>
      </c>
      <c r="I4" s="14"/>
      <c r="J4" s="14"/>
      <c r="K4" s="14"/>
      <c r="L4" s="13"/>
      <c r="M4" s="16">
        <f t="shared" ca="1" si="0"/>
        <v>366.16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-366.16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2269.0447761194032</v>
      </c>
      <c r="G5" s="14"/>
      <c r="H5" s="14">
        <f ca="1">R8/parameters!$B$7-(H3+H4)</f>
        <v>21655.445295700181</v>
      </c>
      <c r="I5" s="14"/>
      <c r="J5" s="14"/>
      <c r="K5" s="14"/>
      <c r="L5" s="13"/>
      <c r="M5" s="16">
        <f t="shared" ca="1" si="0"/>
        <v>23924.490071819586</v>
      </c>
      <c r="N5" s="16"/>
      <c r="O5" s="16"/>
      <c r="P5" s="11" cm="1">
        <f t="array" aca="1" ref="P5" ca="1">INDIRECT("'data'!$M$" &amp; $A$1)*parameters!$B$15</f>
        <v>148.96</v>
      </c>
      <c r="Q5" s="13" cm="1">
        <f t="array" aca="1" ref="Q5" ca="1">-INDIRECT("'data'!$N$" &amp; $A$1)*parameters!$B$15</f>
        <v>-18434.78</v>
      </c>
      <c r="R5" s="16">
        <f ca="1">SUM(M5:Q5)</f>
        <v>5638.6700718195862</v>
      </c>
      <c r="S5" s="16">
        <f t="shared" ca="1" si="2"/>
        <v>5638.6700718195862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10641.82</v>
      </c>
      <c r="J6" s="14"/>
      <c r="K6" s="14"/>
      <c r="L6" s="13"/>
      <c r="M6" s="16">
        <f t="shared" ca="1" si="0"/>
        <v>10641.82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10641.82</v>
      </c>
      <c r="S6" s="16">
        <f t="shared" ca="1" si="2"/>
        <v>10641.82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22426.32</v>
      </c>
      <c r="J8" s="14"/>
      <c r="K8" s="14"/>
      <c r="L8" s="13"/>
      <c r="M8" s="16">
        <f t="shared" ca="1" si="0"/>
        <v>22426.32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22426.32</v>
      </c>
      <c r="S8" s="16">
        <f t="shared" ca="1" si="2"/>
        <v>22426.32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21300.852591203409</v>
      </c>
      <c r="K9" s="14">
        <f ca="1">R11/K19</f>
        <v>13795.887408796589</v>
      </c>
      <c r="L9" s="13"/>
      <c r="M9" s="16">
        <f t="shared" ca="1" si="0"/>
        <v>35096.74</v>
      </c>
      <c r="N9" s="16"/>
      <c r="O9" s="16">
        <f t="shared" ca="1" si="3"/>
        <v>0</v>
      </c>
      <c r="P9" s="11" cm="1">
        <f t="array" aca="1" ref="P9" ca="1">INDIRECT("'data'!$R$" &amp; $A$1)*parameters!$B$15</f>
        <v>1309.28</v>
      </c>
      <c r="Q9" s="13" cm="1">
        <f t="array" aca="1" ref="Q9" ca="1">-INDIRECT("'data'!$S$" &amp; $A$1)*parameters!$B$15</f>
        <v>-3337.88</v>
      </c>
      <c r="R9" s="16">
        <f ca="1">SUM(R6:R8)</f>
        <v>33068.14</v>
      </c>
      <c r="S9" s="16">
        <f t="shared" ca="1" si="2"/>
        <v>33068.14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10539.9</v>
      </c>
      <c r="M10" s="16">
        <f t="shared" ca="1" si="0"/>
        <v>10539.9</v>
      </c>
      <c r="N10" s="16"/>
      <c r="O10" s="16">
        <f t="shared" ca="1" si="3"/>
        <v>0</v>
      </c>
      <c r="P10" s="11" cm="1">
        <f t="array" aca="1" ref="P10" ca="1">INDIRECT("'data'!$U$" &amp; $A$1)*parameters!$B$15</f>
        <v>10342.92</v>
      </c>
      <c r="Q10" s="13" cm="1">
        <f t="array" aca="1" ref="Q10" ca="1">-INDIRECT("'data'!$V$" &amp; $A$1)*parameters!$B$15</f>
        <v>-1054.48</v>
      </c>
      <c r="R10" s="16" cm="1">
        <f t="array" aca="1" ref="R10" ca="1">INDIRECT("'data'!$T$" &amp; $A$1)*parameters!$B$15</f>
        <v>19828.34</v>
      </c>
      <c r="S10" s="16">
        <f t="shared" ca="1" si="2"/>
        <v>19828.34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14539.547652916073</v>
      </c>
      <c r="M11" s="16">
        <f t="shared" ca="1" si="0"/>
        <v>14539.547652916073</v>
      </c>
      <c r="N11" s="16"/>
      <c r="O11" s="16">
        <f t="shared" ca="1" si="3"/>
        <v>0</v>
      </c>
      <c r="P11" s="11" cm="1">
        <f t="array" aca="1" ref="P11" ca="1">INDIRECT("'data'!$X$" &amp; $A$1)*parameters!$B$15</f>
        <v>5632.0599999999995</v>
      </c>
      <c r="Q11" s="13" cm="1">
        <f t="array" aca="1" ref="Q11" ca="1">-INDIRECT("'data'!$Y$" &amp; $A$1)*parameters!$B$15</f>
        <v>-7329.42</v>
      </c>
      <c r="R11" s="16" cm="1">
        <f t="array" aca="1" ref="R11" ca="1">INDIRECT("'data'!$W$" &amp; $A$1)*parameters!$B$15</f>
        <v>12842.187652916073</v>
      </c>
      <c r="S11" s="16">
        <f t="shared" ca="1" si="2"/>
        <v>12842.187652916071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17100.896981507824</v>
      </c>
      <c r="O12" s="19"/>
      <c r="P12" s="21" cm="1">
        <f t="array" aca="1" ref="P12" ca="1">INDIRECT("'data'!$Z$" &amp; $A$1)*parameters!$B$15</f>
        <v>8474.06</v>
      </c>
      <c r="Q12" s="27" cm="1">
        <f t="array" aca="1" ref="Q12" ca="1">-INDIRECT("'data'!$AA$" &amp; $A$1)*parameters!$B$15</f>
        <v>-3163.44</v>
      </c>
      <c r="R12" s="16">
        <f ca="1">L10*parameters!$B$10+L11*parameters!$B$11</f>
        <v>22411.516981507822</v>
      </c>
      <c r="S12" s="16">
        <f t="shared" ref="S12:S18" ca="1" si="4">SUM(M12:Q12)</f>
        <v>22411.516981507822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-59.127595350708361</v>
      </c>
      <c r="D13" s="9">
        <f ca="1">-(D18-R4)</f>
        <v>0</v>
      </c>
      <c r="E13" s="9">
        <f ca="1">-(E18-R5)</f>
        <v>-696.91427853949972</v>
      </c>
      <c r="F13" s="9">
        <f ca="1">-(F18-R6)</f>
        <v>-703.40388059701581</v>
      </c>
      <c r="G13" s="9">
        <f ca="1">-(G18-R7)</f>
        <v>0</v>
      </c>
      <c r="H13" s="9">
        <f ca="1">-(H18-R8)</f>
        <v>-1007.6611912225708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-2467.1069457097947</v>
      </c>
      <c r="N13" s="17"/>
      <c r="O13" s="17"/>
      <c r="P13" s="10"/>
      <c r="Q13" s="12"/>
      <c r="R13" s="9">
        <f t="shared" ref="R13:R18" ca="1" si="6">SUM(M13:Q13)</f>
        <v>-2467.1069457097947</v>
      </c>
      <c r="S13" s="17">
        <f t="shared" ca="1" si="4"/>
        <v>-2467.1069457097947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-1472.5125912034091</v>
      </c>
      <c r="K14" s="14">
        <f ca="1">-(K18-R11)</f>
        <v>-953.69975588051602</v>
      </c>
      <c r="L14" s="13">
        <f ca="1">-(L18-R12)</f>
        <v>-2667.9306714082522</v>
      </c>
      <c r="M14" s="14">
        <f t="shared" ca="1" si="5"/>
        <v>-5094.1430184921774</v>
      </c>
      <c r="N14" s="16">
        <f ca="1">-E16</f>
        <v>-1241.4413318669085</v>
      </c>
      <c r="O14" s="16"/>
      <c r="P14" s="11"/>
      <c r="Q14" s="13"/>
      <c r="R14" s="14">
        <f t="shared" ca="1" si="6"/>
        <v>-6335.5843503590859</v>
      </c>
      <c r="S14" s="16">
        <f t="shared" ca="1" si="4"/>
        <v>-6335.5843503590859</v>
      </c>
    </row>
    <row r="15" spans="1:21">
      <c r="A15" s="18" t="s">
        <v>79</v>
      </c>
      <c r="B15" s="11"/>
      <c r="C15" s="14"/>
      <c r="D15" s="14"/>
      <c r="E15" s="14">
        <f ca="1">-(J14+K14)-L14</f>
        <v>5094.1430184921774</v>
      </c>
      <c r="F15" s="14"/>
      <c r="G15" s="14"/>
      <c r="H15" s="14"/>
      <c r="I15" s="14"/>
      <c r="J15" s="14"/>
      <c r="K15" s="14"/>
      <c r="L15" s="13"/>
      <c r="M15" s="14">
        <f t="shared" ca="1" si="5"/>
        <v>5094.1430184921774</v>
      </c>
      <c r="N15" s="16"/>
      <c r="O15" s="16"/>
      <c r="P15" s="11"/>
      <c r="Q15" s="13"/>
      <c r="R15" s="14">
        <f t="shared" ca="1" si="6"/>
        <v>5094.1430184921774</v>
      </c>
      <c r="S15" s="16">
        <f t="shared" ca="1" si="4"/>
        <v>5094.1430184921774</v>
      </c>
    </row>
    <row r="16" spans="1:21">
      <c r="A16" s="18" t="s">
        <v>80</v>
      </c>
      <c r="B16" s="11"/>
      <c r="C16" s="14"/>
      <c r="D16" s="14"/>
      <c r="E16" s="14">
        <f ca="1">E18-E15</f>
        <v>1241.4413318669085</v>
      </c>
      <c r="F16" s="14"/>
      <c r="G16" s="14"/>
      <c r="H16" s="14"/>
      <c r="I16" s="14"/>
      <c r="J16" s="14"/>
      <c r="K16" s="14"/>
      <c r="L16" s="13"/>
      <c r="M16" s="14">
        <f t="shared" ca="1" si="5"/>
        <v>1241.4413318669085</v>
      </c>
      <c r="N16" s="16"/>
      <c r="O16" s="16"/>
      <c r="P16" s="11"/>
      <c r="Q16" s="13"/>
      <c r="R16" s="14">
        <f t="shared" ca="1" si="6"/>
        <v>1241.4413318669085</v>
      </c>
      <c r="S16" s="16">
        <f t="shared" ca="1" si="4"/>
        <v>1241.4413318669085</v>
      </c>
    </row>
    <row r="17" spans="1:19">
      <c r="A17" s="30" t="s">
        <v>90</v>
      </c>
      <c r="B17" s="21">
        <f ca="1">R2</f>
        <v>9110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9110</v>
      </c>
      <c r="N17" s="19"/>
      <c r="O17" s="19"/>
      <c r="P17" s="21"/>
      <c r="Q17" s="27"/>
      <c r="R17" s="22">
        <f t="shared" ca="1" si="6"/>
        <v>9110</v>
      </c>
      <c r="S17" s="19">
        <f t="shared" ca="1" si="4"/>
        <v>9110</v>
      </c>
    </row>
    <row r="18" spans="1:19">
      <c r="A18" s="29" t="s">
        <v>89</v>
      </c>
      <c r="B18" s="9">
        <f ca="1">B17</f>
        <v>9110</v>
      </c>
      <c r="C18" s="9">
        <f ca="1">SUM(C$2:C$12)</f>
        <v>9385.3325953507083</v>
      </c>
      <c r="D18" s="9">
        <f ca="1">SUM(D$2:D$12)</f>
        <v>0</v>
      </c>
      <c r="E18" s="9">
        <f ca="1">$R$5/parameters!$B$4</f>
        <v>6335.5843503590859</v>
      </c>
      <c r="F18" s="9">
        <f t="shared" ref="F18:L18" ca="1" si="7">SUM(F$2:F$12)</f>
        <v>11345.223880597016</v>
      </c>
      <c r="G18" s="9">
        <f t="shared" ca="1" si="7"/>
        <v>0</v>
      </c>
      <c r="H18" s="9">
        <f t="shared" ca="1" si="7"/>
        <v>23433.98119122257</v>
      </c>
      <c r="I18" s="9">
        <f t="shared" ca="1" si="7"/>
        <v>33068.14</v>
      </c>
      <c r="J18" s="9">
        <f t="shared" ca="1" si="7"/>
        <v>21300.852591203409</v>
      </c>
      <c r="K18" s="9">
        <f t="shared" ca="1" si="7"/>
        <v>13795.887408796589</v>
      </c>
      <c r="L18" s="9">
        <f t="shared" ca="1" si="7"/>
        <v>25079.447652916075</v>
      </c>
      <c r="M18" s="17">
        <f ca="1">SUM(B18:L18)</f>
        <v>152854.44967044547</v>
      </c>
      <c r="N18" s="17"/>
      <c r="O18" s="17"/>
      <c r="P18" s="9"/>
      <c r="Q18" s="14"/>
      <c r="R18" s="11">
        <f t="shared" ca="1" si="6"/>
        <v>152854.44967044547</v>
      </c>
      <c r="S18" s="17">
        <f t="shared" ca="1" si="4"/>
        <v>152854.44967044547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0.93087072055456077</v>
      </c>
      <c r="K19" s="39">
        <f ca="1">J19</f>
        <v>0.93087072055456077</v>
      </c>
      <c r="L19" s="40">
        <f ca="1">1-(-L14)/L18</f>
        <v>0.89362083613918653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24992.049914461102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24992.049914461102</v>
      </c>
      <c r="N2" s="17"/>
      <c r="O2" s="17">
        <f ca="1">R2-(M2+P2+Q2)</f>
        <v>11726.500085538893</v>
      </c>
      <c r="P2" s="11" cm="1">
        <f t="array" aca="1" ref="P2" ca="1">INDIRECT("'data'!$F$" &amp; $A$1)</f>
        <v>221281.45</v>
      </c>
      <c r="Q2" s="13">
        <f ca="1">IF(-(M2-R2+P2)&lt;0, -(M2-R2+P2), 0)</f>
        <v>0</v>
      </c>
      <c r="R2" s="17" cm="1">
        <f t="array" aca="1" ref="R2" ca="1">INDIRECT("'data'!$D$" &amp; $A$1)</f>
        <v>258000</v>
      </c>
      <c r="S2" s="17">
        <f ca="1">SUM(M2:Q2)</f>
        <v>258000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20698.26865671642</v>
      </c>
      <c r="G3" s="14">
        <f ca="1">R7/parameters!$B$6</f>
        <v>556.8656716417911</v>
      </c>
      <c r="H3" s="14">
        <f ca="1">R3-P3-Q3-F3-G3</f>
        <v>872.04067164178809</v>
      </c>
      <c r="I3" s="14"/>
      <c r="J3" s="14"/>
      <c r="K3" s="14"/>
      <c r="L3" s="13"/>
      <c r="M3" s="16">
        <f t="shared" ref="M3:M11" ca="1" si="0">SUM(B3:L3)</f>
        <v>22127.174999999999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2707.4249999999997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24834.6</v>
      </c>
      <c r="S3" s="16">
        <f t="shared" ref="S3:S11" ca="1" si="2">SUM(M3:Q3)</f>
        <v>24834.6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5174.567164179105</v>
      </c>
      <c r="G5" s="14"/>
      <c r="H5" s="14">
        <f ca="1">R8/parameters!$B$7-(H3+H4)</f>
        <v>6519.4326825901862</v>
      </c>
      <c r="I5" s="14"/>
      <c r="J5" s="14"/>
      <c r="K5" s="14"/>
      <c r="L5" s="13"/>
      <c r="M5" s="16">
        <f t="shared" ca="1" si="0"/>
        <v>11693.999846769291</v>
      </c>
      <c r="N5" s="16"/>
      <c r="O5" s="16"/>
      <c r="P5" s="11" cm="1">
        <f t="array" aca="1" ref="P5" ca="1">INDIRECT("'data'!$M$" &amp; $A$1)*parameters!$B$15</f>
        <v>685.02</v>
      </c>
      <c r="Q5" s="13" cm="1">
        <f t="array" aca="1" ref="Q5" ca="1">-INDIRECT("'data'!$N$" &amp; $A$1)*parameters!$B$15</f>
        <v>-170.52</v>
      </c>
      <c r="R5" s="16">
        <f ca="1">SUM(M5:Q5)</f>
        <v>12208.499846769291</v>
      </c>
      <c r="S5" s="16">
        <f t="shared" ca="1" si="2"/>
        <v>12208.499846769291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24268.720000000001</v>
      </c>
      <c r="J6" s="14"/>
      <c r="K6" s="14"/>
      <c r="L6" s="13"/>
      <c r="M6" s="16">
        <f t="shared" ca="1" si="0"/>
        <v>24268.720000000001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24268.720000000001</v>
      </c>
      <c r="S6" s="16">
        <f t="shared" ca="1" si="2"/>
        <v>24268.720000000001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522.34</v>
      </c>
      <c r="J7" s="14"/>
      <c r="K7" s="14"/>
      <c r="L7" s="13"/>
      <c r="M7" s="16">
        <f t="shared" ca="1" si="0"/>
        <v>522.34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522.34</v>
      </c>
      <c r="S7" s="16">
        <f t="shared" ca="1" si="2"/>
        <v>522.34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7073.6399999999994</v>
      </c>
      <c r="J8" s="14"/>
      <c r="K8" s="14"/>
      <c r="L8" s="13"/>
      <c r="M8" s="16">
        <f t="shared" ca="1" si="0"/>
        <v>7073.6399999999994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7073.6399999999994</v>
      </c>
      <c r="S8" s="16">
        <f t="shared" ca="1" si="2"/>
        <v>7073.6399999999994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10329</v>
      </c>
      <c r="K9" s="14">
        <f ca="1">R11/K19</f>
        <v>20378.271692745377</v>
      </c>
      <c r="L9" s="13"/>
      <c r="M9" s="16">
        <f t="shared" ca="1" si="0"/>
        <v>30707.271692745377</v>
      </c>
      <c r="N9" s="16"/>
      <c r="O9" s="16">
        <f t="shared" ca="1" si="3"/>
        <v>-7104.9516927453769</v>
      </c>
      <c r="P9" s="11" cm="1">
        <f t="array" aca="1" ref="P9" ca="1">INDIRECT("'data'!$R$" &amp; $A$1)*parameters!$B$15</f>
        <v>8469.16</v>
      </c>
      <c r="Q9" s="13" cm="1">
        <f t="array" aca="1" ref="Q9" ca="1">-INDIRECT("'data'!$S$" &amp; $A$1)*parameters!$B$15</f>
        <v>-206.78</v>
      </c>
      <c r="R9" s="16">
        <f ca="1">SUM(R6:R8)</f>
        <v>31864.7</v>
      </c>
      <c r="S9" s="16">
        <f t="shared" ca="1" si="2"/>
        <v>31864.7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9403.1</v>
      </c>
      <c r="M10" s="16">
        <f t="shared" ca="1" si="0"/>
        <v>9403.1</v>
      </c>
      <c r="N10" s="16"/>
      <c r="O10" s="16">
        <f t="shared" ca="1" si="3"/>
        <v>0</v>
      </c>
      <c r="P10" s="11" cm="1">
        <f t="array" aca="1" ref="P10" ca="1">INDIRECT("'data'!$U$" &amp; $A$1)*parameters!$B$15</f>
        <v>1306.3399999999999</v>
      </c>
      <c r="Q10" s="13" cm="1">
        <f t="array" aca="1" ref="Q10" ca="1">-INDIRECT("'data'!$V$" &amp; $A$1)*parameters!$B$15</f>
        <v>-587.02</v>
      </c>
      <c r="R10" s="16" cm="1">
        <f t="array" aca="1" ref="R10" ca="1">INDIRECT("'data'!$T$" &amp; $A$1)*parameters!$B$15</f>
        <v>10122.42</v>
      </c>
      <c r="S10" s="16">
        <f t="shared" ca="1" si="2"/>
        <v>10122.42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19152.406258890467</v>
      </c>
      <c r="M11" s="16">
        <f t="shared" ca="1" si="0"/>
        <v>19152.406258890467</v>
      </c>
      <c r="N11" s="16"/>
      <c r="O11" s="16">
        <f t="shared" ca="1" si="3"/>
        <v>0</v>
      </c>
      <c r="P11" s="11" cm="1">
        <f t="array" aca="1" ref="P11" ca="1">INDIRECT("'data'!$X$" &amp; $A$1)*parameters!$B$15</f>
        <v>2144.2399999999998</v>
      </c>
      <c r="Q11" s="13" cm="1">
        <f t="array" aca="1" ref="Q11" ca="1">-INDIRECT("'data'!$Y$" &amp; $A$1)*parameters!$B$15</f>
        <v>-1325.94</v>
      </c>
      <c r="R11" s="16" cm="1">
        <f t="array" aca="1" ref="R11" ca="1">INDIRECT("'data'!$W$" &amp; $A$1)*parameters!$B$15</f>
        <v>19970.70625889047</v>
      </c>
      <c r="S11" s="16">
        <f t="shared" ca="1" si="2"/>
        <v>19970.70625889047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25659.843382645802</v>
      </c>
      <c r="O12" s="19"/>
      <c r="P12" s="21" cm="1">
        <f t="array" aca="1" ref="P12" ca="1">INDIRECT("'data'!$Z$" &amp; $A$1)*parameters!$B$15</f>
        <v>2312.8000000000002</v>
      </c>
      <c r="Q12" s="27" cm="1">
        <f t="array" aca="1" ref="Q12" ca="1">-INDIRECT("'data'!$AA$" &amp; $A$1)*parameters!$B$15</f>
        <v>-2662.66</v>
      </c>
      <c r="R12" s="16">
        <f ca="1">L10*parameters!$B$10+L11*parameters!$B$11</f>
        <v>25309.983382645802</v>
      </c>
      <c r="S12" s="16">
        <f t="shared" ref="S12:S18" ca="1" si="4">SUM(M12:Q12)</f>
        <v>25309.983382645802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-157.44991446110362</v>
      </c>
      <c r="D13" s="9">
        <f ca="1">-(D18-R4)</f>
        <v>0</v>
      </c>
      <c r="E13" s="9">
        <f ca="1">-(E18-R5)</f>
        <v>-1508.9157113984511</v>
      </c>
      <c r="F13" s="9">
        <f ca="1">-(F18-R6)</f>
        <v>-1604.1158208955239</v>
      </c>
      <c r="G13" s="9">
        <f ca="1">-(G18-R7)</f>
        <v>-34.525671641791064</v>
      </c>
      <c r="H13" s="9">
        <f ca="1">-(H18-R8)</f>
        <v>-317.83335423197514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-3622.840472628845</v>
      </c>
      <c r="N13" s="17"/>
      <c r="O13" s="17"/>
      <c r="P13" s="10"/>
      <c r="Q13" s="12"/>
      <c r="R13" s="9">
        <f t="shared" ref="R13:R18" ca="1" si="6">SUM(M13:Q13)</f>
        <v>-3622.840472628845</v>
      </c>
      <c r="S13" s="17">
        <f t="shared" ca="1" si="4"/>
        <v>-3622.840472628845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-206.57999999999993</v>
      </c>
      <c r="K14" s="14">
        <f ca="1">-(K18-R11)</f>
        <v>-407.56543385490659</v>
      </c>
      <c r="L14" s="13">
        <f ca="1">-(L18-R12)</f>
        <v>-3245.5228762446677</v>
      </c>
      <c r="M14" s="14">
        <f t="shared" ca="1" si="5"/>
        <v>-3859.6683100995742</v>
      </c>
      <c r="N14" s="16">
        <f ca="1">-E16</f>
        <v>-9857.7472480681681</v>
      </c>
      <c r="O14" s="16"/>
      <c r="P14" s="11"/>
      <c r="Q14" s="13"/>
      <c r="R14" s="14">
        <f t="shared" ca="1" si="6"/>
        <v>-13717.415558167742</v>
      </c>
      <c r="S14" s="16">
        <f t="shared" ca="1" si="4"/>
        <v>-13717.415558167742</v>
      </c>
    </row>
    <row r="15" spans="1:20">
      <c r="A15" s="18" t="s">
        <v>79</v>
      </c>
      <c r="B15" s="11"/>
      <c r="C15" s="14"/>
      <c r="D15" s="14"/>
      <c r="E15" s="14">
        <f ca="1">-(J14+K14)-L14</f>
        <v>3859.6683100995742</v>
      </c>
      <c r="F15" s="14"/>
      <c r="G15" s="14"/>
      <c r="H15" s="14"/>
      <c r="I15" s="14"/>
      <c r="J15" s="14"/>
      <c r="K15" s="14"/>
      <c r="L15" s="13"/>
      <c r="M15" s="14">
        <f t="shared" ca="1" si="5"/>
        <v>3859.6683100995742</v>
      </c>
      <c r="N15" s="16"/>
      <c r="O15" s="16"/>
      <c r="P15" s="11"/>
      <c r="Q15" s="13"/>
      <c r="R15" s="14">
        <f t="shared" ca="1" si="6"/>
        <v>3859.6683100995742</v>
      </c>
      <c r="S15" s="16">
        <f t="shared" ca="1" si="4"/>
        <v>3859.6683100995742</v>
      </c>
    </row>
    <row r="16" spans="1:20">
      <c r="A16" s="18" t="s">
        <v>80</v>
      </c>
      <c r="B16" s="11"/>
      <c r="C16" s="14"/>
      <c r="D16" s="14"/>
      <c r="E16" s="14">
        <f ca="1">E18-E15</f>
        <v>9857.7472480681681</v>
      </c>
      <c r="F16" s="14"/>
      <c r="G16" s="14"/>
      <c r="H16" s="14"/>
      <c r="I16" s="14"/>
      <c r="J16" s="14"/>
      <c r="K16" s="14"/>
      <c r="L16" s="13"/>
      <c r="M16" s="14">
        <f t="shared" ca="1" si="5"/>
        <v>9857.7472480681681</v>
      </c>
      <c r="N16" s="16"/>
      <c r="O16" s="16"/>
      <c r="P16" s="11"/>
      <c r="Q16" s="13"/>
      <c r="R16" s="14">
        <f t="shared" ca="1" si="6"/>
        <v>9857.7472480681681</v>
      </c>
      <c r="S16" s="16">
        <f t="shared" ca="1" si="4"/>
        <v>9857.7472480681681</v>
      </c>
    </row>
    <row r="17" spans="1:19">
      <c r="A17" s="30" t="s">
        <v>90</v>
      </c>
      <c r="B17" s="21">
        <f ca="1">R2</f>
        <v>258000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258000</v>
      </c>
      <c r="N17" s="19"/>
      <c r="O17" s="19"/>
      <c r="P17" s="21"/>
      <c r="Q17" s="27"/>
      <c r="R17" s="22">
        <f t="shared" ca="1" si="6"/>
        <v>258000</v>
      </c>
      <c r="S17" s="19">
        <f t="shared" ca="1" si="4"/>
        <v>258000</v>
      </c>
    </row>
    <row r="18" spans="1:19">
      <c r="A18" s="29" t="s">
        <v>89</v>
      </c>
      <c r="B18" s="9">
        <f ca="1">B17</f>
        <v>258000</v>
      </c>
      <c r="C18" s="9">
        <f ca="1">SUM(C$2:C$12)</f>
        <v>24992.049914461102</v>
      </c>
      <c r="D18" s="9">
        <f ca="1">SUM(D$2:D$12)</f>
        <v>0</v>
      </c>
      <c r="E18" s="9">
        <f ca="1">$R$5/parameters!$B$4</f>
        <v>13717.415558167742</v>
      </c>
      <c r="F18" s="9">
        <f t="shared" ref="F18:L18" ca="1" si="7">SUM(F$2:F$12)</f>
        <v>25872.835820895525</v>
      </c>
      <c r="G18" s="9">
        <f t="shared" ca="1" si="7"/>
        <v>556.8656716417911</v>
      </c>
      <c r="H18" s="9">
        <f t="shared" ca="1" si="7"/>
        <v>7391.4733542319746</v>
      </c>
      <c r="I18" s="9">
        <f t="shared" ca="1" si="7"/>
        <v>31864.7</v>
      </c>
      <c r="J18" s="9">
        <f t="shared" ca="1" si="7"/>
        <v>10329</v>
      </c>
      <c r="K18" s="9">
        <f t="shared" ca="1" si="7"/>
        <v>20378.271692745377</v>
      </c>
      <c r="L18" s="9">
        <f t="shared" ca="1" si="7"/>
        <v>28555.506258890469</v>
      </c>
      <c r="M18" s="17">
        <f ca="1">SUM(B18:L18)</f>
        <v>421658.11827103398</v>
      </c>
      <c r="N18" s="17"/>
      <c r="O18" s="17"/>
      <c r="P18" s="9"/>
      <c r="Q18" s="14"/>
      <c r="R18" s="11">
        <f t="shared" ca="1" si="6"/>
        <v>421658.11827103398</v>
      </c>
      <c r="S18" s="17">
        <f t="shared" ca="1" si="4"/>
        <v>421658.11827103398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0.88634336065275654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2122.885938236514</v>
      </c>
      <c r="D2" s="9">
        <f ca="1">R4/parameters!$B$3</f>
        <v>23299.260309911249</v>
      </c>
      <c r="E2" s="9"/>
      <c r="F2" s="9"/>
      <c r="G2" s="9"/>
      <c r="H2" s="9"/>
      <c r="I2" s="9"/>
      <c r="J2" s="9"/>
      <c r="K2" s="9"/>
      <c r="L2" s="12"/>
      <c r="M2" s="17">
        <f ca="1">SUM(B2:L2)</f>
        <v>25422.146248147765</v>
      </c>
      <c r="N2" s="17"/>
      <c r="O2" s="17">
        <f ca="1">R2-(M2+P2+Q2)</f>
        <v>0</v>
      </c>
      <c r="P2" s="11" cm="1">
        <f t="array" aca="1" ref="P2" ca="1">INDIRECT("'data'!$F$" &amp; $A$1)</f>
        <v>8321.3000000000011</v>
      </c>
      <c r="Q2" s="13">
        <f ca="1">IF(-(M2-R2+P2)&lt;0, -(M2-R2+P2), 0)</f>
        <v>-14596.948089285417</v>
      </c>
      <c r="R2" s="17" cm="1">
        <f t="array" aca="1" ref="R2" ca="1">INDIRECT("'data'!$D$" &amp; $A$1)</f>
        <v>19146.498158862349</v>
      </c>
      <c r="S2" s="17">
        <f ca="1">SUM(M2:Q2)</f>
        <v>19146.498158862349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2092.3208955223881</v>
      </c>
      <c r="G3" s="14">
        <f ca="1">R7/parameters!$B$6</f>
        <v>0</v>
      </c>
      <c r="H3" s="14">
        <f ca="1">R3-P3-Q3-F3-G3</f>
        <v>16.24586130323587</v>
      </c>
      <c r="I3" s="14"/>
      <c r="J3" s="14"/>
      <c r="K3" s="14"/>
      <c r="L3" s="13"/>
      <c r="M3" s="16">
        <f t="shared" ref="M3:M11" ca="1" si="0">SUM(B3:L3)</f>
        <v>2108.566756825624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2109.5117568256242</v>
      </c>
      <c r="S3" s="16">
        <f t="shared" ref="S3:S11" ca="1" si="2">SUM(M3:Q3)</f>
        <v>2109.5117568256242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17053.204057295861</v>
      </c>
      <c r="I4" s="14"/>
      <c r="J4" s="14"/>
      <c r="K4" s="14"/>
      <c r="L4" s="13"/>
      <c r="M4" s="16">
        <f t="shared" ca="1" si="0"/>
        <v>17053.204057295861</v>
      </c>
      <c r="N4" s="16"/>
      <c r="O4" s="16">
        <f t="shared" ca="1" si="1"/>
        <v>5800.2709126629488</v>
      </c>
      <c r="P4" s="11" cm="1">
        <f t="array" aca="1" ref="P4" ca="1">INDIRECT("'data'!$K$" &amp; $A$1)*parameters!$B$14</f>
        <v>299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23152.47496995881</v>
      </c>
      <c r="S4" s="16">
        <f t="shared" ca="1" si="2"/>
        <v>23152.47496995881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R6/parameters!$B$5*21%</f>
        <v>556.18656716417922</v>
      </c>
      <c r="G5" s="14"/>
      <c r="H5" s="38">
        <f ca="1">E15*parameters!$B$4-P5-Q5-F5</f>
        <v>6560.1216592483424</v>
      </c>
      <c r="I5" s="14"/>
      <c r="J5" s="14"/>
      <c r="K5" s="14"/>
      <c r="L5" s="13"/>
      <c r="M5" s="16">
        <f t="shared" ca="1" si="0"/>
        <v>7116.3082264125214</v>
      </c>
      <c r="N5" s="16"/>
      <c r="O5" s="16"/>
      <c r="P5" s="11" cm="1">
        <f t="array" aca="1" ref="P5" ca="1">INDIRECT("'data'!$M$" &amp; $A$1)*parameters!$B$15</f>
        <v>203.84</v>
      </c>
      <c r="Q5" s="13" cm="1">
        <f t="array" aca="1" ref="Q5" ca="1">-INDIRECT("'data'!$N$" &amp; $A$1)*parameters!$B$15</f>
        <v>-7.84</v>
      </c>
      <c r="R5" s="16">
        <f ca="1">SUM(M5:Q5)</f>
        <v>7312.3082264125214</v>
      </c>
      <c r="S5" s="16">
        <f t="shared" ca="1" si="2"/>
        <v>7312.3082264125214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2484.3000000000002</v>
      </c>
      <c r="J6" s="14"/>
      <c r="K6" s="14"/>
      <c r="L6" s="13"/>
      <c r="M6" s="16">
        <f t="shared" ca="1" si="0"/>
        <v>2484.3000000000002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2484.3000000000002</v>
      </c>
      <c r="S6" s="16">
        <f t="shared" ca="1" si="2"/>
        <v>2484.3000000000002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22613.5</v>
      </c>
      <c r="J8" s="14"/>
      <c r="K8" s="14"/>
      <c r="L8" s="13"/>
      <c r="M8" s="16">
        <f t="shared" ca="1" si="0"/>
        <v>22613.5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22613.5</v>
      </c>
      <c r="S8" s="16">
        <f t="shared" ca="1" si="2"/>
        <v>22613.5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13746.779355532331</v>
      </c>
      <c r="K9" s="14">
        <f ca="1">R11/K19</f>
        <v>10614.060644467669</v>
      </c>
      <c r="L9" s="13"/>
      <c r="M9" s="16">
        <f t="shared" ca="1" si="0"/>
        <v>24360.84</v>
      </c>
      <c r="N9" s="16"/>
      <c r="O9" s="16">
        <f t="shared" ca="1" si="3"/>
        <v>0</v>
      </c>
      <c r="P9" s="11" cm="1">
        <f t="array" aca="1" ref="P9" ca="1">INDIRECT("'data'!$R$" &amp; $A$1)*parameters!$B$15</f>
        <v>736.96</v>
      </c>
      <c r="Q9" s="13" cm="1">
        <f t="array" aca="1" ref="Q9" ca="1">-INDIRECT("'data'!$S$" &amp; $A$1)*parameters!$B$15</f>
        <v>0</v>
      </c>
      <c r="R9" s="16">
        <f ca="1">SUM(R6:R8)</f>
        <v>25097.8</v>
      </c>
      <c r="S9" s="16">
        <f t="shared" ca="1" si="2"/>
        <v>25097.8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9934.2599999999984</v>
      </c>
      <c r="M10" s="16">
        <f t="shared" ca="1" si="0"/>
        <v>9934.2599999999984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186.2</v>
      </c>
      <c r="Q10" s="13" cm="1">
        <f t="array" aca="1" ref="Q10" ca="1">-INDIRECT("'data'!$V$" &amp; $A$1)*parameters!$B$15</f>
        <v>-56.839999999999996</v>
      </c>
      <c r="R10" s="16" cm="1">
        <f t="array" aca="1" ref="R10" ca="1">INDIRECT("'data'!$T$" &amp; $A$1)*parameters!$B$15</f>
        <v>10063.619999999999</v>
      </c>
      <c r="S10" s="16">
        <f t="shared" ca="1" si="2"/>
        <v>10063.619999999999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7807.4871408250347</v>
      </c>
      <c r="M11" s="16">
        <f t="shared" ca="1" si="0"/>
        <v>7807.4871408250347</v>
      </c>
      <c r="N11" s="16"/>
      <c r="O11" s="16">
        <f t="shared" ca="1" si="3"/>
        <v>0</v>
      </c>
      <c r="P11" s="11" cm="1">
        <f t="array" aca="1" ref="P11" ca="1">INDIRECT("'data'!$X$" &amp; $A$1)*parameters!$B$15</f>
        <v>167.57999999999998</v>
      </c>
      <c r="Q11" s="13" cm="1">
        <f t="array" aca="1" ref="Q11" ca="1">-INDIRECT("'data'!$Y$" &amp; $A$1)*parameters!$B$15</f>
        <v>-204.82</v>
      </c>
      <c r="R11" s="16" cm="1">
        <f t="array" aca="1" ref="R11" ca="1">INDIRECT("'data'!$W$" &amp; $A$1)*parameters!$B$15</f>
        <v>7770.2471408250349</v>
      </c>
      <c r="S11" s="16">
        <f t="shared" ca="1" si="2"/>
        <v>7770.2471408250349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16833.703341109529</v>
      </c>
      <c r="O12" s="19"/>
      <c r="P12" s="21" cm="1">
        <f t="array" aca="1" ref="P12" ca="1">INDIRECT("'data'!$Z$" &amp; $A$1)*parameters!$B$15</f>
        <v>44.1</v>
      </c>
      <c r="Q12" s="27" cm="1">
        <f t="array" aca="1" ref="Q12" ca="1">-INDIRECT("'data'!$AA$" &amp; $A$1)*parameters!$B$15</f>
        <v>-825.16</v>
      </c>
      <c r="R12" s="16">
        <f ca="1">L10*parameters!$B$10+L11*parameters!$B$11</f>
        <v>16052.643341109528</v>
      </c>
      <c r="S12" s="16">
        <f t="shared" ref="S12:S18" ca="1" si="4">SUM(M12:Q12)</f>
        <v>16052.643341109528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-13.374181410889832</v>
      </c>
      <c r="D13" s="9">
        <f ca="1">-(D18-R4)</f>
        <v>-146.78533995243924</v>
      </c>
      <c r="E13" s="9">
        <f ca="1">-(E18-R5)</f>
        <v>-903.76843247795205</v>
      </c>
      <c r="F13" s="9">
        <f ca="1">-(F18-R6)</f>
        <v>-164.20746268656694</v>
      </c>
      <c r="G13" s="9">
        <f ca="1">-(G18-R7)</f>
        <v>0</v>
      </c>
      <c r="H13" s="9">
        <f ca="1">-(H18-R8)</f>
        <v>-1016.0715778474405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-2244.2069943752886</v>
      </c>
      <c r="N13" s="17"/>
      <c r="O13" s="17"/>
      <c r="P13" s="10"/>
      <c r="Q13" s="12"/>
      <c r="R13" s="9">
        <f t="shared" ref="R13:R18" ca="1" si="6">SUM(M13:Q13)</f>
        <v>-2244.2069943752886</v>
      </c>
      <c r="S13" s="17">
        <f t="shared" ca="1" si="4"/>
        <v>-2244.2069943752886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-3683.1593555323325</v>
      </c>
      <c r="K14" s="14">
        <f ca="1">-(K18-R11)</f>
        <v>-2843.8135036426338</v>
      </c>
      <c r="L14" s="13">
        <f ca="1">-(L18-R12)</f>
        <v>-1689.1037997155072</v>
      </c>
      <c r="M14" s="14">
        <f t="shared" ca="1" si="5"/>
        <v>-8216.0766588904735</v>
      </c>
      <c r="N14" s="16">
        <f ca="1">-E16</f>
        <v>0</v>
      </c>
      <c r="O14" s="16"/>
      <c r="P14" s="11"/>
      <c r="Q14" s="13"/>
      <c r="R14" s="14">
        <f t="shared" ca="1" si="6"/>
        <v>-8216.0766588904735</v>
      </c>
      <c r="S14" s="16">
        <f t="shared" ca="1" si="4"/>
        <v>-8216.0766588904735</v>
      </c>
    </row>
    <row r="15" spans="1:23">
      <c r="A15" s="18" t="s">
        <v>79</v>
      </c>
      <c r="B15" s="11"/>
      <c r="C15" s="14"/>
      <c r="D15" s="14"/>
      <c r="E15" s="14">
        <f ca="1">-(J14+K14)-L14</f>
        <v>8216.0766588904735</v>
      </c>
      <c r="F15" s="14"/>
      <c r="G15" s="14"/>
      <c r="H15" s="14"/>
      <c r="I15" s="14"/>
      <c r="J15" s="14"/>
      <c r="K15" s="14"/>
      <c r="L15" s="13"/>
      <c r="M15" s="14">
        <f t="shared" ca="1" si="5"/>
        <v>8216.0766588904735</v>
      </c>
      <c r="N15" s="16"/>
      <c r="O15" s="16"/>
      <c r="P15" s="11"/>
      <c r="Q15" s="13"/>
      <c r="R15" s="14">
        <f t="shared" ca="1" si="6"/>
        <v>8216.0766588904735</v>
      </c>
      <c r="S15" s="16">
        <f t="shared" ca="1" si="4"/>
        <v>8216.0766588904735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19146.498158862349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19146.498158862349</v>
      </c>
      <c r="N17" s="19"/>
      <c r="O17" s="19"/>
      <c r="P17" s="21"/>
      <c r="Q17" s="27"/>
      <c r="R17" s="22">
        <f t="shared" ca="1" si="6"/>
        <v>19146.498158862349</v>
      </c>
      <c r="S17" s="19">
        <f t="shared" ca="1" si="4"/>
        <v>19146.498158862349</v>
      </c>
    </row>
    <row r="18" spans="1:19">
      <c r="A18" s="29" t="s">
        <v>89</v>
      </c>
      <c r="B18" s="9">
        <f ca="1">B17</f>
        <v>19146.498158862349</v>
      </c>
      <c r="C18" s="9">
        <f ca="1">SUM(C$2:C$12)</f>
        <v>2122.885938236514</v>
      </c>
      <c r="D18" s="9">
        <f ca="1">SUM(D$2:D$12)</f>
        <v>23299.260309911249</v>
      </c>
      <c r="E18" s="9">
        <f ca="1">$R$5/parameters!$B$4</f>
        <v>8216.0766588904735</v>
      </c>
      <c r="F18" s="9">
        <f t="shared" ref="F18:L18" ca="1" si="7">SUM(F$2:F$12)</f>
        <v>2648.5074626865671</v>
      </c>
      <c r="G18" s="9">
        <f t="shared" ca="1" si="7"/>
        <v>0</v>
      </c>
      <c r="H18" s="9">
        <f t="shared" ca="1" si="7"/>
        <v>23629.57157784744</v>
      </c>
      <c r="I18" s="9">
        <f t="shared" ca="1" si="7"/>
        <v>25097.8</v>
      </c>
      <c r="J18" s="9">
        <f t="shared" ca="1" si="7"/>
        <v>13746.779355532331</v>
      </c>
      <c r="K18" s="9">
        <f t="shared" ca="1" si="7"/>
        <v>10614.060644467669</v>
      </c>
      <c r="L18" s="9">
        <f t="shared" ca="1" si="7"/>
        <v>17741.747140825035</v>
      </c>
      <c r="M18" s="17">
        <f ca="1">SUM(B18:L18)</f>
        <v>146263.18724725963</v>
      </c>
      <c r="N18" s="17"/>
      <c r="O18" s="17"/>
      <c r="P18" s="9"/>
      <c r="Q18" s="14"/>
      <c r="R18" s="11">
        <f t="shared" ca="1" si="6"/>
        <v>146263.18724725963</v>
      </c>
      <c r="S18" s="17">
        <f t="shared" ca="1" si="4"/>
        <v>146263.18724725963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0.73207110841929235</v>
      </c>
      <c r="K19" s="39">
        <f ca="1">J19</f>
        <v>0.73207110841929235</v>
      </c>
      <c r="L19" s="40">
        <f ca="1">1-(-L14)/L18</f>
        <v>0.90479495698432322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4380.2656737445905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4380.2656737445905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-4380.2656737445905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3516.2985074626863</v>
      </c>
      <c r="G3" s="14">
        <f ca="1">R7/parameters!$B$6</f>
        <v>0</v>
      </c>
      <c r="H3" s="14">
        <f ca="1">R3-P3-Q3-F3-G3</f>
        <v>2119.6814925373142</v>
      </c>
      <c r="I3" s="14"/>
      <c r="J3" s="14"/>
      <c r="K3" s="14"/>
      <c r="L3" s="13"/>
      <c r="M3" s="16">
        <f t="shared" ref="M3:M11" ca="1" si="0">SUM(B3:L3)</f>
        <v>5635.9800000000005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51.029999999999994</v>
      </c>
      <c r="Q3" s="13" cm="1">
        <f t="array" aca="1" ref="Q3" ca="1">-INDIRECT("'data'!$I$" &amp; $A$1)*parameters!$B$13</f>
        <v>-1334.34</v>
      </c>
      <c r="R3" s="16" cm="1">
        <f t="array" aca="1" ref="R3" ca="1">INDIRECT("'data'!$G$" &amp; $A$1)*parameters!$B$13</f>
        <v>4352.67</v>
      </c>
      <c r="S3" s="16">
        <f t="shared" ref="S3:S11" ca="1" si="2">SUM(M3:Q3)</f>
        <v>4352.67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932.88</v>
      </c>
      <c r="I4" s="14"/>
      <c r="J4" s="14"/>
      <c r="K4" s="14"/>
      <c r="L4" s="13"/>
      <c r="M4" s="16">
        <f t="shared" ca="1" si="0"/>
        <v>932.88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-932.88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879.07462686567169</v>
      </c>
      <c r="G5" s="14"/>
      <c r="H5" s="14">
        <f ca="1">R8/parameters!$B$7-(H3+H4)</f>
        <v>16346.727953648684</v>
      </c>
      <c r="I5" s="14"/>
      <c r="J5" s="14"/>
      <c r="K5" s="14"/>
      <c r="L5" s="13"/>
      <c r="M5" s="16">
        <f t="shared" ca="1" si="0"/>
        <v>17225.802580514355</v>
      </c>
      <c r="N5" s="16"/>
      <c r="O5" s="16"/>
      <c r="P5" s="11" cm="1">
        <f t="array" aca="1" ref="P5" ca="1">INDIRECT("'data'!$M$" &amp; $A$1)*parameters!$B$15</f>
        <v>480.2</v>
      </c>
      <c r="Q5" s="13" cm="1">
        <f t="array" aca="1" ref="Q5" ca="1">-INDIRECT("'data'!$N$" &amp; $A$1)*parameters!$B$15</f>
        <v>-5247.9</v>
      </c>
      <c r="R5" s="16">
        <f ca="1">SUM(M5:Q5)</f>
        <v>12458.102580514356</v>
      </c>
      <c r="S5" s="16">
        <f t="shared" ca="1" si="2"/>
        <v>12458.102580514356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4122.8599999999997</v>
      </c>
      <c r="J6" s="14"/>
      <c r="K6" s="14"/>
      <c r="L6" s="13"/>
      <c r="M6" s="16">
        <f t="shared" ca="1" si="0"/>
        <v>4122.8599999999997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4122.8599999999997</v>
      </c>
      <c r="S6" s="16">
        <f t="shared" ca="1" si="2"/>
        <v>4122.8599999999997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18565.12</v>
      </c>
      <c r="J8" s="14"/>
      <c r="K8" s="14"/>
      <c r="L8" s="13"/>
      <c r="M8" s="16">
        <f t="shared" ca="1" si="0"/>
        <v>18565.12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18565.12</v>
      </c>
      <c r="S8" s="16">
        <f t="shared" ca="1" si="2"/>
        <v>18565.12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14413.575002985515</v>
      </c>
      <c r="K9" s="14">
        <f ca="1">R11/K19</f>
        <v>12236.54499701448</v>
      </c>
      <c r="L9" s="13"/>
      <c r="M9" s="16">
        <f t="shared" ca="1" si="0"/>
        <v>26650.119999999995</v>
      </c>
      <c r="N9" s="16"/>
      <c r="O9" s="16">
        <f t="shared" ca="1" si="3"/>
        <v>0</v>
      </c>
      <c r="P9" s="11" cm="1">
        <f t="array" aca="1" ref="P9" ca="1">INDIRECT("'data'!$R$" &amp; $A$1)*parameters!$B$15</f>
        <v>749.69999999999993</v>
      </c>
      <c r="Q9" s="13" cm="1">
        <f t="array" aca="1" ref="Q9" ca="1">-INDIRECT("'data'!$S$" &amp; $A$1)*parameters!$B$15</f>
        <v>-4711.84</v>
      </c>
      <c r="R9" s="16">
        <f ca="1">SUM(R6:R8)</f>
        <v>22687.98</v>
      </c>
      <c r="S9" s="16">
        <f t="shared" ca="1" si="2"/>
        <v>22687.979999999996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8909.18</v>
      </c>
      <c r="M10" s="16">
        <f t="shared" ca="1" si="0"/>
        <v>8909.18</v>
      </c>
      <c r="N10" s="16"/>
      <c r="O10" s="16">
        <f t="shared" ca="1" si="3"/>
        <v>0</v>
      </c>
      <c r="P10" s="11" cm="1">
        <f t="array" aca="1" ref="P10" ca="1">INDIRECT("'data'!$U$" &amp; $A$1)*parameters!$B$15</f>
        <v>6296.5</v>
      </c>
      <c r="Q10" s="13" cm="1">
        <f t="array" aca="1" ref="Q10" ca="1">-INDIRECT("'data'!$V$" &amp; $A$1)*parameters!$B$15</f>
        <v>-2546.04</v>
      </c>
      <c r="R10" s="16" cm="1">
        <f t="array" aca="1" ref="R10" ca="1">INDIRECT("'data'!$T$" &amp; $A$1)*parameters!$B$15</f>
        <v>12659.64</v>
      </c>
      <c r="S10" s="16">
        <f t="shared" ca="1" si="2"/>
        <v>12659.64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16222.784779516358</v>
      </c>
      <c r="M11" s="16">
        <f t="shared" ca="1" si="0"/>
        <v>16222.784779516358</v>
      </c>
      <c r="N11" s="16"/>
      <c r="O11" s="16">
        <f t="shared" ca="1" si="3"/>
        <v>0</v>
      </c>
      <c r="P11" s="11" cm="1">
        <f t="array" aca="1" ref="P11" ca="1">INDIRECT("'data'!$X$" &amp; $A$1)*parameters!$B$15</f>
        <v>6516.0199999999995</v>
      </c>
      <c r="Q11" s="13" cm="1">
        <f t="array" aca="1" ref="Q11" ca="1">-INDIRECT("'data'!$Y$" &amp; $A$1)*parameters!$B$15</f>
        <v>-11991.28</v>
      </c>
      <c r="R11" s="16" cm="1">
        <f t="array" aca="1" ref="R11" ca="1">INDIRECT("'data'!$W$" &amp; $A$1)*parameters!$B$15</f>
        <v>10747.524779516358</v>
      </c>
      <c r="S11" s="16">
        <f t="shared" ca="1" si="2"/>
        <v>10747.524779516358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17609.484110384066</v>
      </c>
      <c r="O12" s="19"/>
      <c r="P12" s="21" cm="1">
        <f t="array" aca="1" ref="P12" ca="1">INDIRECT("'data'!$Z$" &amp; $A$1)*parameters!$B$15</f>
        <v>13074.18</v>
      </c>
      <c r="Q12" s="27" cm="1">
        <f t="array" aca="1" ref="Q12" ca="1">-INDIRECT("'data'!$AA$" &amp; $A$1)*parameters!$B$15</f>
        <v>-8357.44</v>
      </c>
      <c r="R12" s="16">
        <f ca="1">L10*parameters!$B$10+L11*parameters!$B$11</f>
        <v>22326.224110384068</v>
      </c>
      <c r="S12" s="16">
        <f t="shared" ref="S12:S18" ca="1" si="4">SUM(M12:Q12)</f>
        <v>22326.224110384064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-27.595673744590385</v>
      </c>
      <c r="D13" s="9">
        <f ca="1">-(D18-R4)</f>
        <v>0</v>
      </c>
      <c r="E13" s="9">
        <f ca="1">-(E18-R5)</f>
        <v>-1539.7654874793025</v>
      </c>
      <c r="F13" s="9">
        <f ca="1">-(F18-R6)</f>
        <v>-272.51313432835832</v>
      </c>
      <c r="G13" s="9">
        <f ca="1">-(G18-R7)</f>
        <v>0</v>
      </c>
      <c r="H13" s="9">
        <f ca="1">-(H18-R8)</f>
        <v>-834.16944618599882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-2674.04374173825</v>
      </c>
      <c r="N13" s="17"/>
      <c r="O13" s="17"/>
      <c r="P13" s="10"/>
      <c r="Q13" s="12"/>
      <c r="R13" s="9">
        <f t="shared" ref="R13:R18" ca="1" si="6">SUM(M13:Q13)</f>
        <v>-2674.04374173825</v>
      </c>
      <c r="S13" s="17">
        <f t="shared" ca="1" si="4"/>
        <v>-2674.04374173825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-1753.9350029855159</v>
      </c>
      <c r="K14" s="14">
        <f ca="1">-(K18-R11)</f>
        <v>-1489.0202174981223</v>
      </c>
      <c r="L14" s="13">
        <f ca="1">-(L18-R12)</f>
        <v>-2805.7406691322903</v>
      </c>
      <c r="M14" s="14">
        <f t="shared" ca="1" si="5"/>
        <v>-6048.6958896159285</v>
      </c>
      <c r="N14" s="16">
        <f ca="1">-E16</f>
        <v>-7949.1721783777302</v>
      </c>
      <c r="O14" s="16"/>
      <c r="P14" s="11"/>
      <c r="Q14" s="13"/>
      <c r="R14" s="14">
        <f t="shared" ca="1" si="6"/>
        <v>-13997.868067993659</v>
      </c>
      <c r="S14" s="16">
        <f t="shared" ca="1" si="4"/>
        <v>-13997.868067993659</v>
      </c>
    </row>
    <row r="15" spans="1:21">
      <c r="A15" s="18" t="s">
        <v>79</v>
      </c>
      <c r="B15" s="11"/>
      <c r="C15" s="14"/>
      <c r="D15" s="14"/>
      <c r="E15" s="14">
        <f ca="1">-(J14+K14)-L14</f>
        <v>6048.6958896159285</v>
      </c>
      <c r="F15" s="14"/>
      <c r="G15" s="14"/>
      <c r="H15" s="14"/>
      <c r="I15" s="14"/>
      <c r="J15" s="14"/>
      <c r="K15" s="14"/>
      <c r="L15" s="13"/>
      <c r="M15" s="14">
        <f t="shared" ca="1" si="5"/>
        <v>6048.6958896159285</v>
      </c>
      <c r="N15" s="16"/>
      <c r="O15" s="16"/>
      <c r="P15" s="11"/>
      <c r="Q15" s="13"/>
      <c r="R15" s="14">
        <f t="shared" ca="1" si="6"/>
        <v>6048.6958896159285</v>
      </c>
      <c r="S15" s="16">
        <f t="shared" ca="1" si="4"/>
        <v>6048.6958896159285</v>
      </c>
    </row>
    <row r="16" spans="1:21">
      <c r="A16" s="18" t="s">
        <v>80</v>
      </c>
      <c r="B16" s="11"/>
      <c r="C16" s="14"/>
      <c r="D16" s="14"/>
      <c r="E16" s="14">
        <f ca="1">E18-E15</f>
        <v>7949.1721783777302</v>
      </c>
      <c r="F16" s="14"/>
      <c r="G16" s="14"/>
      <c r="H16" s="14"/>
      <c r="I16" s="14"/>
      <c r="J16" s="14"/>
      <c r="K16" s="14"/>
      <c r="L16" s="13"/>
      <c r="M16" s="14">
        <f t="shared" ca="1" si="5"/>
        <v>7949.1721783777302</v>
      </c>
      <c r="N16" s="16"/>
      <c r="O16" s="16"/>
      <c r="P16" s="11"/>
      <c r="Q16" s="13"/>
      <c r="R16" s="14">
        <f t="shared" ca="1" si="6"/>
        <v>7949.1721783777302</v>
      </c>
      <c r="S16" s="16">
        <f t="shared" ca="1" si="4"/>
        <v>7949.1721783777302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4380.2656737445905</v>
      </c>
      <c r="D18" s="9">
        <f ca="1">SUM(D$2:D$12)</f>
        <v>0</v>
      </c>
      <c r="E18" s="9">
        <f ca="1">$R$5/parameters!$B$4</f>
        <v>13997.868067993659</v>
      </c>
      <c r="F18" s="9">
        <f t="shared" ref="F18:L18" ca="1" si="7">SUM(F$2:F$12)</f>
        <v>4395.373134328358</v>
      </c>
      <c r="G18" s="9">
        <f t="shared" ca="1" si="7"/>
        <v>0</v>
      </c>
      <c r="H18" s="9">
        <f t="shared" ca="1" si="7"/>
        <v>19399.289446185998</v>
      </c>
      <c r="I18" s="9">
        <f t="shared" ca="1" si="7"/>
        <v>22687.98</v>
      </c>
      <c r="J18" s="9">
        <f t="shared" ca="1" si="7"/>
        <v>14413.575002985515</v>
      </c>
      <c r="K18" s="9">
        <f t="shared" ca="1" si="7"/>
        <v>12236.54499701448</v>
      </c>
      <c r="L18" s="9">
        <f t="shared" ca="1" si="7"/>
        <v>25131.964779516358</v>
      </c>
      <c r="M18" s="17">
        <f ca="1">SUM(B18:L18)</f>
        <v>116642.86110176895</v>
      </c>
      <c r="N18" s="17"/>
      <c r="O18" s="17"/>
      <c r="P18" s="9"/>
      <c r="Q18" s="14"/>
      <c r="R18" s="11">
        <f t="shared" ca="1" si="6"/>
        <v>116642.86110176895</v>
      </c>
      <c r="S18" s="17">
        <f t="shared" ca="1" si="4"/>
        <v>116642.86110176895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0.8783136728658768</v>
      </c>
      <c r="K19" s="39">
        <f ca="1">J19</f>
        <v>0.8783136728658768</v>
      </c>
      <c r="L19" s="40">
        <f ca="1">1-(-L14)/L18</f>
        <v>0.88835967685984141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19080.688336520074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19080.688336520074</v>
      </c>
      <c r="N2" s="17"/>
      <c r="O2" s="17">
        <f ca="1">R2-(M2+P2+Q2)</f>
        <v>0</v>
      </c>
      <c r="P2" s="11" cm="1">
        <f t="array" aca="1" ref="P2" ca="1">INDIRECT("'data'!$F$" &amp; $A$1)</f>
        <v>25936.3</v>
      </c>
      <c r="Q2" s="13">
        <f ca="1">IF(-(M2-R2+P2)&lt;0, -(M2-R2+P2), 0)</f>
        <v>-5516.9883365200731</v>
      </c>
      <c r="R2" s="17" cm="1">
        <f t="array" aca="1" ref="R2" ca="1">INDIRECT("'data'!$D$" &amp; $A$1)</f>
        <v>39500</v>
      </c>
      <c r="S2" s="17">
        <f ca="1">SUM(M2:Q2)</f>
        <v>39500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11470.220895522389</v>
      </c>
      <c r="G3" s="14">
        <f ca="1">R7/parameters!$B$6</f>
        <v>5021.194029850747</v>
      </c>
      <c r="H3" s="14">
        <f ca="1">R3-P3-Q3-F3-G3</f>
        <v>31.910074626865025</v>
      </c>
      <c r="I3" s="14"/>
      <c r="J3" s="14"/>
      <c r="K3" s="14"/>
      <c r="L3" s="13"/>
      <c r="M3" s="16">
        <f t="shared" ref="M3:M11" ca="1" si="0">SUM(B3:L3)</f>
        <v>16523.325000000004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2438.1</v>
      </c>
      <c r="Q3" s="13" cm="1">
        <f t="array" aca="1" ref="Q3" ca="1">-INDIRECT("'data'!$I$" &amp; $A$1)*parameters!$B$13</f>
        <v>-0.94499999999999995</v>
      </c>
      <c r="R3" s="16" cm="1">
        <f t="array" aca="1" ref="R3" ca="1">INDIRECT("'data'!$G$" &amp; $A$1)*parameters!$B$13</f>
        <v>18960.48</v>
      </c>
      <c r="S3" s="16">
        <f t="shared" ref="S3:S11" ca="1" si="2">SUM(M3:Q3)</f>
        <v>18960.480000000003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2.7600000000000002</v>
      </c>
      <c r="I4" s="14"/>
      <c r="J4" s="14"/>
      <c r="K4" s="14"/>
      <c r="L4" s="13"/>
      <c r="M4" s="16">
        <f t="shared" ca="1" si="0"/>
        <v>2.7600000000000002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-2.7600000000000002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R6/parameters!$B$5*26%</f>
        <v>4030.0776119402985</v>
      </c>
      <c r="G5" s="14"/>
      <c r="H5" s="14">
        <f ca="1">R8/parameters!$B$7-(H3+H4)</f>
        <v>1197.2421510784643</v>
      </c>
      <c r="I5" s="14"/>
      <c r="J5" s="14"/>
      <c r="K5" s="14"/>
      <c r="L5" s="13"/>
      <c r="M5" s="16">
        <f t="shared" ca="1" si="0"/>
        <v>5227.3197630187624</v>
      </c>
      <c r="N5" s="16"/>
      <c r="O5" s="16"/>
      <c r="P5" s="11" cm="1">
        <f t="array" aca="1" ref="P5" ca="1">INDIRECT("'data'!$M$" &amp; $A$1)*parameters!$B$15</f>
        <v>41.16</v>
      </c>
      <c r="Q5" s="13" cm="1">
        <f t="array" aca="1" ref="Q5" ca="1">-INDIRECT("'data'!$N$" &amp; $A$1)*parameters!$B$15</f>
        <v>-49</v>
      </c>
      <c r="R5" s="16">
        <f ca="1">SUM(M5:Q5)</f>
        <v>5219.4797630187622</v>
      </c>
      <c r="S5" s="16">
        <f t="shared" ca="1" si="2"/>
        <v>5219.4797630187622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14539.279999999999</v>
      </c>
      <c r="J6" s="14"/>
      <c r="K6" s="14"/>
      <c r="L6" s="13"/>
      <c r="M6" s="16">
        <f t="shared" ca="1" si="0"/>
        <v>14539.279999999999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14539.279999999999</v>
      </c>
      <c r="S6" s="16">
        <f t="shared" ca="1" si="2"/>
        <v>14539.279999999999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4709.88</v>
      </c>
      <c r="J7" s="14"/>
      <c r="K7" s="14"/>
      <c r="L7" s="13"/>
      <c r="M7" s="16">
        <f t="shared" ca="1" si="0"/>
        <v>4709.88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4709.88</v>
      </c>
      <c r="S7" s="16">
        <f t="shared" ca="1" si="2"/>
        <v>4709.88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1178.94</v>
      </c>
      <c r="J8" s="14"/>
      <c r="K8" s="14"/>
      <c r="L8" s="13"/>
      <c r="M8" s="16">
        <f t="shared" ca="1" si="0"/>
        <v>1178.94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1178.94</v>
      </c>
      <c r="S8" s="16">
        <f t="shared" ca="1" si="2"/>
        <v>1178.94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6198.6656226118421</v>
      </c>
      <c r="K9" s="14">
        <f ca="1">R11/K19</f>
        <v>7296.9143773881569</v>
      </c>
      <c r="L9" s="13"/>
      <c r="M9" s="16">
        <f t="shared" ca="1" si="0"/>
        <v>13495.579999999998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6979.5599999999995</v>
      </c>
      <c r="Q9" s="13" cm="1">
        <f t="array" aca="1" ref="Q9" ca="1">-INDIRECT("'data'!$S$" &amp; $A$1)*parameters!$B$15</f>
        <v>-47.04</v>
      </c>
      <c r="R9" s="16">
        <f ca="1">SUM(R6:R8)</f>
        <v>20428.099999999999</v>
      </c>
      <c r="S9" s="16">
        <f t="shared" ca="1" si="2"/>
        <v>20428.099999999999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3496.64</v>
      </c>
      <c r="M10" s="16">
        <f t="shared" ca="1" si="0"/>
        <v>3496.64</v>
      </c>
      <c r="N10" s="16"/>
      <c r="O10" s="16">
        <f t="shared" ca="1" si="3"/>
        <v>0</v>
      </c>
      <c r="P10" s="11" cm="1">
        <f t="array" aca="1" ref="P10" ca="1">INDIRECT("'data'!$U$" &amp; $A$1)*parameters!$B$15</f>
        <v>2635.22</v>
      </c>
      <c r="Q10" s="13" cm="1">
        <f t="array" aca="1" ref="Q10" ca="1">-INDIRECT("'data'!$V$" &amp; $A$1)*parameters!$B$15</f>
        <v>-510.58</v>
      </c>
      <c r="R10" s="16" cm="1">
        <f t="array" aca="1" ref="R10" ca="1">INDIRECT("'data'!$T$" &amp; $A$1)*parameters!$B$15</f>
        <v>5621.28</v>
      </c>
      <c r="S10" s="16">
        <f t="shared" ca="1" si="2"/>
        <v>5621.28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2425.7704409672829</v>
      </c>
      <c r="M11" s="16">
        <f t="shared" ca="1" si="0"/>
        <v>2425.7704409672829</v>
      </c>
      <c r="N11" s="16"/>
      <c r="O11" s="16">
        <f t="shared" ca="1" si="3"/>
        <v>0</v>
      </c>
      <c r="P11" s="11" cm="1">
        <f t="array" aca="1" ref="P11" ca="1">INDIRECT("'data'!$X$" &amp; $A$1)*parameters!$B$15</f>
        <v>5025.4399999999996</v>
      </c>
      <c r="Q11" s="13" cm="1">
        <f t="array" aca="1" ref="Q11" ca="1">-INDIRECT("'data'!$Y$" &amp; $A$1)*parameters!$B$15</f>
        <v>-833.98</v>
      </c>
      <c r="R11" s="16" cm="1">
        <f t="array" aca="1" ref="R11" ca="1">INDIRECT("'data'!$W$" &amp; $A$1)*parameters!$B$15</f>
        <v>6617.2304409672824</v>
      </c>
      <c r="S11" s="16">
        <f t="shared" ca="1" si="2"/>
        <v>6617.2304409672834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6843.9841792318621</v>
      </c>
      <c r="O12" s="19"/>
      <c r="P12" s="21" cm="1">
        <f t="array" aca="1" ref="P12" ca="1">INDIRECT("'data'!$Z$" &amp; $A$1)*parameters!$B$15</f>
        <v>863.38</v>
      </c>
      <c r="Q12" s="27" cm="1">
        <f t="array" aca="1" ref="Q12" ca="1">-INDIRECT("'data'!$AA$" &amp; $A$1)*parameters!$B$15</f>
        <v>-2334.36</v>
      </c>
      <c r="R12" s="16">
        <f ca="1">L10*parameters!$B$10+L11*parameters!$B$11</f>
        <v>5373.0041792318625</v>
      </c>
      <c r="S12" s="16">
        <f t="shared" ref="S12:S18" ca="1" si="4">SUM(M12:Q12)</f>
        <v>5373.0041792318625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-120.20833652007423</v>
      </c>
      <c r="D13" s="9">
        <f ca="1">-(D18-R4)</f>
        <v>0</v>
      </c>
      <c r="E13" s="9">
        <f ca="1">-(E18-R5)</f>
        <v>-645.10424037310531</v>
      </c>
      <c r="F13" s="9">
        <f ca="1">-(F18-R6)</f>
        <v>-961.01850746268792</v>
      </c>
      <c r="G13" s="9">
        <f ca="1">-(G18-R7)</f>
        <v>-311.31402985074692</v>
      </c>
      <c r="H13" s="9">
        <f ca="1">-(H18-R8)</f>
        <v>-52.972225705329265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-2090.6173399119434</v>
      </c>
      <c r="N13" s="17"/>
      <c r="O13" s="17"/>
      <c r="P13" s="10"/>
      <c r="Q13" s="12"/>
      <c r="R13" s="9">
        <f t="shared" ref="R13:R18" ca="1" si="6">SUM(M13:Q13)</f>
        <v>-2090.6173399119434</v>
      </c>
      <c r="S13" s="17">
        <f t="shared" ca="1" si="4"/>
        <v>-2090.6173399119434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-577.38562261184234</v>
      </c>
      <c r="K14" s="14">
        <f ca="1">-(K18-R11)</f>
        <v>-679.68393642087449</v>
      </c>
      <c r="L14" s="13">
        <f ca="1">-(L18-R12)</f>
        <v>-549.40626173542023</v>
      </c>
      <c r="M14" s="14">
        <f t="shared" ca="1" si="5"/>
        <v>-1806.4758207681371</v>
      </c>
      <c r="N14" s="16">
        <f ca="1">-E16</f>
        <v>-4058.1081826237305</v>
      </c>
      <c r="O14" s="16"/>
      <c r="P14" s="11"/>
      <c r="Q14" s="13"/>
      <c r="R14" s="14">
        <f t="shared" ca="1" si="6"/>
        <v>-5864.5840033918676</v>
      </c>
      <c r="S14" s="16">
        <f t="shared" ca="1" si="4"/>
        <v>-5864.5840033918676</v>
      </c>
    </row>
    <row r="15" spans="1:21">
      <c r="A15" s="18" t="s">
        <v>79</v>
      </c>
      <c r="B15" s="11"/>
      <c r="C15" s="14"/>
      <c r="D15" s="14"/>
      <c r="E15" s="14">
        <f ca="1">-(J14+K14)-L14</f>
        <v>1806.4758207681371</v>
      </c>
      <c r="F15" s="14"/>
      <c r="G15" s="14"/>
      <c r="H15" s="14"/>
      <c r="I15" s="14"/>
      <c r="J15" s="14"/>
      <c r="K15" s="14"/>
      <c r="L15" s="13"/>
      <c r="M15" s="14">
        <f t="shared" ca="1" si="5"/>
        <v>1806.4758207681371</v>
      </c>
      <c r="N15" s="16"/>
      <c r="O15" s="16"/>
      <c r="P15" s="11"/>
      <c r="Q15" s="13"/>
      <c r="R15" s="14">
        <f t="shared" ca="1" si="6"/>
        <v>1806.4758207681371</v>
      </c>
      <c r="S15" s="16">
        <f t="shared" ca="1" si="4"/>
        <v>1806.4758207681371</v>
      </c>
    </row>
    <row r="16" spans="1:21">
      <c r="A16" s="18" t="s">
        <v>80</v>
      </c>
      <c r="B16" s="11"/>
      <c r="C16" s="14"/>
      <c r="D16" s="14"/>
      <c r="E16" s="14">
        <f ca="1">E18-E15</f>
        <v>4058.1081826237305</v>
      </c>
      <c r="F16" s="14"/>
      <c r="G16" s="14"/>
      <c r="H16" s="14"/>
      <c r="I16" s="14"/>
      <c r="J16" s="14"/>
      <c r="K16" s="14"/>
      <c r="L16" s="13"/>
      <c r="M16" s="14">
        <f t="shared" ca="1" si="5"/>
        <v>4058.1081826237305</v>
      </c>
      <c r="N16" s="16"/>
      <c r="O16" s="16"/>
      <c r="P16" s="11"/>
      <c r="Q16" s="13"/>
      <c r="R16" s="14">
        <f t="shared" ca="1" si="6"/>
        <v>4058.1081826237305</v>
      </c>
      <c r="S16" s="16">
        <f t="shared" ca="1" si="4"/>
        <v>4058.1081826237305</v>
      </c>
    </row>
    <row r="17" spans="1:19">
      <c r="A17" s="30" t="s">
        <v>90</v>
      </c>
      <c r="B17" s="21">
        <f ca="1">R2</f>
        <v>39500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39500</v>
      </c>
      <c r="N17" s="19"/>
      <c r="O17" s="19"/>
      <c r="P17" s="21"/>
      <c r="Q17" s="27"/>
      <c r="R17" s="22">
        <f t="shared" ca="1" si="6"/>
        <v>39500</v>
      </c>
      <c r="S17" s="19">
        <f t="shared" ca="1" si="4"/>
        <v>39500</v>
      </c>
    </row>
    <row r="18" spans="1:19">
      <c r="A18" s="29" t="s">
        <v>89</v>
      </c>
      <c r="B18" s="9">
        <f ca="1">B17</f>
        <v>39500</v>
      </c>
      <c r="C18" s="9">
        <f ca="1">SUM(C$2:C$12)</f>
        <v>19080.688336520074</v>
      </c>
      <c r="D18" s="9">
        <f ca="1">SUM(D$2:D$12)</f>
        <v>0</v>
      </c>
      <c r="E18" s="9">
        <f ca="1">$R$5/parameters!$B$4</f>
        <v>5864.5840033918676</v>
      </c>
      <c r="F18" s="9">
        <f t="shared" ref="F18:L18" ca="1" si="7">SUM(F$2:F$12)</f>
        <v>15500.298507462687</v>
      </c>
      <c r="G18" s="9">
        <f t="shared" ca="1" si="7"/>
        <v>5021.194029850747</v>
      </c>
      <c r="H18" s="9">
        <f t="shared" ca="1" si="7"/>
        <v>1231.9122257053293</v>
      </c>
      <c r="I18" s="9">
        <f t="shared" ca="1" si="7"/>
        <v>20428.099999999999</v>
      </c>
      <c r="J18" s="9">
        <f t="shared" ca="1" si="7"/>
        <v>6198.6656226118421</v>
      </c>
      <c r="K18" s="9">
        <f t="shared" ca="1" si="7"/>
        <v>7296.9143773881569</v>
      </c>
      <c r="L18" s="9">
        <f t="shared" ca="1" si="7"/>
        <v>5922.4104409672827</v>
      </c>
      <c r="M18" s="17">
        <f ca="1">SUM(B18:L18)</f>
        <v>126044.76754389798</v>
      </c>
      <c r="N18" s="17"/>
      <c r="O18" s="17"/>
      <c r="P18" s="9"/>
      <c r="Q18" s="14"/>
      <c r="R18" s="11">
        <f t="shared" ca="1" si="6"/>
        <v>126044.76754389798</v>
      </c>
      <c r="S18" s="17">
        <f t="shared" ca="1" si="4"/>
        <v>126044.76754389798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0.90685323942855978</v>
      </c>
      <c r="K19" s="39">
        <f ca="1">J19</f>
        <v>0.90685323942855978</v>
      </c>
      <c r="L19" s="40">
        <f ca="1">1-(-L14)/L18</f>
        <v>0.90723266021297777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3656.5613364194419</v>
      </c>
      <c r="D2" s="9">
        <f ca="1">R4/parameters!$B$3</f>
        <v>5530.9248264063599</v>
      </c>
      <c r="E2" s="9"/>
      <c r="F2" s="9"/>
      <c r="G2" s="9"/>
      <c r="H2" s="9"/>
      <c r="I2" s="9"/>
      <c r="J2" s="9"/>
      <c r="K2" s="9"/>
      <c r="L2" s="12"/>
      <c r="M2" s="17">
        <f ca="1">SUM(B2:L2)</f>
        <v>9187.4861628258022</v>
      </c>
      <c r="N2" s="17"/>
      <c r="O2" s="17">
        <f ca="1">R2-(M2+P2+Q2)</f>
        <v>0</v>
      </c>
      <c r="P2" s="11" cm="1">
        <f t="array" aca="1" ref="P2" ca="1">INDIRECT("'data'!$F$" &amp; $A$1)</f>
        <v>711.75</v>
      </c>
      <c r="Q2" s="13">
        <f ca="1">IF(-(M2-R2+P2)&lt;0, -(M2-R2+P2), 0)</f>
        <v>-2758.2361628258022</v>
      </c>
      <c r="R2" s="17" cm="1">
        <f t="array" aca="1" ref="R2" ca="1">INDIRECT("'data'!$D$" &amp; $A$1)</f>
        <v>7141</v>
      </c>
      <c r="S2" s="17">
        <f ca="1">SUM(M2:Q2)</f>
        <v>7141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3545.5522388059703</v>
      </c>
      <c r="G3" s="14">
        <f ca="1">R7/parameters!$B$6</f>
        <v>0</v>
      </c>
      <c r="H3" s="14">
        <f ca="1">R3-P3-Q3-F3-G3</f>
        <v>413.99776119402941</v>
      </c>
      <c r="I3" s="14"/>
      <c r="J3" s="14"/>
      <c r="K3" s="14"/>
      <c r="L3" s="13"/>
      <c r="M3" s="16">
        <f t="shared" ref="M3:M11" ca="1" si="0">SUM(B3:L3)</f>
        <v>3959.5499999999997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-326.02499999999998</v>
      </c>
      <c r="R3" s="16" cm="1">
        <f t="array" aca="1" ref="R3" ca="1">INDIRECT("'data'!$G$" &amp; $A$1)*parameters!$B$13</f>
        <v>3633.5249999999996</v>
      </c>
      <c r="S3" s="16">
        <f t="shared" ref="S3:S11" ca="1" si="2">SUM(M3:Q3)</f>
        <v>3633.5249999999996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5893.52</v>
      </c>
      <c r="I4" s="14"/>
      <c r="J4" s="14"/>
      <c r="K4" s="14"/>
      <c r="L4" s="13"/>
      <c r="M4" s="16">
        <f t="shared" ca="1" si="0"/>
        <v>5893.52</v>
      </c>
      <c r="N4" s="16"/>
      <c r="O4" s="16">
        <f t="shared" ca="1" si="1"/>
        <v>0</v>
      </c>
      <c r="P4" s="11" cm="1">
        <f t="array" aca="1" ref="P4" ca="1">INDIRECT("'data'!$K$" &amp; $A$1)*parameters!$B$14</f>
        <v>31.28</v>
      </c>
      <c r="Q4" s="13" cm="1">
        <f t="array" aca="1" ref="Q4" ca="1">-INDIRECT("'data'!$L$" &amp; $A$1)*parameters!$B$14</f>
        <v>-428.72</v>
      </c>
      <c r="R4" s="16" cm="1">
        <f t="array" aca="1" ref="R4" ca="1">INDIRECT("'data'!$J$" &amp; $A$1)*parameters!$B$14</f>
        <v>5496.08</v>
      </c>
      <c r="S4" s="16">
        <f t="shared" ca="1" si="2"/>
        <v>5496.08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886.38805970149269</v>
      </c>
      <c r="G5" s="14"/>
      <c r="H5" s="14">
        <f ca="1">R8/parameters!$B$7-(H3+H4)</f>
        <v>8177.4352168623982</v>
      </c>
      <c r="I5" s="14"/>
      <c r="J5" s="14"/>
      <c r="K5" s="14"/>
      <c r="L5" s="13"/>
      <c r="M5" s="16">
        <f t="shared" ca="1" si="0"/>
        <v>9063.8232765638913</v>
      </c>
      <c r="N5" s="16"/>
      <c r="O5" s="16"/>
      <c r="P5" s="11" cm="1">
        <f t="array" aca="1" ref="P5" ca="1">INDIRECT("'data'!$M$" &amp; $A$1)*parameters!$B$15</f>
        <v>825.16</v>
      </c>
      <c r="Q5" s="13" cm="1">
        <f t="array" aca="1" ref="Q5" ca="1">-INDIRECT("'data'!$N$" &amp; $A$1)*parameters!$B$15</f>
        <v>-1442.56</v>
      </c>
      <c r="R5" s="16">
        <f ca="1">SUM(M5:Q5)</f>
        <v>8446.4232765638917</v>
      </c>
      <c r="S5" s="16">
        <f t="shared" ca="1" si="2"/>
        <v>8446.4232765638917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4157.16</v>
      </c>
      <c r="J6" s="14"/>
      <c r="K6" s="14"/>
      <c r="L6" s="13"/>
      <c r="M6" s="16">
        <f t="shared" ca="1" si="0"/>
        <v>4157.16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4157.16</v>
      </c>
      <c r="S6" s="16">
        <f t="shared" ca="1" si="2"/>
        <v>4157.16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13862.1</v>
      </c>
      <c r="J8" s="14"/>
      <c r="K8" s="14"/>
      <c r="L8" s="13"/>
      <c r="M8" s="16">
        <f t="shared" ca="1" si="0"/>
        <v>13862.1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13862.1</v>
      </c>
      <c r="S8" s="16">
        <f t="shared" ca="1" si="2"/>
        <v>13862.1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9957.3522605608396</v>
      </c>
      <c r="K9" s="14">
        <f ca="1">R11/K19</f>
        <v>8492.1277394391655</v>
      </c>
      <c r="L9" s="13"/>
      <c r="M9" s="16">
        <f t="shared" ca="1" si="0"/>
        <v>18449.480000000003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1648.36</v>
      </c>
      <c r="Q9" s="13" cm="1">
        <f t="array" aca="1" ref="Q9" ca="1">-INDIRECT("'data'!$S$" &amp; $A$1)*parameters!$B$15</f>
        <v>-2078.58</v>
      </c>
      <c r="R9" s="16">
        <f ca="1">SUM(R6:R8)</f>
        <v>18019.260000000002</v>
      </c>
      <c r="S9" s="16">
        <f t="shared" ca="1" si="2"/>
        <v>18019.260000000002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8930.74</v>
      </c>
      <c r="M10" s="16">
        <f t="shared" ca="1" si="0"/>
        <v>8930.74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1495.48</v>
      </c>
      <c r="Q10" s="13" cm="1">
        <f t="array" aca="1" ref="Q10" ca="1">-INDIRECT("'data'!$V$" &amp; $A$1)*parameters!$B$15</f>
        <v>-1402.3799999999999</v>
      </c>
      <c r="R10" s="16" cm="1">
        <f t="array" aca="1" ref="R10" ca="1">INDIRECT("'data'!$T$" &amp; $A$1)*parameters!$B$15</f>
        <v>9023.84</v>
      </c>
      <c r="S10" s="16">
        <f t="shared" ca="1" si="2"/>
        <v>9023.84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14076.761820768137</v>
      </c>
      <c r="M11" s="16">
        <f t="shared" ca="1" si="0"/>
        <v>14076.761820768137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873.18</v>
      </c>
      <c r="Q11" s="13" cm="1">
        <f t="array" aca="1" ref="Q11" ca="1">-INDIRECT("'data'!$Y$" &amp; $A$1)*parameters!$B$15</f>
        <v>-7253.96</v>
      </c>
      <c r="R11" s="16" cm="1">
        <f t="array" aca="1" ref="R11" ca="1">INDIRECT("'data'!$W$" &amp; $A$1)*parameters!$B$15</f>
        <v>7695.9818207681365</v>
      </c>
      <c r="S11" s="16">
        <f t="shared" ca="1" si="2"/>
        <v>7695.9818207681374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11572.130765860597</v>
      </c>
      <c r="O12" s="19"/>
      <c r="P12" s="21" cm="1">
        <f t="array" aca="1" ref="P12" ca="1">INDIRECT("'data'!$Z$" &amp; $A$1)*parameters!$B$15</f>
        <v>16903.04</v>
      </c>
      <c r="Q12" s="27" cm="1">
        <f t="array" aca="1" ref="Q12" ca="1">-INDIRECT("'data'!$AA$" &amp; $A$1)*parameters!$B$15</f>
        <v>-7974.26</v>
      </c>
      <c r="R12" s="16">
        <f ca="1">L10*parameters!$B$10+L11*parameters!$B$11</f>
        <v>20500.910765860597</v>
      </c>
      <c r="S12" s="16">
        <f t="shared" ref="S12:S18" ca="1" si="4">SUM(M12:Q12)</f>
        <v>20500.910765860594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-23.03633641944225</v>
      </c>
      <c r="D13" s="9">
        <f ca="1">-(D18-R4)</f>
        <v>-34.844826406359971</v>
      </c>
      <c r="E13" s="9">
        <f ca="1">-(E18-R5)</f>
        <v>-1043.939955530368</v>
      </c>
      <c r="F13" s="9">
        <f ca="1">-(F18-R6)</f>
        <v>-274.78029850746316</v>
      </c>
      <c r="G13" s="9">
        <f ca="1">-(G18-R7)</f>
        <v>0</v>
      </c>
      <c r="H13" s="9">
        <f ca="1">-(H18-R8)</f>
        <v>-622.85297805642767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-1999.4543949200611</v>
      </c>
      <c r="N13" s="17"/>
      <c r="O13" s="17"/>
      <c r="P13" s="10"/>
      <c r="Q13" s="12"/>
      <c r="R13" s="9">
        <f t="shared" ref="R13:R18" ca="1" si="6">SUM(M13:Q13)</f>
        <v>-1999.4543949200611</v>
      </c>
      <c r="S13" s="17">
        <f t="shared" ca="1" si="4"/>
        <v>-1999.4543949200611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-933.51226056083942</v>
      </c>
      <c r="K14" s="14">
        <f ca="1">-(K18-R11)</f>
        <v>-796.14591867102899</v>
      </c>
      <c r="L14" s="13">
        <f ca="1">-(L18-R12)</f>
        <v>-2506.5910549075379</v>
      </c>
      <c r="M14" s="14">
        <f t="shared" ca="1" si="5"/>
        <v>-4236.2492341394063</v>
      </c>
      <c r="N14" s="16">
        <f ca="1">-E16</f>
        <v>-5254.1139979548534</v>
      </c>
      <c r="O14" s="16"/>
      <c r="P14" s="11"/>
      <c r="Q14" s="13"/>
      <c r="R14" s="14">
        <f t="shared" ca="1" si="6"/>
        <v>-9490.3632320942597</v>
      </c>
      <c r="S14" s="16">
        <f t="shared" ca="1" si="4"/>
        <v>-9490.3632320942597</v>
      </c>
    </row>
    <row r="15" spans="1:21">
      <c r="A15" s="18" t="s">
        <v>79</v>
      </c>
      <c r="B15" s="11"/>
      <c r="C15" s="14"/>
      <c r="D15" s="14"/>
      <c r="E15" s="14">
        <f ca="1">-(J14+K14)-L14</f>
        <v>4236.2492341394063</v>
      </c>
      <c r="F15" s="14"/>
      <c r="G15" s="14"/>
      <c r="H15" s="14"/>
      <c r="I15" s="14"/>
      <c r="J15" s="14"/>
      <c r="K15" s="14"/>
      <c r="L15" s="13"/>
      <c r="M15" s="14">
        <f t="shared" ca="1" si="5"/>
        <v>4236.2492341394063</v>
      </c>
      <c r="N15" s="16"/>
      <c r="O15" s="16"/>
      <c r="P15" s="11"/>
      <c r="Q15" s="13"/>
      <c r="R15" s="14">
        <f t="shared" ca="1" si="6"/>
        <v>4236.2492341394063</v>
      </c>
      <c r="S15" s="16">
        <f t="shared" ca="1" si="4"/>
        <v>4236.2492341394063</v>
      </c>
    </row>
    <row r="16" spans="1:21">
      <c r="A16" s="18" t="s">
        <v>80</v>
      </c>
      <c r="B16" s="11"/>
      <c r="C16" s="14"/>
      <c r="D16" s="14"/>
      <c r="E16" s="14">
        <f ca="1">E18-E15</f>
        <v>5254.1139979548534</v>
      </c>
      <c r="F16" s="14"/>
      <c r="G16" s="14"/>
      <c r="H16" s="14"/>
      <c r="I16" s="14"/>
      <c r="J16" s="14"/>
      <c r="K16" s="14"/>
      <c r="L16" s="13"/>
      <c r="M16" s="14">
        <f t="shared" ca="1" si="5"/>
        <v>5254.1139979548534</v>
      </c>
      <c r="N16" s="16"/>
      <c r="O16" s="16"/>
      <c r="P16" s="11"/>
      <c r="Q16" s="13"/>
      <c r="R16" s="14">
        <f t="shared" ca="1" si="6"/>
        <v>5254.1139979548534</v>
      </c>
      <c r="S16" s="16">
        <f t="shared" ca="1" si="4"/>
        <v>5254.1139979548534</v>
      </c>
    </row>
    <row r="17" spans="1:19">
      <c r="A17" s="30" t="s">
        <v>90</v>
      </c>
      <c r="B17" s="21">
        <f ca="1">R2</f>
        <v>7141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7141</v>
      </c>
      <c r="N17" s="19"/>
      <c r="O17" s="19"/>
      <c r="P17" s="21"/>
      <c r="Q17" s="27"/>
      <c r="R17" s="22">
        <f t="shared" ca="1" si="6"/>
        <v>7141</v>
      </c>
      <c r="S17" s="19">
        <f t="shared" ca="1" si="4"/>
        <v>7141</v>
      </c>
    </row>
    <row r="18" spans="1:19">
      <c r="A18" s="29" t="s">
        <v>89</v>
      </c>
      <c r="B18" s="9">
        <f ca="1">B17</f>
        <v>7141</v>
      </c>
      <c r="C18" s="9">
        <f ca="1">SUM(C$2:C$12)</f>
        <v>3656.5613364194419</v>
      </c>
      <c r="D18" s="9">
        <f ca="1">SUM(D$2:D$12)</f>
        <v>5530.9248264063599</v>
      </c>
      <c r="E18" s="9">
        <f ca="1">$R$5/parameters!$B$4</f>
        <v>9490.3632320942597</v>
      </c>
      <c r="F18" s="9">
        <f t="shared" ref="F18:L18" ca="1" si="7">SUM(F$2:F$12)</f>
        <v>4431.940298507463</v>
      </c>
      <c r="G18" s="9">
        <f t="shared" ca="1" si="7"/>
        <v>0</v>
      </c>
      <c r="H18" s="9">
        <f t="shared" ca="1" si="7"/>
        <v>14484.952978056428</v>
      </c>
      <c r="I18" s="9">
        <f t="shared" ca="1" si="7"/>
        <v>18019.260000000002</v>
      </c>
      <c r="J18" s="9">
        <f t="shared" ca="1" si="7"/>
        <v>9957.3522605608396</v>
      </c>
      <c r="K18" s="9">
        <f t="shared" ca="1" si="7"/>
        <v>8492.1277394391655</v>
      </c>
      <c r="L18" s="9">
        <f t="shared" ca="1" si="7"/>
        <v>23007.501820768135</v>
      </c>
      <c r="M18" s="17">
        <f ca="1">SUM(B18:L18)</f>
        <v>104211.98449225209</v>
      </c>
      <c r="N18" s="17"/>
      <c r="O18" s="17"/>
      <c r="P18" s="9"/>
      <c r="Q18" s="14"/>
      <c r="R18" s="11">
        <f t="shared" ca="1" si="6"/>
        <v>104211.98449225209</v>
      </c>
      <c r="S18" s="17">
        <f t="shared" ca="1" si="4"/>
        <v>104211.98449225209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0.90624894689542101</v>
      </c>
      <c r="K19" s="39">
        <f ca="1">J19</f>
        <v>0.90624894689542101</v>
      </c>
      <c r="L19" s="40">
        <f ca="1">1-(-L14)/L18</f>
        <v>0.89105331493900319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9353.9498842709054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9353.9498842709054</v>
      </c>
      <c r="N2" s="17"/>
      <c r="O2" s="17">
        <f ca="1">R2-(M2+P2+Q2)</f>
        <v>0</v>
      </c>
      <c r="P2" s="11" cm="1">
        <f t="array" aca="1" ref="P2" ca="1">INDIRECT("'data'!$F$" &amp; $A$1)</f>
        <v>1316.9</v>
      </c>
      <c r="Q2" s="13">
        <f ca="1">IF(-(M2-R2+P2)&lt;0, -(M2-R2+P2), 0)</f>
        <v>-7434.849884270905</v>
      </c>
      <c r="R2" s="17" cm="1">
        <f t="array" aca="1" ref="R2" ca="1">INDIRECT("'data'!$D$" &amp; $A$1)</f>
        <v>3236</v>
      </c>
      <c r="S2" s="17">
        <f ca="1">SUM(M2:Q2)</f>
        <v>3236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8145.9104477611936</v>
      </c>
      <c r="G3" s="14">
        <f ca="1">R7/parameters!$B$6</f>
        <v>0</v>
      </c>
      <c r="H3" s="14">
        <f ca="1">R3-P3-Q3-F3-G3</f>
        <v>1238.8845522388046</v>
      </c>
      <c r="I3" s="14"/>
      <c r="J3" s="14"/>
      <c r="K3" s="14"/>
      <c r="L3" s="13"/>
      <c r="M3" s="16">
        <f t="shared" ref="M3:M11" ca="1" si="0">SUM(B3:L3)</f>
        <v>9384.7949999999983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-89.774999999999991</v>
      </c>
      <c r="R3" s="16" cm="1">
        <f t="array" aca="1" ref="R3" ca="1">INDIRECT("'data'!$G$" &amp; $A$1)*parameters!$B$13</f>
        <v>9295.0199999999986</v>
      </c>
      <c r="S3" s="16">
        <f t="shared" ref="S3:S11" ca="1" si="2">SUM(M3:Q3)</f>
        <v>9295.0199999999986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2036.4776119402986</v>
      </c>
      <c r="G5" s="14"/>
      <c r="H5" s="14">
        <f ca="1">R8/parameters!$B$7-(H3+H4)</f>
        <v>6669.7256880955738</v>
      </c>
      <c r="I5" s="14"/>
      <c r="J5" s="14"/>
      <c r="K5" s="14"/>
      <c r="L5" s="13"/>
      <c r="M5" s="16">
        <f t="shared" ca="1" si="0"/>
        <v>8706.2033000358715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-4755.9399999999996</v>
      </c>
      <c r="R5" s="16">
        <f ca="1">SUM(M5:Q5)</f>
        <v>3950.2633000358719</v>
      </c>
      <c r="S5" s="16">
        <f t="shared" ca="1" si="2"/>
        <v>3950.2633000358719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9551.08</v>
      </c>
      <c r="J6" s="14"/>
      <c r="K6" s="14"/>
      <c r="L6" s="13"/>
      <c r="M6" s="16">
        <f t="shared" ca="1" si="0"/>
        <v>9551.08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9551.08</v>
      </c>
      <c r="S6" s="16">
        <f t="shared" ca="1" si="2"/>
        <v>9551.08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7568.54</v>
      </c>
      <c r="J8" s="14"/>
      <c r="K8" s="14"/>
      <c r="L8" s="13"/>
      <c r="M8" s="16">
        <f t="shared" ca="1" si="0"/>
        <v>7568.54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7568.54</v>
      </c>
      <c r="S8" s="16">
        <f t="shared" ca="1" si="2"/>
        <v>7568.54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12007.869205205772</v>
      </c>
      <c r="K9" s="14">
        <f ca="1">R11/K19</f>
        <v>4274.8307947942267</v>
      </c>
      <c r="L9" s="13"/>
      <c r="M9" s="16">
        <f t="shared" ca="1" si="0"/>
        <v>16282.699999999999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911.4</v>
      </c>
      <c r="Q9" s="13" cm="1">
        <f t="array" aca="1" ref="Q9" ca="1">-INDIRECT("'data'!$S$" &amp; $A$1)*parameters!$B$15</f>
        <v>-74.48</v>
      </c>
      <c r="R9" s="16">
        <f ca="1">SUM(R6:R8)</f>
        <v>17119.62</v>
      </c>
      <c r="S9" s="16">
        <f t="shared" ca="1" si="2"/>
        <v>17119.62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12297.039999999999</v>
      </c>
      <c r="M10" s="16">
        <f t="shared" ca="1" si="0"/>
        <v>12297.039999999999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665.42</v>
      </c>
      <c r="Q10" s="13" cm="1">
        <f t="array" aca="1" ref="Q10" ca="1">-INDIRECT("'data'!$V$" &amp; $A$1)*parameters!$B$15</f>
        <v>-1916.8799999999999</v>
      </c>
      <c r="R10" s="16" cm="1">
        <f t="array" aca="1" ref="R10" ca="1">INDIRECT("'data'!$T$" &amp; $A$1)*parameters!$B$15</f>
        <v>11045.58</v>
      </c>
      <c r="S10" s="16">
        <f t="shared" ca="1" si="2"/>
        <v>11045.58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13719.513485064012</v>
      </c>
      <c r="M11" s="16">
        <f t="shared" ca="1" si="0"/>
        <v>13719.513485064012</v>
      </c>
      <c r="N11" s="16"/>
      <c r="O11" s="16">
        <f t="shared" ca="1" si="3"/>
        <v>0</v>
      </c>
      <c r="P11" s="11" cm="1">
        <f t="array" aca="1" ref="P11" ca="1">INDIRECT("'data'!$X$" &amp; $A$1)*parameters!$B$15</f>
        <v>2920.4</v>
      </c>
      <c r="Q11" s="13" cm="1">
        <f t="array" aca="1" ref="Q11" ca="1">-INDIRECT("'data'!$Y$" &amp; $A$1)*parameters!$B$15</f>
        <v>-12707.66</v>
      </c>
      <c r="R11" s="16" cm="1">
        <f t="array" aca="1" ref="R11" ca="1">INDIRECT("'data'!$W$" &amp; $A$1)*parameters!$B$15</f>
        <v>3932.2534850640113</v>
      </c>
      <c r="S11" s="16">
        <f t="shared" ca="1" si="2"/>
        <v>3932.2534850640113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24270.379197155045</v>
      </c>
      <c r="O12" s="19"/>
      <c r="P12" s="21" cm="1">
        <f t="array" aca="1" ref="P12" ca="1">INDIRECT("'data'!$Z$" &amp; $A$1)*parameters!$B$15</f>
        <v>1441.58</v>
      </c>
      <c r="Q12" s="27" cm="1">
        <f t="array" aca="1" ref="Q12" ca="1">-INDIRECT("'data'!$AA$" &amp; $A$1)*parameters!$B$15</f>
        <v>-2353.96</v>
      </c>
      <c r="R12" s="16">
        <f ca="1">L10*parameters!$B$10+L11*parameters!$B$11</f>
        <v>23357.999197155048</v>
      </c>
      <c r="S12" s="16">
        <f t="shared" ref="S12:S18" ca="1" si="4">SUM(M12:Q12)</f>
        <v>23357.999197155048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-58.929884270906769</v>
      </c>
      <c r="D13" s="9">
        <f ca="1">-(D18-R4)</f>
        <v>0</v>
      </c>
      <c r="E13" s="9">
        <f ca="1">-(E18-R5)</f>
        <v>-488.23478989207433</v>
      </c>
      <c r="F13" s="9">
        <f ca="1">-(F18-R6)</f>
        <v>-631.30805970149231</v>
      </c>
      <c r="G13" s="9">
        <f ca="1">-(G18-R7)</f>
        <v>0</v>
      </c>
      <c r="H13" s="9">
        <f ca="1">-(H18-R8)</f>
        <v>-340.07024033437847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-1518.5429741988519</v>
      </c>
      <c r="N13" s="17"/>
      <c r="O13" s="17"/>
      <c r="P13" s="10"/>
      <c r="Q13" s="12"/>
      <c r="R13" s="9">
        <f t="shared" ref="R13:R18" ca="1" si="6">SUM(M13:Q13)</f>
        <v>-1518.5429741988519</v>
      </c>
      <c r="S13" s="17">
        <f t="shared" ca="1" si="4"/>
        <v>-1518.5429741988519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-962.2892052057723</v>
      </c>
      <c r="K14" s="14">
        <f ca="1">-(K18-R11)</f>
        <v>-342.57730973021535</v>
      </c>
      <c r="L14" s="13">
        <f ca="1">-(L18-R12)</f>
        <v>-2658.5542879089626</v>
      </c>
      <c r="M14" s="14">
        <f t="shared" ca="1" si="5"/>
        <v>-3963.4208028449502</v>
      </c>
      <c r="N14" s="16">
        <f ca="1">-E16</f>
        <v>-475.07728708299601</v>
      </c>
      <c r="O14" s="16"/>
      <c r="P14" s="11"/>
      <c r="Q14" s="13"/>
      <c r="R14" s="14">
        <f t="shared" ca="1" si="6"/>
        <v>-4438.4980899279462</v>
      </c>
      <c r="S14" s="16">
        <f t="shared" ca="1" si="4"/>
        <v>-4438.4980899279462</v>
      </c>
    </row>
    <row r="15" spans="1:21">
      <c r="A15" s="18" t="s">
        <v>79</v>
      </c>
      <c r="B15" s="11"/>
      <c r="C15" s="14"/>
      <c r="D15" s="14"/>
      <c r="E15" s="14">
        <f ca="1">-(J14+K14)-L14</f>
        <v>3963.4208028449502</v>
      </c>
      <c r="F15" s="14"/>
      <c r="G15" s="14"/>
      <c r="H15" s="14"/>
      <c r="I15" s="14"/>
      <c r="J15" s="14"/>
      <c r="K15" s="14"/>
      <c r="L15" s="13"/>
      <c r="M15" s="14">
        <f t="shared" ca="1" si="5"/>
        <v>3963.4208028449502</v>
      </c>
      <c r="N15" s="16"/>
      <c r="O15" s="16"/>
      <c r="P15" s="11"/>
      <c r="Q15" s="13"/>
      <c r="R15" s="14">
        <f t="shared" ca="1" si="6"/>
        <v>3963.4208028449502</v>
      </c>
      <c r="S15" s="16">
        <f t="shared" ca="1" si="4"/>
        <v>3963.4208028449502</v>
      </c>
    </row>
    <row r="16" spans="1:21">
      <c r="A16" s="18" t="s">
        <v>80</v>
      </c>
      <c r="B16" s="11"/>
      <c r="C16" s="14"/>
      <c r="D16" s="14"/>
      <c r="E16" s="14">
        <f ca="1">E18-E15</f>
        <v>475.07728708299601</v>
      </c>
      <c r="F16" s="14"/>
      <c r="G16" s="14"/>
      <c r="H16" s="14"/>
      <c r="I16" s="14"/>
      <c r="J16" s="14"/>
      <c r="K16" s="14"/>
      <c r="L16" s="13"/>
      <c r="M16" s="14">
        <f t="shared" ca="1" si="5"/>
        <v>475.07728708299601</v>
      </c>
      <c r="N16" s="16"/>
      <c r="O16" s="16"/>
      <c r="P16" s="11"/>
      <c r="Q16" s="13"/>
      <c r="R16" s="14">
        <f t="shared" ca="1" si="6"/>
        <v>475.07728708299601</v>
      </c>
      <c r="S16" s="16">
        <f t="shared" ca="1" si="4"/>
        <v>475.07728708299601</v>
      </c>
    </row>
    <row r="17" spans="1:19">
      <c r="A17" s="30" t="s">
        <v>90</v>
      </c>
      <c r="B17" s="21">
        <f ca="1">R2</f>
        <v>3236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3236</v>
      </c>
      <c r="N17" s="19"/>
      <c r="O17" s="19"/>
      <c r="P17" s="21"/>
      <c r="Q17" s="27"/>
      <c r="R17" s="22">
        <f t="shared" ca="1" si="6"/>
        <v>3236</v>
      </c>
      <c r="S17" s="19">
        <f t="shared" ca="1" si="4"/>
        <v>3236</v>
      </c>
    </row>
    <row r="18" spans="1:19">
      <c r="A18" s="29" t="s">
        <v>89</v>
      </c>
      <c r="B18" s="9">
        <f ca="1">B17</f>
        <v>3236</v>
      </c>
      <c r="C18" s="9">
        <f ca="1">SUM(C$2:C$12)</f>
        <v>9353.9498842709054</v>
      </c>
      <c r="D18" s="9">
        <f ca="1">SUM(D$2:D$12)</f>
        <v>0</v>
      </c>
      <c r="E18" s="9">
        <f ca="1">$R$5/parameters!$B$4</f>
        <v>4438.4980899279462</v>
      </c>
      <c r="F18" s="9">
        <f t="shared" ref="F18:L18" ca="1" si="7">SUM(F$2:F$12)</f>
        <v>10182.388059701492</v>
      </c>
      <c r="G18" s="9">
        <f t="shared" ca="1" si="7"/>
        <v>0</v>
      </c>
      <c r="H18" s="9">
        <f t="shared" ca="1" si="7"/>
        <v>7908.6102403343784</v>
      </c>
      <c r="I18" s="9">
        <f t="shared" ca="1" si="7"/>
        <v>17119.62</v>
      </c>
      <c r="J18" s="9">
        <f t="shared" ca="1" si="7"/>
        <v>12007.869205205772</v>
      </c>
      <c r="K18" s="9">
        <f t="shared" ca="1" si="7"/>
        <v>4274.8307947942267</v>
      </c>
      <c r="L18" s="9">
        <f t="shared" ca="1" si="7"/>
        <v>26016.553485064011</v>
      </c>
      <c r="M18" s="17">
        <f ca="1">SUM(B18:L18)</f>
        <v>94538.319759298727</v>
      </c>
      <c r="N18" s="17"/>
      <c r="O18" s="17"/>
      <c r="P18" s="9"/>
      <c r="Q18" s="14"/>
      <c r="R18" s="11">
        <f t="shared" ca="1" si="6"/>
        <v>94538.319759298727</v>
      </c>
      <c r="S18" s="17">
        <f t="shared" ca="1" si="4"/>
        <v>94538.319759298727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0.9198617849044699</v>
      </c>
      <c r="K19" s="39">
        <f ca="1">J19</f>
        <v>0.9198617849044699</v>
      </c>
      <c r="L19" s="40">
        <f ca="1">1-(-L14)/L18</f>
        <v>0.89781297167454455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9392.9405253094483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9392.9405253094483</v>
      </c>
      <c r="N2" s="17"/>
      <c r="O2" s="17">
        <f ca="1">R2-(M2+P2+Q2)</f>
        <v>0</v>
      </c>
      <c r="P2" s="11" cm="1">
        <f t="array" aca="1" ref="P2" ca="1">INDIRECT("'data'!$F$" &amp; $A$1)</f>
        <v>18.850000000000001</v>
      </c>
      <c r="Q2" s="13">
        <f ca="1">IF(-(M2-R2+P2)&lt;0, -(M2-R2+P2), 0)</f>
        <v>-9411.7905253094486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8409.194029850747</v>
      </c>
      <c r="G3" s="14">
        <f ca="1">R7/parameters!$B$6</f>
        <v>0</v>
      </c>
      <c r="H3" s="14">
        <f ca="1">R3-P3-Q3-F3-G3</f>
        <v>948.19597014925239</v>
      </c>
      <c r="I3" s="14"/>
      <c r="J3" s="14"/>
      <c r="K3" s="14"/>
      <c r="L3" s="13"/>
      <c r="M3" s="16">
        <f t="shared" ref="M3:M11" ca="1" si="0">SUM(B3:L3)</f>
        <v>9357.39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119.07</v>
      </c>
      <c r="Q3" s="13" cm="1">
        <f t="array" aca="1" ref="Q3" ca="1">-INDIRECT("'data'!$I$" &amp; $A$1)*parameters!$B$13</f>
        <v>-142.69499999999999</v>
      </c>
      <c r="R3" s="16" cm="1">
        <f t="array" aca="1" ref="R3" ca="1">INDIRECT("'data'!$G$" &amp; $A$1)*parameters!$B$13</f>
        <v>9333.7649999999994</v>
      </c>
      <c r="S3" s="16">
        <f t="shared" ref="S3:S11" ca="1" si="2">SUM(M3:Q3)</f>
        <v>9333.7649999999994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332.12</v>
      </c>
      <c r="I4" s="14"/>
      <c r="J4" s="14"/>
      <c r="K4" s="14"/>
      <c r="L4" s="13"/>
      <c r="M4" s="16">
        <f t="shared" ca="1" si="0"/>
        <v>332.12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-332.12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2102.2985074626868</v>
      </c>
      <c r="G5" s="14"/>
      <c r="H5" s="14">
        <f ca="1">R8/parameters!$B$7-(H3+H4)</f>
        <v>3213.1427550336111</v>
      </c>
      <c r="I5" s="14"/>
      <c r="J5" s="14"/>
      <c r="K5" s="14"/>
      <c r="L5" s="13"/>
      <c r="M5" s="16">
        <f t="shared" ca="1" si="0"/>
        <v>5315.4412624962979</v>
      </c>
      <c r="N5" s="16"/>
      <c r="O5" s="16"/>
      <c r="P5" s="11" cm="1">
        <f t="array" aca="1" ref="P5" ca="1">INDIRECT("'data'!$M$" &amp; $A$1)*parameters!$B$15</f>
        <v>6462.12</v>
      </c>
      <c r="Q5" s="13" cm="1">
        <f t="array" aca="1" ref="Q5" ca="1">-INDIRECT("'data'!$N$" &amp; $A$1)*parameters!$B$15</f>
        <v>-1494.5</v>
      </c>
      <c r="R5" s="16">
        <f ca="1">SUM(M5:Q5)</f>
        <v>10283.061262496298</v>
      </c>
      <c r="S5" s="16">
        <f t="shared" ca="1" si="2"/>
        <v>10283.061262496298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9859.7800000000007</v>
      </c>
      <c r="J6" s="14"/>
      <c r="K6" s="14"/>
      <c r="L6" s="13"/>
      <c r="M6" s="16">
        <f t="shared" ca="1" si="0"/>
        <v>9859.7800000000007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9859.7800000000007</v>
      </c>
      <c r="S6" s="16">
        <f t="shared" ca="1" si="2"/>
        <v>9859.7800000000007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4300.24</v>
      </c>
      <c r="J8" s="14"/>
      <c r="K8" s="14"/>
      <c r="L8" s="13"/>
      <c r="M8" s="16">
        <f t="shared" ca="1" si="0"/>
        <v>4300.24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4300.24</v>
      </c>
      <c r="S8" s="16">
        <f t="shared" ca="1" si="2"/>
        <v>4300.24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4157.1681770284868</v>
      </c>
      <c r="K9" s="14">
        <f ca="1">R11/K19</f>
        <v>9999.911822971515</v>
      </c>
      <c r="L9" s="13"/>
      <c r="M9" s="16">
        <f t="shared" ca="1" si="0"/>
        <v>14157.080000000002</v>
      </c>
      <c r="N9" s="16"/>
      <c r="O9" s="16">
        <f t="shared" ca="1" si="3"/>
        <v>0</v>
      </c>
      <c r="P9" s="11" cm="1">
        <f t="array" aca="1" ref="P9" ca="1">INDIRECT("'data'!$R$" &amp; $A$1)*parameters!$B$15</f>
        <v>1438.6399999999999</v>
      </c>
      <c r="Q9" s="13" cm="1">
        <f t="array" aca="1" ref="Q9" ca="1">-INDIRECT("'data'!$S$" &amp; $A$1)*parameters!$B$15</f>
        <v>-1435.7</v>
      </c>
      <c r="R9" s="16">
        <f ca="1">SUM(R6:R8)</f>
        <v>14160.02</v>
      </c>
      <c r="S9" s="16">
        <f t="shared" ca="1" si="2"/>
        <v>14160.02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5202.82</v>
      </c>
      <c r="M10" s="16">
        <f t="shared" ca="1" si="0"/>
        <v>5202.82</v>
      </c>
      <c r="N10" s="16"/>
      <c r="O10" s="16">
        <f t="shared" ca="1" si="3"/>
        <v>0</v>
      </c>
      <c r="P10" s="11" cm="1">
        <f t="array" aca="1" ref="P10" ca="1">INDIRECT("'data'!$U$" &amp; $A$1)*parameters!$B$15</f>
        <v>1995.28</v>
      </c>
      <c r="Q10" s="13" cm="1">
        <f t="array" aca="1" ref="Q10" ca="1">-INDIRECT("'data'!$V$" &amp; $A$1)*parameters!$B$15</f>
        <v>-3334.94</v>
      </c>
      <c r="R10" s="16" cm="1">
        <f t="array" aca="1" ref="R10" ca="1">INDIRECT("'data'!$T$" &amp; $A$1)*parameters!$B$15</f>
        <v>3863.16</v>
      </c>
      <c r="S10" s="16">
        <f t="shared" ca="1" si="2"/>
        <v>3863.1599999999994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8199.9862019914654</v>
      </c>
      <c r="M11" s="16">
        <f t="shared" ca="1" si="0"/>
        <v>8199.9862019914654</v>
      </c>
      <c r="N11" s="16"/>
      <c r="O11" s="16">
        <f t="shared" ca="1" si="3"/>
        <v>0</v>
      </c>
      <c r="P11" s="11" cm="1">
        <f t="array" aca="1" ref="P11" ca="1">INDIRECT("'data'!$X$" &amp; $A$1)*parameters!$B$15</f>
        <v>9292.36</v>
      </c>
      <c r="Q11" s="13" cm="1">
        <f t="array" aca="1" ref="Q11" ca="1">-INDIRECT("'data'!$Y$" &amp; $A$1)*parameters!$B$15</f>
        <v>-8199.66</v>
      </c>
      <c r="R11" s="16" cm="1">
        <f t="array" aca="1" ref="R11" ca="1">INDIRECT("'data'!$W$" &amp; $A$1)*parameters!$B$15</f>
        <v>9292.6862019914661</v>
      </c>
      <c r="S11" s="16">
        <f t="shared" ca="1" si="2"/>
        <v>9292.6862019914661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16964.158933712657</v>
      </c>
      <c r="O12" s="19"/>
      <c r="P12" s="21" cm="1">
        <f t="array" aca="1" ref="P12" ca="1">INDIRECT("'data'!$Z$" &amp; $A$1)*parameters!$B$15</f>
        <v>8459.36</v>
      </c>
      <c r="Q12" s="27" cm="1">
        <f t="array" aca="1" ref="Q12" ca="1">-INDIRECT("'data'!$AA$" &amp; $A$1)*parameters!$B$15</f>
        <v>-13480.88</v>
      </c>
      <c r="R12" s="16">
        <f ca="1">L10*parameters!$B$10+L11*parameters!$B$11</f>
        <v>11942.63893371266</v>
      </c>
      <c r="S12" s="16">
        <f t="shared" ref="S12:S18" ca="1" si="4">SUM(M12:Q12)</f>
        <v>11942.638933712658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-59.175525309448858</v>
      </c>
      <c r="D13" s="9">
        <f ca="1">-(D18-R4)</f>
        <v>0</v>
      </c>
      <c r="E13" s="9">
        <f ca="1">-(E18-R5)</f>
        <v>-1270.9401560388687</v>
      </c>
      <c r="F13" s="9">
        <f ca="1">-(F18-R6)</f>
        <v>-651.71253731343313</v>
      </c>
      <c r="G13" s="9">
        <f ca="1">-(G18-R7)</f>
        <v>0</v>
      </c>
      <c r="H13" s="9">
        <f ca="1">-(H18-R8)</f>
        <v>-193.21872518286364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-2175.0469438446144</v>
      </c>
      <c r="N13" s="17"/>
      <c r="O13" s="17"/>
      <c r="P13" s="10"/>
      <c r="Q13" s="12"/>
      <c r="R13" s="9">
        <f t="shared" ref="R13:R18" ca="1" si="6">SUM(M13:Q13)</f>
        <v>-2175.0469438446144</v>
      </c>
      <c r="S13" s="17">
        <f t="shared" ca="1" si="4"/>
        <v>-2175.0469438446144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-294.0081770284869</v>
      </c>
      <c r="K14" s="14">
        <f ca="1">-(K18-R11)</f>
        <v>-707.22562098004892</v>
      </c>
      <c r="L14" s="13">
        <f ca="1">-(L18-R12)</f>
        <v>-1460.1672682788048</v>
      </c>
      <c r="M14" s="14">
        <f t="shared" ca="1" si="5"/>
        <v>-2461.4010662873407</v>
      </c>
      <c r="N14" s="16">
        <f ca="1">-E16</f>
        <v>-9092.6003522478259</v>
      </c>
      <c r="O14" s="16"/>
      <c r="P14" s="11"/>
      <c r="Q14" s="13"/>
      <c r="R14" s="14">
        <f t="shared" ca="1" si="6"/>
        <v>-11554.001418535167</v>
      </c>
      <c r="S14" s="16">
        <f t="shared" ca="1" si="4"/>
        <v>-11554.001418535167</v>
      </c>
    </row>
    <row r="15" spans="1:21">
      <c r="A15" s="18" t="s">
        <v>79</v>
      </c>
      <c r="B15" s="11"/>
      <c r="C15" s="14"/>
      <c r="D15" s="14"/>
      <c r="E15" s="14">
        <f ca="1">-(J14+K14)-L14</f>
        <v>2461.4010662873407</v>
      </c>
      <c r="F15" s="14"/>
      <c r="G15" s="14"/>
      <c r="H15" s="14"/>
      <c r="I15" s="14"/>
      <c r="J15" s="14"/>
      <c r="K15" s="14"/>
      <c r="L15" s="13"/>
      <c r="M15" s="14">
        <f t="shared" ca="1" si="5"/>
        <v>2461.4010662873407</v>
      </c>
      <c r="N15" s="16"/>
      <c r="O15" s="16"/>
      <c r="P15" s="11"/>
      <c r="Q15" s="13"/>
      <c r="R15" s="14">
        <f t="shared" ca="1" si="6"/>
        <v>2461.4010662873407</v>
      </c>
      <c r="S15" s="16">
        <f t="shared" ca="1" si="4"/>
        <v>2461.4010662873407</v>
      </c>
    </row>
    <row r="16" spans="1:21">
      <c r="A16" s="18" t="s">
        <v>80</v>
      </c>
      <c r="B16" s="11"/>
      <c r="C16" s="14"/>
      <c r="D16" s="14"/>
      <c r="E16" s="14">
        <f ca="1">E18-E15</f>
        <v>9092.6003522478259</v>
      </c>
      <c r="F16" s="14"/>
      <c r="G16" s="14"/>
      <c r="H16" s="14"/>
      <c r="I16" s="14"/>
      <c r="J16" s="14"/>
      <c r="K16" s="14"/>
      <c r="L16" s="13"/>
      <c r="M16" s="14">
        <f t="shared" ca="1" si="5"/>
        <v>9092.6003522478259</v>
      </c>
      <c r="N16" s="16"/>
      <c r="O16" s="16"/>
      <c r="P16" s="11"/>
      <c r="Q16" s="13"/>
      <c r="R16" s="14">
        <f t="shared" ca="1" si="6"/>
        <v>9092.6003522478259</v>
      </c>
      <c r="S16" s="16">
        <f t="shared" ca="1" si="4"/>
        <v>9092.6003522478259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9392.9405253094483</v>
      </c>
      <c r="D18" s="9">
        <f ca="1">SUM(D$2:D$12)</f>
        <v>0</v>
      </c>
      <c r="E18" s="9">
        <f ca="1">$R$5/parameters!$B$4</f>
        <v>11554.001418535167</v>
      </c>
      <c r="F18" s="9">
        <f t="shared" ref="F18:L18" ca="1" si="7">SUM(F$2:F$12)</f>
        <v>10511.492537313434</v>
      </c>
      <c r="G18" s="9">
        <f t="shared" ca="1" si="7"/>
        <v>0</v>
      </c>
      <c r="H18" s="9">
        <f t="shared" ca="1" si="7"/>
        <v>4493.4587251828634</v>
      </c>
      <c r="I18" s="9">
        <f t="shared" ca="1" si="7"/>
        <v>14160.02</v>
      </c>
      <c r="J18" s="9">
        <f t="shared" ca="1" si="7"/>
        <v>4157.1681770284868</v>
      </c>
      <c r="K18" s="9">
        <f t="shared" ca="1" si="7"/>
        <v>9999.911822971515</v>
      </c>
      <c r="L18" s="9">
        <f t="shared" ca="1" si="7"/>
        <v>13402.806201991465</v>
      </c>
      <c r="M18" s="17">
        <f ca="1">SUM(B18:L18)</f>
        <v>77671.799408332372</v>
      </c>
      <c r="N18" s="17"/>
      <c r="O18" s="17"/>
      <c r="P18" s="9"/>
      <c r="Q18" s="14"/>
      <c r="R18" s="11">
        <f t="shared" ca="1" si="6"/>
        <v>77671.799408332372</v>
      </c>
      <c r="S18" s="17">
        <f t="shared" ca="1" si="4"/>
        <v>77671.799408332372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0.92927681428595899</v>
      </c>
      <c r="K19" s="39">
        <f ca="1">J19</f>
        <v>0.92927681428595899</v>
      </c>
      <c r="L19" s="40">
        <f ca="1">1-(-L14)/L18</f>
        <v>0.89105510843976499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3689.8460299889302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3689.8460299889302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-3689.8460299889302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3543.8805970149251</v>
      </c>
      <c r="G3" s="14">
        <f ca="1">R7/parameters!$B$6</f>
        <v>0</v>
      </c>
      <c r="H3" s="14">
        <f ca="1">R3-P3-Q3-F3-G3</f>
        <v>367.4744029850749</v>
      </c>
      <c r="I3" s="14"/>
      <c r="J3" s="14"/>
      <c r="K3" s="14"/>
      <c r="L3" s="13"/>
      <c r="M3" s="16">
        <f t="shared" ref="M3:M11" ca="1" si="0">SUM(B3:L3)</f>
        <v>3911.355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6.6149999999999993</v>
      </c>
      <c r="Q3" s="13" cm="1">
        <f t="array" aca="1" ref="Q3" ca="1">-INDIRECT("'data'!$I$" &amp; $A$1)*parameters!$B$13</f>
        <v>-251.36999999999998</v>
      </c>
      <c r="R3" s="16" cm="1">
        <f t="array" aca="1" ref="R3" ca="1">INDIRECT("'data'!$G$" &amp; $A$1)*parameters!$B$13</f>
        <v>3666.6</v>
      </c>
      <c r="S3" s="16">
        <f t="shared" ref="S3:S11" ca="1" si="2">SUM(M3:Q3)</f>
        <v>3666.6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399.28000000000003</v>
      </c>
      <c r="I4" s="14"/>
      <c r="J4" s="14"/>
      <c r="K4" s="14"/>
      <c r="L4" s="13"/>
      <c r="M4" s="16">
        <f t="shared" ca="1" si="0"/>
        <v>399.28000000000003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-399.28000000000003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885.97014925373139</v>
      </c>
      <c r="G5" s="14"/>
      <c r="H5" s="14">
        <f ca="1">R8/parameters!$B$7-(H3+H4)</f>
        <v>8805.9101738174322</v>
      </c>
      <c r="I5" s="14"/>
      <c r="J5" s="14"/>
      <c r="K5" s="14"/>
      <c r="L5" s="13"/>
      <c r="M5" s="16">
        <f t="shared" ca="1" si="0"/>
        <v>9691.8803230711637</v>
      </c>
      <c r="N5" s="16"/>
      <c r="O5" s="16"/>
      <c r="P5" s="11" cm="1">
        <f t="array" aca="1" ref="P5" ca="1">INDIRECT("'data'!$M$" &amp; $A$1)*parameters!$B$15</f>
        <v>550.76</v>
      </c>
      <c r="Q5" s="13" cm="1">
        <f t="array" aca="1" ref="Q5" ca="1">-INDIRECT("'data'!$N$" &amp; $A$1)*parameters!$B$15</f>
        <v>-3930.7799999999997</v>
      </c>
      <c r="R5" s="16">
        <f ca="1">SUM(M5:Q5)</f>
        <v>6311.8603230711642</v>
      </c>
      <c r="S5" s="16">
        <f t="shared" ca="1" si="2"/>
        <v>6311.8603230711642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4155.2</v>
      </c>
      <c r="J6" s="14"/>
      <c r="K6" s="14"/>
      <c r="L6" s="13"/>
      <c r="M6" s="16">
        <f t="shared" ca="1" si="0"/>
        <v>4155.2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4155.2</v>
      </c>
      <c r="S6" s="16">
        <f t="shared" ca="1" si="2"/>
        <v>4155.2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9161.0399999999991</v>
      </c>
      <c r="J8" s="14"/>
      <c r="K8" s="14"/>
      <c r="L8" s="13"/>
      <c r="M8" s="16">
        <f t="shared" ca="1" si="0"/>
        <v>9161.0399999999991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9161.0399999999991</v>
      </c>
      <c r="S8" s="16">
        <f t="shared" ca="1" si="2"/>
        <v>9161.0399999999991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9741.8394985788746</v>
      </c>
      <c r="K9" s="14">
        <f ca="1">R11/K19</f>
        <v>4625.9405014211252</v>
      </c>
      <c r="L9" s="13"/>
      <c r="M9" s="16">
        <f t="shared" ca="1" si="0"/>
        <v>14367.779999999999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139.16</v>
      </c>
      <c r="Q9" s="13" cm="1">
        <f t="array" aca="1" ref="Q9" ca="1">-INDIRECT("'data'!$S$" &amp; $A$1)*parameters!$B$15</f>
        <v>-1190.7</v>
      </c>
      <c r="R9" s="16">
        <f ca="1">SUM(R6:R8)</f>
        <v>13316.239999999998</v>
      </c>
      <c r="S9" s="16">
        <f t="shared" ca="1" si="2"/>
        <v>13316.239999999998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4679.5</v>
      </c>
      <c r="M10" s="16">
        <f t="shared" ca="1" si="0"/>
        <v>4679.5</v>
      </c>
      <c r="N10" s="16"/>
      <c r="O10" s="16">
        <f t="shared" ca="1" si="3"/>
        <v>0</v>
      </c>
      <c r="P10" s="11" cm="1">
        <f t="array" aca="1" ref="P10" ca="1">INDIRECT("'data'!$U$" &amp; $A$1)*parameters!$B$15</f>
        <v>5535.04</v>
      </c>
      <c r="Q10" s="13" cm="1">
        <f t="array" aca="1" ref="Q10" ca="1">-INDIRECT("'data'!$V$" &amp; $A$1)*parameters!$B$15</f>
        <v>-1410.22</v>
      </c>
      <c r="R10" s="16" cm="1">
        <f t="array" aca="1" ref="R10" ca="1">INDIRECT("'data'!$T$" &amp; $A$1)*parameters!$B$15</f>
        <v>8804.32</v>
      </c>
      <c r="S10" s="16">
        <f t="shared" ca="1" si="2"/>
        <v>8804.3200000000015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8476.0966714082497</v>
      </c>
      <c r="M11" s="16">
        <f t="shared" ca="1" si="0"/>
        <v>8476.0966714082497</v>
      </c>
      <c r="N11" s="16"/>
      <c r="O11" s="16">
        <f t="shared" ca="1" si="3"/>
        <v>0</v>
      </c>
      <c r="P11" s="11" cm="1">
        <f t="array" aca="1" ref="P11" ca="1">INDIRECT("'data'!$X$" &amp; $A$1)*parameters!$B$15</f>
        <v>2529.38</v>
      </c>
      <c r="Q11" s="13" cm="1">
        <f t="array" aca="1" ref="Q11" ca="1">-INDIRECT("'data'!$Y$" &amp; $A$1)*parameters!$B$15</f>
        <v>-6824.72</v>
      </c>
      <c r="R11" s="16" cm="1">
        <f t="array" aca="1" ref="R11" ca="1">INDIRECT("'data'!$W$" &amp; $A$1)*parameters!$B$15</f>
        <v>4180.7566714082504</v>
      </c>
      <c r="S11" s="16">
        <f t="shared" ca="1" si="2"/>
        <v>4180.7566714082504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10759.133137411094</v>
      </c>
      <c r="O12" s="19"/>
      <c r="P12" s="21" cm="1">
        <f t="array" aca="1" ref="P12" ca="1">INDIRECT("'data'!$Z$" &amp; $A$1)*parameters!$B$15</f>
        <v>9290.4</v>
      </c>
      <c r="Q12" s="27" cm="1">
        <f t="array" aca="1" ref="Q12" ca="1">-INDIRECT("'data'!$AA$" &amp; $A$1)*parameters!$B$15</f>
        <v>-8361.36</v>
      </c>
      <c r="R12" s="16">
        <f ca="1">L10*parameters!$B$10+L11*parameters!$B$11</f>
        <v>11688.173137411093</v>
      </c>
      <c r="S12" s="16">
        <f t="shared" ref="S12:S18" ca="1" si="4">SUM(M12:Q12)</f>
        <v>11688.173137411093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-23.246029988930331</v>
      </c>
      <c r="D13" s="9">
        <f ca="1">-(D18-R4)</f>
        <v>0</v>
      </c>
      <c r="E13" s="9">
        <f ca="1">-(E18-R5)</f>
        <v>-780.11756802003129</v>
      </c>
      <c r="F13" s="9">
        <f ca="1">-(F18-R6)</f>
        <v>-274.6507462686568</v>
      </c>
      <c r="G13" s="9">
        <f ca="1">-(G18-R7)</f>
        <v>0</v>
      </c>
      <c r="H13" s="9">
        <f ca="1">-(H18-R8)</f>
        <v>-411.62457680250736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-1489.6389210801258</v>
      </c>
      <c r="N13" s="17"/>
      <c r="O13" s="17"/>
      <c r="P13" s="10"/>
      <c r="Q13" s="12"/>
      <c r="R13" s="9">
        <f t="shared" ref="R13:R18" ca="1" si="6">SUM(M13:Q13)</f>
        <v>-1489.6389210801258</v>
      </c>
      <c r="S13" s="17">
        <f t="shared" ca="1" si="4"/>
        <v>-1489.6389210801258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-937.51949857887485</v>
      </c>
      <c r="K14" s="14">
        <f ca="1">-(K18-R11)</f>
        <v>-445.18383001287475</v>
      </c>
      <c r="L14" s="13">
        <f ca="1">-(L18-R12)</f>
        <v>-1467.4235339971565</v>
      </c>
      <c r="M14" s="14">
        <f t="shared" ca="1" si="5"/>
        <v>-2850.1268625889061</v>
      </c>
      <c r="N14" s="16">
        <f ca="1">-E16</f>
        <v>-4241.8510285022894</v>
      </c>
      <c r="O14" s="16"/>
      <c r="P14" s="11"/>
      <c r="Q14" s="13"/>
      <c r="R14" s="14">
        <f t="shared" ca="1" si="6"/>
        <v>-7091.9778910911955</v>
      </c>
      <c r="S14" s="16">
        <f t="shared" ca="1" si="4"/>
        <v>-7091.9778910911955</v>
      </c>
    </row>
    <row r="15" spans="1:21">
      <c r="A15" s="18" t="s">
        <v>79</v>
      </c>
      <c r="B15" s="11"/>
      <c r="C15" s="14"/>
      <c r="D15" s="14"/>
      <c r="E15" s="14">
        <f ca="1">-(J14+K14)-L14</f>
        <v>2850.1268625889061</v>
      </c>
      <c r="F15" s="14"/>
      <c r="G15" s="14"/>
      <c r="H15" s="14"/>
      <c r="I15" s="14"/>
      <c r="J15" s="14"/>
      <c r="K15" s="14"/>
      <c r="L15" s="13"/>
      <c r="M15" s="14">
        <f t="shared" ca="1" si="5"/>
        <v>2850.1268625889061</v>
      </c>
      <c r="N15" s="16"/>
      <c r="O15" s="16"/>
      <c r="P15" s="11"/>
      <c r="Q15" s="13"/>
      <c r="R15" s="14">
        <f t="shared" ca="1" si="6"/>
        <v>2850.1268625889061</v>
      </c>
      <c r="S15" s="16">
        <f t="shared" ca="1" si="4"/>
        <v>2850.1268625889061</v>
      </c>
    </row>
    <row r="16" spans="1:21">
      <c r="A16" s="18" t="s">
        <v>80</v>
      </c>
      <c r="B16" s="11"/>
      <c r="C16" s="14"/>
      <c r="D16" s="14"/>
      <c r="E16" s="14">
        <f ca="1">E18-E15</f>
        <v>4241.8510285022894</v>
      </c>
      <c r="F16" s="14"/>
      <c r="G16" s="14"/>
      <c r="H16" s="14"/>
      <c r="I16" s="14"/>
      <c r="J16" s="14"/>
      <c r="K16" s="14"/>
      <c r="L16" s="13"/>
      <c r="M16" s="14">
        <f t="shared" ca="1" si="5"/>
        <v>4241.8510285022894</v>
      </c>
      <c r="N16" s="16"/>
      <c r="O16" s="16"/>
      <c r="P16" s="11"/>
      <c r="Q16" s="13"/>
      <c r="R16" s="14">
        <f t="shared" ca="1" si="6"/>
        <v>4241.8510285022894</v>
      </c>
      <c r="S16" s="16">
        <f t="shared" ca="1" si="4"/>
        <v>4241.8510285022894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3689.8460299889302</v>
      </c>
      <c r="D18" s="9">
        <f ca="1">SUM(D$2:D$12)</f>
        <v>0</v>
      </c>
      <c r="E18" s="9">
        <f ca="1">$R$5/parameters!$B$4</f>
        <v>7091.9778910911955</v>
      </c>
      <c r="F18" s="9">
        <f t="shared" ref="F18:L18" ca="1" si="7">SUM(F$2:F$12)</f>
        <v>4429.8507462686566</v>
      </c>
      <c r="G18" s="9">
        <f t="shared" ca="1" si="7"/>
        <v>0</v>
      </c>
      <c r="H18" s="9">
        <f t="shared" ca="1" si="7"/>
        <v>9572.6645768025064</v>
      </c>
      <c r="I18" s="9">
        <f t="shared" ca="1" si="7"/>
        <v>13316.239999999998</v>
      </c>
      <c r="J18" s="9">
        <f t="shared" ca="1" si="7"/>
        <v>9741.8394985788746</v>
      </c>
      <c r="K18" s="9">
        <f t="shared" ca="1" si="7"/>
        <v>4625.9405014211252</v>
      </c>
      <c r="L18" s="9">
        <f t="shared" ca="1" si="7"/>
        <v>13155.59667140825</v>
      </c>
      <c r="M18" s="17">
        <f ca="1">SUM(B18:L18)</f>
        <v>65623.955915559534</v>
      </c>
      <c r="N18" s="17"/>
      <c r="O18" s="17"/>
      <c r="P18" s="9"/>
      <c r="Q18" s="14"/>
      <c r="R18" s="11">
        <f t="shared" ca="1" si="6"/>
        <v>65623.955915559534</v>
      </c>
      <c r="S18" s="17">
        <f t="shared" ca="1" si="4"/>
        <v>65623.955915559534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0.90376360658419397</v>
      </c>
      <c r="K19" s="39">
        <f ca="1">J19</f>
        <v>0.90376360658419397</v>
      </c>
      <c r="L19" s="40">
        <f ca="1">1-(-L14)/L18</f>
        <v>0.88845632998263124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6010.2646674046491</v>
      </c>
      <c r="D2" s="9">
        <f ca="1">R4/parameters!$B$3</f>
        <v>1333.1991546744489</v>
      </c>
      <c r="E2" s="9"/>
      <c r="F2" s="9"/>
      <c r="G2" s="9"/>
      <c r="H2" s="9"/>
      <c r="I2" s="9"/>
      <c r="J2" s="9"/>
      <c r="K2" s="9"/>
      <c r="L2" s="12"/>
      <c r="M2" s="17">
        <f ca="1">SUM(B2:L2)</f>
        <v>7343.4638220790985</v>
      </c>
      <c r="N2" s="17"/>
      <c r="O2" s="17">
        <f ca="1">R2-(M2+P2+Q2)</f>
        <v>0</v>
      </c>
      <c r="P2" s="11" cm="1">
        <f t="array" aca="1" ref="P2" ca="1">INDIRECT("'data'!$F$" &amp; $A$1)</f>
        <v>33905.300000000003</v>
      </c>
      <c r="Q2" s="13">
        <f ca="1">IF(-(M2-R2+P2)&lt;0, -(M2-R2+P2), 0)</f>
        <v>-6048.7638220791014</v>
      </c>
      <c r="R2" s="17" cm="1">
        <f t="array" aca="1" ref="R2" ca="1">INDIRECT("'data'!$D$" &amp; $A$1)</f>
        <v>35200</v>
      </c>
      <c r="S2" s="17">
        <f ca="1">SUM(M2:Q2)</f>
        <v>35200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5887.8358208955233</v>
      </c>
      <c r="G3" s="14">
        <f ca="1">R7/parameters!$B$6</f>
        <v>0</v>
      </c>
      <c r="H3" s="14">
        <f ca="1">R3-P3-Q3-F3-G3</f>
        <v>53.379179104475952</v>
      </c>
      <c r="I3" s="14"/>
      <c r="J3" s="14"/>
      <c r="K3" s="14"/>
      <c r="L3" s="13"/>
      <c r="M3" s="16">
        <f t="shared" ref="M3:M11" ca="1" si="0">SUM(B3:L3)</f>
        <v>5941.2149999999992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51.974999999999994</v>
      </c>
      <c r="Q3" s="13" cm="1">
        <f t="array" aca="1" ref="Q3" ca="1">-INDIRECT("'data'!$I$" &amp; $A$1)*parameters!$B$13</f>
        <v>-20.79</v>
      </c>
      <c r="R3" s="16" cm="1">
        <f t="array" aca="1" ref="R3" ca="1">INDIRECT("'data'!$G$" &amp; $A$1)*parameters!$B$13</f>
        <v>5972.4</v>
      </c>
      <c r="S3" s="16">
        <f t="shared" ref="S3:S11" ca="1" si="2">SUM(M3:Q3)</f>
        <v>5972.4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1337.6799999999998</v>
      </c>
      <c r="I4" s="14"/>
      <c r="J4" s="14"/>
      <c r="K4" s="14"/>
      <c r="L4" s="13"/>
      <c r="M4" s="16">
        <f t="shared" ca="1" si="0"/>
        <v>1337.6799999999998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-13.8</v>
      </c>
      <c r="R4" s="16" cm="1">
        <f t="array" aca="1" ref="R4" ca="1">INDIRECT("'data'!$J$" &amp; $A$1)*parameters!$B$14</f>
        <v>1324.8</v>
      </c>
      <c r="S4" s="16">
        <f t="shared" ca="1" si="2"/>
        <v>1324.8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R6/parameters!$B$5*22%</f>
        <v>1660.671641791045</v>
      </c>
      <c r="G5" s="14"/>
      <c r="H5" s="14">
        <f ca="1">R8/parameters!$B$7-(H3+H4)</f>
        <v>4420.3305805611453</v>
      </c>
      <c r="I5" s="14"/>
      <c r="J5" s="14"/>
      <c r="K5" s="14"/>
      <c r="L5" s="13"/>
      <c r="M5" s="16">
        <f t="shared" ca="1" si="0"/>
        <v>6081.0022223521901</v>
      </c>
      <c r="N5" s="16"/>
      <c r="O5" s="16"/>
      <c r="P5" s="11" cm="1">
        <f t="array" aca="1" ref="P5" ca="1">INDIRECT("'data'!$M$" &amp; $A$1)*parameters!$B$15</f>
        <v>4264.96</v>
      </c>
      <c r="Q5" s="13" cm="1">
        <f t="array" aca="1" ref="Q5" ca="1">-INDIRECT("'data'!$N$" &amp; $A$1)*parameters!$B$15</f>
        <v>-2092.3000000000002</v>
      </c>
      <c r="R5" s="16">
        <f ca="1">SUM(M5:Q5)</f>
        <v>8253.6622223521917</v>
      </c>
      <c r="S5" s="16">
        <f t="shared" ca="1" si="2"/>
        <v>8253.6622223521917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7080.5</v>
      </c>
      <c r="J6" s="14"/>
      <c r="K6" s="14"/>
      <c r="L6" s="13"/>
      <c r="M6" s="16">
        <f t="shared" ca="1" si="0"/>
        <v>7080.5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7080.5</v>
      </c>
      <c r="S6" s="16">
        <f t="shared" ca="1" si="2"/>
        <v>7080.5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5561.5</v>
      </c>
      <c r="J8" s="14"/>
      <c r="K8" s="14"/>
      <c r="L8" s="13"/>
      <c r="M8" s="16">
        <f t="shared" ca="1" si="0"/>
        <v>5561.5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5561.5</v>
      </c>
      <c r="S8" s="16">
        <f t="shared" ca="1" si="2"/>
        <v>5561.5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3513.7701818181818</v>
      </c>
      <c r="K9" s="14">
        <f ca="1">R11/K19</f>
        <v>11145.069818181819</v>
      </c>
      <c r="L9" s="13"/>
      <c r="M9" s="16">
        <f t="shared" ca="1" si="0"/>
        <v>14658.84</v>
      </c>
      <c r="N9" s="16"/>
      <c r="O9" s="16">
        <f t="shared" ca="1" si="3"/>
        <v>0</v>
      </c>
      <c r="P9" s="11" cm="1">
        <f t="array" aca="1" ref="P9" ca="1">INDIRECT("'data'!$R$" &amp; $A$1)*parameters!$B$15</f>
        <v>389.06</v>
      </c>
      <c r="Q9" s="13" cm="1">
        <f t="array" aca="1" ref="Q9" ca="1">-INDIRECT("'data'!$S$" &amp; $A$1)*parameters!$B$15</f>
        <v>-2405.9</v>
      </c>
      <c r="R9" s="16">
        <f ca="1">SUM(R6:R8)</f>
        <v>12642</v>
      </c>
      <c r="S9" s="16">
        <f t="shared" ca="1" si="2"/>
        <v>12642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2554.86</v>
      </c>
      <c r="M10" s="16">
        <f t="shared" ca="1" si="0"/>
        <v>2554.86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3064.46</v>
      </c>
      <c r="Q10" s="13" cm="1">
        <f t="array" aca="1" ref="Q10" ca="1">-INDIRECT("'data'!$V$" &amp; $A$1)*parameters!$B$15</f>
        <v>-2287.3200000000002</v>
      </c>
      <c r="R10" s="16" cm="1">
        <f t="array" aca="1" ref="R10" ca="1">INDIRECT("'data'!$T$" &amp; $A$1)*parameters!$B$15</f>
        <v>3332</v>
      </c>
      <c r="S10" s="16">
        <f t="shared" ca="1" si="2"/>
        <v>3331.9999999999995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10000.126315789474</v>
      </c>
      <c r="M11" s="16">
        <f t="shared" ca="1" si="0"/>
        <v>10000.126315789474</v>
      </c>
      <c r="N11" s="16"/>
      <c r="O11" s="16">
        <f t="shared" ca="1" si="3"/>
        <v>0</v>
      </c>
      <c r="P11" s="11" cm="1">
        <f t="array" aca="1" ref="P11" ca="1">INDIRECT("'data'!$X$" &amp; $A$1)*parameters!$B$15</f>
        <v>3382.96</v>
      </c>
      <c r="Q11" s="13" cm="1">
        <f t="array" aca="1" ref="Q11" ca="1">-INDIRECT("'data'!$Y$" &amp; $A$1)*parameters!$B$15</f>
        <v>-2814.56</v>
      </c>
      <c r="R11" s="16" cm="1">
        <f t="array" aca="1" ref="R11" ca="1">INDIRECT("'data'!$W$" &amp; $A$1)*parameters!$B$15</f>
        <v>10568.526315789473</v>
      </c>
      <c r="S11" s="16">
        <f t="shared" ca="1" si="2"/>
        <v>10568.526315789475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16127.077031578949</v>
      </c>
      <c r="O12" s="19"/>
      <c r="P12" s="21" cm="1">
        <f t="array" aca="1" ref="P12" ca="1">INDIRECT("'data'!$Z$" &amp; $A$1)*parameters!$B$15</f>
        <v>6197.5199999999995</v>
      </c>
      <c r="Q12" s="27" cm="1">
        <f t="array" aca="1" ref="Q12" ca="1">-INDIRECT("'data'!$AA$" &amp; $A$1)*parameters!$B$15</f>
        <v>-11322.92</v>
      </c>
      <c r="R12" s="16">
        <f ca="1">L10*parameters!$B$10+L11*parameters!$B$11</f>
        <v>11001.677031578947</v>
      </c>
      <c r="S12" s="16">
        <f t="shared" ref="S12:S18" ca="1" si="4">SUM(M12:Q12)</f>
        <v>11001.677031578949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-37.864667404649481</v>
      </c>
      <c r="D13" s="9">
        <f ca="1">-(D18-R4)</f>
        <v>-8.3991546744489369</v>
      </c>
      <c r="E13" s="9">
        <f ca="1">-(E18-R5)</f>
        <v>-1020.1155555716196</v>
      </c>
      <c r="F13" s="9">
        <f ca="1">-(F18-R6)</f>
        <v>-468.00746268656803</v>
      </c>
      <c r="G13" s="9">
        <f ca="1">-(G18-R7)</f>
        <v>0</v>
      </c>
      <c r="H13" s="9">
        <f ca="1">-(H18-R8)</f>
        <v>-249.88975966562066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-1784.2766000029067</v>
      </c>
      <c r="N13" s="17"/>
      <c r="O13" s="17"/>
      <c r="P13" s="10"/>
      <c r="Q13" s="12"/>
      <c r="R13" s="9">
        <f t="shared" ref="R13:R18" ca="1" si="6">SUM(M13:Q13)</f>
        <v>-1784.2766000029067</v>
      </c>
      <c r="S13" s="17">
        <f t="shared" ca="1" si="4"/>
        <v>-1784.2766000029067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-181.77018181818175</v>
      </c>
      <c r="K14" s="14">
        <f ca="1">-(K18-R11)</f>
        <v>-576.54350239234554</v>
      </c>
      <c r="L14" s="13">
        <f ca="1">-(L18-R12)</f>
        <v>-1553.309284210527</v>
      </c>
      <c r="M14" s="14">
        <f t="shared" ca="1" si="5"/>
        <v>-2311.6229684210543</v>
      </c>
      <c r="N14" s="16">
        <f ca="1">-E16</f>
        <v>-6962.1548095027574</v>
      </c>
      <c r="O14" s="16"/>
      <c r="P14" s="11"/>
      <c r="Q14" s="13"/>
      <c r="R14" s="14">
        <f t="shared" ca="1" si="6"/>
        <v>-9273.7777779238113</v>
      </c>
      <c r="S14" s="16">
        <f t="shared" ca="1" si="4"/>
        <v>-9273.7777779238113</v>
      </c>
    </row>
    <row r="15" spans="1:21">
      <c r="A15" s="18" t="s">
        <v>79</v>
      </c>
      <c r="B15" s="11"/>
      <c r="C15" s="14"/>
      <c r="D15" s="14"/>
      <c r="E15" s="14">
        <f ca="1">-(J14+K14)-L14</f>
        <v>2311.6229684210543</v>
      </c>
      <c r="F15" s="14"/>
      <c r="G15" s="14"/>
      <c r="H15" s="14"/>
      <c r="I15" s="14"/>
      <c r="J15" s="14"/>
      <c r="K15" s="14"/>
      <c r="L15" s="13"/>
      <c r="M15" s="14">
        <f t="shared" ca="1" si="5"/>
        <v>2311.6229684210543</v>
      </c>
      <c r="N15" s="16"/>
      <c r="O15" s="16"/>
      <c r="P15" s="11"/>
      <c r="Q15" s="13"/>
      <c r="R15" s="14">
        <f t="shared" ca="1" si="6"/>
        <v>2311.6229684210543</v>
      </c>
      <c r="S15" s="16">
        <f t="shared" ca="1" si="4"/>
        <v>2311.6229684210543</v>
      </c>
    </row>
    <row r="16" spans="1:21">
      <c r="A16" s="18" t="s">
        <v>80</v>
      </c>
      <c r="B16" s="11"/>
      <c r="C16" s="14"/>
      <c r="D16" s="14"/>
      <c r="E16" s="14">
        <f ca="1">E18-E15</f>
        <v>6962.1548095027574</v>
      </c>
      <c r="F16" s="14"/>
      <c r="G16" s="14"/>
      <c r="H16" s="14"/>
      <c r="I16" s="14"/>
      <c r="J16" s="14"/>
      <c r="K16" s="14"/>
      <c r="L16" s="13"/>
      <c r="M16" s="14">
        <f t="shared" ca="1" si="5"/>
        <v>6962.1548095027574</v>
      </c>
      <c r="N16" s="16"/>
      <c r="O16" s="16"/>
      <c r="P16" s="11"/>
      <c r="Q16" s="13"/>
      <c r="R16" s="14">
        <f t="shared" ca="1" si="6"/>
        <v>6962.1548095027574</v>
      </c>
      <c r="S16" s="16">
        <f t="shared" ca="1" si="4"/>
        <v>6962.1548095027574</v>
      </c>
    </row>
    <row r="17" spans="1:19">
      <c r="A17" s="30" t="s">
        <v>90</v>
      </c>
      <c r="B17" s="21">
        <f ca="1">R2</f>
        <v>35200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35200</v>
      </c>
      <c r="N17" s="19"/>
      <c r="O17" s="19"/>
      <c r="P17" s="21"/>
      <c r="Q17" s="27"/>
      <c r="R17" s="22">
        <f t="shared" ca="1" si="6"/>
        <v>35200</v>
      </c>
      <c r="S17" s="19">
        <f t="shared" ca="1" si="4"/>
        <v>35200</v>
      </c>
    </row>
    <row r="18" spans="1:19">
      <c r="A18" s="29" t="s">
        <v>89</v>
      </c>
      <c r="B18" s="9">
        <f ca="1">B17</f>
        <v>35200</v>
      </c>
      <c r="C18" s="9">
        <f ca="1">SUM(C$2:C$12)</f>
        <v>6010.2646674046491</v>
      </c>
      <c r="D18" s="9">
        <f ca="1">SUM(D$2:D$12)</f>
        <v>1333.1991546744489</v>
      </c>
      <c r="E18" s="9">
        <f ca="1">$R$5/parameters!$B$4</f>
        <v>9273.7777779238113</v>
      </c>
      <c r="F18" s="9">
        <f t="shared" ref="F18:L18" ca="1" si="7">SUM(F$2:F$12)</f>
        <v>7548.507462686568</v>
      </c>
      <c r="G18" s="9">
        <f t="shared" ca="1" si="7"/>
        <v>0</v>
      </c>
      <c r="H18" s="9">
        <f t="shared" ca="1" si="7"/>
        <v>5811.3897596656207</v>
      </c>
      <c r="I18" s="9">
        <f t="shared" ca="1" si="7"/>
        <v>12642</v>
      </c>
      <c r="J18" s="9">
        <f t="shared" ca="1" si="7"/>
        <v>3513.7701818181818</v>
      </c>
      <c r="K18" s="9">
        <f t="shared" ca="1" si="7"/>
        <v>11145.069818181819</v>
      </c>
      <c r="L18" s="9">
        <f t="shared" ca="1" si="7"/>
        <v>12554.986315789474</v>
      </c>
      <c r="M18" s="17">
        <f ca="1">SUM(B18:L18)</f>
        <v>105032.96513814456</v>
      </c>
      <c r="N18" s="17"/>
      <c r="O18" s="17"/>
      <c r="P18" s="9"/>
      <c r="Q18" s="14"/>
      <c r="R18" s="11">
        <f t="shared" ca="1" si="6"/>
        <v>105032.96513814456</v>
      </c>
      <c r="S18" s="17">
        <f t="shared" ca="1" si="4"/>
        <v>105032.96513814456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0.95700000000000018</v>
      </c>
      <c r="I19" s="39">
        <f t="shared" ref="I19" ca="1" si="9">1-(-I13)/I18</f>
        <v>1</v>
      </c>
      <c r="J19" s="39">
        <f ca="1">(R10+R11)/(R9-P9-Q9)</f>
        <v>0.94826918881640521</v>
      </c>
      <c r="K19" s="39">
        <f ca="1">J19</f>
        <v>0.94826918881640521</v>
      </c>
      <c r="L19" s="40">
        <f ca="1">1-(-L14)/L18</f>
        <v>0.87627949205671019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T24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2757.8746100432727</v>
      </c>
      <c r="D2" s="9">
        <f ca="1">R4/parameters!$B$3</f>
        <v>111.09992955620409</v>
      </c>
      <c r="E2" s="9"/>
      <c r="F2" s="9"/>
      <c r="G2" s="9"/>
      <c r="H2" s="9"/>
      <c r="I2" s="9"/>
      <c r="J2" s="9"/>
      <c r="K2" s="9"/>
      <c r="L2" s="12"/>
      <c r="M2" s="17">
        <f ca="1">SUM(B2:L2)</f>
        <v>2868.9745395994769</v>
      </c>
      <c r="N2" s="17"/>
      <c r="O2" s="17">
        <f ca="1">R2-(M2+P2+Q2)</f>
        <v>0</v>
      </c>
      <c r="P2" s="11" cm="1">
        <f t="array" aca="1" ref="P2" ca="1">INDIRECT("'data'!$F$" &amp; $A$1)</f>
        <v>1827.8</v>
      </c>
      <c r="Q2" s="13">
        <f ca="1">IF(-(M2-R2+P2)&lt;0, -(M2-R2+P2), 0)</f>
        <v>-2966.7745395994771</v>
      </c>
      <c r="R2" s="17" cm="1">
        <f t="array" aca="1" ref="R2" ca="1">INDIRECT("'data'!$D$" &amp; $A$1)</f>
        <v>1730</v>
      </c>
      <c r="S2" s="17">
        <f ca="1">SUM(M2:Q2)</f>
        <v>1730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2674.626865671642</v>
      </c>
      <c r="G3" s="14">
        <f ca="1">R7/parameters!$B$6</f>
        <v>0</v>
      </c>
      <c r="H3" s="14">
        <f ca="1">R3-P3-Q3-F3-G3</f>
        <v>20.513134328358319</v>
      </c>
      <c r="I3" s="14"/>
      <c r="J3" s="14"/>
      <c r="K3" s="14"/>
      <c r="L3" s="13"/>
      <c r="M3" s="16">
        <f t="shared" ref="M3:M11" ca="1" si="0">SUM(B3:L3)</f>
        <v>2695.1400000000003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101.11499999999999</v>
      </c>
      <c r="Q3" s="13" cm="1">
        <f t="array" aca="1" ref="Q3" ca="1">-INDIRECT("'data'!$I$" &amp; $A$1)*parameters!$B$13</f>
        <v>-55.754999999999995</v>
      </c>
      <c r="R3" s="16" cm="1">
        <f t="array" aca="1" ref="R3" ca="1">INDIRECT("'data'!$G$" &amp; $A$1)*parameters!$B$13</f>
        <v>2740.5</v>
      </c>
      <c r="S3" s="16">
        <f t="shared" ref="S3:S11" ca="1" si="2">SUM(M3:Q3)</f>
        <v>2740.5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137.08000000000001</v>
      </c>
      <c r="I4" s="14"/>
      <c r="J4" s="14"/>
      <c r="K4" s="14"/>
      <c r="L4" s="13"/>
      <c r="M4" s="16">
        <f t="shared" ca="1" si="0"/>
        <v>137.08000000000001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-27.6</v>
      </c>
      <c r="R4" s="16" cm="1">
        <f t="array" aca="1" ref="R4" ca="1">INDIRECT("'data'!$J$" &amp; $A$1)*parameters!$B$14</f>
        <v>110.4</v>
      </c>
      <c r="S4" s="16">
        <f t="shared" ca="1" si="2"/>
        <v>110.4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R6/parameters!$B$5*50%</f>
        <v>2674.626865671642</v>
      </c>
      <c r="G5" s="14"/>
      <c r="H5" s="14">
        <f ca="1">R8/parameters!$B$7-(H3+H4)</f>
        <v>3365.0818917949437</v>
      </c>
      <c r="I5" s="14"/>
      <c r="J5" s="14"/>
      <c r="K5" s="14"/>
      <c r="L5" s="13"/>
      <c r="M5" s="16">
        <f t="shared" ca="1" si="0"/>
        <v>6039.7087574665857</v>
      </c>
      <c r="N5" s="16"/>
      <c r="O5" s="16"/>
      <c r="P5" s="11" cm="1">
        <f t="array" aca="1" ref="P5" ca="1">INDIRECT("'data'!$M$" &amp; $A$1)*parameters!$B$15</f>
        <v>48.019999999999996</v>
      </c>
      <c r="Q5" s="13" cm="1">
        <f t="array" aca="1" ref="Q5" ca="1">-INDIRECT("'data'!$N$" &amp; $A$1)*parameters!$B$15</f>
        <v>-2561.7199999999998</v>
      </c>
      <c r="R5" s="16">
        <f ca="1">SUM(M5:Q5)</f>
        <v>3526.0087574665863</v>
      </c>
      <c r="S5" s="16">
        <f t="shared" ca="1" si="2"/>
        <v>3526.0087574665863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5017.6000000000004</v>
      </c>
      <c r="J6" s="14"/>
      <c r="K6" s="14"/>
      <c r="L6" s="13"/>
      <c r="M6" s="16">
        <f t="shared" ca="1" si="0"/>
        <v>5017.6000000000004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5017.6000000000004</v>
      </c>
      <c r="S6" s="16">
        <f t="shared" ca="1" si="2"/>
        <v>5017.6000000000004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3371.2</v>
      </c>
      <c r="J8" s="14"/>
      <c r="K8" s="14"/>
      <c r="L8" s="13"/>
      <c r="M8" s="16">
        <f t="shared" ca="1" si="0"/>
        <v>3371.2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3371.2</v>
      </c>
      <c r="S8" s="16">
        <f t="shared" ca="1" si="2"/>
        <v>3371.2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5886.8622632740908</v>
      </c>
      <c r="K9" s="14">
        <f ca="1">R11/K19</f>
        <v>6409.1977367259078</v>
      </c>
      <c r="L9" s="13"/>
      <c r="M9" s="16">
        <f t="shared" ca="1" si="0"/>
        <v>12296.059999999998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765.38</v>
      </c>
      <c r="Q9" s="13" cm="1">
        <f t="array" aca="1" ref="Q9" ca="1">-INDIRECT("'data'!$S$" &amp; $A$1)*parameters!$B$15</f>
        <v>-4672.6400000000003</v>
      </c>
      <c r="R9" s="16">
        <f ca="1">SUM(R6:R8)</f>
        <v>8388.7999999999993</v>
      </c>
      <c r="S9" s="16">
        <f t="shared" ca="1" si="2"/>
        <v>8388.7999999999956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6705.16</v>
      </c>
      <c r="M10" s="16">
        <f t="shared" ca="1" si="0"/>
        <v>6705.16</v>
      </c>
      <c r="N10" s="16"/>
      <c r="O10" s="16">
        <f t="shared" ca="1" si="3"/>
        <v>0</v>
      </c>
      <c r="P10" s="11" cm="1">
        <f t="array" aca="1" ref="P10" ca="1">INDIRECT("'data'!$U$" &amp; $A$1)*parameters!$B$15</f>
        <v>173.46</v>
      </c>
      <c r="Q10" s="13" cm="1">
        <f t="array" aca="1" ref="Q10" ca="1">-INDIRECT("'data'!$V$" &amp; $A$1)*parameters!$B$15</f>
        <v>-1800.26</v>
      </c>
      <c r="R10" s="16" cm="1">
        <f t="array" aca="1" ref="R10" ca="1">INDIRECT("'data'!$T$" &amp; $A$1)*parameters!$B$15</f>
        <v>5078.3599999999997</v>
      </c>
      <c r="S10" s="16">
        <f t="shared" ca="1" si="2"/>
        <v>5078.3599999999997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8768.8378662873401</v>
      </c>
      <c r="M11" s="16">
        <f t="shared" ca="1" si="0"/>
        <v>8768.8378662873401</v>
      </c>
      <c r="N11" s="16"/>
      <c r="O11" s="16">
        <f t="shared" ca="1" si="3"/>
        <v>0</v>
      </c>
      <c r="P11" s="11" cm="1">
        <f t="array" aca="1" ref="P11" ca="1">INDIRECT("'data'!$X$" &amp; $A$1)*parameters!$B$15</f>
        <v>2739.1</v>
      </c>
      <c r="Q11" s="13" cm="1">
        <f t="array" aca="1" ref="Q11" ca="1">-INDIRECT("'data'!$Y$" &amp; $A$1)*parameters!$B$15</f>
        <v>-5978.98</v>
      </c>
      <c r="R11" s="16" cm="1">
        <f t="array" aca="1" ref="R11" ca="1">INDIRECT("'data'!$W$" &amp; $A$1)*parameters!$B$15</f>
        <v>5528.95786628734</v>
      </c>
      <c r="S11" s="16">
        <f t="shared" ca="1" si="2"/>
        <v>5528.9578662873409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16645.87096500711</v>
      </c>
      <c r="O12" s="19"/>
      <c r="P12" s="21" cm="1">
        <f t="array" aca="1" ref="P12" ca="1">INDIRECT("'data'!$Z$" &amp; $A$1)*parameters!$B$15</f>
        <v>1249.5</v>
      </c>
      <c r="Q12" s="27" cm="1">
        <f t="array" aca="1" ref="Q12" ca="1">-INDIRECT("'data'!$AA$" &amp; $A$1)*parameters!$B$15</f>
        <v>-4051.3199999999997</v>
      </c>
      <c r="R12" s="16">
        <f ca="1">L10*parameters!$B$10+L11*parameters!$B$11</f>
        <v>13844.050965007111</v>
      </c>
      <c r="S12" s="16">
        <f t="shared" ref="S12:S18" ca="1" si="4">SUM(M12:Q12)</f>
        <v>13844.050965007111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-17.374610043272696</v>
      </c>
      <c r="D13" s="9">
        <f ca="1">-(D18-R4)</f>
        <v>-0.69992955620408281</v>
      </c>
      <c r="E13" s="9">
        <f ca="1">-(E18-R5)</f>
        <v>-435.79883519249915</v>
      </c>
      <c r="F13" s="9">
        <f ca="1">-(F18-R6)</f>
        <v>-331.65373134328365</v>
      </c>
      <c r="G13" s="9">
        <f ca="1">-(G18-R7)</f>
        <v>0</v>
      </c>
      <c r="H13" s="9">
        <f ca="1">-(H18-R8)</f>
        <v>-151.47502612330209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-937.00213225856169</v>
      </c>
      <c r="N13" s="17"/>
      <c r="O13" s="17"/>
      <c r="P13" s="10"/>
      <c r="Q13" s="12"/>
      <c r="R13" s="9">
        <f t="shared" ref="R13:R18" ca="1" si="6">SUM(M13:Q13)</f>
        <v>-937.00213225856169</v>
      </c>
      <c r="S13" s="17">
        <f t="shared" ca="1" si="4"/>
        <v>-937.00213225856169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-808.50226327409109</v>
      </c>
      <c r="K14" s="14">
        <f ca="1">-(K18-R11)</f>
        <v>-880.23987043856778</v>
      </c>
      <c r="L14" s="13">
        <f ca="1">-(L18-R12)</f>
        <v>-1629.9469012802292</v>
      </c>
      <c r="M14" s="14">
        <f t="shared" ca="1" si="5"/>
        <v>-3318.6890349928881</v>
      </c>
      <c r="N14" s="16">
        <f ca="1">-E16</f>
        <v>-643.11855766619738</v>
      </c>
      <c r="O14" s="16"/>
      <c r="P14" s="11"/>
      <c r="Q14" s="13"/>
      <c r="R14" s="14">
        <f t="shared" ca="1" si="6"/>
        <v>-3961.8075926590855</v>
      </c>
      <c r="S14" s="16">
        <f t="shared" ca="1" si="4"/>
        <v>-3961.8075926590855</v>
      </c>
    </row>
    <row r="15" spans="1:20">
      <c r="A15" s="18" t="s">
        <v>79</v>
      </c>
      <c r="B15" s="11"/>
      <c r="C15" s="14"/>
      <c r="D15" s="14"/>
      <c r="E15" s="14">
        <f ca="1">-(J14+K14)-L14</f>
        <v>3318.6890349928881</v>
      </c>
      <c r="F15" s="14"/>
      <c r="G15" s="14"/>
      <c r="H15" s="14"/>
      <c r="I15" s="14"/>
      <c r="J15" s="14"/>
      <c r="K15" s="14"/>
      <c r="L15" s="13"/>
      <c r="M15" s="14">
        <f t="shared" ca="1" si="5"/>
        <v>3318.6890349928881</v>
      </c>
      <c r="N15" s="16"/>
      <c r="O15" s="16"/>
      <c r="P15" s="11"/>
      <c r="Q15" s="13"/>
      <c r="R15" s="14">
        <f t="shared" ca="1" si="6"/>
        <v>3318.6890349928881</v>
      </c>
      <c r="S15" s="16">
        <f t="shared" ca="1" si="4"/>
        <v>3318.6890349928881</v>
      </c>
    </row>
    <row r="16" spans="1:20">
      <c r="A16" s="18" t="s">
        <v>80</v>
      </c>
      <c r="B16" s="11"/>
      <c r="C16" s="14"/>
      <c r="D16" s="14"/>
      <c r="E16" s="14">
        <f ca="1">E18-E15</f>
        <v>643.11855766619738</v>
      </c>
      <c r="F16" s="14"/>
      <c r="G16" s="14"/>
      <c r="H16" s="14"/>
      <c r="I16" s="14"/>
      <c r="J16" s="14"/>
      <c r="K16" s="14"/>
      <c r="L16" s="13"/>
      <c r="M16" s="14">
        <f t="shared" ca="1" si="5"/>
        <v>643.11855766619738</v>
      </c>
      <c r="N16" s="16"/>
      <c r="O16" s="16"/>
      <c r="P16" s="11"/>
      <c r="Q16" s="13"/>
      <c r="R16" s="14">
        <f t="shared" ca="1" si="6"/>
        <v>643.11855766619738</v>
      </c>
      <c r="S16" s="16">
        <f t="shared" ca="1" si="4"/>
        <v>643.11855766619738</v>
      </c>
    </row>
    <row r="17" spans="1:19">
      <c r="A17" s="30" t="s">
        <v>90</v>
      </c>
      <c r="B17" s="21">
        <f ca="1">R2</f>
        <v>1730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1730</v>
      </c>
      <c r="N17" s="19"/>
      <c r="O17" s="19"/>
      <c r="P17" s="21"/>
      <c r="Q17" s="27"/>
      <c r="R17" s="22">
        <f t="shared" ca="1" si="6"/>
        <v>1730</v>
      </c>
      <c r="S17" s="19">
        <f t="shared" ca="1" si="4"/>
        <v>1730</v>
      </c>
    </row>
    <row r="18" spans="1:19">
      <c r="A18" s="29" t="s">
        <v>89</v>
      </c>
      <c r="B18" s="9">
        <f ca="1">B17</f>
        <v>1730</v>
      </c>
      <c r="C18" s="9">
        <f ca="1">SUM(C$2:C$12)</f>
        <v>2757.8746100432727</v>
      </c>
      <c r="D18" s="9">
        <f ca="1">SUM(D$2:D$12)</f>
        <v>111.09992955620409</v>
      </c>
      <c r="E18" s="9">
        <f ca="1">$R$5/parameters!$B$4</f>
        <v>3961.8075926590855</v>
      </c>
      <c r="F18" s="9">
        <f t="shared" ref="F18:L18" ca="1" si="7">SUM(F$2:F$12)</f>
        <v>5349.253731343284</v>
      </c>
      <c r="G18" s="9">
        <f t="shared" ca="1" si="7"/>
        <v>0</v>
      </c>
      <c r="H18" s="9">
        <f t="shared" ca="1" si="7"/>
        <v>3522.6750261233019</v>
      </c>
      <c r="I18" s="9">
        <f t="shared" ca="1" si="7"/>
        <v>8388.7999999999993</v>
      </c>
      <c r="J18" s="9">
        <f t="shared" ca="1" si="7"/>
        <v>5886.8622632740908</v>
      </c>
      <c r="K18" s="9">
        <f t="shared" ca="1" si="7"/>
        <v>6409.1977367259078</v>
      </c>
      <c r="L18" s="9">
        <f t="shared" ca="1" si="7"/>
        <v>15473.99786628734</v>
      </c>
      <c r="M18" s="17">
        <f ca="1">SUM(B18:L18)</f>
        <v>53591.568756012486</v>
      </c>
      <c r="N18" s="17"/>
      <c r="O18" s="17"/>
      <c r="P18" s="9"/>
      <c r="Q18" s="14"/>
      <c r="R18" s="11">
        <f t="shared" ca="1" si="6"/>
        <v>53591.568756012486</v>
      </c>
      <c r="S18" s="17">
        <f t="shared" ca="1" si="4"/>
        <v>53591.568756012486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0.86265989807201171</v>
      </c>
      <c r="K19" s="39">
        <f ca="1">J19</f>
        <v>0.86265989807201171</v>
      </c>
      <c r="L19" s="40">
        <f ca="1">1-(-L14)/L18</f>
        <v>0.89466543065568482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4171.047599879239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4171.047599879239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-4171.047599879239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4112.2388059701498</v>
      </c>
      <c r="G3" s="14">
        <f ca="1">R7/parameters!$B$6</f>
        <v>0</v>
      </c>
      <c r="H3" s="14">
        <f ca="1">R3-P3-Q3-F3-G3</f>
        <v>170.50119402985001</v>
      </c>
      <c r="I3" s="14"/>
      <c r="J3" s="14"/>
      <c r="K3" s="14"/>
      <c r="L3" s="13"/>
      <c r="M3" s="16">
        <f t="shared" ref="M3:M11" ca="1" si="0">SUM(B3:L3)</f>
        <v>4282.74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71.819999999999993</v>
      </c>
      <c r="Q3" s="13" cm="1">
        <f t="array" aca="1" ref="Q3" ca="1">-INDIRECT("'data'!$I$" &amp; $A$1)*parameters!$B$13</f>
        <v>-209.79</v>
      </c>
      <c r="R3" s="16" cm="1">
        <f t="array" aca="1" ref="R3" ca="1">INDIRECT("'data'!$G$" &amp; $A$1)*parameters!$B$13</f>
        <v>4144.7699999999995</v>
      </c>
      <c r="S3" s="16">
        <f t="shared" ref="S3:S11" ca="1" si="2">SUM(M3:Q3)</f>
        <v>4144.7699999999995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1028.0597014925377</v>
      </c>
      <c r="G5" s="14"/>
      <c r="H5" s="14">
        <f ca="1">R8/parameters!$B$7-(H3+H4)</f>
        <v>3963.521794475897</v>
      </c>
      <c r="I5" s="14"/>
      <c r="J5" s="14"/>
      <c r="K5" s="14"/>
      <c r="L5" s="13"/>
      <c r="M5" s="16">
        <f t="shared" ca="1" si="0"/>
        <v>4991.5814959684349</v>
      </c>
      <c r="N5" s="16"/>
      <c r="O5" s="16"/>
      <c r="P5" s="11" cm="1">
        <f t="array" aca="1" ref="P5" ca="1">INDIRECT("'data'!$M$" &amp; $A$1)*parameters!$B$15</f>
        <v>2085.44</v>
      </c>
      <c r="Q5" s="13" cm="1">
        <f t="array" aca="1" ref="Q5" ca="1">-INDIRECT("'data'!$N$" &amp; $A$1)*parameters!$B$15</f>
        <v>-754.6</v>
      </c>
      <c r="R5" s="16">
        <f ca="1">SUM(M5:Q5)</f>
        <v>6322.4214959684341</v>
      </c>
      <c r="S5" s="16">
        <f t="shared" ca="1" si="2"/>
        <v>6322.4214959684341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4821.6000000000004</v>
      </c>
      <c r="J6" s="14"/>
      <c r="K6" s="14"/>
      <c r="L6" s="13"/>
      <c r="M6" s="16">
        <f t="shared" ca="1" si="0"/>
        <v>4821.6000000000004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4821.6000000000004</v>
      </c>
      <c r="S6" s="16">
        <f t="shared" ca="1" si="2"/>
        <v>4821.6000000000004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3956.2599999999998</v>
      </c>
      <c r="J8" s="14"/>
      <c r="K8" s="14"/>
      <c r="L8" s="13"/>
      <c r="M8" s="16">
        <f t="shared" ca="1" si="0"/>
        <v>3956.2599999999998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3956.2599999999998</v>
      </c>
      <c r="S8" s="16">
        <f t="shared" ca="1" si="2"/>
        <v>3956.2599999999998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5665.2813800881913</v>
      </c>
      <c r="K9" s="14">
        <f ca="1">R11/K19</f>
        <v>2872.478619911808</v>
      </c>
      <c r="L9" s="13"/>
      <c r="M9" s="16">
        <f t="shared" ca="1" si="0"/>
        <v>8537.7599999999984</v>
      </c>
      <c r="N9" s="16"/>
      <c r="O9" s="16">
        <f t="shared" ca="1" si="3"/>
        <v>0</v>
      </c>
      <c r="P9" s="11" cm="1">
        <f t="array" aca="1" ref="P9" ca="1">INDIRECT("'data'!$R$" &amp; $A$1)*parameters!$B$15</f>
        <v>750.68</v>
      </c>
      <c r="Q9" s="13" cm="1">
        <f t="array" aca="1" ref="Q9" ca="1">-INDIRECT("'data'!$S$" &amp; $A$1)*parameters!$B$15</f>
        <v>-510.58</v>
      </c>
      <c r="R9" s="16">
        <f ca="1">SUM(R6:R8)</f>
        <v>8777.86</v>
      </c>
      <c r="S9" s="16">
        <f t="shared" ca="1" si="2"/>
        <v>8777.8599999999988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5062.68</v>
      </c>
      <c r="M10" s="16">
        <f t="shared" ca="1" si="0"/>
        <v>5062.68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2537.2199999999998</v>
      </c>
      <c r="Q10" s="13" cm="1">
        <f t="array" aca="1" ref="Q10" ca="1">-INDIRECT("'data'!$V$" &amp; $A$1)*parameters!$B$15</f>
        <v>-2426.48</v>
      </c>
      <c r="R10" s="16" cm="1">
        <f t="array" aca="1" ref="R10" ca="1">INDIRECT("'data'!$T$" &amp; $A$1)*parameters!$B$15</f>
        <v>5173.42</v>
      </c>
      <c r="S10" s="16">
        <f t="shared" ca="1" si="2"/>
        <v>5173.42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7693.6091891891892</v>
      </c>
      <c r="M11" s="16">
        <f t="shared" ca="1" si="0"/>
        <v>7693.6091891891892</v>
      </c>
      <c r="N11" s="16"/>
      <c r="O11" s="16">
        <f t="shared" ca="1" si="3"/>
        <v>0</v>
      </c>
      <c r="P11" s="11" cm="1">
        <f t="array" aca="1" ref="P11" ca="1">INDIRECT("'data'!$X$" &amp; $A$1)*parameters!$B$15</f>
        <v>1817.8999999999999</v>
      </c>
      <c r="Q11" s="13" cm="1">
        <f t="array" aca="1" ref="Q11" ca="1">-INDIRECT("'data'!$Y$" &amp; $A$1)*parameters!$B$15</f>
        <v>-6888.42</v>
      </c>
      <c r="R11" s="16" cm="1">
        <f t="array" aca="1" ref="R11" ca="1">INDIRECT("'data'!$W$" &amp; $A$1)*parameters!$B$15</f>
        <v>2623.0891891891893</v>
      </c>
      <c r="S11" s="16">
        <f t="shared" ca="1" si="2"/>
        <v>2623.0891891891897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8512.8431027027</v>
      </c>
      <c r="O12" s="19"/>
      <c r="P12" s="21" cm="1">
        <f t="array" aca="1" ref="P12" ca="1">INDIRECT("'data'!$Z$" &amp; $A$1)*parameters!$B$15</f>
        <v>9667.7000000000007</v>
      </c>
      <c r="Q12" s="27" cm="1">
        <f t="array" aca="1" ref="Q12" ca="1">-INDIRECT("'data'!$AA$" &amp; $A$1)*parameters!$B$15</f>
        <v>-6805.12</v>
      </c>
      <c r="R12" s="16">
        <f ca="1">L10*parameters!$B$10+L11*parameters!$B$11</f>
        <v>11375.423102702702</v>
      </c>
      <c r="S12" s="16">
        <f t="shared" ref="S12:S18" ca="1" si="4">SUM(M12:Q12)</f>
        <v>11375.423102702702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-26.27759987923946</v>
      </c>
      <c r="D13" s="9">
        <f ca="1">-(D18-R4)</f>
        <v>0</v>
      </c>
      <c r="E13" s="9">
        <f ca="1">-(E18-R5)</f>
        <v>-781.4228815241886</v>
      </c>
      <c r="F13" s="9">
        <f ca="1">-(F18-R6)</f>
        <v>-318.6985074626873</v>
      </c>
      <c r="G13" s="9">
        <f ca="1">-(G18-R7)</f>
        <v>0</v>
      </c>
      <c r="H13" s="9">
        <f ca="1">-(H18-R8)</f>
        <v>-177.76298850574722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-1304.1619773718626</v>
      </c>
      <c r="N13" s="17"/>
      <c r="O13" s="17"/>
      <c r="P13" s="10"/>
      <c r="Q13" s="12"/>
      <c r="R13" s="9">
        <f t="shared" ref="R13:R18" ca="1" si="6">SUM(M13:Q13)</f>
        <v>-1304.1619773718626</v>
      </c>
      <c r="S13" s="17">
        <f t="shared" ca="1" si="4"/>
        <v>-1304.1619773718626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-491.86138008819125</v>
      </c>
      <c r="K14" s="14">
        <f ca="1">-(K18-R11)</f>
        <v>-249.38943072261873</v>
      </c>
      <c r="L14" s="13">
        <f ca="1">-(L18-R12)</f>
        <v>-1380.8660864864869</v>
      </c>
      <c r="M14" s="14">
        <f t="shared" ca="1" si="5"/>
        <v>-2122.1168972972969</v>
      </c>
      <c r="N14" s="16">
        <f ca="1">-E16</f>
        <v>-4981.7274801953263</v>
      </c>
      <c r="O14" s="16"/>
      <c r="P14" s="11"/>
      <c r="Q14" s="13"/>
      <c r="R14" s="14">
        <f t="shared" ca="1" si="6"/>
        <v>-7103.8443774926236</v>
      </c>
      <c r="S14" s="16">
        <f t="shared" ca="1" si="4"/>
        <v>-7103.8443774926236</v>
      </c>
    </row>
    <row r="15" spans="1:21">
      <c r="A15" s="18" t="s">
        <v>79</v>
      </c>
      <c r="B15" s="11"/>
      <c r="C15" s="14"/>
      <c r="D15" s="14"/>
      <c r="E15" s="14">
        <f ca="1">-(J14+K14)-L14</f>
        <v>2122.1168972972969</v>
      </c>
      <c r="F15" s="14"/>
      <c r="G15" s="14"/>
      <c r="H15" s="14"/>
      <c r="I15" s="14"/>
      <c r="J15" s="14"/>
      <c r="K15" s="14"/>
      <c r="L15" s="13"/>
      <c r="M15" s="14">
        <f t="shared" ca="1" si="5"/>
        <v>2122.1168972972969</v>
      </c>
      <c r="N15" s="16"/>
      <c r="O15" s="16"/>
      <c r="P15" s="11"/>
      <c r="Q15" s="13"/>
      <c r="R15" s="14">
        <f t="shared" ca="1" si="6"/>
        <v>2122.1168972972969</v>
      </c>
      <c r="S15" s="16">
        <f t="shared" ca="1" si="4"/>
        <v>2122.1168972972969</v>
      </c>
    </row>
    <row r="16" spans="1:21">
      <c r="A16" s="18" t="s">
        <v>80</v>
      </c>
      <c r="B16" s="11"/>
      <c r="C16" s="14"/>
      <c r="D16" s="14"/>
      <c r="E16" s="14">
        <f ca="1">E18-E15</f>
        <v>4981.7274801953263</v>
      </c>
      <c r="F16" s="14"/>
      <c r="G16" s="14"/>
      <c r="H16" s="14"/>
      <c r="I16" s="14"/>
      <c r="J16" s="14"/>
      <c r="K16" s="14"/>
      <c r="L16" s="13"/>
      <c r="M16" s="14">
        <f t="shared" ca="1" si="5"/>
        <v>4981.7274801953263</v>
      </c>
      <c r="N16" s="16"/>
      <c r="O16" s="16"/>
      <c r="P16" s="11"/>
      <c r="Q16" s="13"/>
      <c r="R16" s="14">
        <f t="shared" ca="1" si="6"/>
        <v>4981.7274801953263</v>
      </c>
      <c r="S16" s="16">
        <f t="shared" ca="1" si="4"/>
        <v>4981.7274801953263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4171.047599879239</v>
      </c>
      <c r="D18" s="9">
        <f ca="1">SUM(D$2:D$12)</f>
        <v>0</v>
      </c>
      <c r="E18" s="9">
        <f ca="1">$R$5/parameters!$B$4</f>
        <v>7103.8443774926227</v>
      </c>
      <c r="F18" s="9">
        <f t="shared" ref="F18:L18" ca="1" si="7">SUM(F$2:F$12)</f>
        <v>5140.2985074626877</v>
      </c>
      <c r="G18" s="9">
        <f t="shared" ca="1" si="7"/>
        <v>0</v>
      </c>
      <c r="H18" s="9">
        <f t="shared" ca="1" si="7"/>
        <v>4134.022988505747</v>
      </c>
      <c r="I18" s="9">
        <f t="shared" ca="1" si="7"/>
        <v>8777.86</v>
      </c>
      <c r="J18" s="9">
        <f t="shared" ca="1" si="7"/>
        <v>5665.2813800881913</v>
      </c>
      <c r="K18" s="9">
        <f t="shared" ca="1" si="7"/>
        <v>2872.478619911808</v>
      </c>
      <c r="L18" s="9">
        <f t="shared" ca="1" si="7"/>
        <v>12756.289189189189</v>
      </c>
      <c r="M18" s="17">
        <f ca="1">SUM(B18:L18)</f>
        <v>50621.122662529495</v>
      </c>
      <c r="N18" s="17"/>
      <c r="O18" s="17"/>
      <c r="P18" s="9"/>
      <c r="Q18" s="14"/>
      <c r="R18" s="11">
        <f t="shared" ca="1" si="6"/>
        <v>50621.122662529495</v>
      </c>
      <c r="S18" s="17">
        <f t="shared" ca="1" si="4"/>
        <v>50621.122662529495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0.91317970863425413</v>
      </c>
      <c r="K19" s="39">
        <f ca="1">J19</f>
        <v>0.91317970863425413</v>
      </c>
      <c r="L19" s="40">
        <f ca="1">1-(-L14)/L18</f>
        <v>0.89175017389408551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161.66851162322632</v>
      </c>
      <c r="D2" s="9">
        <f ca="1">R4/parameters!$B$3</f>
        <v>4097.7357351313276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4259.4042467545542</v>
      </c>
      <c r="N2" s="17"/>
      <c r="O2" s="17">
        <f ca="1">R2-(M2+P2+Q2)</f>
        <v>4.5474735088646412E-13</v>
      </c>
      <c r="P2" s="11" cm="1">
        <f t="array" aca="1" ref="P2" ca="1">INDIRECT("'data'!$F$" &amp; $A$1)</f>
        <v>10.4</v>
      </c>
      <c r="Q2" s="13">
        <f ca="1">IF(-(M2-R2+P2)&lt;0, -(M2-R2+P2), 0)</f>
        <v>-3897.8042467545542</v>
      </c>
      <c r="R2" s="17" cm="1">
        <f t="array" aca="1" ref="R2" ca="1">INDIRECT("'data'!$D$" &amp; $A$1)</f>
        <v>372</v>
      </c>
      <c r="S2" s="17">
        <f ca="1">SUM(M2:Q2)</f>
        <v>372.00000000000045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153.79104477611941</v>
      </c>
      <c r="G3" s="14">
        <f ca="1">R7/parameters!$B$6</f>
        <v>0</v>
      </c>
      <c r="H3" s="14">
        <f ca="1">R3-P3-Q3-F3-G3</f>
        <v>6.8589552238805993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160.65</v>
      </c>
      <c r="S3" s="16">
        <f t="shared" ref="S3:S11" ca="1" si="2">SUM(M3:Q3)</f>
        <v>160.65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4071.92</v>
      </c>
      <c r="I4" s="14"/>
      <c r="J4" s="14"/>
      <c r="K4" s="14"/>
      <c r="L4" s="13"/>
      <c r="M4" s="16">
        <f t="shared" ca="1" si="0"/>
        <v>4071.92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4071.92</v>
      </c>
      <c r="S4" s="16">
        <f t="shared" ca="1" si="2"/>
        <v>4071.92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38.447761194029852</v>
      </c>
      <c r="G5" s="14"/>
      <c r="H5" s="14">
        <f ca="1">R8/parameters!$B$7-(H3+H4)</f>
        <v>3164.209550523246</v>
      </c>
      <c r="I5" s="14"/>
      <c r="J5" s="14"/>
      <c r="K5" s="14"/>
      <c r="L5" s="13"/>
      <c r="M5" s="16">
        <f t="shared" ca="1" si="0"/>
        <v>3202.6573117172757</v>
      </c>
      <c r="N5" s="16"/>
      <c r="O5" s="16"/>
      <c r="P5" s="11" cm="1">
        <f t="array" aca="1" ref="P5" ca="1">INDIRECT("'data'!$M$" &amp; $A$1)*parameters!$B$15</f>
        <v>295.95999999999998</v>
      </c>
      <c r="Q5" s="13" cm="1">
        <f t="array" aca="1" ref="Q5" ca="1">-INDIRECT("'data'!$N$" &amp; $A$1)*parameters!$B$15</f>
        <v>-1620.92</v>
      </c>
      <c r="R5" s="16">
        <f ca="1">SUM(M5:Q5)</f>
        <v>1877.6973117172756</v>
      </c>
      <c r="S5" s="16">
        <f t="shared" ca="1" si="2"/>
        <v>1877.6973117172756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180.32</v>
      </c>
      <c r="J6" s="14"/>
      <c r="K6" s="14"/>
      <c r="L6" s="13"/>
      <c r="M6" s="16">
        <f t="shared" ca="1" si="0"/>
        <v>180.32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180.32</v>
      </c>
      <c r="S6" s="16">
        <f t="shared" ca="1" si="2"/>
        <v>180.32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6931.54</v>
      </c>
      <c r="J8" s="14"/>
      <c r="K8" s="14"/>
      <c r="L8" s="13"/>
      <c r="M8" s="16">
        <f t="shared" ca="1" si="0"/>
        <v>6931.54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6931.54</v>
      </c>
      <c r="S8" s="16">
        <f t="shared" ca="1" si="2"/>
        <v>6931.54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7258</v>
      </c>
      <c r="K9" s="14">
        <f ca="1">R11/K19</f>
        <v>1129.9132290184921</v>
      </c>
      <c r="L9" s="13"/>
      <c r="M9" s="16">
        <f t="shared" ca="1" si="0"/>
        <v>8387.9132290184916</v>
      </c>
      <c r="N9" s="16"/>
      <c r="O9" s="16">
        <f t="shared" ca="1" si="3"/>
        <v>-1251.5532290184919</v>
      </c>
      <c r="P9" s="11" cm="1">
        <f t="array" aca="1" ref="P9" ca="1">INDIRECT("'data'!$R$" &amp; $A$1)*parameters!$B$15</f>
        <v>1.96</v>
      </c>
      <c r="Q9" s="13" cm="1">
        <f t="array" aca="1" ref="Q9" ca="1">-INDIRECT("'data'!$S$" &amp; $A$1)*parameters!$B$15</f>
        <v>-26.46</v>
      </c>
      <c r="R9" s="16">
        <f ca="1">SUM(R6:R8)</f>
        <v>7111.86</v>
      </c>
      <c r="S9" s="16">
        <f t="shared" ca="1" si="2"/>
        <v>7111.86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6805.12</v>
      </c>
      <c r="M10" s="16">
        <f t="shared" ca="1" si="0"/>
        <v>6805.12</v>
      </c>
      <c r="N10" s="16"/>
      <c r="O10" s="16">
        <f t="shared" ca="1" si="3"/>
        <v>0</v>
      </c>
      <c r="P10" s="11" cm="1">
        <f t="array" aca="1" ref="P10" ca="1">INDIRECT("'data'!$U$" &amp; $A$1)*parameters!$B$15</f>
        <v>338.09999999999997</v>
      </c>
      <c r="Q10" s="13" cm="1">
        <f t="array" aca="1" ref="Q10" ca="1">-INDIRECT("'data'!$V$" &amp; $A$1)*parameters!$B$15</f>
        <v>-30.38</v>
      </c>
      <c r="R10" s="16" cm="1">
        <f t="array" aca="1" ref="R10" ca="1">INDIRECT("'data'!$T$" &amp; $A$1)*parameters!$B$15</f>
        <v>7112.84</v>
      </c>
      <c r="S10" s="16">
        <f t="shared" ca="1" si="2"/>
        <v>7112.84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460.51496443812209</v>
      </c>
      <c r="M11" s="16">
        <f t="shared" ca="1" si="0"/>
        <v>460.51496443812209</v>
      </c>
      <c r="N11" s="16"/>
      <c r="O11" s="16">
        <f t="shared" ca="1" si="3"/>
        <v>0</v>
      </c>
      <c r="P11" s="11" cm="1">
        <f t="array" aca="1" ref="P11" ca="1">INDIRECT("'data'!$X$" &amp; $A$1)*parameters!$B$15</f>
        <v>761.46</v>
      </c>
      <c r="Q11" s="13" cm="1">
        <f t="array" aca="1" ref="Q11" ca="1">-INDIRECT("'data'!$Y$" &amp; $A$1)*parameters!$B$15</f>
        <v>-114.66</v>
      </c>
      <c r="R11" s="16" cm="1">
        <f t="array" aca="1" ref="R11" ca="1">INDIRECT("'data'!$W$" &amp; $A$1)*parameters!$B$15</f>
        <v>1107.3149644381222</v>
      </c>
      <c r="S11" s="16">
        <f t="shared" ca="1" si="2"/>
        <v>1107.3149644381222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8294.2156694167843</v>
      </c>
      <c r="O12" s="19"/>
      <c r="P12" s="21" cm="1">
        <f t="array" aca="1" ref="P12" ca="1">INDIRECT("'data'!$Z$" &amp; $A$1)*parameters!$B$15</f>
        <v>166.6</v>
      </c>
      <c r="Q12" s="27" cm="1">
        <f t="array" aca="1" ref="Q12" ca="1">-INDIRECT("'data'!$AA$" &amp; $A$1)*parameters!$B$15</f>
        <v>-1667.96</v>
      </c>
      <c r="R12" s="16">
        <f ca="1">L10*parameters!$B$10+L11*parameters!$B$11</f>
        <v>6792.8556694167846</v>
      </c>
      <c r="S12" s="16">
        <f t="shared" ref="S12:S18" ca="1" si="4">SUM(M12:Q12)</f>
        <v>6792.8556694167846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-1.0185116232263169</v>
      </c>
      <c r="D13" s="9">
        <f ca="1">-(D18-R4)</f>
        <v>-25.815735131327529</v>
      </c>
      <c r="E13" s="9">
        <f ca="1">-(E18-R5)</f>
        <v>-232.07494863921374</v>
      </c>
      <c r="F13" s="9">
        <f ca="1">-(F18-R6)</f>
        <v>-11.918805970149265</v>
      </c>
      <c r="G13" s="9">
        <f ca="1">-(G18-R7)</f>
        <v>0</v>
      </c>
      <c r="H13" s="9">
        <f ca="1">-(H18-R8)</f>
        <v>-311.44850574712655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-582.27650711104343</v>
      </c>
      <c r="N13" s="17"/>
      <c r="O13" s="17"/>
      <c r="P13" s="10"/>
      <c r="Q13" s="12"/>
      <c r="R13" s="9">
        <f t="shared" ref="R13:R18" ca="1" si="6">SUM(M13:Q13)</f>
        <v>-582.27650711104343</v>
      </c>
      <c r="S13" s="17">
        <f t="shared" ca="1" si="4"/>
        <v>-582.27650711104343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-145.15999999999985</v>
      </c>
      <c r="K14" s="14">
        <f ca="1">-(K18-R11)</f>
        <v>-22.598264580369914</v>
      </c>
      <c r="L14" s="13">
        <f ca="1">-(L18-R12)</f>
        <v>-472.77929502133702</v>
      </c>
      <c r="M14" s="14">
        <f t="shared" ca="1" si="5"/>
        <v>-640.53755960170679</v>
      </c>
      <c r="N14" s="16">
        <f ca="1">-E16</f>
        <v>-1469.2347007547826</v>
      </c>
      <c r="O14" s="16"/>
      <c r="P14" s="11"/>
      <c r="Q14" s="13"/>
      <c r="R14" s="14">
        <f t="shared" ca="1" si="6"/>
        <v>-2109.7722603564894</v>
      </c>
      <c r="S14" s="16">
        <f t="shared" ca="1" si="4"/>
        <v>-2109.7722603564894</v>
      </c>
    </row>
    <row r="15" spans="1:20">
      <c r="A15" s="18" t="s">
        <v>79</v>
      </c>
      <c r="B15" s="11"/>
      <c r="C15" s="14"/>
      <c r="D15" s="14"/>
      <c r="E15" s="14">
        <f ca="1">-(J14+K14)-L14</f>
        <v>640.53755960170679</v>
      </c>
      <c r="F15" s="14"/>
      <c r="G15" s="14"/>
      <c r="H15" s="14"/>
      <c r="I15" s="14"/>
      <c r="J15" s="14"/>
      <c r="K15" s="14"/>
      <c r="L15" s="13"/>
      <c r="M15" s="14">
        <f t="shared" ca="1" si="5"/>
        <v>640.53755960170679</v>
      </c>
      <c r="N15" s="16"/>
      <c r="O15" s="16"/>
      <c r="P15" s="11"/>
      <c r="Q15" s="13"/>
      <c r="R15" s="14">
        <f t="shared" ca="1" si="6"/>
        <v>640.53755960170679</v>
      </c>
      <c r="S15" s="16">
        <f t="shared" ca="1" si="4"/>
        <v>640.53755960170679</v>
      </c>
    </row>
    <row r="16" spans="1:20">
      <c r="A16" s="18" t="s">
        <v>80</v>
      </c>
      <c r="B16" s="11"/>
      <c r="C16" s="14"/>
      <c r="D16" s="14"/>
      <c r="E16" s="14">
        <f ca="1">E18-E15</f>
        <v>1469.2347007547826</v>
      </c>
      <c r="F16" s="14"/>
      <c r="G16" s="14"/>
      <c r="H16" s="14"/>
      <c r="I16" s="14"/>
      <c r="J16" s="14"/>
      <c r="K16" s="14"/>
      <c r="L16" s="13"/>
      <c r="M16" s="14">
        <f t="shared" ca="1" si="5"/>
        <v>1469.2347007547826</v>
      </c>
      <c r="N16" s="16"/>
      <c r="O16" s="16"/>
      <c r="P16" s="11"/>
      <c r="Q16" s="13"/>
      <c r="R16" s="14">
        <f t="shared" ca="1" si="6"/>
        <v>1469.2347007547826</v>
      </c>
      <c r="S16" s="16">
        <f t="shared" ca="1" si="4"/>
        <v>1469.2347007547826</v>
      </c>
    </row>
    <row r="17" spans="1:19">
      <c r="A17" s="30" t="s">
        <v>90</v>
      </c>
      <c r="B17" s="21">
        <f ca="1">R2</f>
        <v>372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372</v>
      </c>
      <c r="N17" s="19"/>
      <c r="O17" s="19"/>
      <c r="P17" s="21"/>
      <c r="Q17" s="27"/>
      <c r="R17" s="22">
        <f t="shared" ca="1" si="6"/>
        <v>372</v>
      </c>
      <c r="S17" s="19">
        <f t="shared" ca="1" si="4"/>
        <v>372</v>
      </c>
    </row>
    <row r="18" spans="1:19">
      <c r="A18" s="29" t="s">
        <v>89</v>
      </c>
      <c r="B18" s="9">
        <f ca="1">B17</f>
        <v>372</v>
      </c>
      <c r="C18" s="9">
        <f ca="1">SUM(C$2:C$12)</f>
        <v>161.66851162322632</v>
      </c>
      <c r="D18" s="9">
        <f ca="1">SUM(D$2:D$12)</f>
        <v>4097.7357351313276</v>
      </c>
      <c r="E18" s="9">
        <f ca="1">$R$5/parameters!$B$4</f>
        <v>2109.7722603564894</v>
      </c>
      <c r="F18" s="9">
        <f t="shared" ref="F18:L18" ca="1" si="7">SUM(F$2:F$12)</f>
        <v>192.23880597014926</v>
      </c>
      <c r="G18" s="9">
        <f t="shared" ca="1" si="7"/>
        <v>0</v>
      </c>
      <c r="H18" s="9">
        <f t="shared" ca="1" si="7"/>
        <v>7242.9885057471265</v>
      </c>
      <c r="I18" s="9">
        <f t="shared" ca="1" si="7"/>
        <v>7111.86</v>
      </c>
      <c r="J18" s="9">
        <f t="shared" ca="1" si="7"/>
        <v>7258</v>
      </c>
      <c r="K18" s="9">
        <f t="shared" ca="1" si="7"/>
        <v>1129.9132290184921</v>
      </c>
      <c r="L18" s="9">
        <f t="shared" ca="1" si="7"/>
        <v>7265.6349644381216</v>
      </c>
      <c r="M18" s="17">
        <f ca="1">SUM(B18:L18)</f>
        <v>36941.812012284936</v>
      </c>
      <c r="N18" s="17"/>
      <c r="O18" s="17"/>
      <c r="P18" s="9"/>
      <c r="Q18" s="14"/>
      <c r="R18" s="11">
        <f t="shared" ca="1" si="6"/>
        <v>36941.812012284936</v>
      </c>
      <c r="S18" s="17">
        <f t="shared" ca="1" si="4"/>
        <v>36941.812012284936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0.93492939057145452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4211.1064477111813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4211.1064477111813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-4211.1064477111813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202.23</v>
      </c>
      <c r="I3" s="14"/>
      <c r="J3" s="14"/>
      <c r="K3" s="14"/>
      <c r="L3" s="13"/>
      <c r="M3" s="16">
        <f t="shared" ref="M3:M11" ca="1" si="0">SUM(B3:L3)</f>
        <v>202.23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-202.23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6318.0479144946676</v>
      </c>
      <c r="I4" s="14"/>
      <c r="J4" s="14"/>
      <c r="K4" s="14"/>
      <c r="L4" s="13"/>
      <c r="M4" s="16">
        <f t="shared" ca="1" si="0"/>
        <v>6318.0479144946676</v>
      </c>
      <c r="N4" s="16"/>
      <c r="O4" s="16">
        <f t="shared" ca="1" si="1"/>
        <v>1380.677551821359</v>
      </c>
      <c r="P4" s="11" cm="1">
        <f t="array" aca="1" ref="P4" ca="1">INDIRECT("'data'!$K$" &amp; $A$1)*parameters!$B$14</f>
        <v>25.76</v>
      </c>
      <c r="Q4" s="13" cm="1">
        <f t="array" aca="1" ref="Q4" ca="1">-INDIRECT("'data'!$L$" &amp; $A$1)*parameters!$B$14</f>
        <v>-3539.908989225426</v>
      </c>
      <c r="R4" s="16" cm="1">
        <f t="array" aca="1" ref="R4" ca="1">INDIRECT("'data'!$J$" &amp; $A$1)*parameters!$B$14</f>
        <v>4184.5764770906007</v>
      </c>
      <c r="S4" s="16">
        <f t="shared" ca="1" si="2"/>
        <v>4184.5764770906007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1867.5799747425331</v>
      </c>
      <c r="I5" s="14"/>
      <c r="J5" s="14"/>
      <c r="K5" s="14"/>
      <c r="L5" s="13"/>
      <c r="M5" s="16">
        <f t="shared" ca="1" si="0"/>
        <v>1867.5799747425331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1867.5799747425331</v>
      </c>
      <c r="S5" s="16">
        <f t="shared" ca="1" si="2"/>
        <v>1867.5799747425331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8027.18</v>
      </c>
      <c r="J8" s="14"/>
      <c r="K8" s="14"/>
      <c r="L8" s="13"/>
      <c r="M8" s="16">
        <f t="shared" ca="1" si="0"/>
        <v>8027.18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8027.18</v>
      </c>
      <c r="S8" s="16">
        <f t="shared" ca="1" si="2"/>
        <v>8027.18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4978.2110503597123</v>
      </c>
      <c r="K9" s="14">
        <f ca="1">R11/K19</f>
        <v>3224.388949640288</v>
      </c>
      <c r="L9" s="13"/>
      <c r="M9" s="16">
        <f t="shared" ca="1" si="0"/>
        <v>8202.6</v>
      </c>
      <c r="N9" s="16"/>
      <c r="O9" s="16">
        <f t="shared" ca="1" si="3"/>
        <v>0</v>
      </c>
      <c r="P9" s="11" cm="1">
        <f t="array" aca="1" ref="P9" ca="1">INDIRECT("'data'!$R$" &amp; $A$1)*parameters!$B$15</f>
        <v>161.69999999999999</v>
      </c>
      <c r="Q9" s="13" cm="1">
        <f t="array" aca="1" ref="Q9" ca="1">-INDIRECT("'data'!$S$" &amp; $A$1)*parameters!$B$15</f>
        <v>-337.12</v>
      </c>
      <c r="R9" s="16">
        <f ca="1">SUM(R6:R8)</f>
        <v>8027.18</v>
      </c>
      <c r="S9" s="16">
        <f t="shared" ca="1" si="2"/>
        <v>8027.1800000000012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5219.4799999999996</v>
      </c>
      <c r="M10" s="16">
        <f t="shared" ca="1" si="0"/>
        <v>5219.4799999999996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965.3</v>
      </c>
      <c r="Q10" s="13" cm="1">
        <f t="array" aca="1" ref="Q10" ca="1">-INDIRECT("'data'!$V$" &amp; $A$1)*parameters!$B$15</f>
        <v>-1745.3799999999999</v>
      </c>
      <c r="R10" s="16" cm="1">
        <f t="array" aca="1" ref="R10" ca="1">INDIRECT("'data'!$T$" &amp; $A$1)*parameters!$B$15</f>
        <v>4439.3999999999996</v>
      </c>
      <c r="S10" s="16">
        <f t="shared" ca="1" si="2"/>
        <v>4439.3999999999996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6410.2608534850642</v>
      </c>
      <c r="M11" s="16">
        <f t="shared" ca="1" si="0"/>
        <v>6410.2608534850642</v>
      </c>
      <c r="N11" s="16"/>
      <c r="O11" s="16">
        <f t="shared" ca="1" si="3"/>
        <v>0</v>
      </c>
      <c r="P11" s="11" cm="1">
        <f t="array" aca="1" ref="P11" ca="1">INDIRECT("'data'!$X$" &amp; $A$1)*parameters!$B$15</f>
        <v>895.72</v>
      </c>
      <c r="Q11" s="13" cm="1">
        <f t="array" aca="1" ref="Q11" ca="1">-INDIRECT("'data'!$Y$" &amp; $A$1)*parameters!$B$15</f>
        <v>-4430.58</v>
      </c>
      <c r="R11" s="16" cm="1">
        <f t="array" aca="1" ref="R11" ca="1">INDIRECT("'data'!$W$" &amp; $A$1)*parameters!$B$15</f>
        <v>2875.4008534850641</v>
      </c>
      <c r="S11" s="16">
        <f t="shared" ca="1" si="2"/>
        <v>2875.4008534850645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14075.515533997153</v>
      </c>
      <c r="O12" s="19"/>
      <c r="P12" s="21" cm="1">
        <f t="array" aca="1" ref="P12" ca="1">INDIRECT("'data'!$Z$" &amp; $A$1)*parameters!$B$15</f>
        <v>335.15999999999997</v>
      </c>
      <c r="Q12" s="27" cm="1">
        <f t="array" aca="1" ref="Q12" ca="1">-INDIRECT("'data'!$AA$" &amp; $A$1)*parameters!$B$15</f>
        <v>-3991.54</v>
      </c>
      <c r="R12" s="16">
        <f ca="1">L10*parameters!$B$10+L11*parameters!$B$11</f>
        <v>10419.135533997154</v>
      </c>
      <c r="S12" s="16">
        <f t="shared" ref="S12:S18" ca="1" si="4">SUM(M12:Q12)</f>
        <v>10419.135533997152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-26.529970620580571</v>
      </c>
      <c r="E13" s="9">
        <f ca="1">-(E18-R5)</f>
        <v>-230.82449126031315</v>
      </c>
      <c r="F13" s="9">
        <f ca="1">-(F18-R6)</f>
        <v>0</v>
      </c>
      <c r="G13" s="9">
        <f ca="1">-(G18-R7)</f>
        <v>0</v>
      </c>
      <c r="H13" s="9">
        <f ca="1">-(H18-R8)</f>
        <v>-360.67788923720036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-618.03235111809408</v>
      </c>
      <c r="N13" s="17"/>
      <c r="O13" s="17"/>
      <c r="P13" s="10"/>
      <c r="Q13" s="12"/>
      <c r="R13" s="9">
        <f t="shared" ref="R13:R18" ca="1" si="6">SUM(M13:Q13)</f>
        <v>-618.03235111809408</v>
      </c>
      <c r="S13" s="17">
        <f t="shared" ca="1" si="4"/>
        <v>-618.03235111809408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-538.81105035971268</v>
      </c>
      <c r="K14" s="14">
        <f ca="1">-(K18-R11)</f>
        <v>-348.98809615522396</v>
      </c>
      <c r="L14" s="13">
        <f ca="1">-(L18-R12)</f>
        <v>-1210.6053194879096</v>
      </c>
      <c r="M14" s="14">
        <f t="shared" ca="1" si="5"/>
        <v>-2098.4044660028462</v>
      </c>
      <c r="N14" s="16">
        <f ca="1">-E16</f>
        <v>0</v>
      </c>
      <c r="O14" s="16"/>
      <c r="P14" s="11"/>
      <c r="Q14" s="13"/>
      <c r="R14" s="14">
        <f t="shared" ca="1" si="6"/>
        <v>-2098.4044660028462</v>
      </c>
      <c r="S14" s="16">
        <f t="shared" ca="1" si="4"/>
        <v>-2098.4044660028462</v>
      </c>
    </row>
    <row r="15" spans="1:23">
      <c r="A15" s="18" t="s">
        <v>79</v>
      </c>
      <c r="B15" s="11"/>
      <c r="C15" s="14"/>
      <c r="D15" s="14"/>
      <c r="E15" s="14">
        <f ca="1">-(J14+K14)-L14</f>
        <v>2098.4044660028462</v>
      </c>
      <c r="F15" s="14"/>
      <c r="G15" s="14"/>
      <c r="H15" s="14"/>
      <c r="I15" s="14"/>
      <c r="J15" s="14"/>
      <c r="K15" s="14"/>
      <c r="L15" s="13"/>
      <c r="M15" s="14">
        <f t="shared" ca="1" si="5"/>
        <v>2098.4044660028462</v>
      </c>
      <c r="N15" s="16"/>
      <c r="O15" s="16"/>
      <c r="P15" s="11"/>
      <c r="Q15" s="13"/>
      <c r="R15" s="14">
        <f t="shared" ca="1" si="6"/>
        <v>2098.4044660028462</v>
      </c>
      <c r="S15" s="16">
        <f t="shared" ca="1" si="4"/>
        <v>2098.4044660028462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4211.1064477111813</v>
      </c>
      <c r="E18" s="9">
        <f ca="1">$R$5/parameters!$B$4</f>
        <v>2098.4044660028462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8387.8578892372007</v>
      </c>
      <c r="I18" s="9">
        <f t="shared" ca="1" si="7"/>
        <v>8027.18</v>
      </c>
      <c r="J18" s="9">
        <f t="shared" ca="1" si="7"/>
        <v>4978.2110503597123</v>
      </c>
      <c r="K18" s="9">
        <f t="shared" ca="1" si="7"/>
        <v>3224.388949640288</v>
      </c>
      <c r="L18" s="9">
        <f t="shared" ca="1" si="7"/>
        <v>11629.740853485064</v>
      </c>
      <c r="M18" s="17">
        <f ca="1">SUM(B18:L18)</f>
        <v>42556.889656436295</v>
      </c>
      <c r="N18" s="17"/>
      <c r="O18" s="17"/>
      <c r="P18" s="9"/>
      <c r="Q18" s="14"/>
      <c r="R18" s="11">
        <f t="shared" ca="1" si="6"/>
        <v>42556.889656436295</v>
      </c>
      <c r="S18" s="17">
        <f t="shared" ca="1" si="4"/>
        <v>42556.889656436295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0.89176612945713107</v>
      </c>
      <c r="K19" s="39">
        <f ca="1">J19</f>
        <v>0.89176612945713107</v>
      </c>
      <c r="L19" s="40">
        <f ca="1">1-(-L14)/L18</f>
        <v>0.89590435980135108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5468.1996578444196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5468.1996578444196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-4571.1996578444196</v>
      </c>
      <c r="R2" s="17" cm="1">
        <f t="array" aca="1" ref="R2" ca="1">INDIRECT("'data'!$D$" &amp; $A$1)</f>
        <v>897</v>
      </c>
      <c r="S2" s="17">
        <f ca="1">SUM(M2:Q2)</f>
        <v>897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5401.2626865671646</v>
      </c>
      <c r="G3" s="14">
        <f ca="1">R7/parameters!$B$6</f>
        <v>0</v>
      </c>
      <c r="H3" s="14">
        <f ca="1">R3-P3-Q3-F3-G3</f>
        <v>54.222313432835108</v>
      </c>
      <c r="I3" s="14"/>
      <c r="J3" s="14"/>
      <c r="K3" s="14"/>
      <c r="L3" s="13"/>
      <c r="M3" s="16">
        <f t="shared" ref="M3:M11" ca="1" si="0">SUM(B3:L3)</f>
        <v>5455.4849999999997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-21.734999999999999</v>
      </c>
      <c r="R3" s="16" cm="1">
        <f t="array" aca="1" ref="R3" ca="1">INDIRECT("'data'!$G$" &amp; $A$1)*parameters!$B$13</f>
        <v>5433.75</v>
      </c>
      <c r="S3" s="16">
        <f t="shared" ref="S3:S11" ca="1" si="2">SUM(M3:Q3)</f>
        <v>5433.75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157.32</v>
      </c>
      <c r="I4" s="14"/>
      <c r="J4" s="14"/>
      <c r="K4" s="14"/>
      <c r="L4" s="13"/>
      <c r="M4" s="16">
        <f t="shared" ca="1" si="0"/>
        <v>157.32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-157.32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R6/parameters!$B$5*23%</f>
        <v>1613.3641791044779</v>
      </c>
      <c r="G5" s="14"/>
      <c r="H5" s="14">
        <f ca="1">R8/parameters!$B$7-(H3+H4)</f>
        <v>508.35319335922333</v>
      </c>
      <c r="I5" s="14"/>
      <c r="J5" s="14"/>
      <c r="K5" s="14"/>
      <c r="L5" s="13"/>
      <c r="M5" s="16">
        <f t="shared" ca="1" si="0"/>
        <v>2121.7173724637014</v>
      </c>
      <c r="N5" s="16"/>
      <c r="O5" s="16"/>
      <c r="P5" s="11" cm="1">
        <f t="array" aca="1" ref="P5" ca="1">INDIRECT("'data'!$M$" &amp; $A$1)*parameters!$B$15</f>
        <v>1112.3</v>
      </c>
      <c r="Q5" s="13" cm="1">
        <f t="array" aca="1" ref="Q5" ca="1">-INDIRECT("'data'!$N$" &amp; $A$1)*parameters!$B$15</f>
        <v>-1129.94</v>
      </c>
      <c r="R5" s="16">
        <f ca="1">SUM(M5:Q5)</f>
        <v>2104.0773724637015</v>
      </c>
      <c r="S5" s="16">
        <f t="shared" ca="1" si="2"/>
        <v>2104.0773724637015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6579.72</v>
      </c>
      <c r="J6" s="14"/>
      <c r="K6" s="14"/>
      <c r="L6" s="13"/>
      <c r="M6" s="16">
        <f t="shared" ca="1" si="0"/>
        <v>6579.72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6579.72</v>
      </c>
      <c r="S6" s="16">
        <f t="shared" ca="1" si="2"/>
        <v>6579.72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688.93999999999994</v>
      </c>
      <c r="J8" s="14"/>
      <c r="K8" s="14"/>
      <c r="L8" s="13"/>
      <c r="M8" s="16">
        <f t="shared" ca="1" si="0"/>
        <v>688.93999999999994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688.93999999999994</v>
      </c>
      <c r="S8" s="16">
        <f t="shared" ca="1" si="2"/>
        <v>688.93999999999994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1988.947317129903</v>
      </c>
      <c r="K9" s="14">
        <f ca="1">R11/K19</f>
        <v>5166.0326828700981</v>
      </c>
      <c r="L9" s="13"/>
      <c r="M9" s="16">
        <f t="shared" ca="1" si="0"/>
        <v>7154.9800000000014</v>
      </c>
      <c r="N9" s="16"/>
      <c r="O9" s="16">
        <f t="shared" ca="1" si="3"/>
        <v>0</v>
      </c>
      <c r="P9" s="11" cm="1">
        <f t="array" aca="1" ref="P9" ca="1">INDIRECT("'data'!$R$" &amp; $A$1)*parameters!$B$15</f>
        <v>202.85999999999999</v>
      </c>
      <c r="Q9" s="13" cm="1">
        <f t="array" aca="1" ref="Q9" ca="1">-INDIRECT("'data'!$S$" &amp; $A$1)*parameters!$B$15</f>
        <v>-89.179999999999993</v>
      </c>
      <c r="R9" s="16">
        <f ca="1">SUM(R6:R8)</f>
        <v>7268.66</v>
      </c>
      <c r="S9" s="16">
        <f t="shared" ca="1" si="2"/>
        <v>7268.6600000000008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2015.86</v>
      </c>
      <c r="M10" s="16">
        <f t="shared" ca="1" si="0"/>
        <v>2015.86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1406.3</v>
      </c>
      <c r="Q10" s="13" cm="1">
        <f t="array" aca="1" ref="Q10" ca="1">-INDIRECT("'data'!$V$" &amp; $A$1)*parameters!$B$15</f>
        <v>-1489.6</v>
      </c>
      <c r="R10" s="16" cm="1">
        <f t="array" aca="1" ref="R10" ca="1">INDIRECT("'data'!$T$" &amp; $A$1)*parameters!$B$15</f>
        <v>1932.56</v>
      </c>
      <c r="S10" s="16">
        <f t="shared" ca="1" si="2"/>
        <v>1932.56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2439.2339402560447</v>
      </c>
      <c r="M11" s="16">
        <f t="shared" ca="1" si="0"/>
        <v>2439.2339402560447</v>
      </c>
      <c r="N11" s="16"/>
      <c r="O11" s="16">
        <f t="shared" ca="1" si="3"/>
        <v>0</v>
      </c>
      <c r="P11" s="11" cm="1">
        <f t="array" aca="1" ref="P11" ca="1">INDIRECT("'data'!$X$" &amp; $A$1)*parameters!$B$15</f>
        <v>4540.34</v>
      </c>
      <c r="Q11" s="13" cm="1">
        <f t="array" aca="1" ref="Q11" ca="1">-INDIRECT("'data'!$Y$" &amp; $A$1)*parameters!$B$15</f>
        <v>-1960</v>
      </c>
      <c r="R11" s="16" cm="1">
        <f t="array" aca="1" ref="R11" ca="1">INDIRECT("'data'!$W$" &amp; $A$1)*parameters!$B$15</f>
        <v>5019.5739402560448</v>
      </c>
      <c r="S11" s="16">
        <f t="shared" ca="1" si="2"/>
        <v>5019.5739402560448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4374.8495886201981</v>
      </c>
      <c r="O12" s="19"/>
      <c r="P12" s="21" cm="1">
        <f t="array" aca="1" ref="P12" ca="1">INDIRECT("'data'!$Z$" &amp; $A$1)*parameters!$B$15</f>
        <v>3897.46</v>
      </c>
      <c r="Q12" s="27" cm="1">
        <f t="array" aca="1" ref="Q12" ca="1">-INDIRECT("'data'!$AA$" &amp; $A$1)*parameters!$B$15</f>
        <v>-4279.66</v>
      </c>
      <c r="R12" s="16">
        <f ca="1">L10*parameters!$B$10+L11*parameters!$B$11</f>
        <v>3992.6495886201983</v>
      </c>
      <c r="S12" s="16">
        <f t="shared" ref="S12:S18" ca="1" si="4">SUM(M12:Q12)</f>
        <v>3992.6495886201992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-34.449657844419562</v>
      </c>
      <c r="D13" s="9">
        <f ca="1">-(D18-R4)</f>
        <v>0</v>
      </c>
      <c r="E13" s="9">
        <f ca="1">-(E18-R5)</f>
        <v>-260.054506708997</v>
      </c>
      <c r="F13" s="9">
        <f ca="1">-(F18-R6)</f>
        <v>-434.90686567164175</v>
      </c>
      <c r="G13" s="9">
        <f ca="1">-(G18-R7)</f>
        <v>0</v>
      </c>
      <c r="H13" s="9">
        <f ca="1">-(H18-R8)</f>
        <v>-30.955506792058486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-760.3665370171168</v>
      </c>
      <c r="N13" s="17"/>
      <c r="O13" s="17"/>
      <c r="P13" s="10"/>
      <c r="Q13" s="12"/>
      <c r="R13" s="9">
        <f t="shared" ref="R13:R18" ca="1" si="6">SUM(M13:Q13)</f>
        <v>-760.3665370171168</v>
      </c>
      <c r="S13" s="17">
        <f t="shared" ca="1" si="4"/>
        <v>-760.3665370171168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-56.387317129903067</v>
      </c>
      <c r="K14" s="14">
        <f ca="1">-(K18-R11)</f>
        <v>-146.45874261405334</v>
      </c>
      <c r="L14" s="13">
        <f ca="1">-(L18-R12)</f>
        <v>-462.44435163584603</v>
      </c>
      <c r="M14" s="14">
        <f t="shared" ca="1" si="5"/>
        <v>-665.29041137980244</v>
      </c>
      <c r="N14" s="16">
        <f ca="1">-E16</f>
        <v>-1698.8414677928961</v>
      </c>
      <c r="O14" s="16"/>
      <c r="P14" s="11"/>
      <c r="Q14" s="13"/>
      <c r="R14" s="14">
        <f t="shared" ca="1" si="6"/>
        <v>-2364.1318791726985</v>
      </c>
      <c r="S14" s="16">
        <f t="shared" ca="1" si="4"/>
        <v>-2364.1318791726985</v>
      </c>
    </row>
    <row r="15" spans="1:21">
      <c r="A15" s="18" t="s">
        <v>79</v>
      </c>
      <c r="B15" s="11"/>
      <c r="C15" s="14"/>
      <c r="D15" s="14"/>
      <c r="E15" s="14">
        <f ca="1">-(J14+K14)-L14</f>
        <v>665.29041137980244</v>
      </c>
      <c r="F15" s="14"/>
      <c r="G15" s="14"/>
      <c r="H15" s="14"/>
      <c r="I15" s="14"/>
      <c r="J15" s="14"/>
      <c r="K15" s="14"/>
      <c r="L15" s="13"/>
      <c r="M15" s="14">
        <f t="shared" ca="1" si="5"/>
        <v>665.29041137980244</v>
      </c>
      <c r="N15" s="16"/>
      <c r="O15" s="16"/>
      <c r="P15" s="11"/>
      <c r="Q15" s="13"/>
      <c r="R15" s="14">
        <f t="shared" ca="1" si="6"/>
        <v>665.29041137980244</v>
      </c>
      <c r="S15" s="16">
        <f t="shared" ca="1" si="4"/>
        <v>665.29041137980244</v>
      </c>
    </row>
    <row r="16" spans="1:21">
      <c r="A16" s="18" t="s">
        <v>80</v>
      </c>
      <c r="B16" s="11"/>
      <c r="C16" s="14"/>
      <c r="D16" s="14"/>
      <c r="E16" s="14">
        <f ca="1">E18-E15</f>
        <v>1698.8414677928961</v>
      </c>
      <c r="F16" s="14"/>
      <c r="G16" s="14"/>
      <c r="H16" s="14"/>
      <c r="I16" s="14"/>
      <c r="J16" s="14"/>
      <c r="K16" s="14"/>
      <c r="L16" s="13"/>
      <c r="M16" s="14">
        <f t="shared" ca="1" si="5"/>
        <v>1698.8414677928961</v>
      </c>
      <c r="N16" s="16"/>
      <c r="O16" s="16"/>
      <c r="P16" s="11"/>
      <c r="Q16" s="13"/>
      <c r="R16" s="14">
        <f t="shared" ca="1" si="6"/>
        <v>1698.8414677928961</v>
      </c>
      <c r="S16" s="16">
        <f t="shared" ca="1" si="4"/>
        <v>1698.8414677928961</v>
      </c>
    </row>
    <row r="17" spans="1:19">
      <c r="A17" s="30" t="s">
        <v>90</v>
      </c>
      <c r="B17" s="21">
        <f ca="1">R2</f>
        <v>897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897</v>
      </c>
      <c r="N17" s="19"/>
      <c r="O17" s="19"/>
      <c r="P17" s="21"/>
      <c r="Q17" s="27"/>
      <c r="R17" s="22">
        <f t="shared" ca="1" si="6"/>
        <v>897</v>
      </c>
      <c r="S17" s="19">
        <f t="shared" ca="1" si="4"/>
        <v>897</v>
      </c>
    </row>
    <row r="18" spans="1:19">
      <c r="A18" s="29" t="s">
        <v>89</v>
      </c>
      <c r="B18" s="9">
        <f ca="1">B17</f>
        <v>897</v>
      </c>
      <c r="C18" s="9">
        <f ca="1">SUM(C$2:C$12)</f>
        <v>5468.1996578444196</v>
      </c>
      <c r="D18" s="9">
        <f ca="1">SUM(D$2:D$12)</f>
        <v>0</v>
      </c>
      <c r="E18" s="9">
        <f ca="1">$R$5/parameters!$B$4</f>
        <v>2364.1318791726985</v>
      </c>
      <c r="F18" s="9">
        <f t="shared" ref="F18:L18" ca="1" si="7">SUM(F$2:F$12)</f>
        <v>7014.626865671642</v>
      </c>
      <c r="G18" s="9">
        <f t="shared" ca="1" si="7"/>
        <v>0</v>
      </c>
      <c r="H18" s="9">
        <f t="shared" ca="1" si="7"/>
        <v>719.89550679205843</v>
      </c>
      <c r="I18" s="9">
        <f t="shared" ca="1" si="7"/>
        <v>7268.66</v>
      </c>
      <c r="J18" s="9">
        <f t="shared" ca="1" si="7"/>
        <v>1988.947317129903</v>
      </c>
      <c r="K18" s="9">
        <f t="shared" ca="1" si="7"/>
        <v>5166.0326828700981</v>
      </c>
      <c r="L18" s="9">
        <f t="shared" ca="1" si="7"/>
        <v>4455.0939402560443</v>
      </c>
      <c r="M18" s="17">
        <f ca="1">SUM(B18:L18)</f>
        <v>35342.587849736869</v>
      </c>
      <c r="N18" s="17"/>
      <c r="O18" s="17"/>
      <c r="P18" s="9"/>
      <c r="Q18" s="14"/>
      <c r="R18" s="11">
        <f t="shared" ca="1" si="6"/>
        <v>35342.587849736869</v>
      </c>
      <c r="S18" s="17">
        <f t="shared" ca="1" si="4"/>
        <v>35342.587849736869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0.9716496678196227</v>
      </c>
      <c r="K19" s="39">
        <f ca="1">J19</f>
        <v>0.9716496678196227</v>
      </c>
      <c r="L19" s="40">
        <f ca="1">1-(-L14)/L18</f>
        <v>0.89619874286887247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4581.8758176512029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4581.8758176512029</v>
      </c>
      <c r="N2" s="17"/>
      <c r="O2" s="17">
        <f ca="1">R2-(M2+P2+Q2)</f>
        <v>0</v>
      </c>
      <c r="P2" s="11" cm="1">
        <f t="array" aca="1" ref="P2" ca="1">INDIRECT("'data'!$F$" &amp; $A$1)</f>
        <v>6.5</v>
      </c>
      <c r="Q2" s="13">
        <f ca="1">IF(-(M2-R2+P2)&lt;0, -(M2-R2+P2), 0)</f>
        <v>-4588.3758176512029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4667.4850746268658</v>
      </c>
      <c r="G3" s="14">
        <f ca="1">R7/parameters!$B$6</f>
        <v>0</v>
      </c>
      <c r="H3" s="14">
        <f ca="1">R3-P3-Q3-F3-G3</f>
        <v>45.229925373134392</v>
      </c>
      <c r="I3" s="14"/>
      <c r="J3" s="14"/>
      <c r="K3" s="14"/>
      <c r="L3" s="13"/>
      <c r="M3" s="16">
        <f t="shared" ref="M3:M11" ca="1" si="0">SUM(B3:L3)</f>
        <v>4712.7150000000001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79.38</v>
      </c>
      <c r="Q3" s="13" cm="1">
        <f t="array" aca="1" ref="Q3" ca="1">-INDIRECT("'data'!$I$" &amp; $A$1)*parameters!$B$13</f>
        <v>-239.08499999999998</v>
      </c>
      <c r="R3" s="16" cm="1">
        <f t="array" aca="1" ref="R3" ca="1">INDIRECT("'data'!$G$" &amp; $A$1)*parameters!$B$13</f>
        <v>4553.01</v>
      </c>
      <c r="S3" s="16">
        <f t="shared" ref="S3:S11" ca="1" si="2">SUM(M3:Q3)</f>
        <v>4553.01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107.63999999999999</v>
      </c>
      <c r="I4" s="14"/>
      <c r="J4" s="14"/>
      <c r="K4" s="14"/>
      <c r="L4" s="13"/>
      <c r="M4" s="16">
        <f t="shared" ca="1" si="0"/>
        <v>107.63999999999999</v>
      </c>
      <c r="N4" s="16"/>
      <c r="O4" s="16">
        <f t="shared" ca="1" si="1"/>
        <v>0</v>
      </c>
      <c r="P4" s="11" cm="1">
        <f t="array" aca="1" ref="P4" ca="1">INDIRECT("'data'!$K$" &amp; $A$1)*parameters!$B$14</f>
        <v>207.92000000000002</v>
      </c>
      <c r="Q4" s="13" cm="1">
        <f t="array" aca="1" ref="Q4" ca="1">-INDIRECT("'data'!$L$" &amp; $A$1)*parameters!$B$14</f>
        <v>-315.56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R6/parameters!$B$5*21%</f>
        <v>1240.7238805970148</v>
      </c>
      <c r="G5" s="14"/>
      <c r="H5" s="14">
        <f ca="1">R8/parameters!$B$7-(H3+H4)</f>
        <v>2001.6964278139089</v>
      </c>
      <c r="I5" s="14"/>
      <c r="J5" s="14"/>
      <c r="K5" s="14"/>
      <c r="L5" s="13"/>
      <c r="M5" s="16">
        <f t="shared" ca="1" si="0"/>
        <v>3242.420308410924</v>
      </c>
      <c r="N5" s="16"/>
      <c r="O5" s="16"/>
      <c r="P5" s="11" cm="1">
        <f t="array" aca="1" ref="P5" ca="1">INDIRECT("'data'!$M$" &amp; $A$1)*parameters!$B$15</f>
        <v>3690.68</v>
      </c>
      <c r="Q5" s="13" cm="1">
        <f t="array" aca="1" ref="Q5" ca="1">-INDIRECT("'data'!$N$" &amp; $A$1)*parameters!$B$15</f>
        <v>-4404.12</v>
      </c>
      <c r="R5" s="16">
        <f ca="1">SUM(M5:Q5)</f>
        <v>2528.9803084109235</v>
      </c>
      <c r="S5" s="16">
        <f t="shared" ca="1" si="2"/>
        <v>2528.9803084109235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5541.9</v>
      </c>
      <c r="J6" s="14"/>
      <c r="K6" s="14"/>
      <c r="L6" s="13"/>
      <c r="M6" s="16">
        <f t="shared" ca="1" si="0"/>
        <v>5541.9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5541.9</v>
      </c>
      <c r="S6" s="16">
        <f t="shared" ca="1" si="2"/>
        <v>5541.9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2061.92</v>
      </c>
      <c r="J8" s="14"/>
      <c r="K8" s="14"/>
      <c r="L8" s="13"/>
      <c r="M8" s="16">
        <f t="shared" ca="1" si="0"/>
        <v>2061.92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2061.92</v>
      </c>
      <c r="S8" s="16">
        <f t="shared" ca="1" si="2"/>
        <v>2061.92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594.54626478317994</v>
      </c>
      <c r="K9" s="14">
        <f ca="1">R11/K19</f>
        <v>9324.033735216819</v>
      </c>
      <c r="L9" s="13"/>
      <c r="M9" s="16">
        <f t="shared" ca="1" si="0"/>
        <v>9918.5799999999981</v>
      </c>
      <c r="N9" s="16"/>
      <c r="O9" s="16">
        <f t="shared" ca="1" si="3"/>
        <v>0</v>
      </c>
      <c r="P9" s="11" cm="1">
        <f t="array" aca="1" ref="P9" ca="1">INDIRECT("'data'!$R$" &amp; $A$1)*parameters!$B$15</f>
        <v>122.5</v>
      </c>
      <c r="Q9" s="13" cm="1">
        <f t="array" aca="1" ref="Q9" ca="1">-INDIRECT("'data'!$S$" &amp; $A$1)*parameters!$B$15</f>
        <v>-2437.2599999999998</v>
      </c>
      <c r="R9" s="16">
        <f ca="1">SUM(R6:R8)</f>
        <v>7603.82</v>
      </c>
      <c r="S9" s="16">
        <f t="shared" ca="1" si="2"/>
        <v>7603.8199999999979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1044.6799999999998</v>
      </c>
      <c r="M10" s="16">
        <f t="shared" ca="1" si="0"/>
        <v>1044.6799999999998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1383.76</v>
      </c>
      <c r="Q10" s="13" cm="1">
        <f t="array" aca="1" ref="Q10" ca="1">-INDIRECT("'data'!$V$" &amp; $A$1)*parameters!$B$15</f>
        <v>-1882.58</v>
      </c>
      <c r="R10" s="16" cm="1">
        <f t="array" aca="1" ref="R10" ca="1">INDIRECT("'data'!$T$" &amp; $A$1)*parameters!$B$15</f>
        <v>545.86</v>
      </c>
      <c r="S10" s="16">
        <f t="shared" ca="1" si="2"/>
        <v>545.85999999999967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1682.8663157894744</v>
      </c>
      <c r="M11" s="16">
        <f t="shared" ca="1" si="0"/>
        <v>1682.8663157894744</v>
      </c>
      <c r="N11" s="16"/>
      <c r="O11" s="16">
        <f t="shared" ca="1" si="3"/>
        <v>0</v>
      </c>
      <c r="P11" s="11" cm="1">
        <f t="array" aca="1" ref="P11" ca="1">INDIRECT("'data'!$X$" &amp; $A$1)*parameters!$B$15</f>
        <v>14731.36</v>
      </c>
      <c r="Q11" s="13" cm="1">
        <f t="array" aca="1" ref="Q11" ca="1">-INDIRECT("'data'!$Y$" &amp; $A$1)*parameters!$B$15</f>
        <v>-7853.72</v>
      </c>
      <c r="R11" s="16" cm="1">
        <f t="array" aca="1" ref="R11" ca="1">INDIRECT("'data'!$W$" &amp; $A$1)*parameters!$B$15</f>
        <v>8560.5063157894747</v>
      </c>
      <c r="S11" s="16">
        <f t="shared" ca="1" si="2"/>
        <v>8560.5063157894729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2995.7042315789477</v>
      </c>
      <c r="O12" s="19"/>
      <c r="P12" s="21" cm="1">
        <f t="array" aca="1" ref="P12" ca="1">INDIRECT("'data'!$Z$" &amp; $A$1)*parameters!$B$15</f>
        <v>8083.04</v>
      </c>
      <c r="Q12" s="27" cm="1">
        <f t="array" aca="1" ref="Q12" ca="1">-INDIRECT("'data'!$AA$" &amp; $A$1)*parameters!$B$15</f>
        <v>-8649.48</v>
      </c>
      <c r="R12" s="16">
        <f ca="1">L10*parameters!$B$10+L11*parameters!$B$11</f>
        <v>2429.2642315789476</v>
      </c>
      <c r="S12" s="16">
        <f t="shared" ref="S12:S18" ca="1" si="4">SUM(M12:Q12)</f>
        <v>2429.264231578949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-28.865817651202633</v>
      </c>
      <c r="D13" s="9">
        <f ca="1">-(D18-R4)</f>
        <v>0</v>
      </c>
      <c r="E13" s="9">
        <f ca="1">-(E18-R5)</f>
        <v>-312.57059991595679</v>
      </c>
      <c r="F13" s="9">
        <f ca="1">-(F18-R6)</f>
        <v>-366.30895522388073</v>
      </c>
      <c r="G13" s="9">
        <f ca="1">-(G18-R7)</f>
        <v>0</v>
      </c>
      <c r="H13" s="9">
        <f ca="1">-(H18-R8)</f>
        <v>-92.646353187043132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-800.39172597808329</v>
      </c>
      <c r="N13" s="17"/>
      <c r="O13" s="17"/>
      <c r="P13" s="10"/>
      <c r="Q13" s="12"/>
      <c r="R13" s="9">
        <f t="shared" ref="R13:R18" ca="1" si="6">SUM(M13:Q13)</f>
        <v>-800.39172597808329</v>
      </c>
      <c r="S13" s="17">
        <f t="shared" ca="1" si="4"/>
        <v>-800.39172597808329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-48.686264783179922</v>
      </c>
      <c r="K14" s="14">
        <f ca="1">-(K18-R11)</f>
        <v>-763.52741942734428</v>
      </c>
      <c r="L14" s="13">
        <f ca="1">-(L18-R12)</f>
        <v>-298.28208421052659</v>
      </c>
      <c r="M14" s="14">
        <f t="shared" ca="1" si="5"/>
        <v>-1110.4957684210508</v>
      </c>
      <c r="N14" s="16">
        <f ca="1">-E16</f>
        <v>-1731.0551399058295</v>
      </c>
      <c r="O14" s="16"/>
      <c r="P14" s="11"/>
      <c r="Q14" s="13"/>
      <c r="R14" s="14">
        <f t="shared" ca="1" si="6"/>
        <v>-2841.5509083268803</v>
      </c>
      <c r="S14" s="16">
        <f t="shared" ca="1" si="4"/>
        <v>-2841.5509083268803</v>
      </c>
    </row>
    <row r="15" spans="1:21">
      <c r="A15" s="18" t="s">
        <v>79</v>
      </c>
      <c r="B15" s="11"/>
      <c r="C15" s="14"/>
      <c r="D15" s="14"/>
      <c r="E15" s="14">
        <f ca="1">-(J14+K14)-L14</f>
        <v>1110.4957684210508</v>
      </c>
      <c r="F15" s="14"/>
      <c r="G15" s="14"/>
      <c r="H15" s="14"/>
      <c r="I15" s="14"/>
      <c r="J15" s="14"/>
      <c r="K15" s="14"/>
      <c r="L15" s="13"/>
      <c r="M15" s="14">
        <f t="shared" ca="1" si="5"/>
        <v>1110.4957684210508</v>
      </c>
      <c r="N15" s="16"/>
      <c r="O15" s="16"/>
      <c r="P15" s="11"/>
      <c r="Q15" s="13"/>
      <c r="R15" s="14">
        <f t="shared" ca="1" si="6"/>
        <v>1110.4957684210508</v>
      </c>
      <c r="S15" s="16">
        <f t="shared" ca="1" si="4"/>
        <v>1110.4957684210508</v>
      </c>
    </row>
    <row r="16" spans="1:21">
      <c r="A16" s="18" t="s">
        <v>80</v>
      </c>
      <c r="B16" s="11"/>
      <c r="C16" s="14"/>
      <c r="D16" s="14"/>
      <c r="E16" s="14">
        <f ca="1">E18-E15</f>
        <v>1731.0551399058295</v>
      </c>
      <c r="F16" s="14"/>
      <c r="G16" s="14"/>
      <c r="H16" s="14"/>
      <c r="I16" s="14"/>
      <c r="J16" s="14"/>
      <c r="K16" s="14"/>
      <c r="L16" s="13"/>
      <c r="M16" s="14">
        <f t="shared" ca="1" si="5"/>
        <v>1731.0551399058295</v>
      </c>
      <c r="N16" s="16"/>
      <c r="O16" s="16"/>
      <c r="P16" s="11"/>
      <c r="Q16" s="13"/>
      <c r="R16" s="14">
        <f t="shared" ca="1" si="6"/>
        <v>1731.0551399058295</v>
      </c>
      <c r="S16" s="16">
        <f t="shared" ca="1" si="4"/>
        <v>1731.0551399058295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4581.8758176512029</v>
      </c>
      <c r="D18" s="9">
        <f ca="1">SUM(D$2:D$12)</f>
        <v>0</v>
      </c>
      <c r="E18" s="9">
        <f ca="1">$R$5/parameters!$B$4</f>
        <v>2841.5509083268803</v>
      </c>
      <c r="F18" s="9">
        <f t="shared" ref="F18:L18" ca="1" si="7">SUM(F$2:F$12)</f>
        <v>5908.2089552238804</v>
      </c>
      <c r="G18" s="9">
        <f t="shared" ca="1" si="7"/>
        <v>0</v>
      </c>
      <c r="H18" s="9">
        <f t="shared" ca="1" si="7"/>
        <v>2154.5663531870432</v>
      </c>
      <c r="I18" s="9">
        <f t="shared" ca="1" si="7"/>
        <v>7603.82</v>
      </c>
      <c r="J18" s="9">
        <f t="shared" ca="1" si="7"/>
        <v>594.54626478317994</v>
      </c>
      <c r="K18" s="9">
        <f t="shared" ca="1" si="7"/>
        <v>9324.033735216819</v>
      </c>
      <c r="L18" s="9">
        <f t="shared" ca="1" si="7"/>
        <v>2727.5463157894742</v>
      </c>
      <c r="M18" s="17">
        <f ca="1">SUM(B18:L18)</f>
        <v>35736.148350178482</v>
      </c>
      <c r="N18" s="17"/>
      <c r="O18" s="17"/>
      <c r="P18" s="9"/>
      <c r="Q18" s="14"/>
      <c r="R18" s="11">
        <f t="shared" ca="1" si="6"/>
        <v>35736.148350178482</v>
      </c>
      <c r="S18" s="17">
        <f t="shared" ca="1" si="4"/>
        <v>35736.148350178482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0.9181118986578195</v>
      </c>
      <c r="K19" s="39">
        <f ca="1">J19</f>
        <v>0.9181118986578195</v>
      </c>
      <c r="L19" s="40">
        <f ca="1">1-(-L14)/L18</f>
        <v>0.89064087290331118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5346.4727785045789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5346.4727785045789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-5346.4727785045789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4990.9791044776121</v>
      </c>
      <c r="G3" s="14">
        <f ca="1">R7/parameters!$B$6</f>
        <v>0</v>
      </c>
      <c r="H3" s="14">
        <f ca="1">R3-P3-Q3-F3-G3</f>
        <v>363.39089552238784</v>
      </c>
      <c r="I3" s="14"/>
      <c r="J3" s="14"/>
      <c r="K3" s="14"/>
      <c r="L3" s="13"/>
      <c r="M3" s="16">
        <f t="shared" ref="M3:M11" ca="1" si="0">SUM(B3:L3)</f>
        <v>5354.37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5.67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5312.79</v>
      </c>
      <c r="S3" s="16">
        <f t="shared" ref="S3:S11" ca="1" si="2">SUM(M3:Q3)</f>
        <v>5312.79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950.6626865671642</v>
      </c>
      <c r="G5" s="14"/>
      <c r="H5" s="14">
        <f ca="1">R8/parameters!$B$7-(H3+H4)</f>
        <v>1201.3321974765674</v>
      </c>
      <c r="I5" s="14"/>
      <c r="J5" s="14"/>
      <c r="K5" s="14"/>
      <c r="L5" s="13"/>
      <c r="M5" s="16">
        <f t="shared" ca="1" si="0"/>
        <v>2151.9948840437319</v>
      </c>
      <c r="N5" s="16"/>
      <c r="O5" s="16"/>
      <c r="P5" s="11" cm="1">
        <f t="array" aca="1" ref="P5" ca="1">INDIRECT("'data'!$M$" &amp; $A$1)*parameters!$B$15</f>
        <v>7891.94</v>
      </c>
      <c r="Q5" s="13" cm="1">
        <f t="array" aca="1" ref="Q5" ca="1">-INDIRECT("'data'!$N$" &amp; $A$1)*parameters!$B$15</f>
        <v>-290.08</v>
      </c>
      <c r="R5" s="16">
        <f ca="1">SUM(M5:Q5)</f>
        <v>9753.8548840437306</v>
      </c>
      <c r="S5" s="16">
        <f t="shared" ca="1" si="2"/>
        <v>9753.8548840437306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5573.26</v>
      </c>
      <c r="J6" s="14"/>
      <c r="K6" s="14"/>
      <c r="L6" s="13"/>
      <c r="M6" s="16">
        <f t="shared" ca="1" si="0"/>
        <v>5573.26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5573.26</v>
      </c>
      <c r="S6" s="16">
        <f t="shared" ca="1" si="2"/>
        <v>5573.26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1497.44</v>
      </c>
      <c r="J8" s="14"/>
      <c r="K8" s="14"/>
      <c r="L8" s="13"/>
      <c r="M8" s="16">
        <f t="shared" ca="1" si="0"/>
        <v>1497.44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1497.44</v>
      </c>
      <c r="S8" s="16">
        <f t="shared" ca="1" si="2"/>
        <v>1497.44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3019.5416312369948</v>
      </c>
      <c r="K9" s="14">
        <f ca="1">R11/K19</f>
        <v>3909.058368763006</v>
      </c>
      <c r="L9" s="13"/>
      <c r="M9" s="16">
        <f t="shared" ca="1" si="0"/>
        <v>6928.6</v>
      </c>
      <c r="N9" s="16"/>
      <c r="O9" s="16">
        <f t="shared" ca="1" si="3"/>
        <v>0</v>
      </c>
      <c r="P9" s="11" cm="1">
        <f t="array" aca="1" ref="P9" ca="1">INDIRECT("'data'!$R$" &amp; $A$1)*parameters!$B$15</f>
        <v>740.88</v>
      </c>
      <c r="Q9" s="13" cm="1">
        <f t="array" aca="1" ref="Q9" ca="1">-INDIRECT("'data'!$S$" &amp; $A$1)*parameters!$B$15</f>
        <v>-598.78</v>
      </c>
      <c r="R9" s="16">
        <f ca="1">SUM(R6:R8)</f>
        <v>7070.7000000000007</v>
      </c>
      <c r="S9" s="16">
        <f t="shared" ca="1" si="2"/>
        <v>7070.7000000000007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3437.84</v>
      </c>
      <c r="M10" s="16">
        <f t="shared" ca="1" si="0"/>
        <v>3437.84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1355.34</v>
      </c>
      <c r="Q10" s="13" cm="1">
        <f t="array" aca="1" ref="Q10" ca="1">-INDIRECT("'data'!$V$" &amp; $A$1)*parameters!$B$15</f>
        <v>-2063.88</v>
      </c>
      <c r="R10" s="16" cm="1">
        <f t="array" aca="1" ref="R10" ca="1">INDIRECT("'data'!$T$" &amp; $A$1)*parameters!$B$15</f>
        <v>2729.2999999999997</v>
      </c>
      <c r="S10" s="16">
        <f t="shared" ca="1" si="2"/>
        <v>2729.3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5568.7754196301566</v>
      </c>
      <c r="M11" s="16">
        <f t="shared" ca="1" si="0"/>
        <v>5568.7754196301566</v>
      </c>
      <c r="N11" s="16"/>
      <c r="O11" s="16">
        <f t="shared" ca="1" si="3"/>
        <v>0</v>
      </c>
      <c r="P11" s="11" cm="1">
        <f t="array" aca="1" ref="P11" ca="1">INDIRECT("'data'!$X$" &amp; $A$1)*parameters!$B$15</f>
        <v>1539.58</v>
      </c>
      <c r="Q11" s="13" cm="1">
        <f t="array" aca="1" ref="Q11" ca="1">-INDIRECT("'data'!$Y$" &amp; $A$1)*parameters!$B$15</f>
        <v>-3575.04</v>
      </c>
      <c r="R11" s="16" cm="1">
        <f t="array" aca="1" ref="R11" ca="1">INDIRECT("'data'!$W$" &amp; $A$1)*parameters!$B$15</f>
        <v>3533.3154196301566</v>
      </c>
      <c r="S11" s="16">
        <f t="shared" ca="1" si="2"/>
        <v>3533.3154196301566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13857.596460881936</v>
      </c>
      <c r="O12" s="19"/>
      <c r="P12" s="21" cm="1">
        <f t="array" aca="1" ref="P12" ca="1">INDIRECT("'data'!$Z$" &amp; $A$1)*parameters!$B$15</f>
        <v>5852.5599999999995</v>
      </c>
      <c r="Q12" s="27" cm="1">
        <f t="array" aca="1" ref="Q12" ca="1">-INDIRECT("'data'!$AA$" &amp; $A$1)*parameters!$B$15</f>
        <v>-11689.44</v>
      </c>
      <c r="R12" s="16">
        <f ca="1">L10*parameters!$B$10+L11*parameters!$B$11</f>
        <v>8020.7164608819348</v>
      </c>
      <c r="S12" s="16">
        <f t="shared" ref="S12:S18" ca="1" si="4">SUM(M12:Q12)</f>
        <v>8020.7164608819348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-33.682778504578891</v>
      </c>
      <c r="D13" s="9">
        <f ca="1">-(D18-R4)</f>
        <v>0</v>
      </c>
      <c r="E13" s="9">
        <f ca="1">-(E18-R5)</f>
        <v>-1205.5326261177652</v>
      </c>
      <c r="F13" s="9">
        <f ca="1">-(F18-R6)</f>
        <v>-368.38179104477604</v>
      </c>
      <c r="G13" s="9">
        <f ca="1">-(G18-R7)</f>
        <v>0</v>
      </c>
      <c r="H13" s="9">
        <f ca="1">-(H18-R8)</f>
        <v>-67.283092998955226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-1674.8802886660753</v>
      </c>
      <c r="N13" s="17"/>
      <c r="O13" s="17"/>
      <c r="P13" s="10"/>
      <c r="Q13" s="12"/>
      <c r="R13" s="9">
        <f t="shared" ref="R13:R18" ca="1" si="6">SUM(M13:Q13)</f>
        <v>-1674.8802886660753</v>
      </c>
      <c r="S13" s="17">
        <f t="shared" ca="1" si="4"/>
        <v>-1674.8802886660753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-290.24163123699509</v>
      </c>
      <c r="K14" s="14">
        <f ca="1">-(K18-R11)</f>
        <v>-375.74294913284939</v>
      </c>
      <c r="L14" s="13">
        <f ca="1">-(L18-R12)</f>
        <v>-985.89895874822287</v>
      </c>
      <c r="M14" s="14">
        <f t="shared" ca="1" si="5"/>
        <v>-1651.8835391180673</v>
      </c>
      <c r="N14" s="16">
        <f ca="1">-E16</f>
        <v>-9307.5039710434285</v>
      </c>
      <c r="O14" s="16"/>
      <c r="P14" s="11"/>
      <c r="Q14" s="13"/>
      <c r="R14" s="14">
        <f t="shared" ca="1" si="6"/>
        <v>-10959.387510161496</v>
      </c>
      <c r="S14" s="16">
        <f t="shared" ca="1" si="4"/>
        <v>-10959.387510161496</v>
      </c>
    </row>
    <row r="15" spans="1:21">
      <c r="A15" s="18" t="s">
        <v>79</v>
      </c>
      <c r="B15" s="11"/>
      <c r="C15" s="14"/>
      <c r="D15" s="14"/>
      <c r="E15" s="14">
        <f ca="1">-(J14+K14)-L14</f>
        <v>1651.8835391180673</v>
      </c>
      <c r="F15" s="14"/>
      <c r="G15" s="14"/>
      <c r="H15" s="14"/>
      <c r="I15" s="14"/>
      <c r="J15" s="14"/>
      <c r="K15" s="14"/>
      <c r="L15" s="13"/>
      <c r="M15" s="14">
        <f t="shared" ca="1" si="5"/>
        <v>1651.8835391180673</v>
      </c>
      <c r="N15" s="16"/>
      <c r="O15" s="16"/>
      <c r="P15" s="11"/>
      <c r="Q15" s="13"/>
      <c r="R15" s="14">
        <f t="shared" ca="1" si="6"/>
        <v>1651.8835391180673</v>
      </c>
      <c r="S15" s="16">
        <f t="shared" ca="1" si="4"/>
        <v>1651.8835391180673</v>
      </c>
    </row>
    <row r="16" spans="1:21">
      <c r="A16" s="18" t="s">
        <v>80</v>
      </c>
      <c r="B16" s="11"/>
      <c r="C16" s="14"/>
      <c r="D16" s="14"/>
      <c r="E16" s="14">
        <f ca="1">E18-E15</f>
        <v>9307.5039710434285</v>
      </c>
      <c r="F16" s="14"/>
      <c r="G16" s="14"/>
      <c r="H16" s="14"/>
      <c r="I16" s="14"/>
      <c r="J16" s="14"/>
      <c r="K16" s="14"/>
      <c r="L16" s="13"/>
      <c r="M16" s="14">
        <f t="shared" ca="1" si="5"/>
        <v>9307.5039710434285</v>
      </c>
      <c r="N16" s="16"/>
      <c r="O16" s="16"/>
      <c r="P16" s="11"/>
      <c r="Q16" s="13"/>
      <c r="R16" s="14">
        <f t="shared" ca="1" si="6"/>
        <v>9307.5039710434285</v>
      </c>
      <c r="S16" s="16">
        <f t="shared" ca="1" si="4"/>
        <v>9307.5039710434285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5346.4727785045789</v>
      </c>
      <c r="D18" s="9">
        <f ca="1">SUM(D$2:D$12)</f>
        <v>0</v>
      </c>
      <c r="E18" s="9">
        <f ca="1">$R$5/parameters!$B$4</f>
        <v>10959.387510161496</v>
      </c>
      <c r="F18" s="9">
        <f t="shared" ref="F18:L18" ca="1" si="7">SUM(F$2:F$12)</f>
        <v>5941.6417910447763</v>
      </c>
      <c r="G18" s="9">
        <f t="shared" ca="1" si="7"/>
        <v>0</v>
      </c>
      <c r="H18" s="9">
        <f t="shared" ca="1" si="7"/>
        <v>1564.7230929989553</v>
      </c>
      <c r="I18" s="9">
        <f t="shared" ca="1" si="7"/>
        <v>7070.7000000000007</v>
      </c>
      <c r="J18" s="9">
        <f t="shared" ca="1" si="7"/>
        <v>3019.5416312369948</v>
      </c>
      <c r="K18" s="9">
        <f t="shared" ca="1" si="7"/>
        <v>3909.058368763006</v>
      </c>
      <c r="L18" s="9">
        <f t="shared" ca="1" si="7"/>
        <v>9006.6154196301577</v>
      </c>
      <c r="M18" s="17">
        <f ca="1">SUM(B18:L18)</f>
        <v>46818.140592339965</v>
      </c>
      <c r="N18" s="17"/>
      <c r="O18" s="17"/>
      <c r="P18" s="9"/>
      <c r="Q18" s="14"/>
      <c r="R18" s="11">
        <f t="shared" ca="1" si="6"/>
        <v>46818.140592339965</v>
      </c>
      <c r="S18" s="17">
        <f t="shared" ca="1" si="4"/>
        <v>46818.140592339965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0.90387891054905112</v>
      </c>
      <c r="K19" s="39">
        <f ca="1">J19</f>
        <v>0.90387891054905112</v>
      </c>
      <c r="L19" s="40">
        <f ca="1">1-(-L14)/L18</f>
        <v>0.89053613229677486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5197.9835359116387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5197.9835359116387</v>
      </c>
      <c r="N2" s="17"/>
      <c r="O2" s="17">
        <f ca="1">R2-(M2+P2+Q2)</f>
        <v>0</v>
      </c>
      <c r="P2" s="11" cm="1">
        <f t="array" aca="1" ref="P2" ca="1">INDIRECT("'data'!$F$" &amp; $A$1)</f>
        <v>13733.85</v>
      </c>
      <c r="Q2" s="13">
        <f ca="1">IF(-(M2-R2+P2)&lt;0, -(M2-R2+P2), 0)</f>
        <v>-18931.833535911639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38">
        <f ca="1">R3-P3-Q3</f>
        <v>5194.5312396353957</v>
      </c>
      <c r="G3" s="14">
        <f ca="1">R7/parameters!$B$6</f>
        <v>0</v>
      </c>
      <c r="H3" s="14">
        <f ca="1">R3-P3-Q3-F3-G3</f>
        <v>0</v>
      </c>
      <c r="I3" s="14"/>
      <c r="J3" s="14"/>
      <c r="K3" s="14"/>
      <c r="L3" s="13"/>
      <c r="M3" s="16">
        <f t="shared" ref="M3:M11" ca="1" si="0">SUM(B3:L3)</f>
        <v>5194.5312396353957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494.23499999999996</v>
      </c>
      <c r="Q3" s="13" cm="1">
        <f t="array" aca="1" ref="Q3" ca="1">-INDIRECT("'data'!$I$" &amp; $A$1)*parameters!$B$13</f>
        <v>-523.53</v>
      </c>
      <c r="R3" s="16" cm="1">
        <f t="array" aca="1" ref="R3" ca="1">INDIRECT("'data'!$G$" &amp; $A$1)*parameters!$B$13</f>
        <v>5165.2362396353956</v>
      </c>
      <c r="S3" s="16">
        <f t="shared" ref="S3:S11" ca="1" si="2">SUM(M3:Q3)</f>
        <v>5165.2362396353956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v>0</v>
      </c>
      <c r="I4" s="14"/>
      <c r="J4" s="14"/>
      <c r="K4" s="14"/>
      <c r="L4" s="13"/>
      <c r="M4" s="16">
        <f t="shared" si="0"/>
        <v>0</v>
      </c>
      <c r="N4" s="16"/>
      <c r="O4" s="16">
        <f t="shared" ca="1" si="1"/>
        <v>18.399999999999999</v>
      </c>
      <c r="P4" s="11" cm="1">
        <f t="array" aca="1" ref="P4" ca="1">INDIRECT("'data'!$K$" &amp; $A$1)*parameters!$B$14</f>
        <v>59.800000000000004</v>
      </c>
      <c r="Q4" s="13" cm="1">
        <f t="array" aca="1" ref="Q4" ca="1">-INDIRECT("'data'!$L$" &amp; $A$1)*parameters!$B$14</f>
        <v>-78.2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38">
        <f ca="1">R6/parameters!$B$5-F3</f>
        <v>1760.5433872302765</v>
      </c>
      <c r="G5" s="14"/>
      <c r="H5" s="14">
        <f ca="1">R8/parameters!$B$7-(H3+H4)</f>
        <v>0</v>
      </c>
      <c r="I5" s="14"/>
      <c r="J5" s="14"/>
      <c r="K5" s="14"/>
      <c r="L5" s="13"/>
      <c r="M5" s="16">
        <f t="shared" ca="1" si="0"/>
        <v>1760.5433872302765</v>
      </c>
      <c r="N5" s="16"/>
      <c r="O5" s="16"/>
      <c r="P5" s="11" cm="1">
        <f t="array" aca="1" ref="P5" ca="1">INDIRECT("'data'!$M$" &amp; $A$1)*parameters!$B$15</f>
        <v>6215.16</v>
      </c>
      <c r="Q5" s="13" cm="1">
        <f t="array" aca="1" ref="Q5" ca="1">-INDIRECT("'data'!$N$" &amp; $A$1)*parameters!$B$15</f>
        <v>-3139.92</v>
      </c>
      <c r="R5" s="16">
        <f ca="1">SUM(M5:Q5)</f>
        <v>4835.7833872302763</v>
      </c>
      <c r="S5" s="16">
        <f t="shared" ca="1" si="2"/>
        <v>4835.7833872302763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6523.86</v>
      </c>
      <c r="J6" s="14"/>
      <c r="K6" s="14"/>
      <c r="L6" s="13"/>
      <c r="M6" s="16">
        <f t="shared" ca="1" si="0"/>
        <v>6523.86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6523.86</v>
      </c>
      <c r="S6" s="16">
        <f t="shared" ca="1" si="2"/>
        <v>6523.86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0</v>
      </c>
      <c r="J8" s="14"/>
      <c r="K8" s="14"/>
      <c r="L8" s="13"/>
      <c r="M8" s="16">
        <f t="shared" ca="1" si="0"/>
        <v>0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0</v>
      </c>
      <c r="S8" s="16">
        <f t="shared" ca="1" si="2"/>
        <v>0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152.31598815007141</v>
      </c>
      <c r="K9" s="14">
        <f ca="1">R11/K19</f>
        <v>6387.2240118499285</v>
      </c>
      <c r="L9" s="13"/>
      <c r="M9" s="16">
        <f t="shared" ca="1" si="0"/>
        <v>6539.54</v>
      </c>
      <c r="N9" s="16"/>
      <c r="O9" s="16">
        <f t="shared" ca="1" si="3"/>
        <v>0</v>
      </c>
      <c r="P9" s="11" cm="1">
        <f t="array" aca="1" ref="P9" ca="1">INDIRECT("'data'!$R$" &amp; $A$1)*parameters!$B$15</f>
        <v>329.28</v>
      </c>
      <c r="Q9" s="13" cm="1">
        <f t="array" aca="1" ref="Q9" ca="1">-INDIRECT("'data'!$S$" &amp; $A$1)*parameters!$B$15</f>
        <v>-344.96</v>
      </c>
      <c r="R9" s="16">
        <f ca="1">SUM(R6:R8)</f>
        <v>6523.86</v>
      </c>
      <c r="S9" s="16">
        <f t="shared" ca="1" si="2"/>
        <v>6523.86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2773.3999999999996</v>
      </c>
      <c r="M10" s="16">
        <f t="shared" ca="1" si="0"/>
        <v>2773.3999999999996</v>
      </c>
      <c r="N10" s="16"/>
      <c r="O10" s="16">
        <f t="shared" ca="1" si="3"/>
        <v>0</v>
      </c>
      <c r="P10" s="11" cm="1">
        <f t="array" aca="1" ref="P10" ca="1">INDIRECT("'data'!$U$" &amp; $A$1)*parameters!$B$15</f>
        <v>864.36</v>
      </c>
      <c r="Q10" s="13" cm="1">
        <f t="array" aca="1" ref="Q10" ca="1">-INDIRECT("'data'!$V$" &amp; $A$1)*parameters!$B$15</f>
        <v>-3498.6</v>
      </c>
      <c r="R10" s="16" cm="1">
        <f t="array" aca="1" ref="R10" ca="1">INDIRECT("'data'!$T$" &amp; $A$1)*parameters!$B$15</f>
        <v>139.16</v>
      </c>
      <c r="S10" s="16">
        <f t="shared" ca="1" si="2"/>
        <v>139.15999999999985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2425.1403413940261</v>
      </c>
      <c r="M11" s="16">
        <f t="shared" ca="1" si="0"/>
        <v>2425.1403413940261</v>
      </c>
      <c r="N11" s="16"/>
      <c r="O11" s="16">
        <f t="shared" ca="1" si="3"/>
        <v>0</v>
      </c>
      <c r="P11" s="11" cm="1">
        <f t="array" aca="1" ref="P11" ca="1">INDIRECT("'data'!$X$" &amp; $A$1)*parameters!$B$15</f>
        <v>8057.5599999999995</v>
      </c>
      <c r="Q11" s="13" cm="1">
        <f t="array" aca="1" ref="Q11" ca="1">-INDIRECT("'data'!$Y$" &amp; $A$1)*parameters!$B$15</f>
        <v>-4647.16</v>
      </c>
      <c r="R11" s="16" cm="1">
        <f t="array" aca="1" ref="R11" ca="1">INDIRECT("'data'!$W$" &amp; $A$1)*parameters!$B$15</f>
        <v>5835.5403413940257</v>
      </c>
      <c r="S11" s="16">
        <f t="shared" ca="1" si="2"/>
        <v>5835.5403413940257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5748.0766935988622</v>
      </c>
      <c r="O12" s="19"/>
      <c r="P12" s="21" cm="1">
        <f t="array" aca="1" ref="P12" ca="1">INDIRECT("'data'!$Z$" &amp; $A$1)*parameters!$B$15</f>
        <v>6990.34</v>
      </c>
      <c r="Q12" s="27" cm="1">
        <f t="array" aca="1" ref="Q12" ca="1">-INDIRECT("'data'!$AA$" &amp; $A$1)*parameters!$B$15</f>
        <v>-8045.8</v>
      </c>
      <c r="R12" s="16">
        <f ca="1">L10*parameters!$B$10+L11*parameters!$B$11</f>
        <v>4692.6166935988622</v>
      </c>
      <c r="S12" s="16">
        <f t="shared" ref="S12:S18" ca="1" si="4">SUM(M12:Q12)</f>
        <v>4692.6166935988613</v>
      </c>
    </row>
    <row r="13" spans="1:20">
      <c r="A13" s="29" t="s">
        <v>87</v>
      </c>
      <c r="B13" s="10">
        <f ca="1">-(B18-R2)</f>
        <v>0</v>
      </c>
      <c r="C13" s="9">
        <f ca="1">-(C18-R3)</f>
        <v>-32.747296276243105</v>
      </c>
      <c r="D13" s="9">
        <f ca="1">-(D18-R4)</f>
        <v>0</v>
      </c>
      <c r="E13" s="9">
        <f ca="1">-(E18-R5)</f>
        <v>-597.6810928037421</v>
      </c>
      <c r="F13" s="9">
        <f ca="1">-(F18-R6)</f>
        <v>-431.21462686567247</v>
      </c>
      <c r="G13" s="9">
        <f ca="1">-(G18-R7)</f>
        <v>0</v>
      </c>
      <c r="H13" s="9">
        <f ca="1">-(H18-R8)</f>
        <v>0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-1061.6430159456577</v>
      </c>
      <c r="N13" s="17"/>
      <c r="O13" s="17"/>
      <c r="P13" s="10"/>
      <c r="Q13" s="12"/>
      <c r="R13" s="9">
        <f t="shared" ref="R13:R18" ca="1" si="6">SUM(M13:Q13)</f>
        <v>-1061.6430159456577</v>
      </c>
      <c r="S13" s="17">
        <f t="shared" ca="1" si="4"/>
        <v>-1061.6430159456577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-13.155988150071408</v>
      </c>
      <c r="K14" s="14">
        <f ca="1">-(K18-R11)</f>
        <v>-551.68367045590276</v>
      </c>
      <c r="L14" s="13">
        <f ca="1">-(L18-R12)</f>
        <v>-505.92364779516356</v>
      </c>
      <c r="M14" s="14">
        <f t="shared" ca="1" si="5"/>
        <v>-1070.7633064011377</v>
      </c>
      <c r="N14" s="16">
        <f ca="1">-E16</f>
        <v>-4362.7011736328805</v>
      </c>
      <c r="O14" s="16"/>
      <c r="P14" s="11"/>
      <c r="Q14" s="13"/>
      <c r="R14" s="14">
        <f t="shared" ca="1" si="6"/>
        <v>-5433.4644800340184</v>
      </c>
      <c r="S14" s="16">
        <f t="shared" ca="1" si="4"/>
        <v>-5433.4644800340184</v>
      </c>
    </row>
    <row r="15" spans="1:20">
      <c r="A15" s="18" t="s">
        <v>79</v>
      </c>
      <c r="B15" s="11"/>
      <c r="C15" s="14"/>
      <c r="D15" s="14"/>
      <c r="E15" s="14">
        <f ca="1">-(J14+K14)-L14</f>
        <v>1070.7633064011377</v>
      </c>
      <c r="F15" s="14"/>
      <c r="G15" s="14"/>
      <c r="H15" s="14"/>
      <c r="I15" s="14"/>
      <c r="J15" s="14"/>
      <c r="K15" s="14"/>
      <c r="L15" s="13"/>
      <c r="M15" s="14">
        <f t="shared" ca="1" si="5"/>
        <v>1070.7633064011377</v>
      </c>
      <c r="N15" s="16"/>
      <c r="O15" s="16"/>
      <c r="P15" s="11"/>
      <c r="Q15" s="13"/>
      <c r="R15" s="14">
        <f t="shared" ca="1" si="6"/>
        <v>1070.7633064011377</v>
      </c>
      <c r="S15" s="16">
        <f t="shared" ca="1" si="4"/>
        <v>1070.7633064011377</v>
      </c>
    </row>
    <row r="16" spans="1:20">
      <c r="A16" s="18" t="s">
        <v>80</v>
      </c>
      <c r="B16" s="11"/>
      <c r="C16" s="14"/>
      <c r="D16" s="14"/>
      <c r="E16" s="14">
        <f ca="1">E18-E15</f>
        <v>4362.7011736328805</v>
      </c>
      <c r="F16" s="14"/>
      <c r="G16" s="14"/>
      <c r="H16" s="14"/>
      <c r="I16" s="14"/>
      <c r="J16" s="14"/>
      <c r="K16" s="14"/>
      <c r="L16" s="13"/>
      <c r="M16" s="14">
        <f t="shared" ca="1" si="5"/>
        <v>4362.7011736328805</v>
      </c>
      <c r="N16" s="16"/>
      <c r="O16" s="16"/>
      <c r="P16" s="11"/>
      <c r="Q16" s="13"/>
      <c r="R16" s="14">
        <f t="shared" ca="1" si="6"/>
        <v>4362.7011736328805</v>
      </c>
      <c r="S16" s="16">
        <f t="shared" ca="1" si="4"/>
        <v>4362.7011736328805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5197.9835359116387</v>
      </c>
      <c r="D18" s="9">
        <f ca="1">SUM(D$2:D$12)</f>
        <v>0</v>
      </c>
      <c r="E18" s="9">
        <f ca="1">$R$5/parameters!$B$4</f>
        <v>5433.4644800340184</v>
      </c>
      <c r="F18" s="9">
        <f t="shared" ref="F18:L18" ca="1" si="7">SUM(F$2:F$12)</f>
        <v>6955.0746268656721</v>
      </c>
      <c r="G18" s="9">
        <f t="shared" ca="1" si="7"/>
        <v>0</v>
      </c>
      <c r="H18" s="9">
        <f t="shared" ca="1" si="7"/>
        <v>0</v>
      </c>
      <c r="I18" s="9">
        <f t="shared" ca="1" si="7"/>
        <v>6523.86</v>
      </c>
      <c r="J18" s="9">
        <f t="shared" ca="1" si="7"/>
        <v>152.31598815007141</v>
      </c>
      <c r="K18" s="9">
        <f t="shared" ca="1" si="7"/>
        <v>6387.2240118499285</v>
      </c>
      <c r="L18" s="9">
        <f t="shared" ca="1" si="7"/>
        <v>5198.5403413940257</v>
      </c>
      <c r="M18" s="17">
        <f ca="1">SUM(B18:L18)</f>
        <v>35848.462984205355</v>
      </c>
      <c r="N18" s="17"/>
      <c r="O18" s="17"/>
      <c r="P18" s="9"/>
      <c r="Q18" s="14"/>
      <c r="R18" s="11">
        <f t="shared" ca="1" si="6"/>
        <v>35848.462984205355</v>
      </c>
      <c r="S18" s="17">
        <f t="shared" ca="1" si="4"/>
        <v>35848.462984205355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 t="str">
        <f t="shared" ca="1" si="8"/>
        <v/>
      </c>
      <c r="I19" s="39">
        <f t="shared" ref="I19" ca="1" si="9">1-(-I13)/I18</f>
        <v>1</v>
      </c>
      <c r="J19" s="39">
        <f ca="1">(R10+R11)/(R9-P9-Q9)</f>
        <v>0.91362700455904022</v>
      </c>
      <c r="K19" s="39">
        <f ca="1">J19</f>
        <v>0.91362700455904022</v>
      </c>
      <c r="L19" s="40">
        <f ca="1">1-(-L14)/L18</f>
        <v>0.90267967264451454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3484.4319211029483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3484.4319211029483</v>
      </c>
      <c r="N2" s="17"/>
      <c r="O2" s="17">
        <f ca="1">R2-(M2+P2+Q2)</f>
        <v>20926.968078897102</v>
      </c>
      <c r="P2" s="11" cm="1">
        <f t="array" aca="1" ref="P2" ca="1">INDIRECT("'data'!$F$" &amp; $A$1)</f>
        <v>543545.59999999998</v>
      </c>
      <c r="Q2" s="13">
        <f ca="1">IF(-(M2-R2+P2)&lt;0, -(M2-R2+P2), 0)</f>
        <v>0</v>
      </c>
      <c r="R2" s="17" cm="1">
        <f t="array" aca="1" ref="R2" ca="1">INDIRECT("'data'!$D$" &amp; $A$1)</f>
        <v>567957</v>
      </c>
      <c r="S2" s="17">
        <f ca="1">SUM(M2:Q2)</f>
        <v>567957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3362.5074626865671</v>
      </c>
      <c r="G3" s="14">
        <f ca="1">R7/parameters!$B$6</f>
        <v>0</v>
      </c>
      <c r="H3" s="14">
        <f ca="1">R3-P3-Q3-F3-G3</f>
        <v>119.81753731343269</v>
      </c>
      <c r="I3" s="14"/>
      <c r="J3" s="14"/>
      <c r="K3" s="14"/>
      <c r="L3" s="13"/>
      <c r="M3" s="16">
        <f t="shared" ref="M3:M11" ca="1" si="0">SUM(B3:L3)</f>
        <v>3482.3249999999998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-19.844999999999999</v>
      </c>
      <c r="R3" s="16" cm="1">
        <f t="array" aca="1" ref="R3" ca="1">INDIRECT("'data'!$G$" &amp; $A$1)*parameters!$B$13</f>
        <v>3462.48</v>
      </c>
      <c r="S3" s="16">
        <f t="shared" ref="S3:S11" ca="1" si="2">SUM(M3:Q3)</f>
        <v>3462.48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0.92</v>
      </c>
      <c r="I4" s="14"/>
      <c r="J4" s="14"/>
      <c r="K4" s="14"/>
      <c r="L4" s="13"/>
      <c r="M4" s="16">
        <f t="shared" ca="1" si="0"/>
        <v>0.92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-0.92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840.62686567164189</v>
      </c>
      <c r="G5" s="14"/>
      <c r="H5" s="14">
        <f ca="1">R8/parameters!$B$7-(H3+H4)</f>
        <v>1384.5916162915828</v>
      </c>
      <c r="I5" s="14"/>
      <c r="J5" s="14"/>
      <c r="K5" s="14"/>
      <c r="L5" s="13"/>
      <c r="M5" s="16">
        <f t="shared" ca="1" si="0"/>
        <v>2225.2184819632248</v>
      </c>
      <c r="N5" s="16"/>
      <c r="O5" s="16"/>
      <c r="P5" s="11" cm="1">
        <f t="array" aca="1" ref="P5" ca="1">INDIRECT("'data'!$M$" &amp; $A$1)*parameters!$B$15</f>
        <v>2186.38</v>
      </c>
      <c r="Q5" s="13" cm="1">
        <f t="array" aca="1" ref="Q5" ca="1">-INDIRECT("'data'!$N$" &amp; $A$1)*parameters!$B$15</f>
        <v>-113.67999999999999</v>
      </c>
      <c r="R5" s="16">
        <f ca="1">SUM(M5:Q5)</f>
        <v>4297.9184819632246</v>
      </c>
      <c r="S5" s="16">
        <f t="shared" ca="1" si="2"/>
        <v>4297.9184819632246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3942.54</v>
      </c>
      <c r="J6" s="14"/>
      <c r="K6" s="14"/>
      <c r="L6" s="13"/>
      <c r="M6" s="16">
        <f t="shared" ca="1" si="0"/>
        <v>3942.54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3942.54</v>
      </c>
      <c r="S6" s="16">
        <f t="shared" ca="1" si="2"/>
        <v>3942.54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1440.6</v>
      </c>
      <c r="J8" s="14"/>
      <c r="K8" s="14"/>
      <c r="L8" s="13"/>
      <c r="M8" s="16">
        <f t="shared" ca="1" si="0"/>
        <v>1440.6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1440.6</v>
      </c>
      <c r="S8" s="16">
        <f t="shared" ca="1" si="2"/>
        <v>1440.6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2158.6538743362003</v>
      </c>
      <c r="K9" s="14">
        <f ca="1">R11/K19</f>
        <v>3161.7661256637989</v>
      </c>
      <c r="L9" s="13"/>
      <c r="M9" s="16">
        <f t="shared" ca="1" si="0"/>
        <v>5320.4199999999992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64.679999999999993</v>
      </c>
      <c r="Q9" s="13" cm="1">
        <f t="array" aca="1" ref="Q9" ca="1">-INDIRECT("'data'!$S$" &amp; $A$1)*parameters!$B$15</f>
        <v>-1.96</v>
      </c>
      <c r="R9" s="16">
        <f ca="1">SUM(R6:R8)</f>
        <v>5383.1399999999994</v>
      </c>
      <c r="S9" s="16">
        <f t="shared" ca="1" si="2"/>
        <v>5383.1399999999994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2558.7799999999997</v>
      </c>
      <c r="M10" s="16">
        <f t="shared" ca="1" si="0"/>
        <v>2558.7799999999997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148.96</v>
      </c>
      <c r="Q10" s="13" cm="1">
        <f t="array" aca="1" ref="Q10" ca="1">-INDIRECT("'data'!$V$" &amp; $A$1)*parameters!$B$15</f>
        <v>-769.3</v>
      </c>
      <c r="R10" s="16" cm="1">
        <f t="array" aca="1" ref="R10" ca="1">INDIRECT("'data'!$T$" &amp; $A$1)*parameters!$B$15</f>
        <v>1938.44</v>
      </c>
      <c r="S10" s="16">
        <f t="shared" ca="1" si="2"/>
        <v>1938.4399999999998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2528.5603129445235</v>
      </c>
      <c r="M11" s="16">
        <f t="shared" ca="1" si="0"/>
        <v>2528.5603129445235</v>
      </c>
      <c r="N11" s="16"/>
      <c r="O11" s="16">
        <f t="shared" ca="1" si="3"/>
        <v>0</v>
      </c>
      <c r="P11" s="11" cm="1">
        <f t="array" aca="1" ref="P11" ca="1">INDIRECT("'data'!$X$" &amp; $A$1)*parameters!$B$15</f>
        <v>868.28</v>
      </c>
      <c r="Q11" s="13" cm="1">
        <f t="array" aca="1" ref="Q11" ca="1">-INDIRECT("'data'!$Y$" &amp; $A$1)*parameters!$B$15</f>
        <v>-557.62</v>
      </c>
      <c r="R11" s="16" cm="1">
        <f t="array" aca="1" ref="R11" ca="1">INDIRECT("'data'!$W$" &amp; $A$1)*parameters!$B$15</f>
        <v>2839.2203129445234</v>
      </c>
      <c r="S11" s="16">
        <f t="shared" ca="1" si="2"/>
        <v>2839.2203129445234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9479.8150691322899</v>
      </c>
      <c r="O12" s="19"/>
      <c r="P12" s="21" cm="1">
        <f t="array" aca="1" ref="P12" ca="1">INDIRECT("'data'!$Z$" &amp; $A$1)*parameters!$B$15</f>
        <v>450.8</v>
      </c>
      <c r="Q12" s="27" cm="1">
        <f t="array" aca="1" ref="Q12" ca="1">-INDIRECT("'data'!$AA$" &amp; $A$1)*parameters!$B$15</f>
        <v>-5350.8</v>
      </c>
      <c r="R12" s="16">
        <f ca="1">L10*parameters!$B$10+L11*parameters!$B$11</f>
        <v>4579.8150691322899</v>
      </c>
      <c r="S12" s="16">
        <f t="shared" ref="S12:S18" ca="1" si="4">SUM(M12:Q12)</f>
        <v>4579.815069132289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-21.95192110294829</v>
      </c>
      <c r="D13" s="9">
        <f ca="1">-(D18-R4)</f>
        <v>0</v>
      </c>
      <c r="E13" s="9">
        <f ca="1">-(E18-R5)</f>
        <v>-531.20340788309477</v>
      </c>
      <c r="F13" s="9">
        <f ca="1">-(F18-R6)</f>
        <v>-260.59432835820917</v>
      </c>
      <c r="G13" s="9">
        <f ca="1">-(G18-R7)</f>
        <v>0</v>
      </c>
      <c r="H13" s="9">
        <f ca="1">-(H18-R8)</f>
        <v>-64.729153605015654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-878.47881094926788</v>
      </c>
      <c r="N13" s="17"/>
      <c r="O13" s="17"/>
      <c r="P13" s="10"/>
      <c r="Q13" s="12"/>
      <c r="R13" s="9">
        <f t="shared" ref="R13:R18" ca="1" si="6">SUM(M13:Q13)</f>
        <v>-878.47881094926788</v>
      </c>
      <c r="S13" s="17">
        <f t="shared" ca="1" si="4"/>
        <v>-878.47881094926788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-220.21387433620021</v>
      </c>
      <c r="K14" s="14">
        <f ca="1">-(K18-R11)</f>
        <v>-322.54581271927555</v>
      </c>
      <c r="L14" s="13">
        <f ca="1">-(L18-R12)</f>
        <v>-507.52524381223338</v>
      </c>
      <c r="M14" s="14">
        <f t="shared" ca="1" si="5"/>
        <v>-1050.2849308677091</v>
      </c>
      <c r="N14" s="16">
        <f ca="1">-E16</f>
        <v>-3778.8369589786103</v>
      </c>
      <c r="O14" s="16"/>
      <c r="P14" s="11"/>
      <c r="Q14" s="13"/>
      <c r="R14" s="14">
        <f t="shared" ca="1" si="6"/>
        <v>-4829.1218898463194</v>
      </c>
      <c r="S14" s="16">
        <f t="shared" ca="1" si="4"/>
        <v>-4829.1218898463194</v>
      </c>
    </row>
    <row r="15" spans="1:20">
      <c r="A15" s="18" t="s">
        <v>79</v>
      </c>
      <c r="B15" s="11"/>
      <c r="C15" s="14"/>
      <c r="D15" s="14"/>
      <c r="E15" s="14">
        <f ca="1">-(J14+K14)-L14</f>
        <v>1050.2849308677091</v>
      </c>
      <c r="F15" s="14"/>
      <c r="G15" s="14"/>
      <c r="H15" s="14"/>
      <c r="I15" s="14"/>
      <c r="J15" s="14"/>
      <c r="K15" s="14"/>
      <c r="L15" s="13"/>
      <c r="M15" s="14">
        <f t="shared" ca="1" si="5"/>
        <v>1050.2849308677091</v>
      </c>
      <c r="N15" s="16"/>
      <c r="O15" s="16"/>
      <c r="P15" s="11"/>
      <c r="Q15" s="13"/>
      <c r="R15" s="14">
        <f t="shared" ca="1" si="6"/>
        <v>1050.2849308677091</v>
      </c>
      <c r="S15" s="16">
        <f t="shared" ca="1" si="4"/>
        <v>1050.2849308677091</v>
      </c>
    </row>
    <row r="16" spans="1:20">
      <c r="A16" s="18" t="s">
        <v>80</v>
      </c>
      <c r="B16" s="11"/>
      <c r="C16" s="14"/>
      <c r="D16" s="14"/>
      <c r="E16" s="14">
        <f ca="1">E18-E15</f>
        <v>3778.8369589786103</v>
      </c>
      <c r="F16" s="14"/>
      <c r="G16" s="14"/>
      <c r="H16" s="14"/>
      <c r="I16" s="14"/>
      <c r="J16" s="14"/>
      <c r="K16" s="14"/>
      <c r="L16" s="13"/>
      <c r="M16" s="14">
        <f t="shared" ca="1" si="5"/>
        <v>3778.8369589786103</v>
      </c>
      <c r="N16" s="16"/>
      <c r="O16" s="16"/>
      <c r="P16" s="11"/>
      <c r="Q16" s="13"/>
      <c r="R16" s="14">
        <f t="shared" ca="1" si="6"/>
        <v>3778.8369589786103</v>
      </c>
      <c r="S16" s="16">
        <f t="shared" ca="1" si="4"/>
        <v>3778.8369589786103</v>
      </c>
    </row>
    <row r="17" spans="1:19">
      <c r="A17" s="30" t="s">
        <v>90</v>
      </c>
      <c r="B17" s="21">
        <f ca="1">R2</f>
        <v>567957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567957</v>
      </c>
      <c r="N17" s="19"/>
      <c r="O17" s="19"/>
      <c r="P17" s="21"/>
      <c r="Q17" s="27"/>
      <c r="R17" s="22">
        <f t="shared" ca="1" si="6"/>
        <v>567957</v>
      </c>
      <c r="S17" s="19">
        <f t="shared" ca="1" si="4"/>
        <v>567957</v>
      </c>
    </row>
    <row r="18" spans="1:19">
      <c r="A18" s="29" t="s">
        <v>89</v>
      </c>
      <c r="B18" s="9">
        <f ca="1">B17</f>
        <v>567957</v>
      </c>
      <c r="C18" s="9">
        <f ca="1">SUM(C$2:C$12)</f>
        <v>3484.4319211029483</v>
      </c>
      <c r="D18" s="9">
        <f ca="1">SUM(D$2:D$12)</f>
        <v>0</v>
      </c>
      <c r="E18" s="9">
        <f ca="1">$R$5/parameters!$B$4</f>
        <v>4829.1218898463194</v>
      </c>
      <c r="F18" s="9">
        <f t="shared" ref="F18:L18" ca="1" si="7">SUM(F$2:F$12)</f>
        <v>4203.1343283582091</v>
      </c>
      <c r="G18" s="9">
        <f t="shared" ca="1" si="7"/>
        <v>0</v>
      </c>
      <c r="H18" s="9">
        <f t="shared" ca="1" si="7"/>
        <v>1505.3291536050156</v>
      </c>
      <c r="I18" s="9">
        <f t="shared" ca="1" si="7"/>
        <v>5383.1399999999994</v>
      </c>
      <c r="J18" s="9">
        <f t="shared" ca="1" si="7"/>
        <v>2158.6538743362003</v>
      </c>
      <c r="K18" s="9">
        <f t="shared" ca="1" si="7"/>
        <v>3161.7661256637989</v>
      </c>
      <c r="L18" s="9">
        <f t="shared" ca="1" si="7"/>
        <v>5087.3403129445232</v>
      </c>
      <c r="M18" s="17">
        <f ca="1">SUM(B18:L18)</f>
        <v>597769.9176058569</v>
      </c>
      <c r="N18" s="17"/>
      <c r="O18" s="17"/>
      <c r="P18" s="9"/>
      <c r="Q18" s="14"/>
      <c r="R18" s="11">
        <f t="shared" ca="1" si="6"/>
        <v>597769.9176058569</v>
      </c>
      <c r="S18" s="17">
        <f t="shared" ca="1" si="4"/>
        <v>597769.9176058569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0.89798555620505971</v>
      </c>
      <c r="K19" s="39">
        <f ca="1">J19</f>
        <v>0.89798555620505971</v>
      </c>
      <c r="L19" s="40">
        <f ca="1">1-(-L14)/L18</f>
        <v>0.90023760696314015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>
      <selection activeCell="L11" sqref="L11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3605.207809197947</v>
      </c>
      <c r="D2" s="9">
        <f ca="1">R4/parameters!$B$3</f>
        <v>611.97544530542416</v>
      </c>
      <c r="E2" s="9"/>
      <c r="F2" s="9"/>
      <c r="G2" s="9"/>
      <c r="H2" s="9"/>
      <c r="I2" s="9"/>
      <c r="J2" s="9"/>
      <c r="K2" s="9"/>
      <c r="L2" s="12"/>
      <c r="M2" s="17">
        <f ca="1">SUM(B2:L2)</f>
        <v>4217.1832545033712</v>
      </c>
      <c r="N2" s="17"/>
      <c r="O2" s="17">
        <f ca="1">R2-(M2+P2+Q2)</f>
        <v>0</v>
      </c>
      <c r="P2" s="11" cm="1">
        <f t="array" aca="1" ref="P2" ca="1">INDIRECT("'data'!$F$" &amp; $A$1)</f>
        <v>43413.5</v>
      </c>
      <c r="Q2" s="13">
        <f ca="1">IF(-(M2-R2+P2)&lt;0, -(M2-R2+P2), 0)</f>
        <v>-1530.6832545033685</v>
      </c>
      <c r="R2" s="17" cm="1">
        <f t="array" aca="1" ref="R2" ca="1">INDIRECT("'data'!$D$" &amp; $A$1)</f>
        <v>46100</v>
      </c>
      <c r="S2" s="17">
        <f ca="1">SUM(M2:Q2)</f>
        <v>46100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2783.2835820895525</v>
      </c>
      <c r="G3" s="14">
        <f ca="1">R7/parameters!$B$6</f>
        <v>0</v>
      </c>
      <c r="H3" s="14">
        <f ca="1">R3-P3-Q3-F3-G3</f>
        <v>294.58141791044727</v>
      </c>
      <c r="I3" s="14"/>
      <c r="J3" s="14"/>
      <c r="K3" s="14"/>
      <c r="L3" s="13"/>
      <c r="M3" s="16">
        <f t="shared" ref="M3:M11" ca="1" si="0">SUM(B3:L3)</f>
        <v>3077.8649999999998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504.63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3582.4949999999999</v>
      </c>
      <c r="S3" s="16">
        <f t="shared" ref="S3:S11" ca="1" si="2">SUM(M3:Q3)</f>
        <v>3582.4949999999999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573.16</v>
      </c>
      <c r="I4" s="14"/>
      <c r="J4" s="14"/>
      <c r="K4" s="14"/>
      <c r="L4" s="13"/>
      <c r="M4" s="16">
        <f t="shared" ca="1" si="0"/>
        <v>573.16</v>
      </c>
      <c r="N4" s="16"/>
      <c r="O4" s="16">
        <f t="shared" ca="1" si="1"/>
        <v>0</v>
      </c>
      <c r="P4" s="11" cm="1">
        <f t="array" aca="1" ref="P4" ca="1">INDIRECT("'data'!$K$" &amp; $A$1)*parameters!$B$14</f>
        <v>34.96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608.12</v>
      </c>
      <c r="S4" s="16">
        <f t="shared" ca="1" si="2"/>
        <v>608.12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695.82089552238813</v>
      </c>
      <c r="G5" s="14"/>
      <c r="H5" s="14">
        <f ca="1">R8/parameters!$B$7-(H3+H4)</f>
        <v>2022.0809436360523</v>
      </c>
      <c r="I5" s="14"/>
      <c r="J5" s="14"/>
      <c r="K5" s="14"/>
      <c r="L5" s="13"/>
      <c r="M5" s="16">
        <f t="shared" ca="1" si="0"/>
        <v>2717.9018391584405</v>
      </c>
      <c r="N5" s="16"/>
      <c r="O5" s="16"/>
      <c r="P5" s="11" cm="1">
        <f t="array" aca="1" ref="P5" ca="1">INDIRECT("'data'!$M$" &amp; $A$1)*parameters!$B$15</f>
        <v>514.5</v>
      </c>
      <c r="Q5" s="13" cm="1">
        <f t="array" aca="1" ref="Q5" ca="1">-INDIRECT("'data'!$N$" &amp; $A$1)*parameters!$B$15</f>
        <v>-122.5</v>
      </c>
      <c r="R5" s="16">
        <f ca="1">SUM(M5:Q5)</f>
        <v>3109.9018391584405</v>
      </c>
      <c r="S5" s="16">
        <f t="shared" ca="1" si="2"/>
        <v>3109.9018391584405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3263.4</v>
      </c>
      <c r="J6" s="14"/>
      <c r="K6" s="14"/>
      <c r="L6" s="13"/>
      <c r="M6" s="16">
        <f t="shared" ca="1" si="0"/>
        <v>3263.4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3263.4</v>
      </c>
      <c r="S6" s="16">
        <f t="shared" ca="1" si="2"/>
        <v>3263.4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2765.56</v>
      </c>
      <c r="J8" s="14"/>
      <c r="K8" s="14"/>
      <c r="L8" s="13"/>
      <c r="M8" s="16">
        <f t="shared" ca="1" si="0"/>
        <v>2765.56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2765.56</v>
      </c>
      <c r="S8" s="16">
        <f t="shared" ca="1" si="2"/>
        <v>2765.56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1680.5749117221419</v>
      </c>
      <c r="K9" s="14">
        <f ca="1">R11/K19</f>
        <v>2449.1450882778581</v>
      </c>
      <c r="L9" s="13"/>
      <c r="M9" s="16">
        <f t="shared" ca="1" si="0"/>
        <v>4129.72</v>
      </c>
      <c r="N9" s="16"/>
      <c r="O9" s="16">
        <f t="shared" ca="1" si="3"/>
        <v>0</v>
      </c>
      <c r="P9" s="11" cm="1">
        <f t="array" aca="1" ref="P9" ca="1">INDIRECT("'data'!$R$" &amp; $A$1)*parameters!$B$15</f>
        <v>1910.02</v>
      </c>
      <c r="Q9" s="13" cm="1">
        <f t="array" aca="1" ref="Q9" ca="1">-INDIRECT("'data'!$S$" &amp; $A$1)*parameters!$B$15</f>
        <v>-10.78</v>
      </c>
      <c r="R9" s="16">
        <f ca="1">SUM(R6:R8)</f>
        <v>6028.96</v>
      </c>
      <c r="S9" s="16">
        <f t="shared" ca="1" si="2"/>
        <v>6028.96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919.24</v>
      </c>
      <c r="M10" s="16">
        <f t="shared" ca="1" si="0"/>
        <v>919.24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817.31999999999994</v>
      </c>
      <c r="Q10" s="13" cm="1">
        <f t="array" aca="1" ref="Q10" ca="1">-INDIRECT("'data'!$V$" &amp; $A$1)*parameters!$B$15</f>
        <v>-168.56</v>
      </c>
      <c r="R10" s="16" cm="1">
        <f t="array" aca="1" ref="R10" ca="1">INDIRECT("'data'!$T$" &amp; $A$1)*parameters!$B$15</f>
        <v>1568</v>
      </c>
      <c r="S10" s="16">
        <f t="shared" ca="1" si="2"/>
        <v>1568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1949.9267709815078</v>
      </c>
      <c r="M11" s="16">
        <f t="shared" ca="1" si="0"/>
        <v>1949.9267709815078</v>
      </c>
      <c r="N11" s="16"/>
      <c r="O11" s="16">
        <f t="shared" ca="1" si="3"/>
        <v>0</v>
      </c>
      <c r="P11" s="11" cm="1">
        <f t="array" aca="1" ref="P11" ca="1">INDIRECT("'data'!$X$" &amp; $A$1)*parameters!$B$15</f>
        <v>1119.1600000000001</v>
      </c>
      <c r="Q11" s="13" cm="1">
        <f t="array" aca="1" ref="Q11" ca="1">-INDIRECT("'data'!$Y$" &amp; $A$1)*parameters!$B$15</f>
        <v>-784</v>
      </c>
      <c r="R11" s="16" cm="1">
        <f t="array" aca="1" ref="R11" ca="1">INDIRECT("'data'!$W$" &amp; $A$1)*parameters!$B$15</f>
        <v>2285.0867709815079</v>
      </c>
      <c r="S11" s="16">
        <f t="shared" ca="1" si="2"/>
        <v>2285.0867709815079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2645.8826230440964</v>
      </c>
      <c r="O12" s="19"/>
      <c r="P12" s="21" cm="1">
        <f t="array" aca="1" ref="P12" ca="1">INDIRECT("'data'!$Z$" &amp; $A$1)*parameters!$B$15</f>
        <v>1754.2</v>
      </c>
      <c r="Q12" s="27" cm="1">
        <f t="array" aca="1" ref="Q12" ca="1">-INDIRECT("'data'!$AA$" &amp; $A$1)*parameters!$B$15</f>
        <v>-1859.06</v>
      </c>
      <c r="R12" s="16">
        <f ca="1">L10*parameters!$B$10+L11*parameters!$B$11</f>
        <v>2541.0226230440967</v>
      </c>
      <c r="S12" s="16">
        <f t="shared" ref="S12:S18" ca="1" si="4">SUM(M12:Q12)</f>
        <v>2541.0226230440962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-22.712809197947081</v>
      </c>
      <c r="D13" s="9">
        <f ca="1">-(D18-R4)</f>
        <v>-3.8554453054241549</v>
      </c>
      <c r="E13" s="9">
        <f ca="1">-(E18-R5)</f>
        <v>-384.36989023306569</v>
      </c>
      <c r="F13" s="9">
        <f ca="1">-(F18-R6)</f>
        <v>-215.70447761194055</v>
      </c>
      <c r="G13" s="9">
        <f ca="1">-(G18-R7)</f>
        <v>0</v>
      </c>
      <c r="H13" s="9">
        <f ca="1">-(H18-R8)</f>
        <v>-124.26236154649951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-750.90498389487698</v>
      </c>
      <c r="N13" s="17"/>
      <c r="O13" s="17"/>
      <c r="P13" s="10"/>
      <c r="Q13" s="12"/>
      <c r="R13" s="9">
        <f t="shared" ref="R13:R18" ca="1" si="6">SUM(M13:Q13)</f>
        <v>-750.90498389487698</v>
      </c>
      <c r="S13" s="17">
        <f t="shared" ca="1" si="4"/>
        <v>-750.90498389487698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-112.57491172214191</v>
      </c>
      <c r="K14" s="14">
        <f ca="1">-(K18-R11)</f>
        <v>-164.0583172963502</v>
      </c>
      <c r="L14" s="13">
        <f ca="1">-(L18-R12)</f>
        <v>-328.14414793741116</v>
      </c>
      <c r="M14" s="14">
        <f t="shared" ca="1" si="5"/>
        <v>-604.77737695590326</v>
      </c>
      <c r="N14" s="16">
        <f ca="1">-E16</f>
        <v>-2889.4943524356031</v>
      </c>
      <c r="O14" s="16"/>
      <c r="P14" s="11"/>
      <c r="Q14" s="13"/>
      <c r="R14" s="14">
        <f t="shared" ca="1" si="6"/>
        <v>-3494.2717293915066</v>
      </c>
      <c r="S14" s="16">
        <f t="shared" ca="1" si="4"/>
        <v>-3494.2717293915066</v>
      </c>
    </row>
    <row r="15" spans="1:21">
      <c r="A15" s="18" t="s">
        <v>79</v>
      </c>
      <c r="B15" s="11"/>
      <c r="C15" s="14"/>
      <c r="D15" s="14"/>
      <c r="E15" s="14">
        <f ca="1">-(J14+K14)-L14</f>
        <v>604.77737695590326</v>
      </c>
      <c r="F15" s="14"/>
      <c r="G15" s="14"/>
      <c r="H15" s="14"/>
      <c r="I15" s="14"/>
      <c r="J15" s="14"/>
      <c r="K15" s="14"/>
      <c r="L15" s="13"/>
      <c r="M15" s="14">
        <f t="shared" ca="1" si="5"/>
        <v>604.77737695590326</v>
      </c>
      <c r="N15" s="16"/>
      <c r="O15" s="16"/>
      <c r="P15" s="11"/>
      <c r="Q15" s="13"/>
      <c r="R15" s="14">
        <f t="shared" ca="1" si="6"/>
        <v>604.77737695590326</v>
      </c>
      <c r="S15" s="16">
        <f t="shared" ca="1" si="4"/>
        <v>604.77737695590326</v>
      </c>
    </row>
    <row r="16" spans="1:21">
      <c r="A16" s="18" t="s">
        <v>80</v>
      </c>
      <c r="B16" s="11"/>
      <c r="C16" s="14"/>
      <c r="D16" s="14"/>
      <c r="E16" s="14">
        <f ca="1">E18-E15</f>
        <v>2889.4943524356031</v>
      </c>
      <c r="F16" s="14"/>
      <c r="G16" s="14"/>
      <c r="H16" s="14"/>
      <c r="I16" s="14"/>
      <c r="J16" s="14"/>
      <c r="K16" s="14"/>
      <c r="L16" s="13"/>
      <c r="M16" s="14">
        <f t="shared" ca="1" si="5"/>
        <v>2889.4943524356031</v>
      </c>
      <c r="N16" s="16"/>
      <c r="O16" s="16"/>
      <c r="P16" s="11"/>
      <c r="Q16" s="13"/>
      <c r="R16" s="14">
        <f t="shared" ca="1" si="6"/>
        <v>2889.4943524356031</v>
      </c>
      <c r="S16" s="16">
        <f t="shared" ca="1" si="4"/>
        <v>2889.4943524356031</v>
      </c>
    </row>
    <row r="17" spans="1:19">
      <c r="A17" s="30" t="s">
        <v>90</v>
      </c>
      <c r="B17" s="21">
        <f ca="1">R2</f>
        <v>46100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46100</v>
      </c>
      <c r="N17" s="19"/>
      <c r="O17" s="19"/>
      <c r="P17" s="21"/>
      <c r="Q17" s="27"/>
      <c r="R17" s="22">
        <f t="shared" ca="1" si="6"/>
        <v>46100</v>
      </c>
      <c r="S17" s="19">
        <f t="shared" ca="1" si="4"/>
        <v>46100</v>
      </c>
    </row>
    <row r="18" spans="1:19">
      <c r="A18" s="29" t="s">
        <v>89</v>
      </c>
      <c r="B18" s="9">
        <f ca="1">B17</f>
        <v>46100</v>
      </c>
      <c r="C18" s="9">
        <f ca="1">SUM(C$2:C$12)</f>
        <v>3605.207809197947</v>
      </c>
      <c r="D18" s="9">
        <f ca="1">SUM(D$2:D$12)</f>
        <v>611.97544530542416</v>
      </c>
      <c r="E18" s="9">
        <f ca="1">$R$5/parameters!$B$4</f>
        <v>3494.2717293915061</v>
      </c>
      <c r="F18" s="9">
        <f t="shared" ref="F18:L18" ca="1" si="7">SUM(F$2:F$12)</f>
        <v>3479.1044776119406</v>
      </c>
      <c r="G18" s="9">
        <f t="shared" ca="1" si="7"/>
        <v>0</v>
      </c>
      <c r="H18" s="9">
        <f t="shared" ca="1" si="7"/>
        <v>2889.8223615464995</v>
      </c>
      <c r="I18" s="9">
        <f t="shared" ca="1" si="7"/>
        <v>6028.96</v>
      </c>
      <c r="J18" s="9">
        <f t="shared" ca="1" si="7"/>
        <v>1680.5749117221419</v>
      </c>
      <c r="K18" s="9">
        <f t="shared" ca="1" si="7"/>
        <v>2449.1450882778581</v>
      </c>
      <c r="L18" s="9">
        <f t="shared" ca="1" si="7"/>
        <v>2869.1667709815079</v>
      </c>
      <c r="M18" s="17">
        <f ca="1">SUM(B18:L18)</f>
        <v>73208.228594034837</v>
      </c>
      <c r="N18" s="17"/>
      <c r="O18" s="17"/>
      <c r="P18" s="9"/>
      <c r="Q18" s="14"/>
      <c r="R18" s="11">
        <f t="shared" ca="1" si="6"/>
        <v>73208.228594034837</v>
      </c>
      <c r="S18" s="17">
        <f t="shared" ca="1" si="4"/>
        <v>73208.228594034837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0.93301404719484804</v>
      </c>
      <c r="K19" s="39">
        <f ca="1">J19</f>
        <v>0.93301404719484804</v>
      </c>
      <c r="L19" s="40">
        <f ca="1">1-(-L14)/L18</f>
        <v>0.88563085587905477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T29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3682.2381000301903</v>
      </c>
      <c r="D2" s="9">
        <f ca="1">R4/parameters!$B$3</f>
        <v>550.8704840495119</v>
      </c>
      <c r="E2" s="9"/>
      <c r="F2" s="9"/>
      <c r="G2" s="9"/>
      <c r="H2" s="9"/>
      <c r="I2" s="9"/>
      <c r="J2" s="9"/>
      <c r="K2" s="9"/>
      <c r="L2" s="12"/>
      <c r="M2" s="17">
        <f ca="1">SUM(B2:L2)</f>
        <v>4233.1085840797023</v>
      </c>
      <c r="N2" s="17"/>
      <c r="O2" s="17">
        <f ca="1">R2-(M2+P2+Q2)</f>
        <v>0</v>
      </c>
      <c r="P2" s="11" cm="1">
        <f t="array" aca="1" ref="P2" ca="1">INDIRECT("'data'!$F$" &amp; $A$1)</f>
        <v>17806.75</v>
      </c>
      <c r="Q2" s="13">
        <f ca="1">IF(-(M2-R2+P2)&lt;0, -(M2-R2+P2), 0)</f>
        <v>-19439.858584079702</v>
      </c>
      <c r="R2" s="17" cm="1">
        <f t="array" aca="1" ref="R2" ca="1">INDIRECT("'data'!$D$" &amp; $A$1)</f>
        <v>2600</v>
      </c>
      <c r="S2" s="17">
        <f ca="1">SUM(M2:Q2)</f>
        <v>2600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3668.4179104477616</v>
      </c>
      <c r="G3" s="14">
        <f ca="1">R7/parameters!$B$6</f>
        <v>0</v>
      </c>
      <c r="H3" s="14">
        <f ca="1">R3-P3-Q3-F3-G3</f>
        <v>20.862089552238103</v>
      </c>
      <c r="I3" s="14"/>
      <c r="J3" s="14"/>
      <c r="K3" s="14"/>
      <c r="L3" s="13"/>
      <c r="M3" s="16">
        <f t="shared" ref="M3:M11" ca="1" si="0">SUM(B3:L3)</f>
        <v>3689.2799999999997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-30.24</v>
      </c>
      <c r="R3" s="16" cm="1">
        <f t="array" aca="1" ref="R3" ca="1">INDIRECT("'data'!$G$" &amp; $A$1)*parameters!$B$13</f>
        <v>3659.04</v>
      </c>
      <c r="S3" s="16">
        <f t="shared" ref="S3:S11" ca="1" si="2">SUM(M3:Q3)</f>
        <v>3659.04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97.52000000000001</v>
      </c>
      <c r="I4" s="14"/>
      <c r="J4" s="14"/>
      <c r="K4" s="14"/>
      <c r="L4" s="13"/>
      <c r="M4" s="16">
        <f t="shared" ca="1" si="0"/>
        <v>97.52000000000001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527.16</v>
      </c>
      <c r="Q4" s="13" cm="1">
        <f t="array" aca="1" ref="Q4" ca="1">-INDIRECT("'data'!$L$" &amp; $A$1)*parameters!$B$14</f>
        <v>-77.28</v>
      </c>
      <c r="R4" s="16" cm="1">
        <f t="array" aca="1" ref="R4" ca="1">INDIRECT("'data'!$J$" &amp; $A$1)*parameters!$B$14</f>
        <v>547.4</v>
      </c>
      <c r="S4" s="16">
        <f t="shared" ca="1" si="2"/>
        <v>547.4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917.10447761194052</v>
      </c>
      <c r="G5" s="14"/>
      <c r="H5" s="14">
        <f ca="1">R8/parameters!$B$7-(H3+H4)</f>
        <v>2502.1194778458812</v>
      </c>
      <c r="I5" s="14"/>
      <c r="J5" s="14"/>
      <c r="K5" s="14"/>
      <c r="L5" s="13"/>
      <c r="M5" s="16">
        <f t="shared" ca="1" si="0"/>
        <v>3419.2239554578218</v>
      </c>
      <c r="N5" s="16"/>
      <c r="O5" s="16"/>
      <c r="P5" s="11" cm="1">
        <f t="array" aca="1" ref="P5" ca="1">INDIRECT("'data'!$M$" &amp; $A$1)*parameters!$B$15</f>
        <v>392</v>
      </c>
      <c r="Q5" s="13" cm="1">
        <f t="array" aca="1" ref="Q5" ca="1">-INDIRECT("'data'!$N$" &amp; $A$1)*parameters!$B$15</f>
        <v>-1501.36</v>
      </c>
      <c r="R5" s="16">
        <f ca="1">SUM(M5:Q5)</f>
        <v>2309.8639554578222</v>
      </c>
      <c r="S5" s="16">
        <f t="shared" ca="1" si="2"/>
        <v>2309.8639554578222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4301.22</v>
      </c>
      <c r="J6" s="14"/>
      <c r="K6" s="14"/>
      <c r="L6" s="13"/>
      <c r="M6" s="16">
        <f t="shared" ca="1" si="0"/>
        <v>4301.22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4301.22</v>
      </c>
      <c r="S6" s="16">
        <f t="shared" ca="1" si="2"/>
        <v>4301.22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2507.8200000000002</v>
      </c>
      <c r="J8" s="14"/>
      <c r="K8" s="14"/>
      <c r="L8" s="13"/>
      <c r="M8" s="16">
        <f t="shared" ca="1" si="0"/>
        <v>2507.8200000000002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2507.8200000000002</v>
      </c>
      <c r="S8" s="16">
        <f t="shared" ca="1" si="2"/>
        <v>2507.8200000000002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5071</v>
      </c>
      <c r="K9" s="14">
        <f ca="1">R11/K19</f>
        <v>226.37126600284495</v>
      </c>
      <c r="L9" s="13"/>
      <c r="M9" s="16">
        <f t="shared" ca="1" si="0"/>
        <v>5297.371266002845</v>
      </c>
      <c r="N9" s="16"/>
      <c r="O9" s="16">
        <f t="shared" ca="1" si="3"/>
        <v>-161.19126600284471</v>
      </c>
      <c r="P9" s="11" cm="1">
        <f t="array" aca="1" ref="P9" ca="1">INDIRECT("'data'!$R$" &amp; $A$1)*parameters!$B$15</f>
        <v>2106.02</v>
      </c>
      <c r="Q9" s="13" cm="1">
        <f t="array" aca="1" ref="Q9" ca="1">-INDIRECT("'data'!$S$" &amp; $A$1)*parameters!$B$15</f>
        <v>-433.15999999999997</v>
      </c>
      <c r="R9" s="16">
        <f ca="1">SUM(R6:R8)</f>
        <v>6809.0400000000009</v>
      </c>
      <c r="S9" s="16">
        <f t="shared" ca="1" si="2"/>
        <v>6809.0400000000009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4654.0199999999995</v>
      </c>
      <c r="M10" s="16">
        <f t="shared" ca="1" si="0"/>
        <v>4654.0199999999995</v>
      </c>
      <c r="N10" s="16"/>
      <c r="O10" s="16">
        <f t="shared" ca="1" si="3"/>
        <v>0</v>
      </c>
      <c r="P10" s="11" cm="1">
        <f t="array" aca="1" ref="P10" ca="1">INDIRECT("'data'!$U$" &amp; $A$1)*parameters!$B$15</f>
        <v>2018.8</v>
      </c>
      <c r="Q10" s="13" cm="1">
        <f t="array" aca="1" ref="Q10" ca="1">-INDIRECT("'data'!$V$" &amp; $A$1)*parameters!$B$15</f>
        <v>-1703.24</v>
      </c>
      <c r="R10" s="16" cm="1">
        <f t="array" aca="1" ref="R10" ca="1">INDIRECT("'data'!$T$" &amp; $A$1)*parameters!$B$15</f>
        <v>4969.58</v>
      </c>
      <c r="S10" s="16">
        <f t="shared" ca="1" si="2"/>
        <v>4969.58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4218.2838406827887</v>
      </c>
      <c r="M11" s="16">
        <f t="shared" ca="1" si="0"/>
        <v>4218.2838406827887</v>
      </c>
      <c r="N11" s="16"/>
      <c r="O11" s="16">
        <f t="shared" ca="1" si="3"/>
        <v>0</v>
      </c>
      <c r="P11" s="11" cm="1">
        <f t="array" aca="1" ref="P11" ca="1">INDIRECT("'data'!$X$" &amp; $A$1)*parameters!$B$15</f>
        <v>674.24</v>
      </c>
      <c r="Q11" s="13" cm="1">
        <f t="array" aca="1" ref="Q11" ca="1">-INDIRECT("'data'!$Y$" &amp; $A$1)*parameters!$B$15</f>
        <v>-4670.68</v>
      </c>
      <c r="R11" s="16" cm="1">
        <f t="array" aca="1" ref="R11" ca="1">INDIRECT("'data'!$W$" &amp; $A$1)*parameters!$B$15</f>
        <v>221.84384068278806</v>
      </c>
      <c r="S11" s="16">
        <f t="shared" ca="1" si="2"/>
        <v>221.84384068278814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8566.9829029871962</v>
      </c>
      <c r="O12" s="19"/>
      <c r="P12" s="21" cm="1">
        <f t="array" aca="1" ref="P12" ca="1">INDIRECT("'data'!$Z$" &amp; $A$1)*parameters!$B$15</f>
        <v>1937.46</v>
      </c>
      <c r="Q12" s="27" cm="1">
        <f t="array" aca="1" ref="Q12" ca="1">-INDIRECT("'data'!$AA$" &amp; $A$1)*parameters!$B$15</f>
        <v>-2501.94</v>
      </c>
      <c r="R12" s="16">
        <f ca="1">L10*parameters!$B$10+L11*parameters!$B$11</f>
        <v>8002.5029029871966</v>
      </c>
      <c r="S12" s="16">
        <f t="shared" ref="S12:S18" ca="1" si="4">SUM(M12:Q12)</f>
        <v>8002.5029029871966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-23.19810003019029</v>
      </c>
      <c r="D13" s="9">
        <f ca="1">-(D18-R4)</f>
        <v>-3.4704840495119242</v>
      </c>
      <c r="E13" s="9">
        <f ca="1">-(E18-R5)</f>
        <v>-285.48880348355124</v>
      </c>
      <c r="F13" s="9">
        <f ca="1">-(F18-R6)</f>
        <v>-284.30238805970203</v>
      </c>
      <c r="G13" s="9">
        <f ca="1">-(G18-R7)</f>
        <v>0</v>
      </c>
      <c r="H13" s="9">
        <f ca="1">-(H18-R8)</f>
        <v>-112.68156739811911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-709.14134302107459</v>
      </c>
      <c r="N13" s="17"/>
      <c r="O13" s="17"/>
      <c r="P13" s="10"/>
      <c r="Q13" s="12"/>
      <c r="R13" s="9">
        <f t="shared" ref="R13:R18" ca="1" si="6">SUM(M13:Q13)</f>
        <v>-709.14134302107459</v>
      </c>
      <c r="S13" s="17">
        <f t="shared" ca="1" si="4"/>
        <v>-709.14134302107459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-101.42000000000007</v>
      </c>
      <c r="K14" s="14">
        <f ca="1">-(K18-R11)</f>
        <v>-4.5274253200568921</v>
      </c>
      <c r="L14" s="13">
        <f ca="1">-(L18-R12)</f>
        <v>-869.80093769559062</v>
      </c>
      <c r="M14" s="14">
        <f t="shared" ca="1" si="5"/>
        <v>-975.74836301564756</v>
      </c>
      <c r="N14" s="16">
        <f ca="1">-E16</f>
        <v>-1619.6043959257258</v>
      </c>
      <c r="O14" s="16"/>
      <c r="P14" s="11"/>
      <c r="Q14" s="13"/>
      <c r="R14" s="14">
        <f t="shared" ca="1" si="6"/>
        <v>-2595.3527589413734</v>
      </c>
      <c r="S14" s="16">
        <f t="shared" ca="1" si="4"/>
        <v>-2595.3527589413734</v>
      </c>
    </row>
    <row r="15" spans="1:20">
      <c r="A15" s="18" t="s">
        <v>79</v>
      </c>
      <c r="B15" s="11"/>
      <c r="C15" s="14"/>
      <c r="D15" s="14"/>
      <c r="E15" s="14">
        <f ca="1">-(J14+K14)-L14</f>
        <v>975.74836301564756</v>
      </c>
      <c r="F15" s="14"/>
      <c r="G15" s="14"/>
      <c r="H15" s="14"/>
      <c r="I15" s="14"/>
      <c r="J15" s="14"/>
      <c r="K15" s="14"/>
      <c r="L15" s="13"/>
      <c r="M15" s="14">
        <f t="shared" ca="1" si="5"/>
        <v>975.74836301564756</v>
      </c>
      <c r="N15" s="16"/>
      <c r="O15" s="16"/>
      <c r="P15" s="11"/>
      <c r="Q15" s="13"/>
      <c r="R15" s="14">
        <f t="shared" ca="1" si="6"/>
        <v>975.74836301564756</v>
      </c>
      <c r="S15" s="16">
        <f t="shared" ca="1" si="4"/>
        <v>975.74836301564756</v>
      </c>
    </row>
    <row r="16" spans="1:20">
      <c r="A16" s="18" t="s">
        <v>80</v>
      </c>
      <c r="B16" s="11"/>
      <c r="C16" s="14"/>
      <c r="D16" s="14"/>
      <c r="E16" s="14">
        <f ca="1">E18-E15</f>
        <v>1619.6043959257258</v>
      </c>
      <c r="F16" s="14"/>
      <c r="G16" s="14"/>
      <c r="H16" s="14"/>
      <c r="I16" s="14"/>
      <c r="J16" s="14"/>
      <c r="K16" s="14"/>
      <c r="L16" s="13"/>
      <c r="M16" s="14">
        <f t="shared" ca="1" si="5"/>
        <v>1619.6043959257258</v>
      </c>
      <c r="N16" s="16"/>
      <c r="O16" s="16"/>
      <c r="P16" s="11"/>
      <c r="Q16" s="13"/>
      <c r="R16" s="14">
        <f t="shared" ca="1" si="6"/>
        <v>1619.6043959257258</v>
      </c>
      <c r="S16" s="16">
        <f t="shared" ca="1" si="4"/>
        <v>1619.6043959257258</v>
      </c>
    </row>
    <row r="17" spans="1:19">
      <c r="A17" s="30" t="s">
        <v>90</v>
      </c>
      <c r="B17" s="21">
        <f ca="1">R2</f>
        <v>2600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2600</v>
      </c>
      <c r="N17" s="19"/>
      <c r="O17" s="19"/>
      <c r="P17" s="21"/>
      <c r="Q17" s="27"/>
      <c r="R17" s="22">
        <f t="shared" ca="1" si="6"/>
        <v>2600</v>
      </c>
      <c r="S17" s="19">
        <f t="shared" ca="1" si="4"/>
        <v>2600</v>
      </c>
    </row>
    <row r="18" spans="1:19">
      <c r="A18" s="29" t="s">
        <v>89</v>
      </c>
      <c r="B18" s="9">
        <f ca="1">B17</f>
        <v>2600</v>
      </c>
      <c r="C18" s="9">
        <f ca="1">SUM(C$2:C$12)</f>
        <v>3682.2381000301903</v>
      </c>
      <c r="D18" s="9">
        <f ca="1">SUM(D$2:D$12)</f>
        <v>550.8704840495119</v>
      </c>
      <c r="E18" s="9">
        <f ca="1">$R$5/parameters!$B$4</f>
        <v>2595.3527589413734</v>
      </c>
      <c r="F18" s="9">
        <f t="shared" ref="F18:L18" ca="1" si="7">SUM(F$2:F$12)</f>
        <v>4585.5223880597023</v>
      </c>
      <c r="G18" s="9">
        <f t="shared" ca="1" si="7"/>
        <v>0</v>
      </c>
      <c r="H18" s="9">
        <f t="shared" ca="1" si="7"/>
        <v>2620.5015673981193</v>
      </c>
      <c r="I18" s="9">
        <f t="shared" ca="1" si="7"/>
        <v>6809.0400000000009</v>
      </c>
      <c r="J18" s="9">
        <f t="shared" ca="1" si="7"/>
        <v>5071</v>
      </c>
      <c r="K18" s="9">
        <f t="shared" ca="1" si="7"/>
        <v>226.37126600284495</v>
      </c>
      <c r="L18" s="9">
        <f t="shared" ca="1" si="7"/>
        <v>8872.3038406827873</v>
      </c>
      <c r="M18" s="17">
        <f ca="1">SUM(B18:L18)</f>
        <v>37613.200405164527</v>
      </c>
      <c r="N18" s="17"/>
      <c r="O18" s="17"/>
      <c r="P18" s="9"/>
      <c r="Q18" s="14"/>
      <c r="R18" s="11">
        <f t="shared" ca="1" si="6"/>
        <v>37613.200405164527</v>
      </c>
      <c r="S18" s="17">
        <f t="shared" ca="1" si="4"/>
        <v>37613.200405164527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0.90196447807533009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>
      <selection activeCell="T8" sqref="T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11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11</v>
      </c>
      <c r="S2" s="17">
        <f ca="1">SUM(M2:Q2)</f>
        <v>11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160.65</v>
      </c>
      <c r="I3" s="14"/>
      <c r="J3" s="14"/>
      <c r="K3" s="14"/>
      <c r="L3" s="13"/>
      <c r="M3" s="16">
        <f t="shared" ref="M3:M11" ca="1" si="0">SUM(B3:L3)</f>
        <v>160.65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-160.65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4187.3959770114943</v>
      </c>
      <c r="I5" s="14"/>
      <c r="J5" s="14"/>
      <c r="K5" s="14"/>
      <c r="L5" s="13"/>
      <c r="M5" s="16">
        <f t="shared" ca="1" si="0"/>
        <v>4187.3959770114943</v>
      </c>
      <c r="N5" s="16"/>
      <c r="O5" s="16"/>
      <c r="P5" s="11" cm="1">
        <f t="array" aca="1" ref="P5" ca="1">INDIRECT("'data'!$M$" &amp; $A$1)*parameters!$B$15</f>
        <v>356.71999999999997</v>
      </c>
      <c r="Q5" s="13" cm="1">
        <f t="array" aca="1" ref="Q5" ca="1">-INDIRECT("'data'!$N$" &amp; $A$1)*parameters!$B$15</f>
        <v>-1012.34</v>
      </c>
      <c r="R5" s="16">
        <f ca="1">SUM(M5:Q5)</f>
        <v>3531.7759770114944</v>
      </c>
      <c r="S5" s="16">
        <f t="shared" ca="1" si="2"/>
        <v>3531.7759770114944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4161.08</v>
      </c>
      <c r="J8" s="14"/>
      <c r="K8" s="14"/>
      <c r="L8" s="13"/>
      <c r="M8" s="16">
        <f t="shared" ca="1" si="0"/>
        <v>4161.08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4161.08</v>
      </c>
      <c r="S8" s="16">
        <f t="shared" ca="1" si="2"/>
        <v>4161.08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5313.6725670441892</v>
      </c>
      <c r="K9" s="14">
        <f ca="1">R11/K19</f>
        <v>2821.3074329558103</v>
      </c>
      <c r="L9" s="13"/>
      <c r="M9" s="16">
        <f t="shared" ca="1" si="0"/>
        <v>8134.98</v>
      </c>
      <c r="N9" s="16"/>
      <c r="O9" s="16">
        <f t="shared" ca="1" si="3"/>
        <v>0</v>
      </c>
      <c r="P9" s="11" cm="1">
        <f t="array" aca="1" ref="P9" ca="1">INDIRECT("'data'!$R$" &amp; $A$1)*parameters!$B$15</f>
        <v>117.6</v>
      </c>
      <c r="Q9" s="13" cm="1">
        <f t="array" aca="1" ref="Q9" ca="1">-INDIRECT("'data'!$S$" &amp; $A$1)*parameters!$B$15</f>
        <v>-4091.5</v>
      </c>
      <c r="R9" s="16">
        <f ca="1">SUM(R6:R8)</f>
        <v>4161.08</v>
      </c>
      <c r="S9" s="16">
        <f t="shared" ca="1" si="2"/>
        <v>4161.08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6767.88</v>
      </c>
      <c r="M10" s="16">
        <f t="shared" ca="1" si="0"/>
        <v>6767.88</v>
      </c>
      <c r="N10" s="16"/>
      <c r="O10" s="16">
        <f t="shared" ca="1" si="3"/>
        <v>0</v>
      </c>
      <c r="P10" s="11" cm="1">
        <f t="array" aca="1" ref="P10" ca="1">INDIRECT("'data'!$U$" &amp; $A$1)*parameters!$B$15</f>
        <v>773.22</v>
      </c>
      <c r="Q10" s="13" cm="1">
        <f t="array" aca="1" ref="Q10" ca="1">-INDIRECT("'data'!$V$" &amp; $A$1)*parameters!$B$15</f>
        <v>-2598.96</v>
      </c>
      <c r="R10" s="16" cm="1">
        <f t="array" aca="1" ref="R10" ca="1">INDIRECT("'data'!$T$" &amp; $A$1)*parameters!$B$15</f>
        <v>4942.1400000000003</v>
      </c>
      <c r="S10" s="16">
        <f t="shared" ca="1" si="2"/>
        <v>4942.1400000000003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11391.121308677099</v>
      </c>
      <c r="M11" s="16">
        <f t="shared" ca="1" si="0"/>
        <v>11391.121308677099</v>
      </c>
      <c r="N11" s="16"/>
      <c r="O11" s="16">
        <f t="shared" ca="1" si="3"/>
        <v>0</v>
      </c>
      <c r="P11" s="11" cm="1">
        <f t="array" aca="1" ref="P11" ca="1">INDIRECT("'data'!$X$" &amp; $A$1)*parameters!$B$15</f>
        <v>317.52</v>
      </c>
      <c r="Q11" s="13" cm="1">
        <f t="array" aca="1" ref="Q11" ca="1">-INDIRECT("'data'!$Y$" &amp; $A$1)*parameters!$B$15</f>
        <v>-9084.6</v>
      </c>
      <c r="R11" s="16" cm="1">
        <f t="array" aca="1" ref="R11" ca="1">INDIRECT("'data'!$W$" &amp; $A$1)*parameters!$B$15</f>
        <v>2624.0413086770982</v>
      </c>
      <c r="S11" s="16">
        <f t="shared" ca="1" si="2"/>
        <v>2624.0413086770986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14869.471525462306</v>
      </c>
      <c r="O12" s="19"/>
      <c r="P12" s="21" cm="1">
        <f t="array" aca="1" ref="P12" ca="1">INDIRECT("'data'!$Z$" &amp; $A$1)*parameters!$B$15</f>
        <v>4395.3</v>
      </c>
      <c r="Q12" s="27" cm="1">
        <f t="array" aca="1" ref="Q12" ca="1">-INDIRECT("'data'!$AA$" &amp; $A$1)*parameters!$B$15</f>
        <v>-3106.6</v>
      </c>
      <c r="R12" s="16">
        <f ca="1">L10*parameters!$B$10+L11*parameters!$B$11</f>
        <v>16158.171525462305</v>
      </c>
      <c r="S12" s="16">
        <f t="shared" ref="S12:S18" ca="1" si="4">SUM(M12:Q12)</f>
        <v>16158.171525462307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-436.51163760816235</v>
      </c>
      <c r="F13" s="9">
        <f ca="1">-(F18-R6)</f>
        <v>0</v>
      </c>
      <c r="G13" s="9">
        <f ca="1">-(G18-R7)</f>
        <v>0</v>
      </c>
      <c r="H13" s="9">
        <f ca="1">-(H18-R8)</f>
        <v>-186.96597701149403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-623.47761461965638</v>
      </c>
      <c r="N13" s="17"/>
      <c r="O13" s="17"/>
      <c r="P13" s="10"/>
      <c r="Q13" s="12"/>
      <c r="R13" s="9">
        <f t="shared" ref="R13:R18" ca="1" si="6">SUM(M13:Q13)</f>
        <v>-623.47761461965638</v>
      </c>
      <c r="S13" s="17">
        <f t="shared" ca="1" si="4"/>
        <v>-623.47761461965638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-371.53256704418891</v>
      </c>
      <c r="K14" s="14">
        <f ca="1">-(K18-R11)</f>
        <v>-197.26612427871214</v>
      </c>
      <c r="L14" s="13">
        <f ca="1">-(L18-R12)</f>
        <v>-2000.8297832147946</v>
      </c>
      <c r="M14" s="14">
        <f t="shared" ca="1" si="5"/>
        <v>-2569.6284745376956</v>
      </c>
      <c r="N14" s="16">
        <f ca="1">-E16</f>
        <v>-1398.6591400819611</v>
      </c>
      <c r="O14" s="16"/>
      <c r="P14" s="11"/>
      <c r="Q14" s="13"/>
      <c r="R14" s="14">
        <f t="shared" ca="1" si="6"/>
        <v>-3968.2876146196568</v>
      </c>
      <c r="S14" s="16">
        <f t="shared" ca="1" si="4"/>
        <v>-3968.2876146196568</v>
      </c>
    </row>
    <row r="15" spans="1:21">
      <c r="A15" s="18" t="s">
        <v>79</v>
      </c>
      <c r="B15" s="11"/>
      <c r="C15" s="14"/>
      <c r="D15" s="14"/>
      <c r="E15" s="14">
        <f ca="1">-(J14+K14)-L14</f>
        <v>2569.6284745376956</v>
      </c>
      <c r="F15" s="14"/>
      <c r="G15" s="14"/>
      <c r="H15" s="14"/>
      <c r="I15" s="14"/>
      <c r="J15" s="14"/>
      <c r="K15" s="14"/>
      <c r="L15" s="13"/>
      <c r="M15" s="14">
        <f t="shared" ca="1" si="5"/>
        <v>2569.6284745376956</v>
      </c>
      <c r="N15" s="16"/>
      <c r="O15" s="16"/>
      <c r="P15" s="11"/>
      <c r="Q15" s="13"/>
      <c r="R15" s="14">
        <f t="shared" ca="1" si="6"/>
        <v>2569.6284745376956</v>
      </c>
      <c r="S15" s="16">
        <f t="shared" ca="1" si="4"/>
        <v>2569.6284745376956</v>
      </c>
    </row>
    <row r="16" spans="1:21">
      <c r="A16" s="18" t="s">
        <v>80</v>
      </c>
      <c r="B16" s="11"/>
      <c r="C16" s="14"/>
      <c r="D16" s="14"/>
      <c r="E16" s="14">
        <f ca="1">E18-E15</f>
        <v>1398.6591400819611</v>
      </c>
      <c r="F16" s="14"/>
      <c r="G16" s="14"/>
      <c r="H16" s="14"/>
      <c r="I16" s="14"/>
      <c r="J16" s="14"/>
      <c r="K16" s="14"/>
      <c r="L16" s="13"/>
      <c r="M16" s="14">
        <f t="shared" ca="1" si="5"/>
        <v>1398.6591400819611</v>
      </c>
      <c r="N16" s="16"/>
      <c r="O16" s="16"/>
      <c r="P16" s="11"/>
      <c r="Q16" s="13"/>
      <c r="R16" s="14">
        <f t="shared" ca="1" si="6"/>
        <v>1398.6591400819611</v>
      </c>
      <c r="S16" s="16">
        <f t="shared" ca="1" si="4"/>
        <v>1398.6591400819611</v>
      </c>
    </row>
    <row r="17" spans="1:19">
      <c r="A17" s="30" t="s">
        <v>90</v>
      </c>
      <c r="B17" s="21">
        <f ca="1">R2</f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11</v>
      </c>
      <c r="N17" s="19"/>
      <c r="O17" s="19"/>
      <c r="P17" s="21"/>
      <c r="Q17" s="27"/>
      <c r="R17" s="22">
        <f t="shared" ca="1" si="6"/>
        <v>11</v>
      </c>
      <c r="S17" s="19">
        <f t="shared" ca="1" si="4"/>
        <v>11</v>
      </c>
    </row>
    <row r="18" spans="1:19">
      <c r="A18" s="29" t="s">
        <v>89</v>
      </c>
      <c r="B18" s="9">
        <f ca="1">B17</f>
        <v>11</v>
      </c>
      <c r="C18" s="9">
        <f ca="1">SUM(C$2:C$12)</f>
        <v>0</v>
      </c>
      <c r="D18" s="9">
        <f ca="1">SUM(D$2:D$12)</f>
        <v>0</v>
      </c>
      <c r="E18" s="9">
        <f ca="1">$R$5/parameters!$B$4</f>
        <v>3968.2876146196568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4348.045977011494</v>
      </c>
      <c r="I18" s="9">
        <f t="shared" ca="1" si="7"/>
        <v>4161.08</v>
      </c>
      <c r="J18" s="9">
        <f t="shared" ca="1" si="7"/>
        <v>5313.6725670441892</v>
      </c>
      <c r="K18" s="9">
        <f t="shared" ca="1" si="7"/>
        <v>2821.3074329558103</v>
      </c>
      <c r="L18" s="9">
        <f t="shared" ca="1" si="7"/>
        <v>18159.0013086771</v>
      </c>
      <c r="M18" s="17">
        <f ca="1">SUM(B18:L18)</f>
        <v>38782.394900308253</v>
      </c>
      <c r="N18" s="17"/>
      <c r="O18" s="17"/>
      <c r="P18" s="9"/>
      <c r="Q18" s="14"/>
      <c r="R18" s="11">
        <f t="shared" ca="1" si="6"/>
        <v>38782.394900308253</v>
      </c>
      <c r="S18" s="17">
        <f t="shared" ca="1" si="4"/>
        <v>38782.394900308253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0.93007989062998297</v>
      </c>
      <c r="K19" s="39">
        <f ca="1">J19</f>
        <v>0.93007989062998297</v>
      </c>
      <c r="L19" s="40">
        <f ca="1">1-(-L14)/L18</f>
        <v>0.88981608904567244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3016.5442286404345</v>
      </c>
      <c r="D2" s="9">
        <f ca="1">R4/parameters!$B$3</f>
        <v>101.84160209318708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3118.3858307336218</v>
      </c>
      <c r="N2" s="17"/>
      <c r="O2" s="17">
        <f ca="1">R2-(M2+P2+Q2)</f>
        <v>9512.6141692663768</v>
      </c>
      <c r="P2" s="11" cm="1">
        <f t="array" aca="1" ref="P2" ca="1">INDIRECT("'data'!$F$" &amp; $A$1)</f>
        <v>14469</v>
      </c>
      <c r="Q2" s="13">
        <f ca="1">IF(-(M2-R2+P2)&lt;0, -(M2-R2+P2), 0)</f>
        <v>0</v>
      </c>
      <c r="R2" s="17" cm="1">
        <f t="array" aca="1" ref="R2" ca="1">INDIRECT("'data'!$D$" &amp; $A$1)</f>
        <v>27100</v>
      </c>
      <c r="S2" s="17">
        <f ca="1">SUM(M2:Q2)</f>
        <v>27100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2611.1044776119406</v>
      </c>
      <c r="G3" s="14">
        <f ca="1">R7/parameters!$B$6</f>
        <v>0</v>
      </c>
      <c r="H3" s="14">
        <f ca="1">R3-P3-Q3-F3-G3</f>
        <v>433.68552238805933</v>
      </c>
      <c r="I3" s="14"/>
      <c r="J3" s="14"/>
      <c r="K3" s="14"/>
      <c r="L3" s="13"/>
      <c r="M3" s="16">
        <f t="shared" ref="M3:M11" ca="1" si="0">SUM(B3:L3)</f>
        <v>3044.79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-47.25</v>
      </c>
      <c r="R3" s="16" cm="1">
        <f t="array" aca="1" ref="R3" ca="1">INDIRECT("'data'!$G$" &amp; $A$1)*parameters!$B$13</f>
        <v>2997.54</v>
      </c>
      <c r="S3" s="16">
        <f t="shared" ref="S3:S11" ca="1" si="2">SUM(M3:Q3)</f>
        <v>2997.54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121.44</v>
      </c>
      <c r="I4" s="14"/>
      <c r="J4" s="14"/>
      <c r="K4" s="14"/>
      <c r="L4" s="13"/>
      <c r="M4" s="16">
        <f t="shared" ca="1" si="0"/>
        <v>121.44</v>
      </c>
      <c r="N4" s="16"/>
      <c r="O4" s="16">
        <f t="shared" ca="1" si="1"/>
        <v>0</v>
      </c>
      <c r="P4" s="11" cm="1">
        <f t="array" aca="1" ref="P4" ca="1">INDIRECT("'data'!$K$" &amp; $A$1)*parameters!$B$14</f>
        <v>1.84</v>
      </c>
      <c r="Q4" s="13" cm="1">
        <f t="array" aca="1" ref="Q4" ca="1">-INDIRECT("'data'!$L$" &amp; $A$1)*parameters!$B$14</f>
        <v>-22.080000000000002</v>
      </c>
      <c r="R4" s="16" cm="1">
        <f t="array" aca="1" ref="R4" ca="1">INDIRECT("'data'!$J$" &amp; $A$1)*parameters!$B$14</f>
        <v>101.2</v>
      </c>
      <c r="S4" s="16">
        <f t="shared" ca="1" si="2"/>
        <v>101.2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652.77611940298516</v>
      </c>
      <c r="G5" s="14"/>
      <c r="H5" s="14">
        <f ca="1">R8/parameters!$B$7-(H3+H4)</f>
        <v>1057.7271421887433</v>
      </c>
      <c r="I5" s="14"/>
      <c r="J5" s="14"/>
      <c r="K5" s="14"/>
      <c r="L5" s="13"/>
      <c r="M5" s="16">
        <f t="shared" ca="1" si="0"/>
        <v>1710.5032615917285</v>
      </c>
      <c r="N5" s="16"/>
      <c r="O5" s="16"/>
      <c r="P5" s="11" cm="1">
        <f t="array" aca="1" ref="P5" ca="1">INDIRECT("'data'!$M$" &amp; $A$1)*parameters!$B$15</f>
        <v>1461.18</v>
      </c>
      <c r="Q5" s="13" cm="1">
        <f t="array" aca="1" ref="Q5" ca="1">-INDIRECT("'data'!$N$" &amp; $A$1)*parameters!$B$15</f>
        <v>-197.96</v>
      </c>
      <c r="R5" s="16">
        <f ca="1">SUM(M5:Q5)</f>
        <v>2973.7232615917283</v>
      </c>
      <c r="S5" s="16">
        <f t="shared" ca="1" si="2"/>
        <v>2973.7232615917283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3061.52</v>
      </c>
      <c r="J6" s="14"/>
      <c r="K6" s="14"/>
      <c r="L6" s="13"/>
      <c r="M6" s="16">
        <f t="shared" ca="1" si="0"/>
        <v>3061.52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3061.52</v>
      </c>
      <c r="S6" s="16">
        <f t="shared" ca="1" si="2"/>
        <v>3061.52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1543.5</v>
      </c>
      <c r="J8" s="14"/>
      <c r="K8" s="14"/>
      <c r="L8" s="13"/>
      <c r="M8" s="16">
        <f t="shared" ca="1" si="0"/>
        <v>1543.5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1543.5</v>
      </c>
      <c r="S8" s="16">
        <f t="shared" ca="1" si="2"/>
        <v>1543.5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935.86343359386797</v>
      </c>
      <c r="K9" s="14">
        <f ca="1">R11/K19</f>
        <v>3390.8365664061321</v>
      </c>
      <c r="L9" s="13"/>
      <c r="M9" s="16">
        <f t="shared" ca="1" si="0"/>
        <v>4326.7</v>
      </c>
      <c r="N9" s="16"/>
      <c r="O9" s="16">
        <f t="shared" ca="1" si="3"/>
        <v>0</v>
      </c>
      <c r="P9" s="11" cm="1">
        <f t="array" aca="1" ref="P9" ca="1">INDIRECT("'data'!$R$" &amp; $A$1)*parameters!$B$15</f>
        <v>460.59999999999997</v>
      </c>
      <c r="Q9" s="13" cm="1">
        <f t="array" aca="1" ref="Q9" ca="1">-INDIRECT("'data'!$S$" &amp; $A$1)*parameters!$B$15</f>
        <v>-182.28</v>
      </c>
      <c r="R9" s="16">
        <f ca="1">SUM(R6:R8)</f>
        <v>4605.0200000000004</v>
      </c>
      <c r="S9" s="16">
        <f t="shared" ca="1" si="2"/>
        <v>4605.0200000000004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1296.54</v>
      </c>
      <c r="M10" s="16">
        <f t="shared" ca="1" si="0"/>
        <v>1296.54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436.09999999999997</v>
      </c>
      <c r="Q10" s="13" cm="1">
        <f t="array" aca="1" ref="Q10" ca="1">-INDIRECT("'data'!$V$" &amp; $A$1)*parameters!$B$15</f>
        <v>-903.56</v>
      </c>
      <c r="R10" s="16" cm="1">
        <f t="array" aca="1" ref="R10" ca="1">INDIRECT("'data'!$T$" &amp; $A$1)*parameters!$B$15</f>
        <v>829.08</v>
      </c>
      <c r="S10" s="16">
        <f t="shared" ca="1" si="2"/>
        <v>829.07999999999993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2784.4169843527739</v>
      </c>
      <c r="M11" s="16">
        <f t="shared" ca="1" si="0"/>
        <v>2784.4169843527739</v>
      </c>
      <c r="N11" s="16"/>
      <c r="O11" s="16">
        <f t="shared" ca="1" si="3"/>
        <v>0</v>
      </c>
      <c r="P11" s="11" cm="1">
        <f t="array" aca="1" ref="P11" ca="1">INDIRECT("'data'!$X$" &amp; $A$1)*parameters!$B$15</f>
        <v>2585.2399999999998</v>
      </c>
      <c r="Q11" s="13" cm="1">
        <f t="array" aca="1" ref="Q11" ca="1">-INDIRECT("'data'!$Y$" &amp; $A$1)*parameters!$B$15</f>
        <v>-2365.7199999999998</v>
      </c>
      <c r="R11" s="16" cm="1">
        <f t="array" aca="1" ref="R11" ca="1">INDIRECT("'data'!$W$" &amp; $A$1)*parameters!$B$15</f>
        <v>3003.9369843527738</v>
      </c>
      <c r="S11" s="16">
        <f t="shared" ca="1" si="2"/>
        <v>3003.9369843527743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4431.6462065433852</v>
      </c>
      <c r="O12" s="19"/>
      <c r="P12" s="21" cm="1">
        <f t="array" aca="1" ref="P12" ca="1">INDIRECT("'data'!$Z$" &amp; $A$1)*parameters!$B$15</f>
        <v>3151.68</v>
      </c>
      <c r="Q12" s="27" cm="1">
        <f t="array" aca="1" ref="Q12" ca="1">-INDIRECT("'data'!$AA$" &amp; $A$1)*parameters!$B$15</f>
        <v>-3969.98</v>
      </c>
      <c r="R12" s="16">
        <f ca="1">L10*parameters!$B$10+L11*parameters!$B$11</f>
        <v>3613.3462065433851</v>
      </c>
      <c r="S12" s="16">
        <f t="shared" ref="S12:S18" ca="1" si="4">SUM(M12:Q12)</f>
        <v>3613.3462065433846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-19.004228640434576</v>
      </c>
      <c r="D13" s="9">
        <f ca="1">-(D18-R4)</f>
        <v>-0.64160209318707473</v>
      </c>
      <c r="E13" s="9">
        <f ca="1">-(E18-R5)</f>
        <v>-367.53883008437106</v>
      </c>
      <c r="F13" s="9">
        <f ca="1">-(F18-R6)</f>
        <v>-202.36059701492604</v>
      </c>
      <c r="G13" s="9">
        <f ca="1">-(G18-R7)</f>
        <v>0</v>
      </c>
      <c r="H13" s="9">
        <f ca="1">-(H18-R8)</f>
        <v>-69.352664576802681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-658.89792240972145</v>
      </c>
      <c r="N13" s="17"/>
      <c r="O13" s="17"/>
      <c r="P13" s="10"/>
      <c r="Q13" s="12"/>
      <c r="R13" s="9">
        <f t="shared" ref="R13:R18" ca="1" si="6">SUM(M13:Q13)</f>
        <v>-658.89792240972145</v>
      </c>
      <c r="S13" s="17">
        <f t="shared" ca="1" si="4"/>
        <v>-658.89792240972145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-106.78343359386793</v>
      </c>
      <c r="K14" s="14">
        <f ca="1">-(K18-R11)</f>
        <v>-386.89958205335824</v>
      </c>
      <c r="L14" s="13">
        <f ca="1">-(L18-R12)</f>
        <v>-467.61077780938876</v>
      </c>
      <c r="M14" s="14">
        <f t="shared" ca="1" si="5"/>
        <v>-961.29379345661494</v>
      </c>
      <c r="N14" s="16">
        <f ca="1">-E16</f>
        <v>-2379.9682982194845</v>
      </c>
      <c r="O14" s="16"/>
      <c r="P14" s="11"/>
      <c r="Q14" s="13"/>
      <c r="R14" s="14">
        <f t="shared" ca="1" si="6"/>
        <v>-3341.2620916760993</v>
      </c>
      <c r="S14" s="16">
        <f t="shared" ca="1" si="4"/>
        <v>-3341.2620916760993</v>
      </c>
    </row>
    <row r="15" spans="1:21">
      <c r="A15" s="18" t="s">
        <v>79</v>
      </c>
      <c r="B15" s="11"/>
      <c r="C15" s="14"/>
      <c r="D15" s="14"/>
      <c r="E15" s="14">
        <f ca="1">-(J14+K14)-L14</f>
        <v>961.29379345661494</v>
      </c>
      <c r="F15" s="14"/>
      <c r="G15" s="14"/>
      <c r="H15" s="14"/>
      <c r="I15" s="14"/>
      <c r="J15" s="14"/>
      <c r="K15" s="14"/>
      <c r="L15" s="13"/>
      <c r="M15" s="14">
        <f t="shared" ca="1" si="5"/>
        <v>961.29379345661494</v>
      </c>
      <c r="N15" s="16"/>
      <c r="O15" s="16"/>
      <c r="P15" s="11"/>
      <c r="Q15" s="13"/>
      <c r="R15" s="14">
        <f t="shared" ca="1" si="6"/>
        <v>961.29379345661494</v>
      </c>
      <c r="S15" s="16">
        <f t="shared" ca="1" si="4"/>
        <v>961.29379345661494</v>
      </c>
    </row>
    <row r="16" spans="1:21">
      <c r="A16" s="18" t="s">
        <v>80</v>
      </c>
      <c r="B16" s="11"/>
      <c r="C16" s="14"/>
      <c r="D16" s="14"/>
      <c r="E16" s="14">
        <f ca="1">E18-E15</f>
        <v>2379.9682982194845</v>
      </c>
      <c r="F16" s="14"/>
      <c r="G16" s="14"/>
      <c r="H16" s="14"/>
      <c r="I16" s="14"/>
      <c r="J16" s="14"/>
      <c r="K16" s="14"/>
      <c r="L16" s="13"/>
      <c r="M16" s="14">
        <f t="shared" ca="1" si="5"/>
        <v>2379.9682982194845</v>
      </c>
      <c r="N16" s="16"/>
      <c r="O16" s="16"/>
      <c r="P16" s="11"/>
      <c r="Q16" s="13"/>
      <c r="R16" s="14">
        <f t="shared" ca="1" si="6"/>
        <v>2379.9682982194845</v>
      </c>
      <c r="S16" s="16">
        <f t="shared" ca="1" si="4"/>
        <v>2379.9682982194845</v>
      </c>
    </row>
    <row r="17" spans="1:19">
      <c r="A17" s="30" t="s">
        <v>90</v>
      </c>
      <c r="B17" s="21">
        <f ca="1">R2</f>
        <v>27100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27100</v>
      </c>
      <c r="N17" s="19"/>
      <c r="O17" s="19"/>
      <c r="P17" s="21"/>
      <c r="Q17" s="27"/>
      <c r="R17" s="22">
        <f t="shared" ca="1" si="6"/>
        <v>27100</v>
      </c>
      <c r="S17" s="19">
        <f t="shared" ca="1" si="4"/>
        <v>27100</v>
      </c>
    </row>
    <row r="18" spans="1:19">
      <c r="A18" s="29" t="s">
        <v>89</v>
      </c>
      <c r="B18" s="9">
        <f ca="1">B17</f>
        <v>27100</v>
      </c>
      <c r="C18" s="9">
        <f ca="1">SUM(C$2:C$12)</f>
        <v>3016.5442286404345</v>
      </c>
      <c r="D18" s="9">
        <f ca="1">SUM(D$2:D$12)</f>
        <v>101.84160209318708</v>
      </c>
      <c r="E18" s="9">
        <f ca="1">$R$5/parameters!$B$4</f>
        <v>3341.2620916760993</v>
      </c>
      <c r="F18" s="9">
        <f t="shared" ref="F18:L18" ca="1" si="7">SUM(F$2:F$12)</f>
        <v>3263.880597014926</v>
      </c>
      <c r="G18" s="9">
        <f t="shared" ca="1" si="7"/>
        <v>0</v>
      </c>
      <c r="H18" s="9">
        <f t="shared" ca="1" si="7"/>
        <v>1612.8526645768027</v>
      </c>
      <c r="I18" s="9">
        <f t="shared" ca="1" si="7"/>
        <v>4605.0200000000004</v>
      </c>
      <c r="J18" s="9">
        <f t="shared" ca="1" si="7"/>
        <v>935.86343359386797</v>
      </c>
      <c r="K18" s="9">
        <f t="shared" ca="1" si="7"/>
        <v>3390.8365664061321</v>
      </c>
      <c r="L18" s="9">
        <f t="shared" ca="1" si="7"/>
        <v>4080.9569843527738</v>
      </c>
      <c r="M18" s="17">
        <f ca="1">SUM(B18:L18)</f>
        <v>51449.058168354219</v>
      </c>
      <c r="N18" s="17"/>
      <c r="O18" s="17"/>
      <c r="P18" s="9"/>
      <c r="Q18" s="14"/>
      <c r="R18" s="11">
        <f t="shared" ca="1" si="6"/>
        <v>51449.058168354219</v>
      </c>
      <c r="S18" s="17">
        <f t="shared" ca="1" si="4"/>
        <v>51449.058168354219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0.88589848715020081</v>
      </c>
      <c r="K19" s="39">
        <f ca="1">J19</f>
        <v>0.88589848715020081</v>
      </c>
      <c r="L19" s="40">
        <f ca="1">1-(-L14)/L18</f>
        <v>0.88541639139978578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2024-05-31T13:33:25Z</dcterms:modified>
</cp:coreProperties>
</file>