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9301ED46-BC1F-6944-8547-2640BD904FC7}" xr6:coauthVersionLast="47" xr6:coauthVersionMax="47" xr10:uidLastSave="{00000000-0000-0000-0000-000000000000}"/>
  <bookViews>
    <workbookView xWindow="0" yWindow="740" windowWidth="30240" windowHeight="18900" activeTab="2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  <externalReference r:id="rId35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4" l="1"/>
  <c r="J18" i="34"/>
  <c r="I18" i="35"/>
  <c r="J18" i="35" s="1"/>
  <c r="I18" i="29"/>
  <c r="J18" i="29"/>
  <c r="I18" i="15"/>
  <c r="J18" i="15"/>
  <c r="I18" i="19"/>
  <c r="J18" i="19"/>
  <c r="Q4" i="49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I18" i="21"/>
  <c r="J18" i="21" s="1"/>
  <c r="I18" i="20"/>
  <c r="J18" i="20" s="1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3" i="49"/>
  <c r="G24" i="49"/>
  <c r="G25" i="49"/>
  <c r="G26" i="49"/>
  <c r="G27" i="49"/>
  <c r="G28" i="49"/>
  <c r="G29" i="49"/>
  <c r="G30" i="49"/>
  <c r="G31" i="49"/>
  <c r="G32" i="49"/>
  <c r="G3" i="49"/>
  <c r="J22" i="49" l="1"/>
  <c r="G22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Q3" i="43" a="1"/>
  <c r="Q6" i="14" a="1"/>
  <c r="O10" i="31" a="1"/>
  <c r="P5" i="18" a="1"/>
  <c r="Q7" i="23" a="1"/>
  <c r="P9" i="39" a="1"/>
  <c r="O9" i="27" a="1"/>
  <c r="Q10" i="38" a="1"/>
  <c r="Q2" i="20" a="1"/>
  <c r="P11" i="34" a="1"/>
  <c r="P3" i="26" a="1"/>
  <c r="O5" i="20" a="1"/>
  <c r="Q7" i="36" a="1"/>
  <c r="P9" i="23" a="1"/>
  <c r="O8" i="38" a="1"/>
  <c r="O5" i="19" a="1"/>
  <c r="O10" i="24" a="1"/>
  <c r="P10" i="22" a="1"/>
  <c r="Q3" i="18" a="1"/>
  <c r="Q4" i="20" a="1"/>
  <c r="O4" i="19" a="1"/>
  <c r="Q2" i="31" a="1"/>
  <c r="Q9" i="23" a="1"/>
  <c r="O9" i="41" a="1"/>
  <c r="P3" i="20" a="1"/>
  <c r="Q9" i="37" a="1"/>
  <c r="O2" i="21" a="1"/>
  <c r="Q6" i="21" a="1"/>
  <c r="O4" i="18" a="1"/>
  <c r="P9" i="16" a="1"/>
  <c r="P5" i="30" a="1"/>
  <c r="Q6" i="17" a="1"/>
  <c r="Q6" i="30" a="1"/>
  <c r="P5" i="34" a="1"/>
  <c r="P4" i="32" a="1"/>
  <c r="P3" i="40" a="1"/>
  <c r="O9" i="40" a="1"/>
  <c r="O2" i="34" a="1"/>
  <c r="P5" i="19" a="1"/>
  <c r="P9" i="17" a="1"/>
  <c r="P8" i="17" a="1"/>
  <c r="Q10" i="43" a="1"/>
  <c r="O2" i="14" a="1"/>
  <c r="O3" i="34" a="1"/>
  <c r="P5" i="38" a="1"/>
  <c r="O10" i="41" a="1"/>
  <c r="O11" i="37" a="1"/>
  <c r="P8" i="34" a="1"/>
  <c r="P5" i="23" a="1"/>
  <c r="Q7" i="19" a="1"/>
  <c r="P4" i="31" a="1"/>
  <c r="O10" i="11" a="1"/>
  <c r="O9" i="15" a="1"/>
  <c r="Q10" i="34" a="1"/>
  <c r="Q9" i="21" a="1"/>
  <c r="Q2" i="32" a="1"/>
  <c r="P9" i="34" a="1"/>
  <c r="O10" i="26" a="1"/>
  <c r="O5" i="11" a="1"/>
  <c r="Q3" i="19" a="1"/>
  <c r="P5" i="11" a="1"/>
  <c r="P4" i="17" a="1"/>
  <c r="P4" i="19" a="1"/>
  <c r="Q10" i="26" a="1"/>
  <c r="O4" i="11" a="1"/>
  <c r="Q3" i="14" a="1"/>
  <c r="O5" i="18" a="1"/>
  <c r="O4" i="39" a="1"/>
  <c r="O3" i="17" a="1"/>
  <c r="Q10" i="21" a="1"/>
  <c r="O3" i="21" a="1"/>
  <c r="Q4" i="32" a="1"/>
  <c r="O5" i="37" a="1"/>
  <c r="Q7" i="40" a="1"/>
  <c r="O2" i="41" a="1"/>
  <c r="P8" i="43" a="1"/>
  <c r="P10" i="30" a="1"/>
  <c r="O2" i="31" a="1"/>
  <c r="Q2" i="33" a="1"/>
  <c r="O8" i="35" a="1"/>
  <c r="O4" i="33" a="1"/>
  <c r="P10" i="29" a="1"/>
  <c r="O8" i="21" a="1"/>
  <c r="Q10" i="35" a="1"/>
  <c r="P4" i="24" a="1"/>
  <c r="Q7" i="39" a="1"/>
  <c r="P3" i="15" a="1"/>
  <c r="Q9" i="29" a="1"/>
  <c r="Q3" i="37" a="1"/>
  <c r="O9" i="19" a="1"/>
  <c r="O11" i="14" a="1"/>
  <c r="P9" i="28" a="1"/>
  <c r="Q9" i="27" a="1"/>
  <c r="O4" i="22" a="1"/>
  <c r="P10" i="18" a="1"/>
  <c r="Q3" i="38" a="1"/>
  <c r="O5" i="14" a="1"/>
  <c r="O8" i="28" a="1"/>
  <c r="O2" i="39" a="1"/>
  <c r="O10" i="35" a="1"/>
  <c r="Q4" i="15" a="1"/>
  <c r="P9" i="22" a="1"/>
  <c r="O3" i="43" a="1"/>
  <c r="O4" i="24" a="1"/>
  <c r="O10" i="32" a="1"/>
  <c r="Q10" i="24" a="1"/>
  <c r="O2" i="33" a="1"/>
  <c r="P10" i="24" a="1"/>
  <c r="O2" i="43" a="1"/>
  <c r="P8" i="33" a="1"/>
  <c r="Q10" i="20" a="1"/>
  <c r="Q6" i="27" a="1"/>
  <c r="Q2" i="41" a="1"/>
  <c r="O9" i="37" a="1"/>
  <c r="P11" i="15" a="1"/>
  <c r="O11" i="34" a="1"/>
  <c r="Q10" i="15" a="1"/>
  <c r="P3" i="37" a="1"/>
  <c r="P9" i="11" a="1"/>
  <c r="O11" i="33" a="1"/>
  <c r="P5" i="41" a="1"/>
  <c r="O9" i="32" a="1"/>
  <c r="O8" i="29" a="1"/>
  <c r="P5" i="37" a="1"/>
  <c r="P4" i="42" a="1"/>
  <c r="Q4" i="39" a="1"/>
  <c r="Q6" i="23" a="1"/>
  <c r="Q10" i="37" a="1"/>
  <c r="Q6" i="40" a="1"/>
  <c r="Q3" i="30" a="1"/>
  <c r="Q9" i="40" a="1"/>
  <c r="P9" i="42" a="1"/>
  <c r="O5" i="39" a="1"/>
  <c r="O2" i="37" a="1"/>
  <c r="O2" i="29" a="1"/>
  <c r="Q3" i="23" a="1"/>
  <c r="O11" i="27" a="1"/>
  <c r="P3" i="29" a="1"/>
  <c r="Q7" i="15" a="1"/>
  <c r="Q3" i="22" a="1"/>
  <c r="O9" i="29" a="1"/>
  <c r="Q2" i="42" a="1"/>
  <c r="P3" i="17" a="1"/>
  <c r="P10" i="14" a="1"/>
  <c r="P5" i="39" a="1"/>
  <c r="O8" i="36" a="1"/>
  <c r="Q9" i="42" a="1"/>
  <c r="P9" i="38" a="1"/>
  <c r="P9" i="41" a="1"/>
  <c r="P11" i="24" a="1"/>
  <c r="Q2" i="37" a="1"/>
  <c r="Q4" i="42" a="1"/>
  <c r="P4" i="34" a="1"/>
  <c r="O8" i="40" a="1"/>
  <c r="Q2" i="39" a="1"/>
  <c r="Q3" i="39" a="1"/>
  <c r="P3" i="21" a="1"/>
  <c r="O10" i="15" a="1"/>
  <c r="Q2" i="22" a="1"/>
  <c r="O5" i="30" a="1"/>
  <c r="P11" i="37" a="1"/>
  <c r="O3" i="41" a="1"/>
  <c r="O8" i="26" a="1"/>
  <c r="Q7" i="43" a="1"/>
  <c r="Q4" i="34" a="1"/>
  <c r="O3" i="18" a="1"/>
  <c r="P3" i="28" a="1"/>
  <c r="Q10" i="36" a="1"/>
  <c r="P8" i="36" a="1"/>
  <c r="P11" i="35" a="1"/>
  <c r="P11" i="33" a="1"/>
  <c r="Q9" i="18" a="1"/>
  <c r="Q6" i="32" a="1"/>
  <c r="Q6" i="29" a="1"/>
  <c r="P9" i="14" a="1"/>
  <c r="Q2" i="21" a="1"/>
  <c r="O8" i="33" a="1"/>
  <c r="P9" i="21" a="1"/>
  <c r="P11" i="36" a="1"/>
  <c r="O10" i="18" a="1"/>
  <c r="Q7" i="20" a="1"/>
  <c r="P8" i="28" a="1"/>
  <c r="Q2" i="28" a="1"/>
  <c r="P11" i="42" a="1"/>
  <c r="P11" i="26" a="1"/>
  <c r="P10" i="31" a="1"/>
  <c r="Q7" i="17" a="1"/>
  <c r="P10" i="15" a="1"/>
  <c r="Q4" i="33" a="1"/>
  <c r="Q3" i="24" a="1"/>
  <c r="Q9" i="31" a="1"/>
  <c r="Q10" i="41" a="1"/>
  <c r="Q7" i="16" a="1"/>
  <c r="P10" i="38" a="1"/>
  <c r="P11" i="11" a="1"/>
  <c r="O9" i="43" a="1"/>
  <c r="O11" i="41" a="1"/>
  <c r="P8" i="35" a="1"/>
  <c r="Q4" i="28" a="1"/>
  <c r="Q6" i="31" a="1"/>
  <c r="Q9" i="16" a="1"/>
  <c r="P10" i="19" a="1"/>
  <c r="P10" i="26" a="1"/>
  <c r="P3" i="11" a="1"/>
  <c r="O9" i="31" a="1"/>
  <c r="P8" i="38" a="1"/>
  <c r="Q10" i="22" a="1"/>
  <c r="O2" i="32" a="1"/>
  <c r="Q4" i="29" a="1"/>
  <c r="O8" i="39" a="1"/>
  <c r="Q3" i="35" a="1"/>
  <c r="O4" i="14" a="1"/>
  <c r="P8" i="24" a="1"/>
  <c r="O2" i="20" a="1"/>
  <c r="P5" i="42" a="1"/>
  <c r="Q9" i="35" a="1"/>
  <c r="O2" i="23" a="1"/>
  <c r="P10" i="17" a="1"/>
  <c r="P4" i="11" a="1"/>
  <c r="P8" i="16" a="1"/>
  <c r="O9" i="33" a="1"/>
  <c r="O5" i="17" a="1"/>
  <c r="O4" i="34" a="1"/>
  <c r="O11" i="40" a="1"/>
  <c r="Q10" i="14" a="1"/>
  <c r="O5" i="40" a="1"/>
  <c r="O5" i="24" a="1"/>
  <c r="Q7" i="24" a="1"/>
  <c r="O11" i="39" a="1"/>
  <c r="P5" i="16" a="1"/>
  <c r="Q7" i="37" a="1"/>
  <c r="O3" i="29" a="1"/>
  <c r="Q10" i="30" a="1"/>
  <c r="O10" i="23" a="1"/>
  <c r="Q6" i="26" a="1"/>
  <c r="P3" i="23" a="1"/>
  <c r="P5" i="24" a="1"/>
  <c r="O11" i="20" a="1"/>
  <c r="P4" i="20" a="1"/>
  <c r="Q7" i="30" a="1"/>
  <c r="P10" i="41" a="1"/>
  <c r="O11" i="42" a="1"/>
  <c r="Q10" i="18" a="1"/>
  <c r="O5" i="42" a="1"/>
  <c r="O3" i="42" a="1"/>
  <c r="Q9" i="43" a="1"/>
  <c r="O8" i="24" a="1"/>
  <c r="P5" i="27" a="1"/>
  <c r="P10" i="34" a="1"/>
  <c r="O10" i="14" a="1"/>
  <c r="O4" i="38" a="1"/>
  <c r="O9" i="28" a="1"/>
  <c r="Q2" i="15" a="1"/>
  <c r="Q2" i="43" a="1"/>
  <c r="P3" i="30" a="1"/>
  <c r="O9" i="14" a="1"/>
  <c r="P5" i="14" a="1"/>
  <c r="P5" i="28" a="1"/>
  <c r="P4" i="38" a="1"/>
  <c r="P11" i="22" a="1"/>
  <c r="O10" i="29" a="1"/>
  <c r="O11" i="17" a="1"/>
  <c r="O4" i="43" a="1"/>
  <c r="O5" i="27" a="1"/>
  <c r="Q4" i="19" a="1"/>
  <c r="O2" i="30" a="1"/>
  <c r="O2" i="16" a="1"/>
  <c r="O8" i="37" a="1"/>
  <c r="O9" i="39" a="1"/>
  <c r="P10" i="23" a="1"/>
  <c r="P4" i="22" a="1"/>
  <c r="Q2" i="19" a="1"/>
  <c r="P8" i="29" a="1"/>
  <c r="O5" i="29" a="1"/>
  <c r="P10" i="39" a="1"/>
  <c r="P3" i="36" a="1"/>
  <c r="Q10" i="33" a="1"/>
  <c r="O3" i="38" a="1"/>
  <c r="P10" i="16" a="1"/>
  <c r="O8" i="30" a="1"/>
  <c r="Q6" i="16" a="1"/>
  <c r="O4" i="15" a="1"/>
  <c r="P8" i="39" a="1"/>
  <c r="P9" i="15" a="1"/>
  <c r="O11" i="21" a="1"/>
  <c r="O5" i="43" a="1"/>
  <c r="P4" i="21" a="1"/>
  <c r="O9" i="23" a="1"/>
  <c r="P5" i="17" a="1"/>
  <c r="O8" i="27" a="1"/>
  <c r="O4" i="30" a="1"/>
  <c r="O10" i="37" a="1"/>
  <c r="Q2" i="30" a="1"/>
  <c r="P9" i="19" a="1"/>
  <c r="Q4" i="23" a="1"/>
  <c r="P4" i="14" a="1"/>
  <c r="P10" i="20" a="1"/>
  <c r="P4" i="39" a="1"/>
  <c r="P11" i="17" a="1"/>
  <c r="Q7" i="34" a="1"/>
  <c r="Q7" i="26" a="1"/>
  <c r="O10" i="28" a="1"/>
  <c r="P10" i="36" a="1"/>
  <c r="P11" i="16" a="1"/>
  <c r="Q6" i="35" a="1"/>
  <c r="O9" i="38" a="1"/>
  <c r="O5" i="35" a="1"/>
  <c r="Q2" i="40" a="1"/>
  <c r="Q2" i="29" a="1"/>
  <c r="P10" i="42" a="1"/>
  <c r="P11" i="32" a="1"/>
  <c r="P4" i="36" a="1"/>
  <c r="O3" i="22" a="1"/>
  <c r="O8" i="20" a="1"/>
  <c r="P3" i="34" a="1"/>
  <c r="Q3" i="33" a="1"/>
  <c r="P11" i="23" a="1"/>
  <c r="Q2" i="24" a="1"/>
  <c r="P9" i="40" a="1"/>
  <c r="O4" i="31" a="1"/>
  <c r="P11" i="30" a="1"/>
  <c r="P11" i="20" a="1"/>
  <c r="P5" i="31" a="1"/>
  <c r="O11" i="26" a="1"/>
  <c r="O2" i="42" a="1"/>
  <c r="O11" i="23" a="1"/>
  <c r="O11" i="19" a="1"/>
  <c r="O4" i="17" a="1"/>
  <c r="P10" i="21" a="1"/>
  <c r="Q3" i="16" a="1"/>
  <c r="P3" i="38" a="1"/>
  <c r="O2" i="35" a="1"/>
  <c r="P9" i="43" a="1"/>
  <c r="P9" i="24" a="1"/>
  <c r="Q4" i="41" a="1"/>
  <c r="O11" i="22" a="1"/>
  <c r="Q10" i="28" a="1"/>
  <c r="O5" i="21" a="1"/>
  <c r="Q6" i="42" a="1"/>
  <c r="Q10" i="11" a="1"/>
  <c r="Q9" i="11" a="1"/>
  <c r="Q4" i="43" a="1"/>
  <c r="Q2" i="26" a="1"/>
  <c r="O10" i="43" a="1"/>
  <c r="O11" i="11" a="1"/>
  <c r="O11" i="35" a="1"/>
  <c r="P3" i="24" a="1"/>
  <c r="O2" i="38" a="1"/>
  <c r="O8" i="43" a="1"/>
  <c r="Q7" i="11" a="1"/>
  <c r="O11" i="28" a="1"/>
  <c r="Q7" i="32" a="1"/>
  <c r="P5" i="40" a="1"/>
  <c r="Q4" i="37" a="1"/>
  <c r="O9" i="42" a="1"/>
  <c r="Q3" i="21" a="1"/>
  <c r="P10" i="28" a="1"/>
  <c r="O4" i="37" a="1"/>
  <c r="O9" i="22" a="1"/>
  <c r="O4" i="20" a="1"/>
  <c r="Q9" i="30" a="1"/>
  <c r="O4" i="29" a="1"/>
  <c r="P11" i="43" a="1"/>
  <c r="P8" i="30" a="1"/>
  <c r="O11" i="38" a="1"/>
  <c r="O3" i="11" a="1"/>
  <c r="Q6" i="41" a="1"/>
  <c r="O9" i="24" a="1"/>
  <c r="O10" i="33" a="1"/>
  <c r="Q6" i="38" a="1"/>
  <c r="P5" i="15" a="1"/>
  <c r="P8" i="15" a="1"/>
  <c r="P3" i="35" a="1"/>
  <c r="O10" i="16" a="1"/>
  <c r="Q4" i="16" a="1"/>
  <c r="P5" i="26" a="1"/>
  <c r="P9" i="32" a="1"/>
  <c r="Q3" i="27" a="1"/>
  <c r="P9" i="18" a="1"/>
  <c r="Q7" i="31" a="1"/>
  <c r="Q7" i="21" a="1"/>
  <c r="Q4" i="18" a="1"/>
  <c r="Q2" i="38" a="1"/>
  <c r="O10" i="22" a="1"/>
  <c r="Q6" i="34" a="1"/>
  <c r="O8" i="34" a="1"/>
  <c r="P8" i="20" a="1"/>
  <c r="P10" i="43" a="1"/>
  <c r="P5" i="33" a="1"/>
  <c r="O10" i="17" a="1"/>
  <c r="P9" i="30" a="1"/>
  <c r="P5" i="21" a="1"/>
  <c r="P8" i="22" a="1"/>
  <c r="P8" i="42" a="1"/>
  <c r="O4" i="36" a="1"/>
  <c r="O4" i="41" a="1"/>
  <c r="Q10" i="19" a="1"/>
  <c r="P4" i="15" a="1"/>
  <c r="Q2" i="23" a="1"/>
  <c r="Q9" i="19" a="1"/>
  <c r="P3" i="33" a="1"/>
  <c r="P9" i="35" a="1"/>
  <c r="P4" i="26" a="1"/>
  <c r="Q7" i="18" a="1"/>
  <c r="Q10" i="42" a="1"/>
  <c r="Q10" i="40" a="1"/>
  <c r="P4" i="33" a="1"/>
  <c r="Q4" i="11" a="1"/>
  <c r="O5" i="23" a="1"/>
  <c r="P10" i="35" a="1"/>
  <c r="O5" i="33" a="1"/>
  <c r="O3" i="33" a="1"/>
  <c r="Q4" i="24" a="1"/>
  <c r="O3" i="36" a="1"/>
  <c r="O2" i="17" a="1"/>
  <c r="P8" i="23" a="1"/>
  <c r="Q9" i="39" a="1"/>
  <c r="O8" i="16" a="1"/>
  <c r="O5" i="36" a="1"/>
  <c r="O2" i="40" a="1"/>
  <c r="O2" i="28" a="1"/>
  <c r="O2" i="22" a="1"/>
  <c r="P5" i="35" a="1"/>
  <c r="O3" i="39" a="1"/>
  <c r="Q2" i="17" a="1"/>
  <c r="Q3" i="41" a="1"/>
  <c r="O11" i="29" a="1"/>
  <c r="P8" i="11" a="1"/>
  <c r="P4" i="40" a="1"/>
  <c r="O5" i="41" a="1"/>
  <c r="Q2" i="35" a="1"/>
  <c r="Q4" i="30" a="1"/>
  <c r="P5" i="29" a="1"/>
  <c r="O3" i="37" a="1"/>
  <c r="O3" i="23" a="1"/>
  <c r="O2" i="27" a="1"/>
  <c r="P10" i="37" a="1"/>
  <c r="Q10" i="32" a="1"/>
  <c r="P4" i="18" a="1"/>
  <c r="O3" i="27" a="1"/>
  <c r="P11" i="41" a="1"/>
  <c r="Q3" i="15" a="1"/>
  <c r="O4" i="42" a="1"/>
  <c r="O8" i="17" a="1"/>
  <c r="O11" i="24" a="1"/>
  <c r="P10" i="33" a="1"/>
  <c r="Q9" i="41" a="1"/>
  <c r="P5" i="32" a="1"/>
  <c r="P8" i="32" a="1"/>
  <c r="P3" i="18" a="1"/>
  <c r="Q2" i="27" a="1"/>
  <c r="P5" i="36" a="1"/>
  <c r="P3" i="32" a="1"/>
  <c r="Q10" i="23" a="1"/>
  <c r="O5" i="26" a="1"/>
  <c r="Q4" i="36" a="1"/>
  <c r="P3" i="31" a="1"/>
  <c r="O4" i="26" a="1"/>
  <c r="O9" i="26" a="1"/>
  <c r="Q2" i="18" a="1"/>
  <c r="O10" i="39" a="1"/>
  <c r="Q2" i="36" a="1"/>
  <c r="P9" i="20" a="1"/>
  <c r="P11" i="38" a="1"/>
  <c r="P5" i="20" a="1"/>
  <c r="P8" i="41" a="1"/>
  <c r="O4" i="23" a="1"/>
  <c r="O5" i="16" a="1"/>
  <c r="Q4" i="17" a="1"/>
  <c r="Q9" i="33" a="1"/>
  <c r="P4" i="27" a="1"/>
  <c r="O4" i="21" a="1"/>
  <c r="P9" i="26" a="1"/>
  <c r="P9" i="27" a="1"/>
  <c r="Q4" i="38" a="1"/>
  <c r="O3" i="28" a="1"/>
  <c r="P9" i="37" a="1"/>
  <c r="Q3" i="20" a="1"/>
  <c r="Q7" i="22" a="1"/>
  <c r="P8" i="31" a="1"/>
  <c r="P3" i="42" a="1"/>
  <c r="Q3" i="32" a="1"/>
  <c r="P9" i="29" a="1"/>
  <c r="Q3" i="34" a="1"/>
  <c r="Q7" i="27" a="1"/>
  <c r="P3" i="41" a="1"/>
  <c r="Q6" i="37" a="1"/>
  <c r="O5" i="32" a="1"/>
  <c r="O11" i="43" a="1"/>
  <c r="O11" i="31" a="1"/>
  <c r="O9" i="17" a="1"/>
  <c r="O9" i="11" a="1"/>
  <c r="P4" i="16" a="1"/>
  <c r="Q4" i="26" a="1"/>
  <c r="O8" i="42" a="1"/>
  <c r="O4" i="28" a="1"/>
  <c r="Q9" i="24" a="1"/>
  <c r="Q6" i="11" a="1"/>
  <c r="O10" i="34" a="1"/>
  <c r="O9" i="18" a="1"/>
  <c r="P11" i="18" a="1"/>
  <c r="Q4" i="40" a="1"/>
  <c r="P9" i="31" a="1"/>
  <c r="P3" i="19" a="1"/>
  <c r="O5" i="28" a="1"/>
  <c r="O3" i="19" a="1"/>
  <c r="Q7" i="35" a="1"/>
  <c r="O9" i="34" a="1"/>
  <c r="O3" i="32" a="1"/>
  <c r="P5" i="43" a="1"/>
  <c r="O10" i="21" a="1"/>
  <c r="Q7" i="33" a="1"/>
  <c r="O8" i="15" a="1"/>
  <c r="O3" i="14" a="1"/>
  <c r="Q4" i="22" a="1"/>
  <c r="O3" i="24" a="1"/>
  <c r="O8" i="14" a="1"/>
  <c r="O2" i="36" a="1"/>
  <c r="Q10" i="17" a="1"/>
  <c r="P3" i="39" a="1"/>
  <c r="O5" i="15" a="1"/>
  <c r="Q4" i="27" a="1"/>
  <c r="O3" i="15" a="1"/>
  <c r="O8" i="18" a="1"/>
  <c r="P4" i="23" a="1"/>
  <c r="O4" i="40" a="1"/>
  <c r="P8" i="19" a="1"/>
  <c r="Q3" i="36" a="1"/>
  <c r="O5" i="38" a="1"/>
  <c r="Q9" i="17" a="1"/>
  <c r="Q6" i="19" a="1"/>
  <c r="P10" i="11" a="1"/>
  <c r="Q10" i="31" a="1"/>
  <c r="O2" i="15" a="1"/>
  <c r="O8" i="23" a="1"/>
  <c r="O9" i="21" a="1"/>
  <c r="P4" i="35" a="1"/>
  <c r="Q3" i="28" a="1"/>
  <c r="Q7" i="38" a="1"/>
  <c r="O11" i="16" a="1"/>
  <c r="Q3" i="31" a="1"/>
  <c r="Q6" i="18" a="1"/>
  <c r="O8" i="19" a="1"/>
  <c r="O9" i="36" a="1"/>
  <c r="O10" i="42" a="1"/>
  <c r="O8" i="11" a="1"/>
  <c r="Q3" i="40" a="1"/>
  <c r="O3" i="35" a="1"/>
  <c r="Q10" i="39" a="1"/>
  <c r="P3" i="43" a="1"/>
  <c r="P9" i="36" a="1"/>
  <c r="O10" i="20" a="1"/>
  <c r="P11" i="40" a="1"/>
  <c r="Q6" i="33" a="1"/>
  <c r="O10" i="27" a="1"/>
  <c r="Q3" i="11" a="1"/>
  <c r="Q6" i="15" a="1"/>
  <c r="Q9" i="14" a="1"/>
  <c r="P4" i="30" a="1"/>
  <c r="Q7" i="29" a="1"/>
  <c r="Q2" i="11" a="1"/>
  <c r="Q3" i="17" a="1"/>
  <c r="Q4" i="35" a="1"/>
  <c r="Q6" i="28" a="1"/>
  <c r="Q4" i="21" a="1"/>
  <c r="P3" i="27" a="1"/>
  <c r="Q3" i="26" a="1"/>
  <c r="P11" i="39" a="1"/>
  <c r="O9" i="16" a="1"/>
  <c r="P4" i="41" a="1"/>
  <c r="P4" i="28" a="1"/>
  <c r="Q9" i="38" a="1"/>
  <c r="Q10" i="29" a="1"/>
  <c r="Q6" i="39" a="1"/>
  <c r="O10" i="19" a="1"/>
  <c r="Q3" i="29" a="1"/>
  <c r="Q7" i="28" a="1"/>
  <c r="Q9" i="26" a="1"/>
  <c r="P5" i="22" a="1"/>
  <c r="O3" i="26" a="1"/>
  <c r="O3" i="31" a="1"/>
  <c r="P11" i="19" a="1"/>
  <c r="O4" i="16" a="1"/>
  <c r="O2" i="26" a="1"/>
  <c r="O4" i="32" a="1"/>
  <c r="Q10" i="27" a="1"/>
  <c r="Q9" i="15" a="1"/>
  <c r="Q9" i="32" a="1"/>
  <c r="P8" i="14" a="1"/>
  <c r="O10" i="36" a="1"/>
  <c r="O4" i="27" a="1"/>
  <c r="O10" i="30" a="1"/>
  <c r="Q7" i="41" a="1"/>
  <c r="O3" i="40" a="1"/>
  <c r="P10" i="27" a="1"/>
  <c r="O5" i="22" a="1"/>
  <c r="P11" i="28" a="1"/>
  <c r="P11" i="31" a="1"/>
  <c r="Q6" i="36" a="1"/>
  <c r="Q10" i="16" a="1"/>
  <c r="Q6" i="22" a="1"/>
  <c r="O5" i="34" a="1"/>
  <c r="O11" i="18" a="1"/>
  <c r="O3" i="30" a="1"/>
  <c r="O11" i="36" a="1"/>
  <c r="Q6" i="43" a="1"/>
  <c r="P8" i="40" a="1"/>
  <c r="O4" i="35" a="1"/>
  <c r="O2" i="18" a="1"/>
  <c r="O9" i="30" a="1"/>
  <c r="O2" i="11" a="1"/>
  <c r="P11" i="14" a="1"/>
  <c r="O8" i="41" a="1"/>
  <c r="P8" i="27" a="1"/>
  <c r="P4" i="43" a="1"/>
  <c r="O10" i="40" a="1"/>
  <c r="P11" i="29" a="1"/>
  <c r="P11" i="21" a="1"/>
  <c r="P8" i="26" a="1"/>
  <c r="O9" i="35" a="1"/>
  <c r="Q2" i="16" a="1"/>
  <c r="Q9" i="20" a="1"/>
  <c r="Q6" i="24" a="1"/>
  <c r="P10" i="32" a="1"/>
  <c r="O11" i="30" a="1"/>
  <c r="O11" i="15" a="1"/>
  <c r="P9" i="33" a="1"/>
  <c r="Q4" i="14" a="1"/>
  <c r="P8" i="21" a="1"/>
  <c r="P4" i="29" a="1"/>
  <c r="P4" i="37" a="1"/>
  <c r="Q3" i="42" a="1"/>
  <c r="O10" i="38" a="1"/>
  <c r="O11" i="32" a="1"/>
  <c r="O2" i="19" a="1"/>
  <c r="Q9" i="36" a="1"/>
  <c r="P3" i="22" a="1"/>
  <c r="O8" i="22" a="1"/>
  <c r="P11" i="27" a="1"/>
  <c r="P8" i="37" a="1"/>
  <c r="Q4" i="31" a="1"/>
  <c r="Q9" i="28" a="1"/>
  <c r="P8" i="18" a="1"/>
  <c r="O9" i="20" a="1"/>
  <c r="P3" i="16" a="1"/>
  <c r="O8" i="31" a="1"/>
  <c r="Q7" i="14" a="1"/>
  <c r="Q9" i="34" a="1"/>
  <c r="P3" i="14" a="1"/>
  <c r="Q2" i="34" a="1"/>
  <c r="O5" i="31" a="1"/>
  <c r="O3" i="16" a="1"/>
  <c r="Q2" i="14" a="1"/>
  <c r="P10" i="40" a="1"/>
  <c r="O2" i="24" a="1"/>
  <c r="Q7" i="42" a="1"/>
  <c r="Q9" i="22" a="1"/>
  <c r="O3" i="20" a="1"/>
  <c r="O8" i="32" a="1"/>
  <c r="Q6" i="19" l="1"/>
  <c r="F5" i="19" s="1"/>
  <c r="Q6" i="35"/>
  <c r="F5" i="35" s="1"/>
  <c r="Q6" i="26"/>
  <c r="Q6" i="43"/>
  <c r="Q6" i="34"/>
  <c r="F5" i="34" s="1"/>
  <c r="Q6" i="15"/>
  <c r="F5" i="15" s="1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Q6" i="30"/>
  <c r="Q6" i="21"/>
  <c r="F5" i="21" s="1"/>
  <c r="Q6" i="38"/>
  <c r="Q6" i="29"/>
  <c r="Q6" i="11"/>
  <c r="Q6" i="37"/>
  <c r="Q6" i="28"/>
  <c r="Q6" i="17"/>
  <c r="Q6" i="36"/>
  <c r="Q6" i="27"/>
  <c r="F5" i="27" s="1"/>
  <c r="Q6" i="20"/>
  <c r="F5" i="20" s="1"/>
  <c r="O8" i="17"/>
  <c r="Q2" i="28"/>
  <c r="B16" i="28" s="1"/>
  <c r="P8" i="26"/>
  <c r="P8" i="16"/>
  <c r="P8" i="41"/>
  <c r="O8" i="15"/>
  <c r="Q7" i="38"/>
  <c r="O5" i="43"/>
  <c r="P8" i="42"/>
  <c r="O9" i="21"/>
  <c r="P8" i="43"/>
  <c r="P11" i="31"/>
  <c r="O2" i="28"/>
  <c r="Q10" i="34"/>
  <c r="O11" i="32"/>
  <c r="Q2" i="22"/>
  <c r="B16" i="22" s="1"/>
  <c r="Q9" i="30"/>
  <c r="Q4" i="23"/>
  <c r="Q4" i="28"/>
  <c r="Q3" i="27"/>
  <c r="O10" i="32"/>
  <c r="O8" i="21"/>
  <c r="Q7" i="19"/>
  <c r="H7" i="19" s="1"/>
  <c r="L7" i="19" s="1"/>
  <c r="N7" i="19" s="1"/>
  <c r="R7" i="19" s="1"/>
  <c r="O3" i="40"/>
  <c r="P4" i="29"/>
  <c r="Q3" i="29"/>
  <c r="O8" i="23"/>
  <c r="P5" i="14"/>
  <c r="O5" i="19"/>
  <c r="P5" i="40"/>
  <c r="Q4" i="33"/>
  <c r="O11" i="11"/>
  <c r="O10" i="39"/>
  <c r="P5" i="27"/>
  <c r="P4" i="14"/>
  <c r="O8" i="11"/>
  <c r="O4" i="17"/>
  <c r="O4" i="15"/>
  <c r="O11" i="42"/>
  <c r="O2" i="32"/>
  <c r="P5" i="29"/>
  <c r="O2" i="30"/>
  <c r="P5" i="23"/>
  <c r="Q7" i="41"/>
  <c r="P4" i="15"/>
  <c r="O2" i="22"/>
  <c r="P8" i="34"/>
  <c r="P11" i="33"/>
  <c r="Q3" i="39"/>
  <c r="P9" i="18"/>
  <c r="O3" i="33"/>
  <c r="P8" i="18"/>
  <c r="O11" i="19"/>
  <c r="P9" i="15"/>
  <c r="O3" i="30"/>
  <c r="Q7" i="22"/>
  <c r="P10" i="14"/>
  <c r="O10" i="17"/>
  <c r="Q10" i="41"/>
  <c r="P11" i="42"/>
  <c r="O8" i="24"/>
  <c r="P11" i="16"/>
  <c r="P3" i="30"/>
  <c r="Q9" i="20"/>
  <c r="O11" i="15"/>
  <c r="P5" i="17"/>
  <c r="P5" i="26"/>
  <c r="P4" i="43"/>
  <c r="Q9" i="31"/>
  <c r="O11" i="40"/>
  <c r="Q9" i="24"/>
  <c r="P11" i="24"/>
  <c r="O11" i="16"/>
  <c r="Q4" i="43"/>
  <c r="P10" i="22"/>
  <c r="O2" i="29"/>
  <c r="P11" i="36"/>
  <c r="O8" i="28"/>
  <c r="P9" i="22"/>
  <c r="O10" i="33"/>
  <c r="P4" i="16"/>
  <c r="Q7" i="20"/>
  <c r="O10" i="20"/>
  <c r="O2" i="36"/>
  <c r="O11" i="28"/>
  <c r="P5" i="33"/>
  <c r="Q7" i="39"/>
  <c r="P8" i="35"/>
  <c r="P11" i="30"/>
  <c r="O5" i="15"/>
  <c r="P4" i="24"/>
  <c r="O4" i="18"/>
  <c r="O11" i="43"/>
  <c r="P4" i="28"/>
  <c r="P4" i="33"/>
  <c r="O8" i="40"/>
  <c r="O11" i="20"/>
  <c r="Q7" i="30"/>
  <c r="Q9" i="37"/>
  <c r="O5" i="16"/>
  <c r="Q4" i="41"/>
  <c r="Q4" i="36"/>
  <c r="Q3" i="17"/>
  <c r="O10" i="26"/>
  <c r="O5" i="26"/>
  <c r="O4" i="22"/>
  <c r="O8" i="32"/>
  <c r="O5" i="17"/>
  <c r="P10" i="35"/>
  <c r="O10" i="40"/>
  <c r="O10" i="23"/>
  <c r="Q10" i="32"/>
  <c r="O3" i="34"/>
  <c r="O11" i="27"/>
  <c r="O9" i="31"/>
  <c r="Q10" i="36"/>
  <c r="O3" i="16"/>
  <c r="O4" i="21"/>
  <c r="O8" i="16"/>
  <c r="O4" i="37"/>
  <c r="P9" i="17"/>
  <c r="O11" i="33"/>
  <c r="Q4" i="35"/>
  <c r="P10" i="31"/>
  <c r="Q4" i="26"/>
  <c r="P5" i="41"/>
  <c r="Q4" i="11"/>
  <c r="Q7" i="15"/>
  <c r="Q10" i="29"/>
  <c r="Q10" i="43"/>
  <c r="Q9" i="28"/>
  <c r="Q10" i="40"/>
  <c r="O5" i="23"/>
  <c r="Q4" i="14"/>
  <c r="Q9" i="15"/>
  <c r="O5" i="39"/>
  <c r="P3" i="42"/>
  <c r="Q2" i="16"/>
  <c r="B16" i="16" s="1"/>
  <c r="Q2" i="21"/>
  <c r="B16" i="21" s="1"/>
  <c r="O9" i="33"/>
  <c r="P3" i="19"/>
  <c r="P8" i="30"/>
  <c r="O2" i="11"/>
  <c r="O9" i="35"/>
  <c r="O3" i="23"/>
  <c r="O8" i="41"/>
  <c r="Q3" i="35"/>
  <c r="P5" i="28"/>
  <c r="O2" i="27"/>
  <c r="Q3" i="11"/>
  <c r="O10" i="11"/>
  <c r="O2" i="35"/>
  <c r="P11" i="11"/>
  <c r="O9" i="26"/>
  <c r="O8" i="18"/>
  <c r="P3" i="18"/>
  <c r="O3" i="28"/>
  <c r="O2" i="15"/>
  <c r="Q3" i="40"/>
  <c r="Q4" i="30"/>
  <c r="O9" i="34"/>
  <c r="Q4" i="37"/>
  <c r="Q9" i="17"/>
  <c r="Q7" i="11"/>
  <c r="H7" i="11" s="1"/>
  <c r="L7" i="11" s="1"/>
  <c r="N7" i="11" s="1"/>
  <c r="R7" i="11" s="1"/>
  <c r="P4" i="23"/>
  <c r="O9" i="11"/>
  <c r="O8" i="37"/>
  <c r="P11" i="21"/>
  <c r="O8" i="22"/>
  <c r="Q9" i="41"/>
  <c r="O9" i="20"/>
  <c r="O4" i="40"/>
  <c r="Q9" i="39"/>
  <c r="O9" i="38"/>
  <c r="O10" i="14"/>
  <c r="P10" i="42"/>
  <c r="P5" i="35"/>
  <c r="P10" i="26"/>
  <c r="O11" i="17"/>
  <c r="P10" i="24"/>
  <c r="Q10" i="31"/>
  <c r="O5" i="27"/>
  <c r="P3" i="27"/>
  <c r="Q4" i="39"/>
  <c r="Q7" i="26"/>
  <c r="Q3" i="33"/>
  <c r="Q10" i="11"/>
  <c r="P8" i="40"/>
  <c r="P4" i="40"/>
  <c r="O4" i="11"/>
  <c r="Q2" i="27"/>
  <c r="B16" i="27" s="1"/>
  <c r="Q9" i="34"/>
  <c r="P3" i="37"/>
  <c r="P11" i="14"/>
  <c r="P10" i="29"/>
  <c r="Q2" i="24"/>
  <c r="B16" i="24" s="1"/>
  <c r="O2" i="16"/>
  <c r="Q2" i="15"/>
  <c r="B16" i="15" s="1"/>
  <c r="B17" i="15" s="1"/>
  <c r="B12" i="15" s="1"/>
  <c r="B18" i="15" s="1"/>
  <c r="P9" i="39"/>
  <c r="P8" i="33"/>
  <c r="O3" i="17"/>
  <c r="Q2" i="37"/>
  <c r="B16" i="37" s="1"/>
  <c r="O3" i="21"/>
  <c r="O5" i="40"/>
  <c r="P11" i="20"/>
  <c r="Q3" i="14"/>
  <c r="O2" i="19"/>
  <c r="O4" i="33"/>
  <c r="Q2" i="40"/>
  <c r="B16" i="40" s="1"/>
  <c r="O11" i="22"/>
  <c r="O4" i="26"/>
  <c r="P8" i="31"/>
  <c r="P4" i="39"/>
  <c r="Q4" i="17"/>
  <c r="O5" i="42"/>
  <c r="O10" i="27"/>
  <c r="P10" i="36"/>
  <c r="O2" i="41"/>
  <c r="P10" i="11"/>
  <c r="O10" i="19"/>
  <c r="P5" i="37"/>
  <c r="Q7" i="43"/>
  <c r="O11" i="38"/>
  <c r="P10" i="28"/>
  <c r="Q3" i="41"/>
  <c r="Q7" i="31"/>
  <c r="P9" i="41"/>
  <c r="Q4" i="29"/>
  <c r="O10" i="29"/>
  <c r="Q9" i="27"/>
  <c r="P3" i="11"/>
  <c r="P11" i="27"/>
  <c r="P11" i="41"/>
  <c r="O9" i="37"/>
  <c r="P3" i="28"/>
  <c r="P9" i="37"/>
  <c r="Q2" i="26"/>
  <c r="B16" i="26" s="1"/>
  <c r="Q10" i="22"/>
  <c r="P8" i="36"/>
  <c r="Q3" i="19"/>
  <c r="O3" i="29"/>
  <c r="Q3" i="26"/>
  <c r="O10" i="18"/>
  <c r="Q10" i="19"/>
  <c r="P9" i="16"/>
  <c r="O5" i="22"/>
  <c r="P3" i="26"/>
  <c r="P8" i="19"/>
  <c r="P10" i="18"/>
  <c r="O9" i="39"/>
  <c r="Q4" i="16"/>
  <c r="Q2" i="19"/>
  <c r="B16" i="19" s="1"/>
  <c r="O10" i="24"/>
  <c r="O9" i="41"/>
  <c r="O2" i="43"/>
  <c r="O9" i="17"/>
  <c r="P10" i="27"/>
  <c r="O2" i="18"/>
  <c r="O8" i="42"/>
  <c r="P11" i="18"/>
  <c r="Q4" i="32"/>
  <c r="P5" i="22"/>
  <c r="Q3" i="24"/>
  <c r="P4" i="42"/>
  <c r="O5" i="38"/>
  <c r="Q10" i="42"/>
  <c r="P9" i="33"/>
  <c r="Q9" i="35"/>
  <c r="P3" i="38"/>
  <c r="P10" i="15"/>
  <c r="Q10" i="24"/>
  <c r="O10" i="16"/>
  <c r="P5" i="36"/>
  <c r="P3" i="24"/>
  <c r="Q2" i="33"/>
  <c r="B16" i="33" s="1"/>
  <c r="Q7" i="42"/>
  <c r="O4" i="32"/>
  <c r="Q4" i="19"/>
  <c r="O5" i="31"/>
  <c r="O9" i="29"/>
  <c r="Q10" i="35"/>
  <c r="O3" i="38"/>
  <c r="O4" i="23"/>
  <c r="O11" i="39"/>
  <c r="Q3" i="15"/>
  <c r="Q7" i="28"/>
  <c r="P10" i="30"/>
  <c r="P5" i="18"/>
  <c r="Q2" i="14"/>
  <c r="B16" i="14" s="1"/>
  <c r="P9" i="43"/>
  <c r="O11" i="34"/>
  <c r="P5" i="42"/>
  <c r="P10" i="20"/>
  <c r="P9" i="42"/>
  <c r="O11" i="14"/>
  <c r="O4" i="39"/>
  <c r="Q3" i="18"/>
  <c r="P3" i="29"/>
  <c r="Q4" i="24"/>
  <c r="Q7" i="27"/>
  <c r="O4" i="20"/>
  <c r="P9" i="24"/>
  <c r="P5" i="31"/>
  <c r="P10" i="17"/>
  <c r="Q2" i="42"/>
  <c r="B16" i="42" s="1"/>
  <c r="O10" i="37"/>
  <c r="O11" i="35"/>
  <c r="P3" i="23"/>
  <c r="O10" i="15"/>
  <c r="P3" i="35"/>
  <c r="Q10" i="30"/>
  <c r="O10" i="36"/>
  <c r="O2" i="39"/>
  <c r="P11" i="38"/>
  <c r="O3" i="11"/>
  <c r="Q9" i="29"/>
  <c r="P4" i="30"/>
  <c r="Q10" i="37"/>
  <c r="P5" i="32"/>
  <c r="Q9" i="36"/>
  <c r="O3" i="42"/>
  <c r="O2" i="42"/>
  <c r="O5" i="32"/>
  <c r="P9" i="38"/>
  <c r="O3" i="27"/>
  <c r="O10" i="43"/>
  <c r="Q7" i="16"/>
  <c r="P10" i="16"/>
  <c r="P5" i="38"/>
  <c r="O10" i="35"/>
  <c r="O3" i="24"/>
  <c r="O5" i="20"/>
  <c r="P3" i="43"/>
  <c r="P3" i="14"/>
  <c r="P3" i="20"/>
  <c r="P5" i="11"/>
  <c r="P10" i="33"/>
  <c r="Q3" i="37"/>
  <c r="Q4" i="20"/>
  <c r="Q3" i="32"/>
  <c r="O8" i="39"/>
  <c r="P11" i="39"/>
  <c r="O2" i="31"/>
  <c r="Q3" i="16"/>
  <c r="P8" i="15"/>
  <c r="P3" i="34"/>
  <c r="O8" i="43"/>
  <c r="P4" i="31"/>
  <c r="O11" i="41"/>
  <c r="O9" i="16"/>
  <c r="Q7" i="17"/>
  <c r="P8" i="39"/>
  <c r="O4" i="16"/>
  <c r="O11" i="21"/>
  <c r="O2" i="23"/>
  <c r="P9" i="23"/>
  <c r="Q4" i="40"/>
  <c r="P9" i="40"/>
  <c r="Q10" i="23"/>
  <c r="P4" i="26"/>
  <c r="Q3" i="31"/>
  <c r="O8" i="30"/>
  <c r="P3" i="39"/>
  <c r="O9" i="28"/>
  <c r="O3" i="22"/>
  <c r="P10" i="38"/>
  <c r="Q7" i="37"/>
  <c r="P8" i="23"/>
  <c r="O5" i="41"/>
  <c r="P8" i="20"/>
  <c r="O9" i="27"/>
  <c r="Q3" i="30"/>
  <c r="P11" i="17"/>
  <c r="Q7" i="21"/>
  <c r="O3" i="32"/>
  <c r="O4" i="29"/>
  <c r="P4" i="41"/>
  <c r="Q2" i="43"/>
  <c r="B16" i="43" s="1"/>
  <c r="P11" i="32"/>
  <c r="O3" i="18"/>
  <c r="Q4" i="34"/>
  <c r="O5" i="14"/>
  <c r="P10" i="41"/>
  <c r="Q2" i="32"/>
  <c r="B16" i="32" s="1"/>
  <c r="Q9" i="32"/>
  <c r="P11" i="26"/>
  <c r="P10" i="23"/>
  <c r="Q10" i="21"/>
  <c r="P8" i="28"/>
  <c r="O4" i="14"/>
  <c r="O2" i="40"/>
  <c r="Q7" i="34"/>
  <c r="O3" i="35"/>
  <c r="P10" i="39"/>
  <c r="Q2" i="35"/>
  <c r="B16" i="35" s="1"/>
  <c r="B17" i="35" s="1"/>
  <c r="B12" i="35" s="1"/>
  <c r="B18" i="35" s="1"/>
  <c r="Q2" i="34"/>
  <c r="B16" i="34" s="1"/>
  <c r="B17" i="34" s="1"/>
  <c r="B12" i="34" s="1"/>
  <c r="B18" i="34" s="1"/>
  <c r="Q2" i="11"/>
  <c r="B16" i="11" s="1"/>
  <c r="Q3" i="28"/>
  <c r="Q9" i="22"/>
  <c r="P8" i="24"/>
  <c r="P4" i="27"/>
  <c r="O9" i="14"/>
  <c r="P8" i="17"/>
  <c r="O4" i="24"/>
  <c r="Q10" i="15"/>
  <c r="Q7" i="14"/>
  <c r="Q10" i="28"/>
  <c r="O2" i="20"/>
  <c r="O11" i="37"/>
  <c r="O9" i="18"/>
  <c r="P9" i="32"/>
  <c r="O10" i="41"/>
  <c r="O2" i="21"/>
  <c r="P4" i="35"/>
  <c r="Q4" i="22"/>
  <c r="P3" i="41"/>
  <c r="P5" i="39"/>
  <c r="P11" i="23"/>
  <c r="Q9" i="40"/>
  <c r="P11" i="34"/>
  <c r="O11" i="23"/>
  <c r="O9" i="40"/>
  <c r="Q2" i="17"/>
  <c r="B16" i="17" s="1"/>
  <c r="O4" i="36"/>
  <c r="P5" i="16"/>
  <c r="P8" i="37"/>
  <c r="P11" i="37"/>
  <c r="P11" i="28"/>
  <c r="Q2" i="41"/>
  <c r="B16" i="41" s="1"/>
  <c r="Q2" i="18"/>
  <c r="B16" i="18" s="1"/>
  <c r="O3" i="31"/>
  <c r="O9" i="43"/>
  <c r="Q9" i="18"/>
  <c r="O4" i="31"/>
  <c r="Q7" i="23"/>
  <c r="Q9" i="14"/>
  <c r="P3" i="21"/>
  <c r="O3" i="14"/>
  <c r="O2" i="14"/>
  <c r="Q9" i="23"/>
  <c r="O11" i="31"/>
  <c r="Q10" i="20"/>
  <c r="Q10" i="39"/>
  <c r="O11" i="26"/>
  <c r="P8" i="14"/>
  <c r="O10" i="21"/>
  <c r="P9" i="29"/>
  <c r="P9" i="35"/>
  <c r="Q2" i="39"/>
  <c r="B16" i="39" s="1"/>
  <c r="P10" i="34"/>
  <c r="O3" i="15"/>
  <c r="P10" i="43"/>
  <c r="O2" i="37"/>
  <c r="O10" i="31"/>
  <c r="Q7" i="29"/>
  <c r="O9" i="22"/>
  <c r="P3" i="16"/>
  <c r="O4" i="30"/>
  <c r="O9" i="32"/>
  <c r="P10" i="21"/>
  <c r="P4" i="32"/>
  <c r="O10" i="34"/>
  <c r="P3" i="36"/>
  <c r="O5" i="34"/>
  <c r="P4" i="21"/>
  <c r="O5" i="35"/>
  <c r="P4" i="36"/>
  <c r="O8" i="33"/>
  <c r="P9" i="14"/>
  <c r="O5" i="37"/>
  <c r="O9" i="23"/>
  <c r="P10" i="40"/>
  <c r="O11" i="18"/>
  <c r="P11" i="29"/>
  <c r="P9" i="28"/>
  <c r="O4" i="34"/>
  <c r="P9" i="27"/>
  <c r="P11" i="19"/>
  <c r="Q10" i="38"/>
  <c r="Q7" i="36"/>
  <c r="O8" i="38"/>
  <c r="O8" i="19"/>
  <c r="Q3" i="20"/>
  <c r="O2" i="24"/>
  <c r="O2" i="38"/>
  <c r="Q9" i="33"/>
  <c r="O11" i="29"/>
  <c r="O5" i="29"/>
  <c r="Q9" i="19"/>
  <c r="P4" i="20"/>
  <c r="O9" i="24"/>
  <c r="P5" i="15"/>
  <c r="Q7" i="24"/>
  <c r="O9" i="42"/>
  <c r="Q2" i="23"/>
  <c r="B16" i="23" s="1"/>
  <c r="P4" i="11"/>
  <c r="O3" i="36"/>
  <c r="O2" i="33"/>
  <c r="O8" i="29"/>
  <c r="O4" i="42"/>
  <c r="O8" i="26"/>
  <c r="Q3" i="42"/>
  <c r="O8" i="14"/>
  <c r="P8" i="27"/>
  <c r="O3" i="19"/>
  <c r="P9" i="36"/>
  <c r="P11" i="15"/>
  <c r="O5" i="33"/>
  <c r="O5" i="30"/>
  <c r="O3" i="37"/>
  <c r="O8" i="34"/>
  <c r="P5" i="24"/>
  <c r="Q4" i="42"/>
  <c r="Q10" i="26"/>
  <c r="O5" i="36"/>
  <c r="O3" i="39"/>
  <c r="P3" i="22"/>
  <c r="Q2" i="36"/>
  <c r="B16" i="36" s="1"/>
  <c r="Q9" i="21"/>
  <c r="P5" i="34"/>
  <c r="P4" i="37"/>
  <c r="Q2" i="30"/>
  <c r="B16" i="30" s="1"/>
  <c r="Q2" i="38"/>
  <c r="B16" i="38" s="1"/>
  <c r="P9" i="34"/>
  <c r="Q7" i="35"/>
  <c r="P8" i="32"/>
  <c r="P9" i="21"/>
  <c r="O4" i="19"/>
  <c r="P3" i="32"/>
  <c r="Q9" i="16"/>
  <c r="Q4" i="15"/>
  <c r="O9" i="15"/>
  <c r="P8" i="29"/>
  <c r="P11" i="22"/>
  <c r="Q3" i="23"/>
  <c r="P8" i="21"/>
  <c r="P10" i="37"/>
  <c r="P3" i="17"/>
  <c r="Q3" i="36"/>
  <c r="O4" i="28"/>
  <c r="O9" i="19"/>
  <c r="P5" i="43"/>
  <c r="Q7" i="40"/>
  <c r="O11" i="24"/>
  <c r="O4" i="38"/>
  <c r="P3" i="33"/>
  <c r="O8" i="20"/>
  <c r="O2" i="26"/>
  <c r="O9" i="30"/>
  <c r="P5" i="20"/>
  <c r="P3" i="40"/>
  <c r="P4" i="38"/>
  <c r="O5" i="28"/>
  <c r="P4" i="19"/>
  <c r="P11" i="40"/>
  <c r="O8" i="35"/>
  <c r="P9" i="20"/>
  <c r="O2" i="17"/>
  <c r="O5" i="11"/>
  <c r="Q10" i="16"/>
  <c r="O9" i="36"/>
  <c r="Q10" i="14"/>
  <c r="Q2" i="31"/>
  <c r="B16" i="31" s="1"/>
  <c r="Q4" i="18"/>
  <c r="O5" i="24"/>
  <c r="Q10" i="17"/>
  <c r="P11" i="35"/>
  <c r="P9" i="31"/>
  <c r="O2" i="34"/>
  <c r="Q3" i="22"/>
  <c r="P5" i="21"/>
  <c r="Q3" i="21"/>
  <c r="P4" i="22"/>
  <c r="P4" i="17"/>
  <c r="O10" i="30"/>
  <c r="Q2" i="29"/>
  <c r="B16" i="29" s="1"/>
  <c r="Q9" i="43"/>
  <c r="P8" i="38"/>
  <c r="O3" i="43"/>
  <c r="Q3" i="43"/>
  <c r="Q10" i="27"/>
  <c r="O11" i="36"/>
  <c r="O8" i="36"/>
  <c r="O11" i="30"/>
  <c r="O3" i="41"/>
  <c r="O3" i="20"/>
  <c r="O10" i="42"/>
  <c r="P5" i="19"/>
  <c r="O8" i="27"/>
  <c r="O3" i="26"/>
  <c r="P3" i="15"/>
  <c r="Q2" i="20"/>
  <c r="B16" i="20" s="1"/>
  <c r="P3" i="31"/>
  <c r="O4" i="43"/>
  <c r="O8" i="31"/>
  <c r="Q4" i="31"/>
  <c r="P5" i="30"/>
  <c r="O5" i="18"/>
  <c r="P11" i="43"/>
  <c r="Q9" i="11"/>
  <c r="P8" i="22"/>
  <c r="Q3" i="34"/>
  <c r="Q4" i="38"/>
  <c r="O4" i="27"/>
  <c r="Q4" i="27"/>
  <c r="P4" i="34"/>
  <c r="O10" i="28"/>
  <c r="P4" i="18"/>
  <c r="Q3" i="38"/>
  <c r="Q7" i="33"/>
  <c r="Q9" i="42"/>
  <c r="Q10" i="18"/>
  <c r="Q7" i="32"/>
  <c r="H7" i="32" s="1"/>
  <c r="L7" i="32" s="1"/>
  <c r="N7" i="32" s="1"/>
  <c r="R7" i="32" s="1"/>
  <c r="Q4" i="21"/>
  <c r="P9" i="19"/>
  <c r="P10" i="32"/>
  <c r="Q9" i="26"/>
  <c r="P9" i="11"/>
  <c r="O4" i="41"/>
  <c r="P10" i="19"/>
  <c r="O10" i="38"/>
  <c r="P8" i="11"/>
  <c r="O5" i="21"/>
  <c r="Q9" i="38"/>
  <c r="O4" i="35"/>
  <c r="P9" i="30"/>
  <c r="Q7" i="18"/>
  <c r="P9" i="26"/>
  <c r="Q10" i="33"/>
  <c r="O10" i="22"/>
  <c r="G4" i="34" l="1"/>
  <c r="G4" i="35"/>
  <c r="K9" i="35"/>
  <c r="I8" i="35"/>
  <c r="I17" i="35" s="1"/>
  <c r="I13" i="35" s="1"/>
  <c r="C2" i="35"/>
  <c r="C17" i="35" s="1"/>
  <c r="C12" i="35" s="1"/>
  <c r="C18" i="35" s="1"/>
  <c r="D2" i="35"/>
  <c r="D17" i="35" s="1"/>
  <c r="D12" i="35" s="1"/>
  <c r="D18" i="35" s="1"/>
  <c r="H7" i="35"/>
  <c r="L7" i="35" s="1"/>
  <c r="N7" i="35" s="1"/>
  <c r="R7" i="35" s="1"/>
  <c r="F3" i="35"/>
  <c r="H6" i="35"/>
  <c r="K10" i="35"/>
  <c r="L10" i="35" s="1"/>
  <c r="N10" i="35" s="1"/>
  <c r="R10" i="35" s="1"/>
  <c r="J8" i="35"/>
  <c r="J17" i="35" s="1"/>
  <c r="J13" i="35" s="1"/>
  <c r="C2" i="34"/>
  <c r="C17" i="34" s="1"/>
  <c r="C12" i="34" s="1"/>
  <c r="C18" i="34" s="1"/>
  <c r="F3" i="34"/>
  <c r="F17" i="34" s="1"/>
  <c r="F12" i="34" s="1"/>
  <c r="F18" i="34" s="1"/>
  <c r="H6" i="34"/>
  <c r="K10" i="34"/>
  <c r="H7" i="34"/>
  <c r="K9" i="34"/>
  <c r="D2" i="34"/>
  <c r="D17" i="34" s="1"/>
  <c r="D12" i="34" s="1"/>
  <c r="D18" i="34" s="1"/>
  <c r="D2" i="18"/>
  <c r="D17" i="18" s="1"/>
  <c r="D12" i="18" s="1"/>
  <c r="D18" i="18" s="1"/>
  <c r="G4" i="18"/>
  <c r="F5" i="18"/>
  <c r="F3" i="18" s="1"/>
  <c r="G3" i="18" s="1"/>
  <c r="G4" i="15"/>
  <c r="D2" i="15"/>
  <c r="D17" i="15" s="1"/>
  <c r="D12" i="15" s="1"/>
  <c r="D18" i="15" s="1"/>
  <c r="H7" i="15"/>
  <c r="L7" i="15" s="1"/>
  <c r="N7" i="15" s="1"/>
  <c r="R7" i="15" s="1"/>
  <c r="F3" i="15"/>
  <c r="H6" i="15"/>
  <c r="K10" i="15"/>
  <c r="L10" i="15" s="1"/>
  <c r="N10" i="15" s="1"/>
  <c r="R10" i="15" s="1"/>
  <c r="C2" i="15"/>
  <c r="C17" i="15" s="1"/>
  <c r="C12" i="15" s="1"/>
  <c r="C18" i="15" s="1"/>
  <c r="K9" i="15"/>
  <c r="K10" i="14"/>
  <c r="L10" i="14" s="1"/>
  <c r="N10" i="14" s="1"/>
  <c r="R10" i="14" s="1"/>
  <c r="K10" i="30"/>
  <c r="L10" i="30" s="1"/>
  <c r="N10" i="30" s="1"/>
  <c r="R10" i="30" s="1"/>
  <c r="G4" i="41"/>
  <c r="L4" i="41" s="1"/>
  <c r="D2" i="41"/>
  <c r="D17" i="41" s="1"/>
  <c r="D12" i="41" s="1"/>
  <c r="D18" i="41" s="1"/>
  <c r="H7" i="20"/>
  <c r="L7" i="20" s="1"/>
  <c r="N7" i="20" s="1"/>
  <c r="R7" i="20" s="1"/>
  <c r="H7" i="22"/>
  <c r="L7" i="22" s="1"/>
  <c r="N7" i="22" s="1"/>
  <c r="R7" i="22" s="1"/>
  <c r="C2" i="27"/>
  <c r="D2" i="17"/>
  <c r="D17" i="17" s="1"/>
  <c r="D12" i="17" s="1"/>
  <c r="D18" i="17" s="1"/>
  <c r="G4" i="17"/>
  <c r="L4" i="17" s="1"/>
  <c r="K10" i="20"/>
  <c r="L10" i="20" s="1"/>
  <c r="N10" i="20" s="1"/>
  <c r="R10" i="20" s="1"/>
  <c r="J8" i="20"/>
  <c r="K9" i="18"/>
  <c r="B17" i="17"/>
  <c r="L16" i="17"/>
  <c r="Q8" i="15"/>
  <c r="L16" i="35"/>
  <c r="F3" i="14"/>
  <c r="G3" i="14" s="1"/>
  <c r="Q8" i="14"/>
  <c r="H6" i="14"/>
  <c r="C2" i="31"/>
  <c r="C2" i="16"/>
  <c r="K10" i="37"/>
  <c r="L10" i="37" s="1"/>
  <c r="N10" i="37" s="1"/>
  <c r="R10" i="37" s="1"/>
  <c r="F5" i="39"/>
  <c r="F3" i="39" s="1"/>
  <c r="F17" i="39" s="1"/>
  <c r="F12" i="39" s="1"/>
  <c r="F18" i="39" s="1"/>
  <c r="H6" i="39"/>
  <c r="Q8" i="39"/>
  <c r="B17" i="26"/>
  <c r="L16" i="26"/>
  <c r="G4" i="29"/>
  <c r="L4" i="29" s="1"/>
  <c r="D2" i="29"/>
  <c r="D17" i="29" s="1"/>
  <c r="D12" i="29" s="1"/>
  <c r="D18" i="29" s="1"/>
  <c r="B17" i="27"/>
  <c r="L16" i="27"/>
  <c r="K9" i="39"/>
  <c r="G4" i="26"/>
  <c r="L4" i="26" s="1"/>
  <c r="D2" i="26"/>
  <c r="D17" i="26" s="1"/>
  <c r="D12" i="26" s="1"/>
  <c r="D18" i="26" s="1"/>
  <c r="H6" i="16"/>
  <c r="F3" i="16"/>
  <c r="F17" i="16" s="1"/>
  <c r="F12" i="16" s="1"/>
  <c r="F18" i="16" s="1"/>
  <c r="Q8" i="16"/>
  <c r="D2" i="43"/>
  <c r="D17" i="43" s="1"/>
  <c r="D12" i="43" s="1"/>
  <c r="D18" i="43" s="1"/>
  <c r="G4" i="43"/>
  <c r="L4" i="43" s="1"/>
  <c r="D2" i="28"/>
  <c r="D17" i="28" s="1"/>
  <c r="D12" i="28" s="1"/>
  <c r="D18" i="28" s="1"/>
  <c r="G4" i="28"/>
  <c r="L4" i="28" s="1"/>
  <c r="K10" i="28"/>
  <c r="L10" i="28" s="1"/>
  <c r="N10" i="28" s="1"/>
  <c r="R10" i="28" s="1"/>
  <c r="K9" i="22"/>
  <c r="H7" i="21"/>
  <c r="L7" i="21" s="1"/>
  <c r="N7" i="21" s="1"/>
  <c r="R7" i="21" s="1"/>
  <c r="G4" i="38"/>
  <c r="L4" i="38" s="1"/>
  <c r="D2" i="38"/>
  <c r="D17" i="38" s="1"/>
  <c r="D12" i="38" s="1"/>
  <c r="D18" i="38" s="1"/>
  <c r="Q8" i="32"/>
  <c r="H6" i="32"/>
  <c r="F5" i="32"/>
  <c r="F3" i="32" s="1"/>
  <c r="G3" i="32" s="1"/>
  <c r="K10" i="39"/>
  <c r="L10" i="39" s="1"/>
  <c r="N10" i="39" s="1"/>
  <c r="R10" i="39" s="1"/>
  <c r="K9" i="33"/>
  <c r="B17" i="20"/>
  <c r="L16" i="20"/>
  <c r="K10" i="24"/>
  <c r="L10" i="24" s="1"/>
  <c r="N10" i="24" s="1"/>
  <c r="R10" i="24" s="1"/>
  <c r="C2" i="24"/>
  <c r="H6" i="22"/>
  <c r="F5" i="22"/>
  <c r="F3" i="22" s="1"/>
  <c r="G3" i="22" s="1"/>
  <c r="Q8" i="22"/>
  <c r="B17" i="40"/>
  <c r="L16" i="40"/>
  <c r="K9" i="17"/>
  <c r="D2" i="14"/>
  <c r="D17" i="14" s="1"/>
  <c r="D12" i="14" s="1"/>
  <c r="D18" i="14" s="1"/>
  <c r="G4" i="14"/>
  <c r="L4" i="14" s="1"/>
  <c r="K10" i="36"/>
  <c r="L10" i="36" s="1"/>
  <c r="N10" i="36" s="1"/>
  <c r="R10" i="36" s="1"/>
  <c r="K9" i="37"/>
  <c r="K9" i="20"/>
  <c r="I8" i="20"/>
  <c r="D2" i="23"/>
  <c r="D17" i="23" s="1"/>
  <c r="D12" i="23" s="1"/>
  <c r="D18" i="23" s="1"/>
  <c r="G4" i="23"/>
  <c r="L4" i="23" s="1"/>
  <c r="K9" i="43"/>
  <c r="K9" i="42"/>
  <c r="C2" i="21"/>
  <c r="B17" i="31"/>
  <c r="L16" i="31"/>
  <c r="C2" i="23"/>
  <c r="B17" i="23"/>
  <c r="L16" i="23"/>
  <c r="K10" i="26"/>
  <c r="L10" i="26" s="1"/>
  <c r="N10" i="26" s="1"/>
  <c r="R10" i="26" s="1"/>
  <c r="K9" i="23"/>
  <c r="K9" i="32"/>
  <c r="B17" i="43"/>
  <c r="L16" i="43"/>
  <c r="K10" i="23"/>
  <c r="L10" i="23" s="1"/>
  <c r="N10" i="23" s="1"/>
  <c r="R10" i="23" s="1"/>
  <c r="H7" i="17"/>
  <c r="L7" i="17" s="1"/>
  <c r="N7" i="17" s="1"/>
  <c r="R7" i="17" s="1"/>
  <c r="K9" i="29"/>
  <c r="Q8" i="21"/>
  <c r="H6" i="21"/>
  <c r="F3" i="21"/>
  <c r="G3" i="21" s="1"/>
  <c r="D2" i="24"/>
  <c r="D17" i="24" s="1"/>
  <c r="D12" i="24" s="1"/>
  <c r="D18" i="24" s="1"/>
  <c r="G4" i="24"/>
  <c r="L4" i="24" s="1"/>
  <c r="Q8" i="29"/>
  <c r="H6" i="29"/>
  <c r="F5" i="29"/>
  <c r="F3" i="29" s="1"/>
  <c r="G3" i="29" s="1"/>
  <c r="K10" i="19"/>
  <c r="L10" i="19" s="1"/>
  <c r="N10" i="19" s="1"/>
  <c r="R10" i="19" s="1"/>
  <c r="L16" i="15"/>
  <c r="K10" i="31"/>
  <c r="L10" i="31" s="1"/>
  <c r="N10" i="31" s="1"/>
  <c r="R10" i="31" s="1"/>
  <c r="D2" i="37"/>
  <c r="D17" i="37" s="1"/>
  <c r="D12" i="37" s="1"/>
  <c r="D18" i="37" s="1"/>
  <c r="G4" i="37"/>
  <c r="L4" i="37" s="1"/>
  <c r="H7" i="30"/>
  <c r="L7" i="30" s="1"/>
  <c r="N7" i="30" s="1"/>
  <c r="R7" i="30" s="1"/>
  <c r="H7" i="41"/>
  <c r="L7" i="41" s="1"/>
  <c r="N7" i="41" s="1"/>
  <c r="R7" i="41" s="1"/>
  <c r="F5" i="23"/>
  <c r="F3" i="23" s="1"/>
  <c r="G3" i="23" s="1"/>
  <c r="Q8" i="23"/>
  <c r="H6" i="23"/>
  <c r="K9" i="30"/>
  <c r="H7" i="38"/>
  <c r="L7" i="38" s="1"/>
  <c r="N7" i="38" s="1"/>
  <c r="R7" i="38" s="1"/>
  <c r="G4" i="21"/>
  <c r="L4" i="21" s="1"/>
  <c r="D2" i="21"/>
  <c r="D17" i="21" s="1"/>
  <c r="D12" i="21" s="1"/>
  <c r="D18" i="21" s="1"/>
  <c r="D2" i="27"/>
  <c r="D17" i="27" s="1"/>
  <c r="D12" i="27" s="1"/>
  <c r="D18" i="27" s="1"/>
  <c r="G4" i="27"/>
  <c r="L4" i="27" s="1"/>
  <c r="K9" i="16"/>
  <c r="B17" i="32"/>
  <c r="L16" i="32"/>
  <c r="H7" i="37"/>
  <c r="L7" i="37" s="1"/>
  <c r="N7" i="37" s="1"/>
  <c r="R7" i="37" s="1"/>
  <c r="B17" i="14"/>
  <c r="L16" i="14"/>
  <c r="D2" i="32"/>
  <c r="D17" i="32" s="1"/>
  <c r="D12" i="32" s="1"/>
  <c r="D18" i="32" s="1"/>
  <c r="G4" i="32"/>
  <c r="L4" i="32" s="1"/>
  <c r="K9" i="41"/>
  <c r="K10" i="40"/>
  <c r="L10" i="40" s="1"/>
  <c r="N10" i="40" s="1"/>
  <c r="R10" i="40" s="1"/>
  <c r="F5" i="24"/>
  <c r="F3" i="24" s="1"/>
  <c r="G3" i="24" s="1"/>
  <c r="H6" i="24"/>
  <c r="Q8" i="24"/>
  <c r="C2" i="29"/>
  <c r="L16" i="22"/>
  <c r="B17" i="22"/>
  <c r="L16" i="34"/>
  <c r="K10" i="22"/>
  <c r="L10" i="22" s="1"/>
  <c r="N10" i="22" s="1"/>
  <c r="R10" i="22" s="1"/>
  <c r="C2" i="38"/>
  <c r="H7" i="16"/>
  <c r="L7" i="16" s="1"/>
  <c r="N7" i="16" s="1"/>
  <c r="R7" i="16" s="1"/>
  <c r="H7" i="18"/>
  <c r="L7" i="18" s="1"/>
  <c r="N7" i="18" s="1"/>
  <c r="R7" i="18" s="1"/>
  <c r="K9" i="11"/>
  <c r="K10" i="27"/>
  <c r="L10" i="27" s="1"/>
  <c r="N10" i="27" s="1"/>
  <c r="R10" i="27" s="1"/>
  <c r="F5" i="42"/>
  <c r="F3" i="42" s="1"/>
  <c r="G3" i="42" s="1"/>
  <c r="H6" i="42"/>
  <c r="Q8" i="42"/>
  <c r="K9" i="26"/>
  <c r="F5" i="38"/>
  <c r="F3" i="38" s="1"/>
  <c r="G3" i="38" s="1"/>
  <c r="Q8" i="38"/>
  <c r="H6" i="38"/>
  <c r="H7" i="40"/>
  <c r="L7" i="40" s="1"/>
  <c r="N7" i="40" s="1"/>
  <c r="R7" i="40" s="1"/>
  <c r="B17" i="38"/>
  <c r="L16" i="38"/>
  <c r="G4" i="42"/>
  <c r="L4" i="42" s="1"/>
  <c r="D2" i="42"/>
  <c r="D17" i="42" s="1"/>
  <c r="D12" i="42" s="1"/>
  <c r="D18" i="42" s="1"/>
  <c r="H7" i="24"/>
  <c r="L7" i="24" s="1"/>
  <c r="N7" i="24" s="1"/>
  <c r="R7" i="24" s="1"/>
  <c r="C2" i="20"/>
  <c r="F5" i="11"/>
  <c r="H6" i="11"/>
  <c r="Q8" i="11"/>
  <c r="B17" i="39"/>
  <c r="L16" i="39"/>
  <c r="L16" i="18"/>
  <c r="B17" i="18"/>
  <c r="C2" i="22"/>
  <c r="B17" i="30"/>
  <c r="L16" i="30"/>
  <c r="C2" i="42"/>
  <c r="L16" i="41"/>
  <c r="B17" i="41"/>
  <c r="K9" i="40"/>
  <c r="L7" i="34"/>
  <c r="N7" i="34" s="1"/>
  <c r="R7" i="34" s="1"/>
  <c r="G4" i="40"/>
  <c r="L4" i="40" s="1"/>
  <c r="D2" i="40"/>
  <c r="D17" i="40" s="1"/>
  <c r="D12" i="40" s="1"/>
  <c r="D18" i="40" s="1"/>
  <c r="C2" i="18"/>
  <c r="G4" i="19"/>
  <c r="L4" i="19" s="1"/>
  <c r="D2" i="19"/>
  <c r="D17" i="19" s="1"/>
  <c r="D12" i="19" s="1"/>
  <c r="D18" i="19" s="1"/>
  <c r="B17" i="19"/>
  <c r="L16" i="19"/>
  <c r="C2" i="26"/>
  <c r="H7" i="31"/>
  <c r="L7" i="31" s="1"/>
  <c r="N7" i="31" s="1"/>
  <c r="R7" i="31" s="1"/>
  <c r="C2" i="14"/>
  <c r="F5" i="43"/>
  <c r="F3" i="43" s="1"/>
  <c r="G3" i="43" s="1"/>
  <c r="Q8" i="43"/>
  <c r="H6" i="43"/>
  <c r="K10" i="11"/>
  <c r="L10" i="11" s="1"/>
  <c r="N10" i="11" s="1"/>
  <c r="R10" i="11" s="1"/>
  <c r="G4" i="30"/>
  <c r="L4" i="30" s="1"/>
  <c r="D2" i="30"/>
  <c r="D17" i="30" s="1"/>
  <c r="D12" i="30" s="1"/>
  <c r="D18" i="30" s="1"/>
  <c r="K9" i="28"/>
  <c r="H7" i="39"/>
  <c r="L7" i="39" s="1"/>
  <c r="N7" i="39" s="1"/>
  <c r="R7" i="39" s="1"/>
  <c r="H6" i="18"/>
  <c r="Q8" i="18"/>
  <c r="K9" i="24"/>
  <c r="C2" i="32"/>
  <c r="L16" i="42"/>
  <c r="B17" i="42"/>
  <c r="H7" i="28"/>
  <c r="L7" i="28" s="1"/>
  <c r="N7" i="28" s="1"/>
  <c r="R7" i="28" s="1"/>
  <c r="H7" i="42"/>
  <c r="L7" i="42" s="1"/>
  <c r="N7" i="42" s="1"/>
  <c r="R7" i="42" s="1"/>
  <c r="K10" i="42"/>
  <c r="L10" i="42" s="1"/>
  <c r="N10" i="42" s="1"/>
  <c r="R10" i="42" s="1"/>
  <c r="K10" i="33"/>
  <c r="L10" i="33" s="1"/>
  <c r="N10" i="33" s="1"/>
  <c r="R10" i="33" s="1"/>
  <c r="H7" i="33"/>
  <c r="L7" i="33" s="1"/>
  <c r="N7" i="33" s="1"/>
  <c r="R7" i="33" s="1"/>
  <c r="H7" i="27"/>
  <c r="L7" i="27" s="1"/>
  <c r="N7" i="27" s="1"/>
  <c r="R7" i="27" s="1"/>
  <c r="F5" i="33"/>
  <c r="F3" i="33" s="1"/>
  <c r="G3" i="33" s="1"/>
  <c r="Q8" i="33"/>
  <c r="H6" i="33"/>
  <c r="C2" i="43"/>
  <c r="K9" i="38"/>
  <c r="K10" i="16"/>
  <c r="L10" i="16" s="1"/>
  <c r="N10" i="16" s="1"/>
  <c r="R10" i="16" s="1"/>
  <c r="Q8" i="35"/>
  <c r="G4" i="16"/>
  <c r="L4" i="16" s="1"/>
  <c r="D2" i="16"/>
  <c r="D17" i="16" s="1"/>
  <c r="D12" i="16" s="1"/>
  <c r="D18" i="16" s="1"/>
  <c r="Q8" i="28"/>
  <c r="F5" i="28"/>
  <c r="F3" i="28" s="1"/>
  <c r="F17" i="28" s="1"/>
  <c r="F12" i="28" s="1"/>
  <c r="F18" i="28" s="1"/>
  <c r="H6" i="28"/>
  <c r="F3" i="27"/>
  <c r="F17" i="27" s="1"/>
  <c r="F12" i="27" s="1"/>
  <c r="F18" i="27" s="1"/>
  <c r="H6" i="27"/>
  <c r="Q8" i="27"/>
  <c r="C2" i="41"/>
  <c r="B17" i="24"/>
  <c r="L16" i="24"/>
  <c r="C2" i="33"/>
  <c r="C2" i="40"/>
  <c r="C2" i="11"/>
  <c r="K10" i="43"/>
  <c r="L10" i="43" s="1"/>
  <c r="N10" i="43" s="1"/>
  <c r="R10" i="43" s="1"/>
  <c r="Q8" i="20"/>
  <c r="F3" i="20"/>
  <c r="F17" i="20" s="1"/>
  <c r="F12" i="20" s="1"/>
  <c r="F18" i="20" s="1"/>
  <c r="H6" i="20"/>
  <c r="L10" i="34"/>
  <c r="N10" i="34" s="1"/>
  <c r="R10" i="34" s="1"/>
  <c r="L16" i="21"/>
  <c r="B17" i="21"/>
  <c r="K10" i="29"/>
  <c r="L10" i="29" s="1"/>
  <c r="N10" i="29" s="1"/>
  <c r="R10" i="29" s="1"/>
  <c r="H6" i="26"/>
  <c r="F5" i="26"/>
  <c r="F3" i="26" s="1"/>
  <c r="G3" i="26" s="1"/>
  <c r="Q8" i="26"/>
  <c r="C2" i="17"/>
  <c r="K9" i="31"/>
  <c r="K10" i="41"/>
  <c r="L10" i="41" s="1"/>
  <c r="N10" i="41" s="1"/>
  <c r="R10" i="41" s="1"/>
  <c r="C2" i="36"/>
  <c r="K9" i="21"/>
  <c r="I8" i="21"/>
  <c r="K9" i="19"/>
  <c r="Q8" i="30"/>
  <c r="F5" i="30"/>
  <c r="F3" i="30" s="1"/>
  <c r="G3" i="30" s="1"/>
  <c r="H6" i="30"/>
  <c r="H7" i="29"/>
  <c r="L7" i="29" s="1"/>
  <c r="N7" i="29" s="1"/>
  <c r="R7" i="29" s="1"/>
  <c r="K9" i="14"/>
  <c r="C2" i="28"/>
  <c r="F5" i="41"/>
  <c r="F3" i="41" s="1"/>
  <c r="G3" i="41" s="1"/>
  <c r="Q8" i="41"/>
  <c r="H6" i="41"/>
  <c r="G4" i="20"/>
  <c r="L4" i="20" s="1"/>
  <c r="D2" i="20"/>
  <c r="D17" i="20" s="1"/>
  <c r="D12" i="20" s="1"/>
  <c r="D18" i="20" s="1"/>
  <c r="G4" i="39"/>
  <c r="L4" i="39" s="1"/>
  <c r="D2" i="39"/>
  <c r="D17" i="39" s="1"/>
  <c r="D12" i="39" s="1"/>
  <c r="D18" i="39" s="1"/>
  <c r="L16" i="16"/>
  <c r="B17" i="16"/>
  <c r="K10" i="32"/>
  <c r="L10" i="32" s="1"/>
  <c r="N10" i="32" s="1"/>
  <c r="R10" i="32" s="1"/>
  <c r="F5" i="31"/>
  <c r="F3" i="31" s="1"/>
  <c r="G3" i="31" s="1"/>
  <c r="Q8" i="31"/>
  <c r="H6" i="31"/>
  <c r="C2" i="39"/>
  <c r="D2" i="33"/>
  <c r="D17" i="33" s="1"/>
  <c r="D12" i="33" s="1"/>
  <c r="D18" i="33" s="1"/>
  <c r="G4" i="33"/>
  <c r="L4" i="33" s="1"/>
  <c r="L16" i="28"/>
  <c r="B17" i="28"/>
  <c r="H7" i="36"/>
  <c r="L7" i="36" s="1"/>
  <c r="N7" i="36" s="1"/>
  <c r="R7" i="36" s="1"/>
  <c r="H7" i="26"/>
  <c r="L7" i="26" s="1"/>
  <c r="N7" i="26" s="1"/>
  <c r="R7" i="26" s="1"/>
  <c r="F5" i="40"/>
  <c r="F3" i="40" s="1"/>
  <c r="G3" i="40" s="1"/>
  <c r="Q8" i="40"/>
  <c r="H6" i="40"/>
  <c r="G4" i="31"/>
  <c r="L4" i="31" s="1"/>
  <c r="D2" i="31"/>
  <c r="D17" i="31" s="1"/>
  <c r="D12" i="31" s="1"/>
  <c r="D18" i="31" s="1"/>
  <c r="B17" i="29"/>
  <c r="L16" i="29"/>
  <c r="K10" i="38"/>
  <c r="L10" i="38" s="1"/>
  <c r="N10" i="38" s="1"/>
  <c r="R10" i="38" s="1"/>
  <c r="F5" i="36"/>
  <c r="F3" i="36" s="1"/>
  <c r="G3" i="36" s="1"/>
  <c r="Q8" i="36"/>
  <c r="H6" i="36"/>
  <c r="B17" i="33"/>
  <c r="L16" i="33"/>
  <c r="Q8" i="34"/>
  <c r="C2" i="19"/>
  <c r="K10" i="18"/>
  <c r="L10" i="18" s="1"/>
  <c r="N10" i="18" s="1"/>
  <c r="R10" i="18" s="1"/>
  <c r="K10" i="17"/>
  <c r="L10" i="17" s="1"/>
  <c r="N10" i="17" s="1"/>
  <c r="R10" i="17" s="1"/>
  <c r="L16" i="36"/>
  <c r="B17" i="36"/>
  <c r="F3" i="19"/>
  <c r="G3" i="19" s="1"/>
  <c r="H6" i="19"/>
  <c r="Q8" i="19"/>
  <c r="H7" i="23"/>
  <c r="L7" i="23" s="1"/>
  <c r="N7" i="23" s="1"/>
  <c r="R7" i="23" s="1"/>
  <c r="D2" i="22"/>
  <c r="D17" i="22" s="1"/>
  <c r="D12" i="22" s="1"/>
  <c r="D18" i="22" s="1"/>
  <c r="G4" i="22"/>
  <c r="L4" i="22" s="1"/>
  <c r="H7" i="14"/>
  <c r="L7" i="14" s="1"/>
  <c r="N7" i="14" s="1"/>
  <c r="R7" i="14" s="1"/>
  <c r="B17" i="11"/>
  <c r="L16" i="11"/>
  <c r="K10" i="21"/>
  <c r="L10" i="21" s="1"/>
  <c r="N10" i="21" s="1"/>
  <c r="R10" i="21" s="1"/>
  <c r="J8" i="21"/>
  <c r="F5" i="17"/>
  <c r="F3" i="17" s="1"/>
  <c r="G3" i="17" s="1"/>
  <c r="Q8" i="17"/>
  <c r="H6" i="17"/>
  <c r="C2" i="30"/>
  <c r="C2" i="37"/>
  <c r="K9" i="36"/>
  <c r="K9" i="27"/>
  <c r="H7" i="43"/>
  <c r="L7" i="43" s="1"/>
  <c r="N7" i="43" s="1"/>
  <c r="R7" i="43" s="1"/>
  <c r="B17" i="37"/>
  <c r="L16" i="37"/>
  <c r="H6" i="37"/>
  <c r="F5" i="37"/>
  <c r="F3" i="37" s="1"/>
  <c r="G3" i="37" s="1"/>
  <c r="Q8" i="37"/>
  <c r="G4" i="11"/>
  <c r="L4" i="11" s="1"/>
  <c r="D2" i="11"/>
  <c r="D17" i="11" s="1"/>
  <c r="D12" i="11" s="1"/>
  <c r="D18" i="11" s="1"/>
  <c r="G4" i="36"/>
  <c r="L4" i="36" s="1"/>
  <c r="D2" i="36"/>
  <c r="D17" i="36" s="1"/>
  <c r="D12" i="36" s="1"/>
  <c r="D18" i="36" s="1"/>
  <c r="J8" i="34" l="1"/>
  <c r="J17" i="34" s="1"/>
  <c r="J13" i="34" s="1"/>
  <c r="I8" i="34"/>
  <c r="I17" i="34" s="1"/>
  <c r="I13" i="34" s="1"/>
  <c r="F17" i="35"/>
  <c r="F12" i="35" s="1"/>
  <c r="F18" i="35" s="1"/>
  <c r="G3" i="35"/>
  <c r="G5" i="35" s="1"/>
  <c r="H17" i="35"/>
  <c r="H12" i="35" s="1"/>
  <c r="H18" i="35" s="1"/>
  <c r="K17" i="35"/>
  <c r="G5" i="18"/>
  <c r="H17" i="34"/>
  <c r="H12" i="34" s="1"/>
  <c r="H18" i="34" s="1"/>
  <c r="G3" i="34"/>
  <c r="G5" i="34" s="1"/>
  <c r="K17" i="34"/>
  <c r="J8" i="29"/>
  <c r="I8" i="29"/>
  <c r="F17" i="15"/>
  <c r="F12" i="15" s="1"/>
  <c r="F18" i="15" s="1"/>
  <c r="G3" i="15"/>
  <c r="J8" i="15"/>
  <c r="J17" i="15" s="1"/>
  <c r="J13" i="15" s="1"/>
  <c r="I8" i="15"/>
  <c r="I17" i="15" s="1"/>
  <c r="I13" i="15" s="1"/>
  <c r="H17" i="15"/>
  <c r="H12" i="15" s="1"/>
  <c r="H18" i="15" s="1"/>
  <c r="K17" i="15"/>
  <c r="J8" i="19"/>
  <c r="J17" i="19" s="1"/>
  <c r="J13" i="19" s="1"/>
  <c r="I8" i="19"/>
  <c r="J17" i="29"/>
  <c r="J13" i="29" s="1"/>
  <c r="J17" i="21"/>
  <c r="J13" i="21" s="1"/>
  <c r="J17" i="20"/>
  <c r="J13" i="20" s="1"/>
  <c r="G3" i="16"/>
  <c r="G3" i="20"/>
  <c r="L3" i="20" s="1"/>
  <c r="G3" i="28"/>
  <c r="G5" i="28" s="1"/>
  <c r="L5" i="28" s="1"/>
  <c r="G3" i="39"/>
  <c r="G5" i="39" s="1"/>
  <c r="L5" i="39" s="1"/>
  <c r="Q5" i="39" s="1"/>
  <c r="E17" i="39" s="1"/>
  <c r="G3" i="27"/>
  <c r="I18" i="11"/>
  <c r="J18" i="11" s="1"/>
  <c r="J8" i="11" s="1"/>
  <c r="I18" i="16"/>
  <c r="J18" i="16" s="1"/>
  <c r="J8" i="16" s="1"/>
  <c r="I18" i="31"/>
  <c r="J18" i="31" s="1"/>
  <c r="J8" i="31" s="1"/>
  <c r="I18" i="26"/>
  <c r="J18" i="26" s="1"/>
  <c r="J8" i="26" s="1"/>
  <c r="I18" i="38"/>
  <c r="J18" i="38" s="1"/>
  <c r="J8" i="38" s="1"/>
  <c r="I18" i="18"/>
  <c r="J18" i="18" s="1"/>
  <c r="J8" i="18" s="1"/>
  <c r="I18" i="30"/>
  <c r="I8" i="30" s="1"/>
  <c r="I18" i="37"/>
  <c r="J18" i="37" s="1"/>
  <c r="J8" i="37" s="1"/>
  <c r="I18" i="36"/>
  <c r="J18" i="36" s="1"/>
  <c r="J8" i="36" s="1"/>
  <c r="I18" i="33"/>
  <c r="J18" i="33" s="1"/>
  <c r="J8" i="33" s="1"/>
  <c r="I18" i="40"/>
  <c r="J18" i="40" s="1"/>
  <c r="J8" i="40" s="1"/>
  <c r="I18" i="28"/>
  <c r="J18" i="28" s="1"/>
  <c r="J8" i="28" s="1"/>
  <c r="I18" i="23"/>
  <c r="J18" i="23" s="1"/>
  <c r="J8" i="23" s="1"/>
  <c r="I18" i="42"/>
  <c r="J18" i="42" s="1"/>
  <c r="J8" i="42" s="1"/>
  <c r="I18" i="24"/>
  <c r="J18" i="24" s="1"/>
  <c r="J8" i="24" s="1"/>
  <c r="I18" i="17"/>
  <c r="J18" i="17" s="1"/>
  <c r="J8" i="17" s="1"/>
  <c r="I18" i="22"/>
  <c r="J18" i="22" s="1"/>
  <c r="J8" i="22" s="1"/>
  <c r="I18" i="39"/>
  <c r="J18" i="39" s="1"/>
  <c r="J8" i="39" s="1"/>
  <c r="I18" i="27"/>
  <c r="J18" i="27" s="1"/>
  <c r="J8" i="27" s="1"/>
  <c r="I18" i="32"/>
  <c r="J18" i="32" s="1"/>
  <c r="J8" i="32" s="1"/>
  <c r="I18" i="43"/>
  <c r="J18" i="43" s="1"/>
  <c r="J8" i="43" s="1"/>
  <c r="G5" i="14"/>
  <c r="L5" i="14" s="1"/>
  <c r="Q5" i="14" s="1"/>
  <c r="E17" i="14" s="1"/>
  <c r="G5" i="42"/>
  <c r="L5" i="42" s="1"/>
  <c r="L3" i="17"/>
  <c r="G5" i="19"/>
  <c r="L5" i="19" s="1"/>
  <c r="G5" i="26"/>
  <c r="L5" i="26" s="1"/>
  <c r="N4" i="14"/>
  <c r="R4" i="14" s="1"/>
  <c r="N4" i="38"/>
  <c r="R4" i="38" s="1"/>
  <c r="N4" i="17"/>
  <c r="R4" i="17" s="1"/>
  <c r="N4" i="16"/>
  <c r="R4" i="16" s="1"/>
  <c r="N4" i="33"/>
  <c r="R4" i="33" s="1"/>
  <c r="N4" i="40"/>
  <c r="R4" i="40" s="1"/>
  <c r="N4" i="32"/>
  <c r="R4" i="32" s="1"/>
  <c r="N4" i="23"/>
  <c r="R4" i="23" s="1"/>
  <c r="N4" i="29"/>
  <c r="R4" i="29" s="1"/>
  <c r="N4" i="30"/>
  <c r="R4" i="30" s="1"/>
  <c r="N4" i="28"/>
  <c r="R4" i="28" s="1"/>
  <c r="N4" i="26"/>
  <c r="R4" i="26" s="1"/>
  <c r="N4" i="36"/>
  <c r="R4" i="36" s="1"/>
  <c r="N4" i="39"/>
  <c r="R4" i="39" s="1"/>
  <c r="N4" i="42"/>
  <c r="R4" i="42" s="1"/>
  <c r="N4" i="27"/>
  <c r="R4" i="27" s="1"/>
  <c r="N4" i="11"/>
  <c r="R4" i="11" s="1"/>
  <c r="L3" i="30"/>
  <c r="N4" i="41"/>
  <c r="R4" i="41" s="1"/>
  <c r="N4" i="19"/>
  <c r="R4" i="19" s="1"/>
  <c r="N4" i="31"/>
  <c r="R4" i="31" s="1"/>
  <c r="N4" i="20"/>
  <c r="R4" i="20" s="1"/>
  <c r="G5" i="31"/>
  <c r="L5" i="31" s="1"/>
  <c r="N4" i="22"/>
  <c r="R4" i="22" s="1"/>
  <c r="G5" i="43"/>
  <c r="L5" i="43" s="1"/>
  <c r="Q5" i="43" s="1"/>
  <c r="E17" i="43" s="1"/>
  <c r="N4" i="21"/>
  <c r="R4" i="21" s="1"/>
  <c r="N4" i="37"/>
  <c r="R4" i="37" s="1"/>
  <c r="N4" i="24"/>
  <c r="R4" i="24" s="1"/>
  <c r="N4" i="43"/>
  <c r="R4" i="43" s="1"/>
  <c r="G5" i="33"/>
  <c r="G5" i="40"/>
  <c r="L5" i="40" s="1"/>
  <c r="G5" i="37"/>
  <c r="L5" i="37" s="1"/>
  <c r="L3" i="32"/>
  <c r="G5" i="24"/>
  <c r="F17" i="18"/>
  <c r="F12" i="18" s="1"/>
  <c r="F18" i="18" s="1"/>
  <c r="B12" i="30"/>
  <c r="L6" i="11"/>
  <c r="N6" i="11" s="1"/>
  <c r="R6" i="11" s="1"/>
  <c r="H17" i="11"/>
  <c r="H12" i="11" s="1"/>
  <c r="H18" i="11" s="1"/>
  <c r="C17" i="29"/>
  <c r="C12" i="29" s="1"/>
  <c r="C18" i="29" s="1"/>
  <c r="L2" i="29"/>
  <c r="P2" i="29" s="1"/>
  <c r="N2" i="29" s="1"/>
  <c r="R2" i="29" s="1"/>
  <c r="K17" i="30"/>
  <c r="L9" i="30"/>
  <c r="N9" i="30" s="1"/>
  <c r="R9" i="30" s="1"/>
  <c r="Q11" i="30"/>
  <c r="M11" i="30" s="1"/>
  <c r="R16" i="23"/>
  <c r="Q16" i="23"/>
  <c r="F17" i="22"/>
  <c r="F12" i="22" s="1"/>
  <c r="F18" i="22" s="1"/>
  <c r="Q11" i="39"/>
  <c r="M11" i="39" s="1"/>
  <c r="L9" i="39"/>
  <c r="N9" i="39" s="1"/>
  <c r="R9" i="39" s="1"/>
  <c r="K17" i="39"/>
  <c r="Q16" i="36"/>
  <c r="R16" i="36"/>
  <c r="B12" i="28"/>
  <c r="L9" i="35"/>
  <c r="N9" i="35" s="1"/>
  <c r="R9" i="35" s="1"/>
  <c r="Q11" i="35"/>
  <c r="M11" i="35" s="1"/>
  <c r="B12" i="33"/>
  <c r="R16" i="28"/>
  <c r="Q16" i="28"/>
  <c r="F17" i="41"/>
  <c r="F12" i="41" s="1"/>
  <c r="F18" i="41" s="1"/>
  <c r="F17" i="30"/>
  <c r="F12" i="30" s="1"/>
  <c r="F18" i="30" s="1"/>
  <c r="B12" i="21"/>
  <c r="L2" i="11"/>
  <c r="P2" i="11" s="1"/>
  <c r="N2" i="11" s="1"/>
  <c r="R2" i="11" s="1"/>
  <c r="C17" i="11"/>
  <c r="C12" i="11" s="1"/>
  <c r="C18" i="11" s="1"/>
  <c r="L6" i="27"/>
  <c r="N6" i="27" s="1"/>
  <c r="R6" i="27" s="1"/>
  <c r="H17" i="27"/>
  <c r="H12" i="27" s="1"/>
  <c r="H18" i="27" s="1"/>
  <c r="C17" i="14"/>
  <c r="C12" i="14" s="1"/>
  <c r="C18" i="14" s="1"/>
  <c r="L2" i="14"/>
  <c r="P2" i="14" s="1"/>
  <c r="N2" i="14" s="1"/>
  <c r="R2" i="14" s="1"/>
  <c r="L3" i="22"/>
  <c r="F3" i="11"/>
  <c r="G3" i="11" s="1"/>
  <c r="I18" i="41"/>
  <c r="Q11" i="16"/>
  <c r="M11" i="16" s="1"/>
  <c r="L9" i="16"/>
  <c r="N9" i="16" s="1"/>
  <c r="R9" i="16" s="1"/>
  <c r="K17" i="16"/>
  <c r="L6" i="23"/>
  <c r="N6" i="23" s="1"/>
  <c r="R6" i="23" s="1"/>
  <c r="H17" i="23"/>
  <c r="H12" i="23" s="1"/>
  <c r="H18" i="23" s="1"/>
  <c r="B12" i="23"/>
  <c r="Q11" i="42"/>
  <c r="M11" i="42" s="1"/>
  <c r="K17" i="42"/>
  <c r="L9" i="42"/>
  <c r="N9" i="42" s="1"/>
  <c r="R9" i="42" s="1"/>
  <c r="Q11" i="37"/>
  <c r="M11" i="37" s="1"/>
  <c r="L9" i="37"/>
  <c r="N9" i="37" s="1"/>
  <c r="R9" i="37" s="1"/>
  <c r="K17" i="37"/>
  <c r="L6" i="22"/>
  <c r="N6" i="22" s="1"/>
  <c r="R6" i="22" s="1"/>
  <c r="H17" i="22"/>
  <c r="H12" i="22" s="1"/>
  <c r="H18" i="22" s="1"/>
  <c r="L6" i="39"/>
  <c r="N6" i="39" s="1"/>
  <c r="R6" i="39" s="1"/>
  <c r="H17" i="39"/>
  <c r="H12" i="39" s="1"/>
  <c r="H18" i="39" s="1"/>
  <c r="R16" i="33"/>
  <c r="Q16" i="33"/>
  <c r="R16" i="21"/>
  <c r="Q16" i="21"/>
  <c r="L9" i="38"/>
  <c r="N9" i="38" s="1"/>
  <c r="R9" i="38" s="1"/>
  <c r="Q11" i="38"/>
  <c r="M11" i="38" s="1"/>
  <c r="K17" i="38"/>
  <c r="K17" i="40"/>
  <c r="Q11" i="40"/>
  <c r="M11" i="40" s="1"/>
  <c r="L9" i="40"/>
  <c r="N9" i="40" s="1"/>
  <c r="R9" i="40" s="1"/>
  <c r="C17" i="22"/>
  <c r="C12" i="22" s="1"/>
  <c r="C18" i="22" s="1"/>
  <c r="L2" i="22"/>
  <c r="P2" i="22" s="1"/>
  <c r="N2" i="22" s="1"/>
  <c r="R2" i="22" s="1"/>
  <c r="H17" i="38"/>
  <c r="H12" i="38" s="1"/>
  <c r="H18" i="38" s="1"/>
  <c r="L6" i="38"/>
  <c r="N6" i="38" s="1"/>
  <c r="R6" i="38" s="1"/>
  <c r="L9" i="41"/>
  <c r="N9" i="41" s="1"/>
  <c r="R9" i="41" s="1"/>
  <c r="Q11" i="41"/>
  <c r="M11" i="41" s="1"/>
  <c r="K17" i="41"/>
  <c r="R16" i="43"/>
  <c r="Q16" i="43"/>
  <c r="L9" i="33"/>
  <c r="N9" i="33" s="1"/>
  <c r="R9" i="33" s="1"/>
  <c r="K17" i="33"/>
  <c r="Q11" i="33"/>
  <c r="M11" i="33" s="1"/>
  <c r="C17" i="31"/>
  <c r="C12" i="31" s="1"/>
  <c r="C18" i="31" s="1"/>
  <c r="L2" i="31"/>
  <c r="P2" i="31" s="1"/>
  <c r="N2" i="31" s="1"/>
  <c r="R2" i="31" s="1"/>
  <c r="R16" i="17"/>
  <c r="Q16" i="17"/>
  <c r="Q11" i="31"/>
  <c r="M11" i="31" s="1"/>
  <c r="L9" i="31"/>
  <c r="N9" i="31" s="1"/>
  <c r="R9" i="31" s="1"/>
  <c r="K17" i="31"/>
  <c r="L2" i="35"/>
  <c r="P2" i="35" s="1"/>
  <c r="N2" i="35" s="1"/>
  <c r="R2" i="35" s="1"/>
  <c r="L6" i="17"/>
  <c r="N6" i="17" s="1"/>
  <c r="R6" i="17" s="1"/>
  <c r="H17" i="17"/>
  <c r="H12" i="17" s="1"/>
  <c r="H18" i="17" s="1"/>
  <c r="L6" i="28"/>
  <c r="N6" i="28" s="1"/>
  <c r="R6" i="28" s="1"/>
  <c r="H17" i="28"/>
  <c r="H12" i="28" s="1"/>
  <c r="H18" i="28" s="1"/>
  <c r="L6" i="35"/>
  <c r="N6" i="35" s="1"/>
  <c r="R6" i="35" s="1"/>
  <c r="L2" i="34"/>
  <c r="P2" i="34" s="1"/>
  <c r="N2" i="34" s="1"/>
  <c r="R2" i="34" s="1"/>
  <c r="K17" i="28"/>
  <c r="Q11" i="28"/>
  <c r="M11" i="28" s="1"/>
  <c r="L9" i="28"/>
  <c r="N9" i="28" s="1"/>
  <c r="R9" i="28" s="1"/>
  <c r="B12" i="41"/>
  <c r="B12" i="18"/>
  <c r="C17" i="20"/>
  <c r="C12" i="20" s="1"/>
  <c r="C18" i="20" s="1"/>
  <c r="L2" i="20"/>
  <c r="P2" i="20" s="1"/>
  <c r="N2" i="20" s="1"/>
  <c r="R2" i="20" s="1"/>
  <c r="K17" i="11"/>
  <c r="Q11" i="11"/>
  <c r="M11" i="11" s="1"/>
  <c r="L9" i="11"/>
  <c r="N9" i="11" s="1"/>
  <c r="R9" i="11" s="1"/>
  <c r="F17" i="23"/>
  <c r="F12" i="23" s="1"/>
  <c r="F18" i="23" s="1"/>
  <c r="F17" i="21"/>
  <c r="F12" i="21" s="1"/>
  <c r="F18" i="21" s="1"/>
  <c r="B12" i="43"/>
  <c r="Q11" i="43"/>
  <c r="M11" i="43" s="1"/>
  <c r="K17" i="43"/>
  <c r="L9" i="43"/>
  <c r="N9" i="43" s="1"/>
  <c r="R9" i="43" s="1"/>
  <c r="C17" i="24"/>
  <c r="C12" i="24" s="1"/>
  <c r="C18" i="24" s="1"/>
  <c r="L2" i="24"/>
  <c r="P2" i="24" s="1"/>
  <c r="N2" i="24" s="1"/>
  <c r="R2" i="24" s="1"/>
  <c r="L9" i="22"/>
  <c r="N9" i="22" s="1"/>
  <c r="R9" i="22" s="1"/>
  <c r="Q11" i="22"/>
  <c r="M11" i="22" s="1"/>
  <c r="K17" i="22"/>
  <c r="L6" i="16"/>
  <c r="N6" i="16" s="1"/>
  <c r="R6" i="16" s="1"/>
  <c r="H17" i="16"/>
  <c r="H12" i="16" s="1"/>
  <c r="H18" i="16" s="1"/>
  <c r="H17" i="14"/>
  <c r="H12" i="14" s="1"/>
  <c r="H18" i="14" s="1"/>
  <c r="L6" i="14"/>
  <c r="N6" i="14" s="1"/>
  <c r="R6" i="14" s="1"/>
  <c r="B12" i="17"/>
  <c r="C17" i="27"/>
  <c r="C12" i="27" s="1"/>
  <c r="C18" i="27" s="1"/>
  <c r="L2" i="27"/>
  <c r="P2" i="27" s="1"/>
  <c r="N2" i="27" s="1"/>
  <c r="R2" i="27" s="1"/>
  <c r="L6" i="30"/>
  <c r="N6" i="30" s="1"/>
  <c r="R6" i="30" s="1"/>
  <c r="H17" i="30"/>
  <c r="H12" i="30" s="1"/>
  <c r="H18" i="30" s="1"/>
  <c r="L6" i="36"/>
  <c r="N6" i="36" s="1"/>
  <c r="R6" i="36" s="1"/>
  <c r="H17" i="36"/>
  <c r="H12" i="36" s="1"/>
  <c r="H18" i="36" s="1"/>
  <c r="L9" i="19"/>
  <c r="N9" i="19" s="1"/>
  <c r="R9" i="19" s="1"/>
  <c r="K17" i="19"/>
  <c r="Q11" i="19"/>
  <c r="M11" i="19" s="1"/>
  <c r="C17" i="43"/>
  <c r="C12" i="43" s="1"/>
  <c r="C18" i="43" s="1"/>
  <c r="L2" i="43"/>
  <c r="P2" i="43" s="1"/>
  <c r="N2" i="43" s="1"/>
  <c r="R2" i="43" s="1"/>
  <c r="C17" i="18"/>
  <c r="C12" i="18" s="1"/>
  <c r="C18" i="18" s="1"/>
  <c r="L2" i="18"/>
  <c r="P2" i="18" s="1"/>
  <c r="N2" i="18" s="1"/>
  <c r="R2" i="18" s="1"/>
  <c r="R16" i="41"/>
  <c r="Q16" i="41"/>
  <c r="Q16" i="18"/>
  <c r="R16" i="18"/>
  <c r="F17" i="38"/>
  <c r="F12" i="38" s="1"/>
  <c r="F18" i="38" s="1"/>
  <c r="Q16" i="34"/>
  <c r="R16" i="34"/>
  <c r="L6" i="24"/>
  <c r="N6" i="24" s="1"/>
  <c r="R6" i="24" s="1"/>
  <c r="H17" i="24"/>
  <c r="H12" i="24" s="1"/>
  <c r="H18" i="24" s="1"/>
  <c r="Q16" i="32"/>
  <c r="R16" i="32"/>
  <c r="H17" i="21"/>
  <c r="H12" i="21" s="1"/>
  <c r="H18" i="21" s="1"/>
  <c r="L6" i="21"/>
  <c r="N6" i="21" s="1"/>
  <c r="R6" i="21" s="1"/>
  <c r="R16" i="27"/>
  <c r="Q16" i="27"/>
  <c r="I18" i="14"/>
  <c r="C17" i="30"/>
  <c r="C12" i="30" s="1"/>
  <c r="C18" i="30" s="1"/>
  <c r="L2" i="30"/>
  <c r="P2" i="30" s="1"/>
  <c r="N2" i="30" s="1"/>
  <c r="R2" i="30" s="1"/>
  <c r="B12" i="16"/>
  <c r="L2" i="15"/>
  <c r="P2" i="15" s="1"/>
  <c r="N2" i="15" s="1"/>
  <c r="R2" i="15" s="1"/>
  <c r="C17" i="28"/>
  <c r="C12" i="28" s="1"/>
  <c r="C18" i="28" s="1"/>
  <c r="L2" i="28"/>
  <c r="P2" i="28" s="1"/>
  <c r="N2" i="28" s="1"/>
  <c r="R2" i="28" s="1"/>
  <c r="L2" i="40"/>
  <c r="P2" i="40" s="1"/>
  <c r="N2" i="40" s="1"/>
  <c r="R2" i="40" s="1"/>
  <c r="C17" i="40"/>
  <c r="C12" i="40" s="1"/>
  <c r="C18" i="40" s="1"/>
  <c r="Q11" i="27"/>
  <c r="M11" i="27" s="1"/>
  <c r="K17" i="27"/>
  <c r="L9" i="27"/>
  <c r="N9" i="27" s="1"/>
  <c r="R9" i="27" s="1"/>
  <c r="L2" i="17"/>
  <c r="P2" i="17" s="1"/>
  <c r="N2" i="17" s="1"/>
  <c r="R2" i="17" s="1"/>
  <c r="C17" i="17"/>
  <c r="C12" i="17" s="1"/>
  <c r="C18" i="17" s="1"/>
  <c r="F17" i="17"/>
  <c r="F12" i="17" s="1"/>
  <c r="F18" i="17" s="1"/>
  <c r="F17" i="40"/>
  <c r="F12" i="40" s="1"/>
  <c r="F18" i="40" s="1"/>
  <c r="C17" i="39"/>
  <c r="C12" i="39" s="1"/>
  <c r="C18" i="39" s="1"/>
  <c r="L2" i="39"/>
  <c r="P2" i="39" s="1"/>
  <c r="N2" i="39" s="1"/>
  <c r="R2" i="39" s="1"/>
  <c r="L8" i="21"/>
  <c r="N8" i="21" s="1"/>
  <c r="R8" i="21" s="1"/>
  <c r="I17" i="21"/>
  <c r="I13" i="21" s="1"/>
  <c r="C17" i="33"/>
  <c r="C12" i="33" s="1"/>
  <c r="C18" i="33" s="1"/>
  <c r="L2" i="33"/>
  <c r="P2" i="33" s="1"/>
  <c r="N2" i="33" s="1"/>
  <c r="R2" i="33" s="1"/>
  <c r="Q11" i="24"/>
  <c r="M11" i="24" s="1"/>
  <c r="K17" i="24"/>
  <c r="L9" i="24"/>
  <c r="N9" i="24" s="1"/>
  <c r="R9" i="24" s="1"/>
  <c r="C17" i="26"/>
  <c r="C12" i="26" s="1"/>
  <c r="C18" i="26" s="1"/>
  <c r="L2" i="26"/>
  <c r="P2" i="26" s="1"/>
  <c r="N2" i="26" s="1"/>
  <c r="R2" i="26" s="1"/>
  <c r="F17" i="24"/>
  <c r="F12" i="24" s="1"/>
  <c r="F18" i="24" s="1"/>
  <c r="B12" i="32"/>
  <c r="Q16" i="15"/>
  <c r="R16" i="15"/>
  <c r="Q11" i="32"/>
  <c r="M11" i="32" s="1"/>
  <c r="L9" i="32"/>
  <c r="N9" i="32" s="1"/>
  <c r="R9" i="32" s="1"/>
  <c r="K17" i="32"/>
  <c r="L2" i="23"/>
  <c r="P2" i="23" s="1"/>
  <c r="R2" i="23" s="1"/>
  <c r="C17" i="23"/>
  <c r="C12" i="23" s="1"/>
  <c r="C18" i="23" s="1"/>
  <c r="F17" i="32"/>
  <c r="F12" i="32" s="1"/>
  <c r="F18" i="32" s="1"/>
  <c r="B12" i="27"/>
  <c r="F17" i="14"/>
  <c r="F12" i="14" s="1"/>
  <c r="F18" i="14" s="1"/>
  <c r="L9" i="18"/>
  <c r="N9" i="18" s="1"/>
  <c r="R9" i="18" s="1"/>
  <c r="K17" i="18"/>
  <c r="Q11" i="18"/>
  <c r="M11" i="18" s="1"/>
  <c r="F17" i="19"/>
  <c r="F12" i="19" s="1"/>
  <c r="F18" i="19" s="1"/>
  <c r="B12" i="29"/>
  <c r="R16" i="16"/>
  <c r="Q16" i="16"/>
  <c r="C17" i="19"/>
  <c r="C12" i="19" s="1"/>
  <c r="C18" i="19" s="1"/>
  <c r="L2" i="19"/>
  <c r="L6" i="20"/>
  <c r="N6" i="20" s="1"/>
  <c r="R6" i="20" s="1"/>
  <c r="H17" i="20"/>
  <c r="H12" i="20" s="1"/>
  <c r="H18" i="20" s="1"/>
  <c r="K17" i="26"/>
  <c r="L9" i="26"/>
  <c r="N9" i="26" s="1"/>
  <c r="R9" i="26" s="1"/>
  <c r="Q11" i="26"/>
  <c r="M11" i="26" s="1"/>
  <c r="K17" i="29"/>
  <c r="Q11" i="29"/>
  <c r="M11" i="29" s="1"/>
  <c r="L9" i="29"/>
  <c r="N9" i="29" s="1"/>
  <c r="R9" i="29" s="1"/>
  <c r="Q16" i="31"/>
  <c r="R16" i="31"/>
  <c r="L8" i="20"/>
  <c r="N8" i="20" s="1"/>
  <c r="R8" i="20" s="1"/>
  <c r="I17" i="20"/>
  <c r="I13" i="20" s="1"/>
  <c r="Q11" i="17"/>
  <c r="M11" i="17" s="1"/>
  <c r="K17" i="17"/>
  <c r="L9" i="17"/>
  <c r="N9" i="17" s="1"/>
  <c r="R9" i="17" s="1"/>
  <c r="Q16" i="20"/>
  <c r="R16" i="20"/>
  <c r="H17" i="32"/>
  <c r="H12" i="32" s="1"/>
  <c r="H18" i="32" s="1"/>
  <c r="L6" i="32"/>
  <c r="N6" i="32" s="1"/>
  <c r="R6" i="32" s="1"/>
  <c r="B12" i="37"/>
  <c r="C17" i="37"/>
  <c r="C12" i="37" s="1"/>
  <c r="C18" i="37" s="1"/>
  <c r="L2" i="37"/>
  <c r="P2" i="37" s="1"/>
  <c r="N2" i="37" s="1"/>
  <c r="R2" i="37" s="1"/>
  <c r="L6" i="40"/>
  <c r="N6" i="40" s="1"/>
  <c r="R6" i="40" s="1"/>
  <c r="H17" i="40"/>
  <c r="H12" i="40" s="1"/>
  <c r="H18" i="40" s="1"/>
  <c r="F17" i="36"/>
  <c r="F12" i="36" s="1"/>
  <c r="F18" i="36" s="1"/>
  <c r="H17" i="31"/>
  <c r="H12" i="31" s="1"/>
  <c r="H18" i="31" s="1"/>
  <c r="L6" i="31"/>
  <c r="N6" i="31" s="1"/>
  <c r="R6" i="31" s="1"/>
  <c r="K17" i="21"/>
  <c r="Q11" i="21"/>
  <c r="M11" i="21" s="1"/>
  <c r="L9" i="21"/>
  <c r="N9" i="21" s="1"/>
  <c r="R9" i="21" s="1"/>
  <c r="F17" i="26"/>
  <c r="F12" i="26" s="1"/>
  <c r="F18" i="26" s="1"/>
  <c r="R16" i="24"/>
  <c r="Q16" i="24"/>
  <c r="B12" i="42"/>
  <c r="Q16" i="19"/>
  <c r="R16" i="19"/>
  <c r="F17" i="37"/>
  <c r="F12" i="37" s="1"/>
  <c r="F18" i="37" s="1"/>
  <c r="L6" i="19"/>
  <c r="N6" i="19" s="1"/>
  <c r="R6" i="19" s="1"/>
  <c r="H17" i="19"/>
  <c r="H12" i="19" s="1"/>
  <c r="H18" i="19" s="1"/>
  <c r="L6" i="34"/>
  <c r="N6" i="34" s="1"/>
  <c r="R6" i="34" s="1"/>
  <c r="L9" i="14"/>
  <c r="N9" i="14" s="1"/>
  <c r="R9" i="14" s="1"/>
  <c r="Q11" i="14"/>
  <c r="M11" i="14" s="1"/>
  <c r="K17" i="14"/>
  <c r="L3" i="36"/>
  <c r="H17" i="26"/>
  <c r="H12" i="26" s="1"/>
  <c r="H18" i="26" s="1"/>
  <c r="L6" i="26"/>
  <c r="N6" i="26" s="1"/>
  <c r="R6" i="26" s="1"/>
  <c r="B12" i="24"/>
  <c r="L6" i="33"/>
  <c r="N6" i="33" s="1"/>
  <c r="R6" i="33" s="1"/>
  <c r="H17" i="33"/>
  <c r="H12" i="33" s="1"/>
  <c r="H18" i="33" s="1"/>
  <c r="Q16" i="42"/>
  <c r="R16" i="42"/>
  <c r="L6" i="43"/>
  <c r="N6" i="43" s="1"/>
  <c r="R6" i="43" s="1"/>
  <c r="H17" i="43"/>
  <c r="H12" i="43" s="1"/>
  <c r="H18" i="43" s="1"/>
  <c r="B12" i="19"/>
  <c r="R16" i="39"/>
  <c r="Q16" i="39"/>
  <c r="B12" i="22"/>
  <c r="Q16" i="14"/>
  <c r="R16" i="14"/>
  <c r="I17" i="29"/>
  <c r="I13" i="29" s="1"/>
  <c r="L8" i="29"/>
  <c r="N8" i="29" s="1"/>
  <c r="R8" i="29" s="1"/>
  <c r="K17" i="23"/>
  <c r="L9" i="23"/>
  <c r="N9" i="23" s="1"/>
  <c r="R9" i="23" s="1"/>
  <c r="Q11" i="23"/>
  <c r="M11" i="23" s="1"/>
  <c r="B12" i="31"/>
  <c r="L9" i="20"/>
  <c r="N9" i="20" s="1"/>
  <c r="R9" i="20" s="1"/>
  <c r="K17" i="20"/>
  <c r="Q11" i="20"/>
  <c r="M11" i="20" s="1"/>
  <c r="Q16" i="40"/>
  <c r="R16" i="40"/>
  <c r="B12" i="20"/>
  <c r="L9" i="15"/>
  <c r="N9" i="15" s="1"/>
  <c r="R9" i="15" s="1"/>
  <c r="Q11" i="15"/>
  <c r="M11" i="15" s="1"/>
  <c r="L2" i="16"/>
  <c r="P2" i="16" s="1"/>
  <c r="N2" i="16" s="1"/>
  <c r="R2" i="16" s="1"/>
  <c r="C17" i="16"/>
  <c r="C12" i="16" s="1"/>
  <c r="C18" i="16" s="1"/>
  <c r="R16" i="35"/>
  <c r="Q16" i="35"/>
  <c r="L6" i="37"/>
  <c r="N6" i="37" s="1"/>
  <c r="R6" i="37" s="1"/>
  <c r="H17" i="37"/>
  <c r="H12" i="37" s="1"/>
  <c r="H18" i="37" s="1"/>
  <c r="Q11" i="36"/>
  <c r="M11" i="36" s="1"/>
  <c r="K17" i="36"/>
  <c r="L9" i="36"/>
  <c r="N9" i="36" s="1"/>
  <c r="R9" i="36" s="1"/>
  <c r="R16" i="11"/>
  <c r="Q16" i="11"/>
  <c r="F17" i="31"/>
  <c r="F12" i="31" s="1"/>
  <c r="F18" i="31" s="1"/>
  <c r="L2" i="36"/>
  <c r="P2" i="36" s="1"/>
  <c r="N2" i="36" s="1"/>
  <c r="R2" i="36" s="1"/>
  <c r="C17" i="36"/>
  <c r="C12" i="36" s="1"/>
  <c r="C18" i="36" s="1"/>
  <c r="C17" i="42"/>
  <c r="C12" i="42" s="1"/>
  <c r="C18" i="42" s="1"/>
  <c r="L2" i="42"/>
  <c r="P2" i="42" s="1"/>
  <c r="N2" i="42" s="1"/>
  <c r="R2" i="42" s="1"/>
  <c r="B12" i="39"/>
  <c r="R16" i="38"/>
  <c r="Q16" i="38"/>
  <c r="L6" i="42"/>
  <c r="N6" i="42" s="1"/>
  <c r="R6" i="42" s="1"/>
  <c r="H17" i="42"/>
  <c r="H12" i="42" s="1"/>
  <c r="H18" i="42" s="1"/>
  <c r="R16" i="22"/>
  <c r="Q16" i="22"/>
  <c r="B12" i="14"/>
  <c r="F17" i="29"/>
  <c r="F12" i="29" s="1"/>
  <c r="F18" i="29" s="1"/>
  <c r="L3" i="21"/>
  <c r="B12" i="40"/>
  <c r="R16" i="26"/>
  <c r="Q16" i="26"/>
  <c r="R16" i="37"/>
  <c r="Q16" i="37"/>
  <c r="B12" i="11"/>
  <c r="B12" i="36"/>
  <c r="R16" i="29"/>
  <c r="Q16" i="29"/>
  <c r="L6" i="41"/>
  <c r="N6" i="41" s="1"/>
  <c r="R6" i="41" s="1"/>
  <c r="H17" i="41"/>
  <c r="H12" i="41" s="1"/>
  <c r="H18" i="41" s="1"/>
  <c r="L2" i="41"/>
  <c r="P2" i="41" s="1"/>
  <c r="N2" i="41" s="1"/>
  <c r="R2" i="41" s="1"/>
  <c r="C17" i="41"/>
  <c r="C12" i="41" s="1"/>
  <c r="C18" i="41" s="1"/>
  <c r="F17" i="33"/>
  <c r="F12" i="33" s="1"/>
  <c r="F18" i="33" s="1"/>
  <c r="L2" i="32"/>
  <c r="P2" i="32" s="1"/>
  <c r="N2" i="32" s="1"/>
  <c r="R2" i="32" s="1"/>
  <c r="C17" i="32"/>
  <c r="C12" i="32" s="1"/>
  <c r="C18" i="32" s="1"/>
  <c r="L6" i="18"/>
  <c r="N6" i="18" s="1"/>
  <c r="R6" i="18" s="1"/>
  <c r="H17" i="18"/>
  <c r="H12" i="18" s="1"/>
  <c r="H18" i="18" s="1"/>
  <c r="F17" i="43"/>
  <c r="F12" i="43" s="1"/>
  <c r="F18" i="43" s="1"/>
  <c r="R16" i="30"/>
  <c r="Q16" i="30"/>
  <c r="B12" i="38"/>
  <c r="F17" i="42"/>
  <c r="F12" i="42" s="1"/>
  <c r="F18" i="42" s="1"/>
  <c r="L2" i="38"/>
  <c r="P2" i="38" s="1"/>
  <c r="N2" i="38" s="1"/>
  <c r="R2" i="38" s="1"/>
  <c r="C17" i="38"/>
  <c r="C12" i="38" s="1"/>
  <c r="C18" i="38" s="1"/>
  <c r="Q11" i="34"/>
  <c r="M11" i="34" s="1"/>
  <c r="L9" i="34"/>
  <c r="N9" i="34" s="1"/>
  <c r="R9" i="34" s="1"/>
  <c r="L6" i="29"/>
  <c r="N6" i="29" s="1"/>
  <c r="R6" i="29" s="1"/>
  <c r="H17" i="29"/>
  <c r="H12" i="29" s="1"/>
  <c r="H18" i="29" s="1"/>
  <c r="C17" i="21"/>
  <c r="C12" i="21" s="1"/>
  <c r="C18" i="21" s="1"/>
  <c r="L2" i="21"/>
  <c r="P2" i="21" s="1"/>
  <c r="N2" i="21" s="1"/>
  <c r="R2" i="21" s="1"/>
  <c r="B12" i="26"/>
  <c r="L6" i="15"/>
  <c r="N6" i="15" s="1"/>
  <c r="R6" i="15" s="1"/>
  <c r="K13" i="35" l="1"/>
  <c r="K13" i="34"/>
  <c r="K13" i="15"/>
  <c r="K18" i="15" s="1"/>
  <c r="G5" i="15"/>
  <c r="G17" i="15" s="1"/>
  <c r="G12" i="15" s="1"/>
  <c r="G18" i="15" s="1"/>
  <c r="P2" i="19"/>
  <c r="N2" i="19" s="1"/>
  <c r="R2" i="19" s="1"/>
  <c r="L8" i="19"/>
  <c r="N8" i="19" s="1"/>
  <c r="R8" i="19" s="1"/>
  <c r="I17" i="19"/>
  <c r="I13" i="19" s="1"/>
  <c r="J17" i="17"/>
  <c r="J13" i="17" s="1"/>
  <c r="J17" i="18"/>
  <c r="J13" i="18" s="1"/>
  <c r="J17" i="24"/>
  <c r="J13" i="24" s="1"/>
  <c r="J17" i="42"/>
  <c r="J13" i="42" s="1"/>
  <c r="J17" i="38"/>
  <c r="J13" i="38" s="1"/>
  <c r="J17" i="23"/>
  <c r="J13" i="23" s="1"/>
  <c r="J17" i="26"/>
  <c r="J13" i="26" s="1"/>
  <c r="J17" i="43"/>
  <c r="J13" i="43" s="1"/>
  <c r="J17" i="28"/>
  <c r="J13" i="28" s="1"/>
  <c r="J17" i="31"/>
  <c r="J13" i="31" s="1"/>
  <c r="J17" i="32"/>
  <c r="J13" i="32" s="1"/>
  <c r="J17" i="40"/>
  <c r="J13" i="40" s="1"/>
  <c r="J17" i="16"/>
  <c r="J13" i="16" s="1"/>
  <c r="J17" i="33"/>
  <c r="J13" i="33" s="1"/>
  <c r="J17" i="11"/>
  <c r="J13" i="11" s="1"/>
  <c r="J17" i="27"/>
  <c r="J13" i="27" s="1"/>
  <c r="J17" i="36"/>
  <c r="J13" i="36" s="1"/>
  <c r="J17" i="39"/>
  <c r="J13" i="39" s="1"/>
  <c r="J17" i="37"/>
  <c r="J13" i="37" s="1"/>
  <c r="J17" i="22"/>
  <c r="J13" i="22" s="1"/>
  <c r="I8" i="23"/>
  <c r="L8" i="23" s="1"/>
  <c r="N8" i="23" s="1"/>
  <c r="R8" i="23" s="1"/>
  <c r="I8" i="18"/>
  <c r="L8" i="18" s="1"/>
  <c r="N8" i="18" s="1"/>
  <c r="R8" i="18" s="1"/>
  <c r="I8" i="17"/>
  <c r="I17" i="17" s="1"/>
  <c r="I13" i="17" s="1"/>
  <c r="I8" i="39"/>
  <c r="I17" i="39" s="1"/>
  <c r="I13" i="39" s="1"/>
  <c r="G5" i="17"/>
  <c r="L5" i="17" s="1"/>
  <c r="Q5" i="17" s="1"/>
  <c r="E17" i="17" s="1"/>
  <c r="I8" i="26"/>
  <c r="I17" i="26" s="1"/>
  <c r="I13" i="26" s="1"/>
  <c r="I8" i="43"/>
  <c r="L8" i="43" s="1"/>
  <c r="N8" i="43" s="1"/>
  <c r="R8" i="43" s="1"/>
  <c r="I8" i="42"/>
  <c r="L8" i="42" s="1"/>
  <c r="N8" i="42" s="1"/>
  <c r="R8" i="42" s="1"/>
  <c r="I8" i="38"/>
  <c r="L8" i="38" s="1"/>
  <c r="N8" i="38" s="1"/>
  <c r="R8" i="38" s="1"/>
  <c r="I8" i="33"/>
  <c r="I17" i="33" s="1"/>
  <c r="I13" i="33" s="1"/>
  <c r="I8" i="37"/>
  <c r="L8" i="37" s="1"/>
  <c r="N8" i="37" s="1"/>
  <c r="R8" i="37" s="1"/>
  <c r="I8" i="27"/>
  <c r="I17" i="27" s="1"/>
  <c r="I13" i="27" s="1"/>
  <c r="J18" i="30"/>
  <c r="J8" i="30" s="1"/>
  <c r="I8" i="11"/>
  <c r="I17" i="11" s="1"/>
  <c r="I13" i="11" s="1"/>
  <c r="I8" i="24"/>
  <c r="L8" i="24" s="1"/>
  <c r="N8" i="24" s="1"/>
  <c r="R8" i="24" s="1"/>
  <c r="I8" i="32"/>
  <c r="I17" i="32" s="1"/>
  <c r="I13" i="32" s="1"/>
  <c r="I8" i="31"/>
  <c r="L8" i="31" s="1"/>
  <c r="N8" i="31" s="1"/>
  <c r="R8" i="31" s="1"/>
  <c r="I8" i="28"/>
  <c r="L8" i="28" s="1"/>
  <c r="N8" i="28" s="1"/>
  <c r="R8" i="28" s="1"/>
  <c r="I8" i="22"/>
  <c r="I17" i="22" s="1"/>
  <c r="I13" i="22" s="1"/>
  <c r="I8" i="36"/>
  <c r="L8" i="36" s="1"/>
  <c r="N8" i="36" s="1"/>
  <c r="R8" i="36" s="1"/>
  <c r="I8" i="16"/>
  <c r="I17" i="16" s="1"/>
  <c r="I13" i="16" s="1"/>
  <c r="I8" i="40"/>
  <c r="L8" i="40" s="1"/>
  <c r="N8" i="40" s="1"/>
  <c r="R8" i="40" s="1"/>
  <c r="R11" i="17"/>
  <c r="R11" i="18"/>
  <c r="R11" i="43"/>
  <c r="R11" i="39"/>
  <c r="R11" i="14"/>
  <c r="R11" i="20"/>
  <c r="R11" i="32"/>
  <c r="R11" i="24"/>
  <c r="R11" i="21"/>
  <c r="R11" i="41"/>
  <c r="R11" i="38"/>
  <c r="R11" i="22"/>
  <c r="R11" i="34"/>
  <c r="R11" i="28"/>
  <c r="R11" i="35"/>
  <c r="R11" i="33"/>
  <c r="R11" i="16"/>
  <c r="R11" i="30"/>
  <c r="R11" i="15"/>
  <c r="R11" i="11"/>
  <c r="R11" i="37"/>
  <c r="R11" i="27"/>
  <c r="R11" i="29"/>
  <c r="R11" i="36"/>
  <c r="R11" i="31"/>
  <c r="R11" i="23"/>
  <c r="R11" i="26"/>
  <c r="R11" i="40"/>
  <c r="R11" i="42"/>
  <c r="R11" i="19"/>
  <c r="L3" i="19"/>
  <c r="N3" i="19" s="1"/>
  <c r="R3" i="19" s="1"/>
  <c r="L3" i="26"/>
  <c r="N3" i="26" s="1"/>
  <c r="R3" i="26" s="1"/>
  <c r="L3" i="31"/>
  <c r="N3" i="31" s="1"/>
  <c r="R3" i="31" s="1"/>
  <c r="L3" i="14"/>
  <c r="N3" i="14" s="1"/>
  <c r="R3" i="14" s="1"/>
  <c r="L3" i="24"/>
  <c r="N3" i="24" s="1"/>
  <c r="R3" i="24" s="1"/>
  <c r="R5" i="14"/>
  <c r="L3" i="37"/>
  <c r="N3" i="37" s="1"/>
  <c r="R3" i="37" s="1"/>
  <c r="G17" i="14"/>
  <c r="G12" i="14" s="1"/>
  <c r="G18" i="14" s="1"/>
  <c r="L3" i="42"/>
  <c r="N3" i="42" s="1"/>
  <c r="R3" i="42" s="1"/>
  <c r="L3" i="33"/>
  <c r="N3" i="33" s="1"/>
  <c r="R3" i="33" s="1"/>
  <c r="G17" i="37"/>
  <c r="G12" i="37" s="1"/>
  <c r="G18" i="37" s="1"/>
  <c r="G5" i="30"/>
  <c r="L5" i="30" s="1"/>
  <c r="Q5" i="30" s="1"/>
  <c r="E17" i="30" s="1"/>
  <c r="G5" i="32"/>
  <c r="L5" i="32" s="1"/>
  <c r="R5" i="32" s="1"/>
  <c r="G17" i="28"/>
  <c r="G12" i="28" s="1"/>
  <c r="G18" i="28" s="1"/>
  <c r="L3" i="28"/>
  <c r="N3" i="28" s="1"/>
  <c r="R3" i="28" s="1"/>
  <c r="L3" i="40"/>
  <c r="N3" i="40" s="1"/>
  <c r="R3" i="40" s="1"/>
  <c r="G17" i="40"/>
  <c r="G12" i="40" s="1"/>
  <c r="G18" i="40" s="1"/>
  <c r="R5" i="39"/>
  <c r="R5" i="43"/>
  <c r="G5" i="20"/>
  <c r="L5" i="20" s="1"/>
  <c r="R5" i="20" s="1"/>
  <c r="G17" i="43"/>
  <c r="G12" i="43" s="1"/>
  <c r="G18" i="43" s="1"/>
  <c r="L3" i="43"/>
  <c r="N3" i="43" s="1"/>
  <c r="R3" i="43" s="1"/>
  <c r="G17" i="39"/>
  <c r="G12" i="39" s="1"/>
  <c r="G18" i="39" s="1"/>
  <c r="L3" i="39"/>
  <c r="N3" i="39" s="1"/>
  <c r="R3" i="39" s="1"/>
  <c r="N3" i="20"/>
  <c r="R3" i="20" s="1"/>
  <c r="Q5" i="40"/>
  <c r="E17" i="40" s="1"/>
  <c r="E12" i="40" s="1"/>
  <c r="E18" i="40" s="1"/>
  <c r="N3" i="32"/>
  <c r="R3" i="32" s="1"/>
  <c r="N3" i="21"/>
  <c r="R3" i="21" s="1"/>
  <c r="R5" i="28"/>
  <c r="R5" i="37"/>
  <c r="N3" i="22"/>
  <c r="R3" i="22" s="1"/>
  <c r="N3" i="30"/>
  <c r="R3" i="30" s="1"/>
  <c r="N3" i="36"/>
  <c r="R3" i="36" s="1"/>
  <c r="R5" i="40"/>
  <c r="N3" i="17"/>
  <c r="R3" i="17" s="1"/>
  <c r="L5" i="33"/>
  <c r="G17" i="33"/>
  <c r="G12" i="33" s="1"/>
  <c r="G18" i="33" s="1"/>
  <c r="K13" i="36"/>
  <c r="K18" i="36" s="1"/>
  <c r="K13" i="42"/>
  <c r="K18" i="42" s="1"/>
  <c r="K13" i="38"/>
  <c r="K18" i="38" s="1"/>
  <c r="K13" i="31"/>
  <c r="K18" i="31" s="1"/>
  <c r="K13" i="16"/>
  <c r="K18" i="16" s="1"/>
  <c r="G17" i="31"/>
  <c r="G12" i="31" s="1"/>
  <c r="G18" i="31" s="1"/>
  <c r="K13" i="14"/>
  <c r="K18" i="14" s="1"/>
  <c r="K13" i="26"/>
  <c r="K18" i="26" s="1"/>
  <c r="L5" i="24"/>
  <c r="Q5" i="24" s="1"/>
  <c r="E17" i="24" s="1"/>
  <c r="G17" i="24"/>
  <c r="G12" i="24" s="1"/>
  <c r="G18" i="24" s="1"/>
  <c r="Q5" i="28"/>
  <c r="E17" i="28" s="1"/>
  <c r="G17" i="19"/>
  <c r="G12" i="19" s="1"/>
  <c r="G18" i="19" s="1"/>
  <c r="K13" i="20"/>
  <c r="K18" i="20" s="1"/>
  <c r="G17" i="42"/>
  <c r="G12" i="42" s="1"/>
  <c r="G18" i="42" s="1"/>
  <c r="K13" i="37"/>
  <c r="K18" i="37" s="1"/>
  <c r="K13" i="29"/>
  <c r="K18" i="29" s="1"/>
  <c r="K13" i="41"/>
  <c r="K18" i="41" s="1"/>
  <c r="Q5" i="37"/>
  <c r="E17" i="37" s="1"/>
  <c r="E12" i="37" s="1"/>
  <c r="E18" i="37" s="1"/>
  <c r="K13" i="28"/>
  <c r="K18" i="28" s="1"/>
  <c r="K13" i="32"/>
  <c r="K18" i="32" s="1"/>
  <c r="K13" i="30"/>
  <c r="K18" i="30" s="1"/>
  <c r="B18" i="40"/>
  <c r="G5" i="38"/>
  <c r="L5" i="38" s="1"/>
  <c r="B18" i="11"/>
  <c r="G5" i="41"/>
  <c r="L5" i="41" s="1"/>
  <c r="B18" i="20"/>
  <c r="K13" i="23"/>
  <c r="K18" i="23" s="1"/>
  <c r="B18" i="19"/>
  <c r="B18" i="17"/>
  <c r="B18" i="36"/>
  <c r="G5" i="29"/>
  <c r="L5" i="29" s="1"/>
  <c r="G5" i="36"/>
  <c r="L5" i="36" s="1"/>
  <c r="G5" i="23"/>
  <c r="L5" i="23" s="1"/>
  <c r="K13" i="43"/>
  <c r="K18" i="43" s="1"/>
  <c r="E12" i="43"/>
  <c r="E18" i="43" s="1"/>
  <c r="B18" i="28"/>
  <c r="Q5" i="31"/>
  <c r="E17" i="31" s="1"/>
  <c r="R5" i="31"/>
  <c r="Q5" i="19"/>
  <c r="E17" i="19" s="1"/>
  <c r="R5" i="19"/>
  <c r="L3" i="29"/>
  <c r="B18" i="26"/>
  <c r="K13" i="21"/>
  <c r="K18" i="21" s="1"/>
  <c r="B18" i="37"/>
  <c r="K13" i="24"/>
  <c r="K18" i="24" s="1"/>
  <c r="B18" i="16"/>
  <c r="K13" i="11"/>
  <c r="K18" i="11" s="1"/>
  <c r="K13" i="40"/>
  <c r="K18" i="40" s="1"/>
  <c r="B18" i="43"/>
  <c r="L3" i="41"/>
  <c r="K13" i="39"/>
  <c r="K18" i="39" s="1"/>
  <c r="B18" i="30"/>
  <c r="L3" i="18"/>
  <c r="B18" i="39"/>
  <c r="B18" i="27"/>
  <c r="L3" i="38"/>
  <c r="B18" i="14"/>
  <c r="K13" i="17"/>
  <c r="K18" i="17" s="1"/>
  <c r="B18" i="29"/>
  <c r="K13" i="22"/>
  <c r="K18" i="22" s="1"/>
  <c r="K13" i="33"/>
  <c r="K18" i="33" s="1"/>
  <c r="J18" i="41"/>
  <c r="J8" i="41" s="1"/>
  <c r="I8" i="41"/>
  <c r="B18" i="22"/>
  <c r="B18" i="42"/>
  <c r="B18" i="32"/>
  <c r="E12" i="14"/>
  <c r="E18" i="14" s="1"/>
  <c r="Q5" i="26"/>
  <c r="E17" i="26" s="1"/>
  <c r="R5" i="26"/>
  <c r="B18" i="38"/>
  <c r="B18" i="31"/>
  <c r="K13" i="19"/>
  <c r="K18" i="19" s="1"/>
  <c r="L3" i="23"/>
  <c r="B18" i="18"/>
  <c r="F17" i="11"/>
  <c r="F12" i="11" s="1"/>
  <c r="F18" i="11" s="1"/>
  <c r="G5" i="11"/>
  <c r="G17" i="26"/>
  <c r="G12" i="26" s="1"/>
  <c r="G18" i="26" s="1"/>
  <c r="B18" i="24"/>
  <c r="L3" i="27"/>
  <c r="G5" i="27"/>
  <c r="L5" i="27" s="1"/>
  <c r="I17" i="30"/>
  <c r="I13" i="30" s="1"/>
  <c r="J18" i="14"/>
  <c r="J8" i="14" s="1"/>
  <c r="I8" i="14"/>
  <c r="G5" i="22"/>
  <c r="L5" i="22" s="1"/>
  <c r="E12" i="39"/>
  <c r="E18" i="39" s="1"/>
  <c r="G5" i="21"/>
  <c r="L5" i="21" s="1"/>
  <c r="L3" i="16"/>
  <c r="G5" i="16"/>
  <c r="L5" i="16" s="1"/>
  <c r="K13" i="18"/>
  <c r="K18" i="18" s="1"/>
  <c r="K13" i="27"/>
  <c r="K18" i="27" s="1"/>
  <c r="B18" i="41"/>
  <c r="B18" i="23"/>
  <c r="B18" i="21"/>
  <c r="B18" i="33"/>
  <c r="Q5" i="42"/>
  <c r="E17" i="42" s="1"/>
  <c r="R5" i="42"/>
  <c r="K18" i="35" l="1"/>
  <c r="E14" i="35"/>
  <c r="G17" i="35" s="1"/>
  <c r="G12" i="35" s="1"/>
  <c r="G18" i="35" s="1"/>
  <c r="E14" i="15"/>
  <c r="K18" i="34"/>
  <c r="E14" i="34"/>
  <c r="G17" i="34" s="1"/>
  <c r="G12" i="34" s="1"/>
  <c r="G18" i="34" s="1"/>
  <c r="J17" i="30"/>
  <c r="J13" i="30" s="1"/>
  <c r="E14" i="30" s="1"/>
  <c r="J17" i="41"/>
  <c r="J13" i="41" s="1"/>
  <c r="J17" i="14"/>
  <c r="J13" i="14" s="1"/>
  <c r="L8" i="35"/>
  <c r="N8" i="35" s="1"/>
  <c r="R8" i="35" s="1"/>
  <c r="I17" i="23"/>
  <c r="I13" i="23" s="1"/>
  <c r="L13" i="23" s="1"/>
  <c r="I17" i="18"/>
  <c r="I13" i="18" s="1"/>
  <c r="E14" i="18" s="1"/>
  <c r="L8" i="17"/>
  <c r="N8" i="17" s="1"/>
  <c r="R8" i="17" s="1"/>
  <c r="L8" i="39"/>
  <c r="N8" i="39" s="1"/>
  <c r="R8" i="39" s="1"/>
  <c r="R5" i="17"/>
  <c r="G17" i="17"/>
  <c r="G12" i="17" s="1"/>
  <c r="G18" i="17" s="1"/>
  <c r="L8" i="26"/>
  <c r="N8" i="26" s="1"/>
  <c r="R8" i="26" s="1"/>
  <c r="I17" i="38"/>
  <c r="I13" i="38" s="1"/>
  <c r="E14" i="38" s="1"/>
  <c r="I17" i="43"/>
  <c r="I13" i="43" s="1"/>
  <c r="L13" i="43" s="1"/>
  <c r="L8" i="27"/>
  <c r="N8" i="27" s="1"/>
  <c r="R8" i="27" s="1"/>
  <c r="L8" i="15"/>
  <c r="N8" i="15" s="1"/>
  <c r="R8" i="15" s="1"/>
  <c r="I17" i="37"/>
  <c r="I13" i="37" s="1"/>
  <c r="E14" i="37" s="1"/>
  <c r="L8" i="33"/>
  <c r="N8" i="33" s="1"/>
  <c r="R8" i="33" s="1"/>
  <c r="I17" i="40"/>
  <c r="I13" i="40" s="1"/>
  <c r="E14" i="40" s="1"/>
  <c r="L8" i="30"/>
  <c r="N8" i="30" s="1"/>
  <c r="R8" i="30" s="1"/>
  <c r="L8" i="11"/>
  <c r="N8" i="11" s="1"/>
  <c r="R8" i="11" s="1"/>
  <c r="I17" i="42"/>
  <c r="I13" i="42" s="1"/>
  <c r="L13" i="42" s="1"/>
  <c r="L8" i="32"/>
  <c r="N8" i="32" s="1"/>
  <c r="R8" i="32" s="1"/>
  <c r="I17" i="36"/>
  <c r="I13" i="36" s="1"/>
  <c r="L13" i="36" s="1"/>
  <c r="I17" i="24"/>
  <c r="I13" i="24" s="1"/>
  <c r="L13" i="24" s="1"/>
  <c r="I17" i="31"/>
  <c r="I13" i="31" s="1"/>
  <c r="L13" i="31" s="1"/>
  <c r="L8" i="22"/>
  <c r="N8" i="22" s="1"/>
  <c r="R8" i="22" s="1"/>
  <c r="I17" i="28"/>
  <c r="I13" i="28" s="1"/>
  <c r="E14" i="28" s="1"/>
  <c r="L8" i="16"/>
  <c r="N8" i="16" s="1"/>
  <c r="R8" i="16" s="1"/>
  <c r="R5" i="30"/>
  <c r="G17" i="30"/>
  <c r="G12" i="30" s="1"/>
  <c r="G18" i="30" s="1"/>
  <c r="Q5" i="32"/>
  <c r="E17" i="32" s="1"/>
  <c r="E12" i="32" s="1"/>
  <c r="G17" i="20"/>
  <c r="G12" i="20" s="1"/>
  <c r="G18" i="20" s="1"/>
  <c r="G17" i="32"/>
  <c r="G12" i="32" s="1"/>
  <c r="G18" i="32" s="1"/>
  <c r="Q5" i="20"/>
  <c r="E17" i="20" s="1"/>
  <c r="E12" i="28"/>
  <c r="E18" i="28" s="1"/>
  <c r="L13" i="16"/>
  <c r="E14" i="16"/>
  <c r="L13" i="32"/>
  <c r="R5" i="24"/>
  <c r="Q5" i="33"/>
  <c r="E17" i="33" s="1"/>
  <c r="E12" i="33" s="1"/>
  <c r="E18" i="33" s="1"/>
  <c r="L13" i="20"/>
  <c r="R5" i="33"/>
  <c r="N3" i="18"/>
  <c r="R3" i="18" s="1"/>
  <c r="N3" i="27"/>
  <c r="R3" i="27" s="1"/>
  <c r="N3" i="41"/>
  <c r="R3" i="41" s="1"/>
  <c r="N3" i="23"/>
  <c r="R3" i="23" s="1"/>
  <c r="N3" i="38"/>
  <c r="R3" i="38" s="1"/>
  <c r="N3" i="29"/>
  <c r="R3" i="29" s="1"/>
  <c r="N3" i="16"/>
  <c r="R3" i="16" s="1"/>
  <c r="L17" i="19"/>
  <c r="Q17" i="19" s="1"/>
  <c r="E14" i="20"/>
  <c r="L12" i="43"/>
  <c r="R12" i="43" s="1"/>
  <c r="E14" i="11"/>
  <c r="L13" i="11"/>
  <c r="E14" i="29"/>
  <c r="L3" i="11"/>
  <c r="E14" i="21"/>
  <c r="E14" i="32"/>
  <c r="G17" i="16"/>
  <c r="G12" i="16" s="1"/>
  <c r="G18" i="16" s="1"/>
  <c r="L12" i="39"/>
  <c r="R12" i="39" s="1"/>
  <c r="G17" i="22"/>
  <c r="G12" i="22" s="1"/>
  <c r="G18" i="22" s="1"/>
  <c r="L12" i="14"/>
  <c r="R12" i="14" s="1"/>
  <c r="L17" i="39"/>
  <c r="Q17" i="39" s="1"/>
  <c r="L13" i="19"/>
  <c r="L13" i="29"/>
  <c r="E12" i="42"/>
  <c r="E14" i="33"/>
  <c r="L13" i="33"/>
  <c r="G17" i="11"/>
  <c r="G12" i="11" s="1"/>
  <c r="G18" i="11" s="1"/>
  <c r="L5" i="11"/>
  <c r="E12" i="31"/>
  <c r="R5" i="23"/>
  <c r="Q5" i="23"/>
  <c r="E17" i="23" s="1"/>
  <c r="L3" i="34"/>
  <c r="L13" i="15"/>
  <c r="G17" i="23"/>
  <c r="G12" i="23" s="1"/>
  <c r="G18" i="23" s="1"/>
  <c r="L13" i="21"/>
  <c r="L3" i="35"/>
  <c r="L13" i="35"/>
  <c r="E12" i="30"/>
  <c r="Q5" i="38"/>
  <c r="E17" i="38" s="1"/>
  <c r="R5" i="38"/>
  <c r="L8" i="14"/>
  <c r="N8" i="14" s="1"/>
  <c r="R8" i="14" s="1"/>
  <c r="I17" i="14"/>
  <c r="R5" i="27"/>
  <c r="Q5" i="27"/>
  <c r="E17" i="27" s="1"/>
  <c r="Q5" i="21"/>
  <c r="E17" i="21" s="1"/>
  <c r="R5" i="21"/>
  <c r="E14" i="27"/>
  <c r="L13" i="27"/>
  <c r="R5" i="36"/>
  <c r="Q5" i="36"/>
  <c r="E17" i="36" s="1"/>
  <c r="G17" i="38"/>
  <c r="G12" i="38" s="1"/>
  <c r="G18" i="38" s="1"/>
  <c r="Q5" i="22"/>
  <c r="E17" i="22" s="1"/>
  <c r="R5" i="22"/>
  <c r="G17" i="21"/>
  <c r="G12" i="21" s="1"/>
  <c r="G18" i="21" s="1"/>
  <c r="E14" i="39"/>
  <c r="L13" i="39"/>
  <c r="G17" i="36"/>
  <c r="G12" i="36" s="1"/>
  <c r="G18" i="36" s="1"/>
  <c r="Q5" i="41"/>
  <c r="E17" i="41" s="1"/>
  <c r="R5" i="41"/>
  <c r="L12" i="40"/>
  <c r="G17" i="27"/>
  <c r="G12" i="27" s="1"/>
  <c r="G18" i="27" s="1"/>
  <c r="E14" i="17"/>
  <c r="L13" i="17"/>
  <c r="E14" i="19"/>
  <c r="L13" i="26"/>
  <c r="E14" i="26"/>
  <c r="E12" i="26"/>
  <c r="L17" i="26"/>
  <c r="E12" i="24"/>
  <c r="L13" i="22"/>
  <c r="E14" i="22"/>
  <c r="Q5" i="29"/>
  <c r="E17" i="29" s="1"/>
  <c r="R5" i="29"/>
  <c r="G17" i="41"/>
  <c r="G12" i="41" s="1"/>
  <c r="G18" i="41" s="1"/>
  <c r="G17" i="29"/>
  <c r="G12" i="29" s="1"/>
  <c r="G18" i="29" s="1"/>
  <c r="L3" i="15"/>
  <c r="I17" i="41"/>
  <c r="I13" i="41" s="1"/>
  <c r="L8" i="41"/>
  <c r="N8" i="41" s="1"/>
  <c r="R8" i="41" s="1"/>
  <c r="L8" i="34"/>
  <c r="N8" i="34" s="1"/>
  <c r="R8" i="34" s="1"/>
  <c r="Q5" i="16"/>
  <c r="E17" i="16" s="1"/>
  <c r="R5" i="16"/>
  <c r="L12" i="37"/>
  <c r="E12" i="19"/>
  <c r="E12" i="17"/>
  <c r="L13" i="30" l="1"/>
  <c r="E14" i="23"/>
  <c r="E15" i="23" s="1"/>
  <c r="L13" i="18"/>
  <c r="L17" i="17"/>
  <c r="R17" i="17" s="1"/>
  <c r="L13" i="38"/>
  <c r="L13" i="37"/>
  <c r="L17" i="43"/>
  <c r="R17" i="43" s="1"/>
  <c r="E14" i="43"/>
  <c r="L17" i="37"/>
  <c r="R17" i="37" s="1"/>
  <c r="L17" i="42"/>
  <c r="Q17" i="42" s="1"/>
  <c r="L17" i="40"/>
  <c r="Q17" i="40" s="1"/>
  <c r="E14" i="42"/>
  <c r="L13" i="40"/>
  <c r="L17" i="24"/>
  <c r="R17" i="24" s="1"/>
  <c r="L17" i="31"/>
  <c r="Q17" i="31" s="1"/>
  <c r="E14" i="24"/>
  <c r="E14" i="36"/>
  <c r="E14" i="31"/>
  <c r="L13" i="28"/>
  <c r="L14" i="26"/>
  <c r="R14" i="26" s="1"/>
  <c r="L14" i="16"/>
  <c r="Q14" i="16" s="1"/>
  <c r="L14" i="11"/>
  <c r="R14" i="11" s="1"/>
  <c r="L14" i="22"/>
  <c r="Q14" i="22" s="1"/>
  <c r="L14" i="17"/>
  <c r="Q14" i="17" s="1"/>
  <c r="L14" i="30"/>
  <c r="Q14" i="30" s="1"/>
  <c r="L14" i="38"/>
  <c r="R14" i="38" s="1"/>
  <c r="L14" i="32"/>
  <c r="Q14" i="32" s="1"/>
  <c r="L14" i="20"/>
  <c r="R14" i="20" s="1"/>
  <c r="L14" i="21"/>
  <c r="Q14" i="21" s="1"/>
  <c r="L14" i="27"/>
  <c r="Q14" i="27" s="1"/>
  <c r="L14" i="29"/>
  <c r="R14" i="29" s="1"/>
  <c r="L17" i="28"/>
  <c r="Q17" i="28" s="1"/>
  <c r="L14" i="19"/>
  <c r="Q14" i="19" s="1"/>
  <c r="L17" i="30"/>
  <c r="Q17" i="30" s="1"/>
  <c r="L17" i="20"/>
  <c r="Q17" i="20" s="1"/>
  <c r="L17" i="32"/>
  <c r="E12" i="20"/>
  <c r="E18" i="20" s="1"/>
  <c r="L12" i="28"/>
  <c r="Q12" i="28" s="1"/>
  <c r="Q12" i="39"/>
  <c r="Q12" i="43"/>
  <c r="E15" i="32"/>
  <c r="N3" i="34"/>
  <c r="R3" i="34" s="1"/>
  <c r="E15" i="20"/>
  <c r="N3" i="15"/>
  <c r="R3" i="15" s="1"/>
  <c r="L12" i="33"/>
  <c r="R17" i="19"/>
  <c r="L17" i="33"/>
  <c r="Q17" i="33" s="1"/>
  <c r="N3" i="11"/>
  <c r="R3" i="11" s="1"/>
  <c r="N3" i="35"/>
  <c r="R3" i="35" s="1"/>
  <c r="E15" i="17"/>
  <c r="E15" i="19"/>
  <c r="R17" i="39"/>
  <c r="Q12" i="14"/>
  <c r="L14" i="28"/>
  <c r="E15" i="28"/>
  <c r="E14" i="41"/>
  <c r="L13" i="41"/>
  <c r="E18" i="24"/>
  <c r="L12" i="24"/>
  <c r="E18" i="30"/>
  <c r="L12" i="30"/>
  <c r="E12" i="23"/>
  <c r="L17" i="23"/>
  <c r="E12" i="36"/>
  <c r="L17" i="36"/>
  <c r="E15" i="30"/>
  <c r="Q5" i="11"/>
  <c r="E17" i="11" s="1"/>
  <c r="R5" i="11"/>
  <c r="E18" i="17"/>
  <c r="L12" i="17"/>
  <c r="I13" i="14"/>
  <c r="L17" i="14"/>
  <c r="E18" i="19"/>
  <c r="L12" i="19"/>
  <c r="R12" i="37"/>
  <c r="Q12" i="37"/>
  <c r="Q17" i="26"/>
  <c r="R17" i="26"/>
  <c r="L14" i="39"/>
  <c r="E15" i="39"/>
  <c r="E12" i="16"/>
  <c r="E15" i="16"/>
  <c r="L17" i="16"/>
  <c r="E12" i="29"/>
  <c r="E15" i="29"/>
  <c r="L17" i="29"/>
  <c r="E15" i="26"/>
  <c r="E18" i="26"/>
  <c r="L12" i="26"/>
  <c r="E18" i="32"/>
  <c r="L12" i="32"/>
  <c r="E15" i="27"/>
  <c r="E12" i="27"/>
  <c r="L17" i="27"/>
  <c r="L14" i="35"/>
  <c r="L14" i="18"/>
  <c r="E18" i="31"/>
  <c r="L12" i="31"/>
  <c r="L14" i="37"/>
  <c r="E15" i="37"/>
  <c r="Q12" i="40"/>
  <c r="R12" i="40"/>
  <c r="L14" i="15"/>
  <c r="E12" i="22"/>
  <c r="E15" i="22"/>
  <c r="L17" i="22"/>
  <c r="L14" i="40"/>
  <c r="E15" i="40"/>
  <c r="L14" i="33"/>
  <c r="E15" i="33"/>
  <c r="E15" i="21"/>
  <c r="E12" i="21"/>
  <c r="L17" i="21"/>
  <c r="L13" i="34"/>
  <c r="E12" i="41"/>
  <c r="L17" i="41"/>
  <c r="E12" i="38"/>
  <c r="E15" i="38"/>
  <c r="L17" i="38"/>
  <c r="E18" i="42"/>
  <c r="L12" i="42"/>
  <c r="L14" i="23" l="1"/>
  <c r="R14" i="23" s="1"/>
  <c r="L14" i="42"/>
  <c r="Q14" i="42" s="1"/>
  <c r="L14" i="31"/>
  <c r="Q14" i="31" s="1"/>
  <c r="L14" i="43"/>
  <c r="Q14" i="43" s="1"/>
  <c r="L14" i="36"/>
  <c r="Q14" i="36" s="1"/>
  <c r="L14" i="24"/>
  <c r="Q14" i="24" s="1"/>
  <c r="Q17" i="17"/>
  <c r="Q17" i="37"/>
  <c r="Q17" i="43"/>
  <c r="E15" i="43"/>
  <c r="Q17" i="24"/>
  <c r="R17" i="42"/>
  <c r="R17" i="40"/>
  <c r="E15" i="42"/>
  <c r="E15" i="36"/>
  <c r="E15" i="31"/>
  <c r="R17" i="31"/>
  <c r="E15" i="24"/>
  <c r="R14" i="21"/>
  <c r="R14" i="27"/>
  <c r="R14" i="16"/>
  <c r="R14" i="22"/>
  <c r="R14" i="19"/>
  <c r="Q14" i="29"/>
  <c r="Q14" i="11"/>
  <c r="Q14" i="38"/>
  <c r="Q14" i="26"/>
  <c r="R14" i="32"/>
  <c r="R14" i="30"/>
  <c r="R14" i="17"/>
  <c r="Q14" i="20"/>
  <c r="R17" i="28"/>
  <c r="L14" i="41"/>
  <c r="R14" i="41" s="1"/>
  <c r="M13" i="32"/>
  <c r="L15" i="17"/>
  <c r="R15" i="17" s="1"/>
  <c r="L15" i="20"/>
  <c r="R15" i="20" s="1"/>
  <c r="M13" i="19"/>
  <c r="R17" i="30"/>
  <c r="R17" i="20"/>
  <c r="R12" i="28"/>
  <c r="L12" i="20"/>
  <c r="R12" i="20" s="1"/>
  <c r="R17" i="32"/>
  <c r="Q17" i="32"/>
  <c r="M13" i="17"/>
  <c r="L15" i="32"/>
  <c r="Q15" i="32" s="1"/>
  <c r="R17" i="33"/>
  <c r="L15" i="19"/>
  <c r="Q15" i="19" s="1"/>
  <c r="M13" i="20"/>
  <c r="Q12" i="33"/>
  <c r="R12" i="33"/>
  <c r="L15" i="28"/>
  <c r="M13" i="28"/>
  <c r="R14" i="28"/>
  <c r="Q14" i="28"/>
  <c r="E15" i="41"/>
  <c r="L15" i="21"/>
  <c r="M13" i="21"/>
  <c r="Q17" i="38"/>
  <c r="R17" i="38"/>
  <c r="R17" i="41"/>
  <c r="Q17" i="41"/>
  <c r="E18" i="21"/>
  <c r="L12" i="21"/>
  <c r="M13" i="40"/>
  <c r="L15" i="40"/>
  <c r="E18" i="27"/>
  <c r="L12" i="27"/>
  <c r="R17" i="16"/>
  <c r="Q17" i="16"/>
  <c r="M13" i="23"/>
  <c r="L15" i="23"/>
  <c r="Q12" i="31"/>
  <c r="R12" i="31"/>
  <c r="Q12" i="19"/>
  <c r="R12" i="19"/>
  <c r="Q12" i="17"/>
  <c r="R12" i="17"/>
  <c r="E18" i="23"/>
  <c r="L12" i="23"/>
  <c r="E18" i="16"/>
  <c r="L12" i="16"/>
  <c r="R12" i="30"/>
  <c r="Q12" i="30"/>
  <c r="E18" i="41"/>
  <c r="L12" i="41"/>
  <c r="Q17" i="22"/>
  <c r="R17" i="22"/>
  <c r="Q14" i="37"/>
  <c r="R14" i="37"/>
  <c r="L15" i="22"/>
  <c r="M13" i="22"/>
  <c r="L5" i="15"/>
  <c r="M13" i="39"/>
  <c r="L15" i="39"/>
  <c r="R17" i="14"/>
  <c r="Q17" i="14"/>
  <c r="M13" i="37"/>
  <c r="L15" i="37"/>
  <c r="M13" i="27"/>
  <c r="L15" i="27"/>
  <c r="L15" i="16"/>
  <c r="M13" i="16"/>
  <c r="Q12" i="42"/>
  <c r="R12" i="42"/>
  <c r="L15" i="33"/>
  <c r="M13" i="33"/>
  <c r="E18" i="22"/>
  <c r="L12" i="22"/>
  <c r="R14" i="15"/>
  <c r="Q14" i="15"/>
  <c r="Q12" i="32"/>
  <c r="R12" i="32"/>
  <c r="L15" i="26"/>
  <c r="M13" i="26"/>
  <c r="Q14" i="39"/>
  <c r="R14" i="39"/>
  <c r="L13" i="14"/>
  <c r="E14" i="14"/>
  <c r="E12" i="11"/>
  <c r="E15" i="11"/>
  <c r="L17" i="11"/>
  <c r="R14" i="18"/>
  <c r="Q14" i="18"/>
  <c r="R17" i="29"/>
  <c r="Q17" i="29"/>
  <c r="M13" i="30"/>
  <c r="L15" i="30"/>
  <c r="L5" i="18"/>
  <c r="N5" i="18" s="1"/>
  <c r="Q12" i="26"/>
  <c r="R12" i="26"/>
  <c r="L15" i="29"/>
  <c r="M13" i="29"/>
  <c r="Q17" i="36"/>
  <c r="R17" i="36"/>
  <c r="R14" i="40"/>
  <c r="Q14" i="40"/>
  <c r="Q14" i="35"/>
  <c r="R14" i="35"/>
  <c r="E18" i="29"/>
  <c r="L12" i="29"/>
  <c r="M13" i="38"/>
  <c r="L15" i="38"/>
  <c r="E18" i="38"/>
  <c r="L12" i="38"/>
  <c r="L5" i="35"/>
  <c r="E18" i="36"/>
  <c r="L12" i="36"/>
  <c r="R12" i="24"/>
  <c r="Q12" i="24"/>
  <c r="Q14" i="33"/>
  <c r="R14" i="33"/>
  <c r="L14" i="34"/>
  <c r="R17" i="21"/>
  <c r="Q17" i="21"/>
  <c r="R17" i="27"/>
  <c r="Q17" i="27"/>
  <c r="R17" i="23"/>
  <c r="Q17" i="23"/>
  <c r="R13" i="20" l="1"/>
  <c r="R13" i="17"/>
  <c r="Q13" i="32"/>
  <c r="Q13" i="19"/>
  <c r="Q14" i="23"/>
  <c r="R14" i="43"/>
  <c r="R14" i="36"/>
  <c r="R14" i="31"/>
  <c r="R14" i="24"/>
  <c r="R14" i="42"/>
  <c r="M13" i="24"/>
  <c r="L15" i="43"/>
  <c r="R15" i="43" s="1"/>
  <c r="M13" i="36"/>
  <c r="L15" i="31"/>
  <c r="Q15" i="31" s="1"/>
  <c r="M13" i="42"/>
  <c r="M13" i="43"/>
  <c r="L15" i="36"/>
  <c r="R15" i="36" s="1"/>
  <c r="L15" i="42"/>
  <c r="Q15" i="42" s="1"/>
  <c r="L15" i="24"/>
  <c r="Q15" i="24" s="1"/>
  <c r="M13" i="31"/>
  <c r="R13" i="32"/>
  <c r="Q14" i="41"/>
  <c r="Q15" i="20"/>
  <c r="R13" i="19"/>
  <c r="Q15" i="17"/>
  <c r="Q12" i="20"/>
  <c r="Q13" i="17"/>
  <c r="R15" i="19"/>
  <c r="R15" i="32"/>
  <c r="Q13" i="20"/>
  <c r="Q13" i="28"/>
  <c r="R13" i="28"/>
  <c r="R15" i="28"/>
  <c r="Q15" i="28"/>
  <c r="Q5" i="15"/>
  <c r="E17" i="15" s="1"/>
  <c r="R5" i="15"/>
  <c r="R12" i="41"/>
  <c r="Q12" i="41"/>
  <c r="R13" i="23"/>
  <c r="Q13" i="23"/>
  <c r="Q13" i="27"/>
  <c r="R13" i="27"/>
  <c r="L4" i="15"/>
  <c r="Q13" i="38"/>
  <c r="R13" i="38"/>
  <c r="Q13" i="37"/>
  <c r="R13" i="37"/>
  <c r="Q15" i="22"/>
  <c r="R15" i="22"/>
  <c r="L14" i="14"/>
  <c r="E15" i="14"/>
  <c r="R15" i="27"/>
  <c r="Q15" i="27"/>
  <c r="R12" i="16"/>
  <c r="Q12" i="16"/>
  <c r="R15" i="29"/>
  <c r="Q15" i="29"/>
  <c r="R12" i="36"/>
  <c r="Q12" i="36"/>
  <c r="R15" i="38"/>
  <c r="Q15" i="38"/>
  <c r="L5" i="34"/>
  <c r="Q5" i="18"/>
  <c r="E17" i="18" s="1"/>
  <c r="R5" i="18"/>
  <c r="Q13" i="26"/>
  <c r="R13" i="26"/>
  <c r="Q13" i="33"/>
  <c r="R13" i="33"/>
  <c r="L4" i="35"/>
  <c r="Q15" i="30"/>
  <c r="R15" i="30"/>
  <c r="R15" i="26"/>
  <c r="Q15" i="26"/>
  <c r="Q15" i="33"/>
  <c r="R15" i="33"/>
  <c r="R12" i="27"/>
  <c r="Q12" i="27"/>
  <c r="R12" i="22"/>
  <c r="Q12" i="22"/>
  <c r="R15" i="37"/>
  <c r="Q15" i="37"/>
  <c r="R13" i="22"/>
  <c r="Q13" i="22"/>
  <c r="Q14" i="34"/>
  <c r="R14" i="34"/>
  <c r="L4" i="18"/>
  <c r="G17" i="18"/>
  <c r="G12" i="18" s="1"/>
  <c r="G18" i="18" s="1"/>
  <c r="Q5" i="35"/>
  <c r="E17" i="35" s="1"/>
  <c r="R5" i="35"/>
  <c r="R13" i="30"/>
  <c r="Q13" i="30"/>
  <c r="Q15" i="39"/>
  <c r="R15" i="39"/>
  <c r="Q12" i="23"/>
  <c r="R12" i="23"/>
  <c r="R13" i="39"/>
  <c r="Q13" i="39"/>
  <c r="Q15" i="40"/>
  <c r="R15" i="40"/>
  <c r="Q13" i="21"/>
  <c r="R13" i="21"/>
  <c r="Q12" i="29"/>
  <c r="R12" i="29"/>
  <c r="R17" i="11"/>
  <c r="Q17" i="11"/>
  <c r="M13" i="11"/>
  <c r="L15" i="11"/>
  <c r="R13" i="40"/>
  <c r="Q13" i="40"/>
  <c r="Q15" i="21"/>
  <c r="R15" i="21"/>
  <c r="Q13" i="16"/>
  <c r="R13" i="16"/>
  <c r="Q12" i="38"/>
  <c r="R12" i="38"/>
  <c r="R13" i="29"/>
  <c r="Q13" i="29"/>
  <c r="E18" i="11"/>
  <c r="L12" i="11"/>
  <c r="R15" i="16"/>
  <c r="Q15" i="16"/>
  <c r="R15" i="23"/>
  <c r="Q15" i="23"/>
  <c r="Q12" i="21"/>
  <c r="R12" i="21"/>
  <c r="M13" i="41"/>
  <c r="L15" i="41"/>
  <c r="E15" i="35" l="1"/>
  <c r="E12" i="35"/>
  <c r="E18" i="35" s="1"/>
  <c r="E15" i="15"/>
  <c r="E12" i="15"/>
  <c r="E18" i="15" s="1"/>
  <c r="R13" i="24"/>
  <c r="R13" i="31"/>
  <c r="R13" i="43"/>
  <c r="Q13" i="42"/>
  <c r="R13" i="36"/>
  <c r="Q13" i="24"/>
  <c r="Q15" i="43"/>
  <c r="Q13" i="36"/>
  <c r="R15" i="31"/>
  <c r="R13" i="42"/>
  <c r="Q13" i="43"/>
  <c r="Q15" i="36"/>
  <c r="R15" i="42"/>
  <c r="R15" i="24"/>
  <c r="Q13" i="31"/>
  <c r="N4" i="15"/>
  <c r="R4" i="15" s="1"/>
  <c r="N4" i="18"/>
  <c r="R4" i="18" s="1"/>
  <c r="N4" i="35"/>
  <c r="R4" i="35" s="1"/>
  <c r="E15" i="18"/>
  <c r="E12" i="18"/>
  <c r="L17" i="18"/>
  <c r="R15" i="41"/>
  <c r="Q15" i="41"/>
  <c r="L17" i="35"/>
  <c r="L4" i="34"/>
  <c r="R12" i="11"/>
  <c r="Q12" i="11"/>
  <c r="Q13" i="11"/>
  <c r="R13" i="11"/>
  <c r="R15" i="11"/>
  <c r="Q15" i="11"/>
  <c r="Q5" i="34"/>
  <c r="E17" i="34" s="1"/>
  <c r="R5" i="34"/>
  <c r="M13" i="14"/>
  <c r="L15" i="14"/>
  <c r="R13" i="41"/>
  <c r="Q13" i="41"/>
  <c r="Q14" i="14"/>
  <c r="R14" i="14"/>
  <c r="L17" i="15"/>
  <c r="E15" i="34" l="1"/>
  <c r="E12" i="34"/>
  <c r="E18" i="34" s="1"/>
  <c r="N4" i="34"/>
  <c r="R4" i="34" s="1"/>
  <c r="R15" i="14"/>
  <c r="Q15" i="14"/>
  <c r="R17" i="15"/>
  <c r="Q17" i="15"/>
  <c r="L17" i="34"/>
  <c r="M13" i="35"/>
  <c r="L15" i="35"/>
  <c r="L12" i="35"/>
  <c r="Q13" i="14"/>
  <c r="R13" i="14"/>
  <c r="Q17" i="35"/>
  <c r="R17" i="35"/>
  <c r="L15" i="15"/>
  <c r="M13" i="15"/>
  <c r="L12" i="15"/>
  <c r="E18" i="18"/>
  <c r="L12" i="18"/>
  <c r="R17" i="18"/>
  <c r="Q17" i="18"/>
  <c r="L15" i="18"/>
  <c r="M13" i="18"/>
  <c r="Q12" i="15" l="1"/>
  <c r="R12" i="15"/>
  <c r="Q15" i="18"/>
  <c r="R15" i="18"/>
  <c r="Q12" i="18"/>
  <c r="R12" i="18"/>
  <c r="Q12" i="35"/>
  <c r="R12" i="35"/>
  <c r="R15" i="35"/>
  <c r="Q15" i="35"/>
  <c r="R13" i="15"/>
  <c r="Q13" i="15"/>
  <c r="Q17" i="34"/>
  <c r="R17" i="34"/>
  <c r="R15" i="15"/>
  <c r="Q15" i="15"/>
  <c r="L12" i="34"/>
  <c r="Q13" i="35"/>
  <c r="R13" i="35"/>
  <c r="Q13" i="18"/>
  <c r="R13" i="18"/>
  <c r="M13" i="34"/>
  <c r="L15" i="34"/>
  <c r="Q12" i="34" l="1"/>
  <c r="R12" i="34"/>
  <c r="Q15" i="34"/>
  <c r="R15" i="34"/>
  <c r="R13" i="34"/>
  <c r="Q13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<sst xmlns="http://schemas.openxmlformats.org/spreadsheetml/2006/main" count="1164" uniqueCount="109">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</sst>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data_2001.xlsx" TargetMode="External"/><Relationship Id="rId1" Type="http://schemas.openxmlformats.org/officeDocument/2006/relationships/externalLinkPath" Target="data_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parameters"/>
      <sheetName val="data"/>
      <sheetName val="China"/>
      <sheetName val="India"/>
      <sheetName val="Japan"/>
      <sheetName val="United States"/>
      <sheetName val="Russia"/>
      <sheetName val="South Korea"/>
      <sheetName val="Germany"/>
      <sheetName val="Türkiye"/>
      <sheetName val="Brazil"/>
      <sheetName val="Iran"/>
      <sheetName val="Italy"/>
      <sheetName val="Ukraine"/>
      <sheetName val="Mexico"/>
      <sheetName val="Vietnam"/>
      <sheetName val="France"/>
      <sheetName val="Spain"/>
      <sheetName val="Canada"/>
      <sheetName val="Indonesia"/>
      <sheetName val="Poland"/>
      <sheetName val="Egypt"/>
      <sheetName val="Saudi Arabia"/>
      <sheetName val="Austria"/>
      <sheetName val="Belgium"/>
      <sheetName val="United Kingdom"/>
      <sheetName val="Netherlands"/>
      <sheetName val="Australia"/>
      <sheetName val="South Africa"/>
      <sheetName val="Malaysia"/>
      <sheetName val="Thailand"/>
      <sheetName val="Sweden"/>
    </sheetNames>
    <sheetDataSet>
      <sheetData sheetId="0" refreshError="1"/>
      <sheetData sheetId="1">
        <row r="4">
          <cell r="B4">
            <v>0.89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4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5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102356.93520068171</v>
      </c>
      <c r="D3" s="1">
        <f>VLOOKUP($B3, '[1]Pro of iron ore'!$B$2:$X$31, $A$1, FALSE)*(1-VLOOKUP($B3, '[1]Foundry share'!$B$2:$X$31, $A$1, FALSE))</f>
        <v>63416.296311883416</v>
      </c>
      <c r="E3" s="46">
        <f>VLOOKUP($B3, '[1]Iron content'!$B$2:$X$31, $A$1, FALSE)</f>
        <v>0.61956032766660107</v>
      </c>
      <c r="F3" s="1">
        <f>VLOOKUP($B3, '[1]Exp of usable iron ore'!$B$2:$X$31, $A$1, FALSE)*parameters!$B$12</f>
        <v>0</v>
      </c>
      <c r="G3" s="1">
        <f>VLOOKUP($B3, '[1]Pro of pig iron'!$B$2:$X$31, $A$1, FALSE)*(1-VLOOKUP($B3, '[1]Foundry share'!$B$2:$X$31, $A$1, FALSE))</f>
        <v>113040.62668437287</v>
      </c>
      <c r="H3" s="1">
        <f>VLOOKUP($B3, '[1]Exp of pig iron'!$B$2:$X$31, $A$1, FALSE)</f>
        <v>3333</v>
      </c>
      <c r="I3" s="1">
        <f>VLOOKUP($B3, '[1]Imp of pig iron'!$B$2:$X$31, $A$1, FALSE)</f>
        <v>18</v>
      </c>
      <c r="J3" s="1">
        <f>VLOOKUP($B3, '[1]Pro of DRI'!$B$2:$X$31, $A$1, FALSE)*(1-VLOOKUP($B3, '[1]Foundry share'!$B$2:$X$31, $A$1, FALSE))</f>
        <v>43.140337627131572</v>
      </c>
      <c r="K3" s="1">
        <f>VLOOKUP($B3, '[1]Exp of DRI'!$B$2:$X$31, $A$1, FALSE)</f>
        <v>0</v>
      </c>
      <c r="L3" s="1">
        <f>VLOOKUP($B3, '[1]Imp of DRI'!$B$2:$X$31, $A$1, FALSE)</f>
        <v>0</v>
      </c>
      <c r="M3" s="1">
        <f>VLOOKUP($B3, '[1]Exp of scrap'!$B$2:$X$31, $A$1, FALSE)</f>
        <v>0</v>
      </c>
      <c r="N3" s="1">
        <f>VLOOKUP($B3, '[1]Imp of scrap'!$B$2:$X$31, $A$1, FALSE)</f>
        <v>5099</v>
      </c>
      <c r="O3" s="1">
        <f>VLOOKUP($B3, '[1]Pro of BOF steel'!$B$2:$X$31, $A$1, FALSE)</f>
        <v>105843</v>
      </c>
      <c r="P3" s="1">
        <f>VLOOKUP($B3, '[1]Pro of OHF steel'!$B$2:$X$31, $A$1, FALSE)</f>
        <v>1081</v>
      </c>
      <c r="Q3" s="1">
        <f>VLOOKUP($B3, '[1]Pro of EAF steel'!$B$2:$X$31, $A$1, FALSE)</f>
        <v>20200</v>
      </c>
      <c r="R3" s="1">
        <f>VLOOKUP($B3, '[1]Exp of ingots and semis'!$B$2:$X$31, $A$1, FALSE)</f>
        <v>5089</v>
      </c>
      <c r="S3" s="1">
        <f>VLOOKUP($B3, '[1]Imp of ingots and semis'!$B$2:$X$31, $A$1, FALSE)</f>
        <v>4901</v>
      </c>
      <c r="T3" s="1">
        <f>VLOOKUP($B3, '[1]Pro of hr long'!$B$2:$X$31, $A$1, FALSE)+VLOOKUP($B3, '[1]Pro of seamless tubes'!$B$2:$X$31, $A$1, FALSE)</f>
        <v>80070</v>
      </c>
      <c r="U3" s="1">
        <f>VLOOKUP($B3, '[1]Exp of long'!$B$2:$X$31, $A$1, FALSE)</f>
        <v>1513</v>
      </c>
      <c r="V3" s="1">
        <f>VLOOKUP($B3, '[1]Imp of long'!$B$2:$X$31, $A$1, FALSE)</f>
        <v>1184</v>
      </c>
      <c r="W3" s="1">
        <f>VLOOKUP($B3, '[1]Pro of hr flat'!$B$2:$X$31, $A$1, FALSE)*parameters!$B$8</f>
        <v>49189.601706970127</v>
      </c>
      <c r="X3" s="1">
        <f>VLOOKUP($B3, '[1]Exp of flat'!$B$2:$X$31, $A$1, FALSE)</f>
        <v>3472</v>
      </c>
      <c r="Y3" s="1">
        <f>VLOOKUP($B3, '[1]Imp of flat'!$B$2:$X$31, $A$1, FALSE)</f>
        <v>14103</v>
      </c>
      <c r="Z3" s="1">
        <f>VLOOKUP($B3, '[1]Indirect exp'!$B$2:$X$31, $A$1, FALSE)</f>
        <v>11694</v>
      </c>
      <c r="AA3" s="1">
        <f>VLOOKUP($B3, '[1]Indirect imp'!$B$2:$X$31, $A$1, FALSE)</f>
        <v>4719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65316.919456581156</v>
      </c>
      <c r="D4" s="1">
        <f>VLOOKUP($B4, '[1]Pro of iron ore'!$B$2:$X$31, $A$1, FALSE)*(1-VLOOKUP($B4, '[1]Foundry share'!$B$2:$X$31, $A$1, FALSE))</f>
        <v>41795.948460695778</v>
      </c>
      <c r="E4" s="46">
        <f>VLOOKUP($B4, '[1]Iron content'!$B$2:$X$31, $A$1, FALSE)</f>
        <v>0.63989466754443713</v>
      </c>
      <c r="F4" s="1">
        <f>VLOOKUP($B4, '[1]Exp of usable iron ore'!$B$2:$X$31, $A$1, FALSE)*parameters!$B$12</f>
        <v>22696.7</v>
      </c>
      <c r="G4" s="1">
        <f>VLOOKUP($B4, '[1]Pro of pig iron'!$B$2:$X$31, $A$1, FALSE)*(1-VLOOKUP($B4, '[1]Foundry share'!$B$2:$X$31, $A$1, FALSE))</f>
        <v>18336.03738951635</v>
      </c>
      <c r="H4" s="1">
        <f>VLOOKUP($B4, '[1]Exp of pig iron'!$B$2:$X$31, $A$1, FALSE)</f>
        <v>272</v>
      </c>
      <c r="I4" s="1">
        <f>VLOOKUP($B4, '[1]Imp of pig iron'!$B$2:$X$31, $A$1, FALSE)</f>
        <v>2</v>
      </c>
      <c r="J4" s="1">
        <f>VLOOKUP($B4, '[1]Pro of DRI'!$B$2:$X$31, $A$1, FALSE)*(1-VLOOKUP($B4, '[1]Foundry share'!$B$2:$X$31, $A$1, FALSE))</f>
        <v>4728.2741694836495</v>
      </c>
      <c r="K4" s="1">
        <f>VLOOKUP($B4, '[1]Exp of DRI'!$B$2:$X$31, $A$1, FALSE)</f>
        <v>0</v>
      </c>
      <c r="L4" s="1">
        <f>VLOOKUP($B4, '[1]Imp of DRI'!$B$2:$X$31, $A$1, FALSE)</f>
        <v>0</v>
      </c>
      <c r="M4" s="1">
        <f>VLOOKUP($B4, '[1]Exp of scrap'!$B$2:$X$31, $A$1, FALSE)</f>
        <v>0</v>
      </c>
      <c r="N4" s="1">
        <f>VLOOKUP($B4, '[1]Imp of scrap'!$B$2:$X$31, $A$1, FALSE)</f>
        <v>700</v>
      </c>
      <c r="O4" s="1">
        <f>VLOOKUP($B4, '[1]Pro of BOF steel'!$B$2:$X$31, $A$1, FALSE)</f>
        <v>14730</v>
      </c>
      <c r="P4" s="1">
        <f>VLOOKUP($B4, '[1]Pro of OHF steel'!$B$2:$X$31, $A$1, FALSE)</f>
        <v>2500</v>
      </c>
      <c r="Q4" s="1">
        <f>VLOOKUP($B4, '[1]Pro of EAF steel'!$B$2:$X$31, $A$1, FALSE)</f>
        <v>9690</v>
      </c>
      <c r="R4" s="1">
        <f>VLOOKUP($B4, '[1]Exp of ingots and semis'!$B$2:$X$31, $A$1, FALSE)</f>
        <v>205</v>
      </c>
      <c r="S4" s="1">
        <f>VLOOKUP($B4, '[1]Imp of ingots and semis'!$B$2:$X$31, $A$1, FALSE)</f>
        <v>409</v>
      </c>
      <c r="T4" s="1">
        <f>VLOOKUP($B4, '[1]Pro of hr long'!$B$2:$X$31, $A$1, FALSE)+VLOOKUP($B4, '[1]Pro of seamless tubes'!$B$2:$X$31, $A$1, FALSE)</f>
        <v>12344</v>
      </c>
      <c r="U4" s="1">
        <f>VLOOKUP($B4, '[1]Exp of long'!$B$2:$X$31, $A$1, FALSE)</f>
        <v>392</v>
      </c>
      <c r="V4" s="1">
        <f>VLOOKUP($B4, '[1]Imp of long'!$B$2:$X$31, $A$1, FALSE)</f>
        <v>97</v>
      </c>
      <c r="W4" s="1">
        <f>VLOOKUP($B4, '[1]Pro of hr flat'!$B$2:$X$31, $A$1, FALSE)*parameters!$B$8</f>
        <v>16810.73826458037</v>
      </c>
      <c r="X4" s="1">
        <f>VLOOKUP($B4, '[1]Exp of flat'!$B$2:$X$31, $A$1, FALSE)</f>
        <v>2562</v>
      </c>
      <c r="Y4" s="1">
        <f>VLOOKUP($B4, '[1]Imp of flat'!$B$2:$X$31, $A$1, FALSE)</f>
        <v>1047</v>
      </c>
      <c r="Z4" s="1">
        <f>VLOOKUP($B4, '[1]Indirect exp'!$B$2:$X$31, $A$1, FALSE)</f>
        <v>1062</v>
      </c>
      <c r="AA4" s="1">
        <f>VLOOKUP($B4, '[1]Indirect imp'!$B$2:$X$31, $A$1, FALSE)</f>
        <v>725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1.454</v>
      </c>
      <c r="D5" s="1">
        <f>VLOOKUP($B5, '[1]Pro of iron ore'!$B$2:$X$31, $A$1, FALSE)*(1-VLOOKUP($B5, '[1]Foundry share'!$B$2:$X$31, $A$1, FALSE))</f>
        <v>0</v>
      </c>
      <c r="E5" s="46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81071</v>
      </c>
      <c r="H5" s="1">
        <f>VLOOKUP($B5, '[1]Exp of pig iron'!$B$2:$X$31, $A$1, FALSE)</f>
        <v>224</v>
      </c>
      <c r="I5" s="1">
        <f>VLOOKUP($B5, '[1]Imp of pig iron'!$B$2:$X$31, $A$1, FALSE)</f>
        <v>851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0</v>
      </c>
      <c r="L5" s="1">
        <f>VLOOKUP($B5, '[1]Imp of DRI'!$B$2:$X$31, $A$1, FALSE)</f>
        <v>0</v>
      </c>
      <c r="M5" s="1">
        <f>VLOOKUP($B5, '[1]Exp of scrap'!$B$2:$X$31, $A$1, FALSE)</f>
        <v>2895</v>
      </c>
      <c r="N5" s="1">
        <f>VLOOKUP($B5, '[1]Imp of scrap'!$B$2:$X$31, $A$1, FALSE)</f>
        <v>321</v>
      </c>
      <c r="O5" s="1">
        <f>VLOOKUP($B5, '[1]Pro of BOF steel'!$B$2:$X$31, $A$1, FALSE)</f>
        <v>75784</v>
      </c>
      <c r="P5" s="1">
        <f>VLOOKUP($B5, '[1]Pro of OHF steel'!$B$2:$X$31, $A$1, FALSE)</f>
        <v>0</v>
      </c>
      <c r="Q5" s="1">
        <f>VLOOKUP($B5, '[1]Pro of EAF steel'!$B$2:$X$31, $A$1, FALSE)</f>
        <v>30660</v>
      </c>
      <c r="R5" s="1">
        <f>VLOOKUP($B5, '[1]Exp of ingots and semis'!$B$2:$X$31, $A$1, FALSE)</f>
        <v>1499</v>
      </c>
      <c r="S5" s="1">
        <f>VLOOKUP($B5, '[1]Imp of ingots and semis'!$B$2:$X$31, $A$1, FALSE)</f>
        <v>12</v>
      </c>
      <c r="T5" s="1">
        <f>VLOOKUP($B5, '[1]Pro of hr long'!$B$2:$X$31, $A$1, FALSE)+VLOOKUP($B5, '[1]Pro of seamless tubes'!$B$2:$X$31, $A$1, FALSE)</f>
        <v>38021</v>
      </c>
      <c r="U5" s="1">
        <f>VLOOKUP($B5, '[1]Exp of long'!$B$2:$X$31, $A$1, FALSE)</f>
        <v>3602</v>
      </c>
      <c r="V5" s="1">
        <f>VLOOKUP($B5, '[1]Imp of long'!$B$2:$X$31, $A$1, FALSE)</f>
        <v>327</v>
      </c>
      <c r="W5" s="1">
        <f>VLOOKUP($B5, '[1]Pro of hr flat'!$B$2:$X$31, $A$1, FALSE)*parameters!$B$8</f>
        <v>58689.422475106687</v>
      </c>
      <c r="X5" s="1">
        <f>VLOOKUP($B5, '[1]Exp of flat'!$B$2:$X$31, $A$1, FALSE)</f>
        <v>21215</v>
      </c>
      <c r="Y5" s="1">
        <f>VLOOKUP($B5, '[1]Imp of flat'!$B$2:$X$31, $A$1, FALSE)</f>
        <v>4474</v>
      </c>
      <c r="Z5" s="1">
        <f>VLOOKUP($B5, '[1]Indirect exp'!$B$2:$X$31, $A$1, FALSE)</f>
        <v>19012</v>
      </c>
      <c r="AA5" s="1">
        <f>VLOOKUP($B5, '[1]Indirect imp'!$B$2:$X$31, $A$1, FALSE)</f>
        <v>3257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63089</v>
      </c>
      <c r="D6" s="1">
        <f>VLOOKUP($B6, '[1]Pro of iron ore'!$B$2:$X$31, $A$1, FALSE)*(1-VLOOKUP($B6, '[1]Foundry share'!$B$2:$X$31, $A$1, FALSE))</f>
        <v>39703</v>
      </c>
      <c r="E6" s="46">
        <f>VLOOKUP($B6, '[1]Iron content'!$B$2:$X$31, $A$1, FALSE)</f>
        <v>0.62931731363629162</v>
      </c>
      <c r="F6" s="1">
        <f>VLOOKUP($B6, '[1]Exp of usable iron ore'!$B$2:$X$31, $A$1, FALSE)*parameters!$B$12</f>
        <v>3994.9</v>
      </c>
      <c r="G6" s="1">
        <f>VLOOKUP($B6, '[1]Pro of pig iron'!$B$2:$X$31, $A$1, FALSE)*(1-VLOOKUP($B6, '[1]Foundry share'!$B$2:$X$31, $A$1, FALSE))</f>
        <v>47878</v>
      </c>
      <c r="H6" s="1">
        <f>VLOOKUP($B6, '[1]Exp of pig iron'!$B$2:$X$31, $A$1, FALSE)</f>
        <v>72</v>
      </c>
      <c r="I6" s="1">
        <f>VLOOKUP($B6, '[1]Imp of pig iron'!$B$2:$X$31, $A$1, FALSE)</f>
        <v>4970</v>
      </c>
      <c r="J6" s="1">
        <f>VLOOKUP($B6, '[1]Pro of DRI'!$B$2:$X$31, $A$1, FALSE)*(1-VLOOKUP($B6, '[1]Foundry share'!$B$2:$X$31, $A$1, FALSE))</f>
        <v>1560</v>
      </c>
      <c r="K6" s="1">
        <f>VLOOKUP($B6, '[1]Exp of DRI'!$B$2:$X$31, $A$1, FALSE)</f>
        <v>0</v>
      </c>
      <c r="L6" s="1">
        <f>VLOOKUP($B6, '[1]Imp of DRI'!$B$2:$X$31, $A$1, FALSE)</f>
        <v>0</v>
      </c>
      <c r="M6" s="1">
        <f>VLOOKUP($B6, '[1]Exp of scrap'!$B$2:$X$31, $A$1, FALSE)</f>
        <v>5761</v>
      </c>
      <c r="N6" s="1">
        <f>VLOOKUP($B6, '[1]Imp of scrap'!$B$2:$X$31, $A$1, FALSE)</f>
        <v>3355</v>
      </c>
      <c r="O6" s="1">
        <f>VLOOKUP($B6, '[1]Pro of BOF steel'!$B$2:$X$31, $A$1, FALSE)</f>
        <v>53953</v>
      </c>
      <c r="P6" s="1">
        <f>VLOOKUP($B6, '[1]Pro of OHF steel'!$B$2:$X$31, $A$1, FALSE)</f>
        <v>0</v>
      </c>
      <c r="Q6" s="1">
        <f>VLOOKUP($B6, '[1]Pro of EAF steel'!$B$2:$X$31, $A$1, FALSE)</f>
        <v>47850</v>
      </c>
      <c r="R6" s="1">
        <f>VLOOKUP($B6, '[1]Exp of ingots and semis'!$B$2:$X$31, $A$1, FALSE)</f>
        <v>102</v>
      </c>
      <c r="S6" s="1">
        <f>VLOOKUP($B6, '[1]Imp of ingots and semis'!$B$2:$X$31, $A$1, FALSE)</f>
        <v>7764</v>
      </c>
      <c r="T6" s="1">
        <f>VLOOKUP($B6, '[1]Pro of hr long'!$B$2:$X$31, $A$1, FALSE)+VLOOKUP($B6, '[1]Pro of seamless tubes'!$B$2:$X$31, $A$1, FALSE)</f>
        <v>29898</v>
      </c>
      <c r="U6" s="1">
        <f>VLOOKUP($B6, '[1]Exp of long'!$B$2:$X$31, $A$1, FALSE)</f>
        <v>1446</v>
      </c>
      <c r="V6" s="1">
        <f>VLOOKUP($B6, '[1]Imp of long'!$B$2:$X$31, $A$1, FALSE)</f>
        <v>9866</v>
      </c>
      <c r="W6" s="1">
        <f>VLOOKUP($B6, '[1]Pro of hr flat'!$B$2:$X$31, $A$1, FALSE)*parameters!$B$8</f>
        <v>67711.240398293026</v>
      </c>
      <c r="X6" s="1">
        <f>VLOOKUP($B6, '[1]Exp of flat'!$B$2:$X$31, $A$1, FALSE)</f>
        <v>3571</v>
      </c>
      <c r="Y6" s="1">
        <f>VLOOKUP($B6, '[1]Imp of flat'!$B$2:$X$31, $A$1, FALSE)</f>
        <v>13383</v>
      </c>
      <c r="Z6" s="1">
        <f>VLOOKUP($B6, '[1]Indirect exp'!$B$2:$X$31, $A$1, FALSE)</f>
        <v>16458</v>
      </c>
      <c r="AA6" s="1">
        <f>VLOOKUP($B6, '[1]Indirect imp'!$B$2:$X$31, $A$1, FALSE)</f>
        <v>30017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86630</v>
      </c>
      <c r="D7" s="1">
        <f>VLOOKUP($B7, '[1]Pro of iron ore'!$B$2:$X$31, $A$1, FALSE)*(1-VLOOKUP($B7, '[1]Foundry share'!$B$2:$X$31, $A$1, FALSE))</f>
        <v>50000</v>
      </c>
      <c r="E7" s="46">
        <f>VLOOKUP($B7, '[1]Iron content'!$B$2:$X$31, $A$1, FALSE)</f>
        <v>0.5771672630728385</v>
      </c>
      <c r="F7" s="1">
        <f>VLOOKUP($B7, '[1]Exp of usable iron ore'!$B$2:$X$31, $A$1, FALSE)*parameters!$B$12</f>
        <v>11310.65</v>
      </c>
      <c r="G7" s="1">
        <f>VLOOKUP($B7, '[1]Pro of pig iron'!$B$2:$X$31, $A$1, FALSE)*(1-VLOOKUP($B7, '[1]Foundry share'!$B$2:$X$31, $A$1, FALSE))</f>
        <v>44536</v>
      </c>
      <c r="H7" s="1">
        <f>VLOOKUP($B7, '[1]Exp of pig iron'!$B$2:$X$31, $A$1, FALSE)</f>
        <v>3563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1920</v>
      </c>
      <c r="K7" s="1">
        <f>VLOOKUP($B7, '[1]Exp of DRI'!$B$2:$X$31, $A$1, FALSE)</f>
        <v>0</v>
      </c>
      <c r="L7" s="1">
        <f>VLOOKUP($B7, '[1]Imp of DRI'!$B$2:$X$31, $A$1, FALSE)</f>
        <v>0</v>
      </c>
      <c r="M7" s="1">
        <f>VLOOKUP($B7, '[1]Exp of scrap'!$B$2:$X$31, $A$1, FALSE)</f>
        <v>6802</v>
      </c>
      <c r="N7" s="1">
        <f>VLOOKUP($B7, '[1]Imp of scrap'!$B$2:$X$31, $A$1, FALSE)</f>
        <v>312</v>
      </c>
      <c r="O7" s="1">
        <f>VLOOKUP($B7, '[1]Pro of BOF steel'!$B$2:$X$31, $A$1, FALSE)</f>
        <v>34300</v>
      </c>
      <c r="P7" s="1">
        <f>VLOOKUP($B7, '[1]Pro of OHF steel'!$B$2:$X$31, $A$1, FALSE)</f>
        <v>16170</v>
      </c>
      <c r="Q7" s="1">
        <f>VLOOKUP($B7, '[1]Pro of EAF steel'!$B$2:$X$31, $A$1, FALSE)</f>
        <v>8610</v>
      </c>
      <c r="R7" s="1">
        <f>VLOOKUP($B7, '[1]Exp of ingots and semis'!$B$2:$X$31, $A$1, FALSE)</f>
        <v>12191</v>
      </c>
      <c r="S7" s="1">
        <f>VLOOKUP($B7, '[1]Imp of ingots and semis'!$B$2:$X$31, $A$1, FALSE)</f>
        <v>15</v>
      </c>
      <c r="T7" s="1">
        <f>VLOOKUP($B7, '[1]Pro of hr long'!$B$2:$X$31, $A$1, FALSE)+VLOOKUP($B7, '[1]Pro of seamless tubes'!$B$2:$X$31, $A$1, FALSE)</f>
        <v>23788</v>
      </c>
      <c r="U7" s="1">
        <f>VLOOKUP($B7, '[1]Exp of long'!$B$2:$X$31, $A$1, FALSE)</f>
        <v>3926</v>
      </c>
      <c r="V7" s="1">
        <f>VLOOKUP($B7, '[1]Imp of long'!$B$2:$X$31, $A$1, FALSE)</f>
        <v>883</v>
      </c>
      <c r="W7" s="1">
        <f>VLOOKUP($B7, '[1]Pro of hr flat'!$B$2:$X$31, $A$1, FALSE)*parameters!$B$8</f>
        <v>22054.196301564723</v>
      </c>
      <c r="X7" s="1">
        <f>VLOOKUP($B7, '[1]Exp of flat'!$B$2:$X$31, $A$1, FALSE)</f>
        <v>10726</v>
      </c>
      <c r="Y7" s="1">
        <f>VLOOKUP($B7, '[1]Imp of flat'!$B$2:$X$31, $A$1, FALSE)</f>
        <v>958</v>
      </c>
      <c r="Z7" s="1">
        <f>VLOOKUP($B7, '[1]Indirect exp'!$B$2:$X$31, $A$1, FALSE)</f>
        <v>2146</v>
      </c>
      <c r="AA7" s="1">
        <f>VLOOKUP($B7, '[1]Indirect imp'!$B$2:$X$31, $A$1, FALSE)</f>
        <v>1603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6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24937</v>
      </c>
      <c r="H8" s="1">
        <f>VLOOKUP($B8, '[1]Exp of pig iron'!$B$2:$X$31, $A$1, FALSE)</f>
        <v>0</v>
      </c>
      <c r="I8" s="1">
        <f>VLOOKUP($B8, '[1]Imp of pig iron'!$B$2:$X$31, $A$1, FALSE)</f>
        <v>2272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0</v>
      </c>
      <c r="L8" s="1">
        <f>VLOOKUP($B8, '[1]Imp of DRI'!$B$2:$X$31, $A$1, FALSE)</f>
        <v>0</v>
      </c>
      <c r="M8" s="1">
        <f>VLOOKUP($B8, '[1]Exp of scrap'!$B$2:$X$31, $A$1, FALSE)</f>
        <v>35</v>
      </c>
      <c r="N8" s="1">
        <f>VLOOKUP($B8, '[1]Imp of scrap'!$B$2:$X$31, $A$1, FALSE)</f>
        <v>6852</v>
      </c>
      <c r="O8" s="1">
        <f>VLOOKUP($B8, '[1]Pro of BOF steel'!$B$2:$X$31, $A$1, FALSE)</f>
        <v>24666</v>
      </c>
      <c r="P8" s="1">
        <f>VLOOKUP($B8, '[1]Pro of OHF steel'!$B$2:$X$31, $A$1, FALSE)</f>
        <v>0</v>
      </c>
      <c r="Q8" s="1">
        <f>VLOOKUP($B8, '[1]Pro of EAF steel'!$B$2:$X$31, $A$1, FALSE)</f>
        <v>18441</v>
      </c>
      <c r="R8" s="1">
        <f>VLOOKUP($B8, '[1]Exp of ingots and semis'!$B$2:$X$31, $A$1, FALSE)</f>
        <v>124</v>
      </c>
      <c r="S8" s="1">
        <f>VLOOKUP($B8, '[1]Imp of ingots and semis'!$B$2:$X$31, $A$1, FALSE)</f>
        <v>3444</v>
      </c>
      <c r="T8" s="1">
        <f>VLOOKUP($B8, '[1]Pro of hr long'!$B$2:$X$31, $A$1, FALSE)+VLOOKUP($B8, '[1]Pro of seamless tubes'!$B$2:$X$31, $A$1, FALSE)</f>
        <v>18171</v>
      </c>
      <c r="U8" s="1">
        <f>VLOOKUP($B8, '[1]Exp of long'!$B$2:$X$31, $A$1, FALSE)</f>
        <v>2417</v>
      </c>
      <c r="V8" s="1">
        <f>VLOOKUP($B8, '[1]Imp of long'!$B$2:$X$31, $A$1, FALSE)</f>
        <v>1420</v>
      </c>
      <c r="W8" s="1">
        <f>VLOOKUP($B8, '[1]Pro of hr flat'!$B$2:$X$31, $A$1, FALSE)*parameters!$B$8</f>
        <v>25474.054054054053</v>
      </c>
      <c r="X8" s="1">
        <f>VLOOKUP($B8, '[1]Exp of flat'!$B$2:$X$31, $A$1, FALSE)</f>
        <v>10002</v>
      </c>
      <c r="Y8" s="1">
        <f>VLOOKUP($B8, '[1]Imp of flat'!$B$2:$X$31, $A$1, FALSE)</f>
        <v>6229</v>
      </c>
      <c r="Z8" s="1">
        <f>VLOOKUP($B8, '[1]Indirect exp'!$B$2:$X$31, $A$1, FALSE)</f>
        <v>11279</v>
      </c>
      <c r="AA8" s="1">
        <f>VLOOKUP($B8, '[1]Indirect imp'!$B$2:$X$31, $A$1, FALSE)</f>
        <v>1417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462</v>
      </c>
      <c r="D9" s="1">
        <f>VLOOKUP($B9, '[1]Pro of iron ore'!$B$2:$X$31, $A$1, FALSE)*(1-VLOOKUP($B9, '[1]Foundry share'!$B$2:$X$31, $A$1, FALSE))</f>
        <v>298</v>
      </c>
      <c r="E9" s="46">
        <f>VLOOKUP($B9, '[1]Iron content'!$B$2:$X$31, $A$1, FALSE)</f>
        <v>0.64502164502164505</v>
      </c>
      <c r="F9" s="1">
        <f>VLOOKUP($B9, '[1]Exp of usable iron ore'!$B$2:$X$31, $A$1, FALSE)*parameters!$B$12</f>
        <v>13.65</v>
      </c>
      <c r="G9" s="1">
        <f>VLOOKUP($B9, '[1]Pro of pig iron'!$B$2:$X$31, $A$1, FALSE)*(1-VLOOKUP($B9, '[1]Foundry share'!$B$2:$X$31, $A$1, FALSE))</f>
        <v>30845</v>
      </c>
      <c r="H9" s="1">
        <f>VLOOKUP($B9, '[1]Exp of pig iron'!$B$2:$X$31, $A$1, FALSE)</f>
        <v>117</v>
      </c>
      <c r="I9" s="1">
        <f>VLOOKUP($B9, '[1]Imp of pig iron'!$B$2:$X$31, $A$1, FALSE)</f>
        <v>257</v>
      </c>
      <c r="J9" s="1">
        <f>VLOOKUP($B9, '[1]Pro of DRI'!$B$2:$X$31, $A$1, FALSE)*(1-VLOOKUP($B9, '[1]Foundry share'!$B$2:$X$31, $A$1, FALSE))</f>
        <v>455</v>
      </c>
      <c r="K9" s="1">
        <f>VLOOKUP($B9, '[1]Exp of DRI'!$B$2:$X$31, $A$1, FALSE)</f>
        <v>0</v>
      </c>
      <c r="L9" s="1">
        <f>VLOOKUP($B9, '[1]Imp of DRI'!$B$2:$X$31, $A$1, FALSE)</f>
        <v>0</v>
      </c>
      <c r="M9" s="1">
        <f>VLOOKUP($B9, '[1]Exp of scrap'!$B$2:$X$31, $A$1, FALSE)</f>
        <v>6869</v>
      </c>
      <c r="N9" s="1">
        <f>VLOOKUP($B9, '[1]Imp of scrap'!$B$2:$X$31, $A$1, FALSE)</f>
        <v>3519</v>
      </c>
      <c r="O9" s="1">
        <f>VLOOKUP($B9, '[1]Pro of BOF steel'!$B$2:$X$31, $A$1, FALSE)</f>
        <v>33052</v>
      </c>
      <c r="P9" s="1">
        <f>VLOOKUP($B9, '[1]Pro of OHF steel'!$B$2:$X$31, $A$1, FALSE)</f>
        <v>0</v>
      </c>
      <c r="Q9" s="1">
        <f>VLOOKUP($B9, '[1]Pro of EAF steel'!$B$2:$X$31, $A$1, FALSE)</f>
        <v>13324</v>
      </c>
      <c r="R9" s="1">
        <f>VLOOKUP($B9, '[1]Exp of ingots and semis'!$B$2:$X$31, $A$1, FALSE)</f>
        <v>2451</v>
      </c>
      <c r="S9" s="1">
        <f>VLOOKUP($B9, '[1]Imp of ingots and semis'!$B$2:$X$31, $A$1, FALSE)</f>
        <v>1773</v>
      </c>
      <c r="T9" s="1">
        <f>VLOOKUP($B9, '[1]Pro of hr long'!$B$2:$X$31, $A$1, FALSE)+VLOOKUP($B9, '[1]Pro of seamless tubes'!$B$2:$X$31, $A$1, FALSE)</f>
        <v>14142</v>
      </c>
      <c r="U9" s="1">
        <f>VLOOKUP($B9, '[1]Exp of long'!$B$2:$X$31, $A$1, FALSE)</f>
        <v>6654</v>
      </c>
      <c r="V9" s="1">
        <f>VLOOKUP($B9, '[1]Imp of long'!$B$2:$X$31, $A$1, FALSE)</f>
        <v>6483</v>
      </c>
      <c r="W9" s="1">
        <f>VLOOKUP($B9, '[1]Pro of hr flat'!$B$2:$X$31, $A$1, FALSE)*parameters!$B$8</f>
        <v>25359.411095305833</v>
      </c>
      <c r="X9" s="1">
        <f>VLOOKUP($B9, '[1]Exp of flat'!$B$2:$X$31, $A$1, FALSE)</f>
        <v>12720</v>
      </c>
      <c r="Y9" s="1">
        <f>VLOOKUP($B9, '[1]Imp of flat'!$B$2:$X$31, $A$1, FALSE)</f>
        <v>9945</v>
      </c>
      <c r="Z9" s="1">
        <f>VLOOKUP($B9, '[1]Indirect exp'!$B$2:$X$31, $A$1, FALSE)</f>
        <v>17555</v>
      </c>
      <c r="AA9" s="1">
        <f>VLOOKUP($B9, '[1]Indirect imp'!$B$2:$X$31, $A$1, FALSE)</f>
        <v>13342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3738.9350738963626</v>
      </c>
      <c r="D10" s="1">
        <f>VLOOKUP($B10, '[1]Pro of iron ore'!$B$2:$X$31, $A$1, FALSE)*(1-VLOOKUP($B10, '[1]Foundry share'!$B$2:$X$31, $A$1, FALSE))</f>
        <v>2018.0709427311083</v>
      </c>
      <c r="E10" s="46">
        <f>VLOOKUP($B10, '[1]Iron content'!$B$2:$X$31, $A$1, FALSE)</f>
        <v>0.53974484789008836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4891.9874261750001</v>
      </c>
      <c r="H10" s="1">
        <f>VLOOKUP($B10, '[1]Exp of pig iron'!$B$2:$X$31, $A$1, FALSE)</f>
        <v>0</v>
      </c>
      <c r="I10" s="1">
        <f>VLOOKUP($B10, '[1]Imp of pig iron'!$B$2:$X$31, $A$1, FALSE)</f>
        <v>297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0</v>
      </c>
      <c r="M10" s="1">
        <f>VLOOKUP($B10, '[1]Exp of scrap'!$B$2:$X$31, $A$1, FALSE)</f>
        <v>30</v>
      </c>
      <c r="N10" s="1">
        <f>VLOOKUP($B10, '[1]Imp of scrap'!$B$2:$X$31, $A$1, FALSE)</f>
        <v>7438</v>
      </c>
      <c r="O10" s="1">
        <f>VLOOKUP($B10, '[1]Pro of BOF steel'!$B$2:$X$31, $A$1, FALSE)</f>
        <v>5229</v>
      </c>
      <c r="P10" s="1">
        <f>VLOOKUP($B10, '[1]Pro of OHF steel'!$B$2:$X$31, $A$1, FALSE)</f>
        <v>0</v>
      </c>
      <c r="Q10" s="1">
        <f>VLOOKUP($B10, '[1]Pro of EAF steel'!$B$2:$X$31, $A$1, FALSE)</f>
        <v>9096</v>
      </c>
      <c r="R10" s="1">
        <f>VLOOKUP($B10, '[1]Exp of ingots and semis'!$B$2:$X$31, $A$1, FALSE)</f>
        <v>1235</v>
      </c>
      <c r="S10" s="1">
        <f>VLOOKUP($B10, '[1]Imp of ingots and semis'!$B$2:$X$31, $A$1, FALSE)</f>
        <v>2581</v>
      </c>
      <c r="T10" s="1">
        <f>VLOOKUP($B10, '[1]Pro of hr long'!$B$2:$X$31, $A$1, FALSE)+VLOOKUP($B10, '[1]Pro of seamless tubes'!$B$2:$X$31, $A$1, FALSE)</f>
        <v>8670</v>
      </c>
      <c r="U10" s="1">
        <f>VLOOKUP($B10, '[1]Exp of long'!$B$2:$X$31, $A$1, FALSE)</f>
        <v>4880</v>
      </c>
      <c r="V10" s="1">
        <f>VLOOKUP($B10, '[1]Imp of long'!$B$2:$X$31, $A$1, FALSE)</f>
        <v>575</v>
      </c>
      <c r="W10" s="1">
        <f>VLOOKUP($B10, '[1]Pro of hr flat'!$B$2:$X$31, $A$1, FALSE)*parameters!$B$8</f>
        <v>5972.5675272796025</v>
      </c>
      <c r="X10" s="1">
        <f>VLOOKUP($B10, '[1]Exp of flat'!$B$2:$X$31, $A$1, FALSE)</f>
        <v>761</v>
      </c>
      <c r="Y10" s="1">
        <f>VLOOKUP($B10, '[1]Imp of flat'!$B$2:$X$31, $A$1, FALSE)</f>
        <v>3811</v>
      </c>
      <c r="Z10" s="1">
        <f>VLOOKUP($B10, '[1]Indirect exp'!$B$2:$X$31, $A$1, FALSE)</f>
        <v>1075</v>
      </c>
      <c r="AA10" s="1">
        <f>VLOOKUP($B10, '[1]Indirect imp'!$B$2:$X$31, $A$1, FALSE)</f>
        <v>1420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212576</v>
      </c>
      <c r="D11" s="1">
        <f>VLOOKUP($B11, '[1]Pro of iron ore'!$B$2:$X$31, $A$1, FALSE)*(1-VLOOKUP($B11, '[1]Foundry share'!$B$2:$X$31, $A$1, FALSE))</f>
        <v>141106</v>
      </c>
      <c r="E11" s="46">
        <f>VLOOKUP($B11, '[1]Iron content'!$B$2:$X$31, $A$1, FALSE)</f>
        <v>0.66379083245521597</v>
      </c>
      <c r="F11" s="1">
        <f>VLOOKUP($B11, '[1]Exp of usable iron ore'!$B$2:$X$31, $A$1, FALSE)*parameters!$B$12</f>
        <v>104074.1</v>
      </c>
      <c r="G11" s="1">
        <f>VLOOKUP($B11, '[1]Pro of pig iron'!$B$2:$X$31, $A$1, FALSE)*(1-VLOOKUP($B11, '[1]Foundry share'!$B$2:$X$31, $A$1, FALSE))</f>
        <v>27723</v>
      </c>
      <c r="H11" s="1">
        <f>VLOOKUP($B11, '[1]Exp of pig iron'!$B$2:$X$31, $A$1, FALSE)</f>
        <v>3809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412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7</v>
      </c>
      <c r="N11" s="1">
        <f>VLOOKUP($B11, '[1]Imp of scrap'!$B$2:$X$31, $A$1, FALSE)</f>
        <v>23</v>
      </c>
      <c r="O11" s="1">
        <f>VLOOKUP($B11, '[1]Pro of BOF steel'!$B$2:$X$31, $A$1, FALSE)</f>
        <v>21677</v>
      </c>
      <c r="P11" s="1">
        <f>VLOOKUP($B11, '[1]Pro of OHF steel'!$B$2:$X$31, $A$1, FALSE)</f>
        <v>0</v>
      </c>
      <c r="Q11" s="1">
        <f>VLOOKUP($B11, '[1]Pro of EAF steel'!$B$2:$X$31, $A$1, FALSE)</f>
        <v>5745</v>
      </c>
      <c r="R11" s="1">
        <f>VLOOKUP($B11, '[1]Exp of ingots and semis'!$B$2:$X$31, $A$1, FALSE)</f>
        <v>6213</v>
      </c>
      <c r="S11" s="1">
        <f>VLOOKUP($B11, '[1]Imp of ingots and semis'!$B$2:$X$31, $A$1, FALSE)</f>
        <v>112</v>
      </c>
      <c r="T11" s="1">
        <f>VLOOKUP($B11, '[1]Pro of hr long'!$B$2:$X$31, $A$1, FALSE)+VLOOKUP($B11, '[1]Pro of seamless tubes'!$B$2:$X$31, $A$1, FALSE)</f>
        <v>7000</v>
      </c>
      <c r="U11" s="1">
        <f>VLOOKUP($B11, '[1]Exp of long'!$B$2:$X$31, $A$1, FALSE)</f>
        <v>918</v>
      </c>
      <c r="V11" s="1">
        <f>VLOOKUP($B11, '[1]Imp of long'!$B$2:$X$31, $A$1, FALSE)</f>
        <v>245</v>
      </c>
      <c r="W11" s="1">
        <f>VLOOKUP($B11, '[1]Pro of hr flat'!$B$2:$X$31, $A$1, FALSE)*parameters!$B$8</f>
        <v>10893.99573257468</v>
      </c>
      <c r="X11" s="1">
        <f>VLOOKUP($B11, '[1]Exp of flat'!$B$2:$X$31, $A$1, FALSE)</f>
        <v>2156</v>
      </c>
      <c r="Y11" s="1">
        <f>VLOOKUP($B11, '[1]Imp of flat'!$B$2:$X$31, $A$1, FALSE)</f>
        <v>536</v>
      </c>
      <c r="Z11" s="1">
        <f>VLOOKUP($B11, '[1]Indirect exp'!$B$2:$X$31, $A$1, FALSE)</f>
        <v>1670</v>
      </c>
      <c r="AA11" s="1">
        <f>VLOOKUP($B11, '[1]Indirect imp'!$B$2:$X$31, $A$1, FALSE)</f>
        <v>1082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10162.02057918524</v>
      </c>
      <c r="D12" s="1">
        <f>VLOOKUP($B12, '[1]Pro of iron ore'!$B$2:$X$31, $A$1, FALSE)*(1-VLOOKUP($B12, '[1]Foundry share'!$B$2:$X$31, $A$1, FALSE))</f>
        <v>5011.1823389676611</v>
      </c>
      <c r="E12" s="46">
        <f>VLOOKUP($B12, '[1]Iron content'!$B$2:$X$31, $A$1, FALSE)</f>
        <v>0.49312853678253837</v>
      </c>
      <c r="F12" s="1">
        <f>VLOOKUP($B12, '[1]Exp of usable iron ore'!$B$2:$X$31, $A$1, FALSE)*parameters!$B$12</f>
        <v>0</v>
      </c>
      <c r="G12" s="1">
        <f>VLOOKUP($B12, '[1]Pro of pig iron'!$B$2:$X$31, $A$1, FALSE)*(1-VLOOKUP($B12, '[1]Foundry share'!$B$2:$X$31, $A$1, FALSE))</f>
        <v>1808.9546738371787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3728.8125633728218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0</v>
      </c>
      <c r="N12" s="1">
        <f>VLOOKUP($B12, '[1]Imp of scrap'!$B$2:$X$31, $A$1, FALSE)</f>
        <v>0</v>
      </c>
      <c r="O12" s="1">
        <f>VLOOKUP($B12, '[1]Pro of BOF steel'!$B$2:$X$31, $A$1, FALSE)</f>
        <v>2200</v>
      </c>
      <c r="P12" s="1">
        <f>VLOOKUP($B12, '[1]Pro of OHF steel'!$B$2:$X$31, $A$1, FALSE)</f>
        <v>0</v>
      </c>
      <c r="Q12" s="1">
        <f>VLOOKUP($B12, '[1]Pro of EAF steel'!$B$2:$X$31, $A$1, FALSE)</f>
        <v>4399</v>
      </c>
      <c r="R12" s="1">
        <f>VLOOKUP($B12, '[1]Exp of ingots and semis'!$B$2:$X$31, $A$1, FALSE)</f>
        <v>0</v>
      </c>
      <c r="S12" s="1">
        <f>VLOOKUP($B12, '[1]Imp of ingots and semis'!$B$2:$X$31, $A$1, FALSE)</f>
        <v>402</v>
      </c>
      <c r="T12" s="1">
        <f>VLOOKUP($B12, '[1]Pro of hr long'!$B$2:$X$31, $A$1, FALSE)+VLOOKUP($B12, '[1]Pro of seamless tubes'!$B$2:$X$31, $A$1, FALSE)</f>
        <v>2898</v>
      </c>
      <c r="U12" s="1">
        <f>VLOOKUP($B12, '[1]Exp of long'!$B$2:$X$31, $A$1, FALSE)</f>
        <v>0</v>
      </c>
      <c r="V12" s="1">
        <f>VLOOKUP($B12, '[1]Imp of long'!$B$2:$X$31, $A$1, FALSE)</f>
        <v>1035</v>
      </c>
      <c r="W12" s="1">
        <f>VLOOKUP($B12, '[1]Pro of hr flat'!$B$2:$X$31, $A$1, FALSE)*parameters!$B$8</f>
        <v>2789.3214793741108</v>
      </c>
      <c r="X12" s="1">
        <f>VLOOKUP($B12, '[1]Exp of flat'!$B$2:$X$31, $A$1, FALSE)</f>
        <v>0</v>
      </c>
      <c r="Y12" s="1">
        <f>VLOOKUP($B12, '[1]Imp of flat'!$B$2:$X$31, $A$1, FALSE)</f>
        <v>2135</v>
      </c>
      <c r="Z12" s="1">
        <f>VLOOKUP($B12, '[1]Indirect exp'!$B$2:$X$31, $A$1, FALSE)</f>
        <v>30</v>
      </c>
      <c r="AA12" s="1">
        <f>VLOOKUP($B12, '[1]Indirect imp'!$B$2:$X$31, $A$1, FALSE)</f>
        <v>816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6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11220</v>
      </c>
      <c r="H13" s="1">
        <f>VLOOKUP($B13, '[1]Exp of pig iron'!$B$2:$X$31, $A$1, FALSE)</f>
        <v>27</v>
      </c>
      <c r="I13" s="1">
        <f>VLOOKUP($B13, '[1]Imp of pig iron'!$B$2:$X$31, $A$1, FALSE)</f>
        <v>1104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0</v>
      </c>
      <c r="M13" s="1">
        <f>VLOOKUP($B13, '[1]Exp of scrap'!$B$2:$X$31, $A$1, FALSE)</f>
        <v>166</v>
      </c>
      <c r="N13" s="1">
        <f>VLOOKUP($B13, '[1]Imp of scrap'!$B$2:$X$31, $A$1, FALSE)</f>
        <v>4057</v>
      </c>
      <c r="O13" s="1">
        <f>VLOOKUP($B13, '[1]Pro of BOF steel'!$B$2:$X$31, $A$1, FALSE)</f>
        <v>10676</v>
      </c>
      <c r="P13" s="1">
        <f>VLOOKUP($B13, '[1]Pro of OHF steel'!$B$2:$X$31, $A$1, FALSE)</f>
        <v>0</v>
      </c>
      <c r="Q13" s="1">
        <f>VLOOKUP($B13, '[1]Pro of EAF steel'!$B$2:$X$31, $A$1, FALSE)</f>
        <v>16083</v>
      </c>
      <c r="R13" s="1">
        <f>VLOOKUP($B13, '[1]Exp of ingots and semis'!$B$2:$X$31, $A$1, FALSE)</f>
        <v>841</v>
      </c>
      <c r="S13" s="1">
        <f>VLOOKUP($B13, '[1]Imp of ingots and semis'!$B$2:$X$31, $A$1, FALSE)</f>
        <v>2071</v>
      </c>
      <c r="T13" s="1">
        <f>VLOOKUP($B13, '[1]Pro of hr long'!$B$2:$X$31, $A$1, FALSE)+VLOOKUP($B13, '[1]Pro of seamless tubes'!$B$2:$X$31, $A$1, FALSE)</f>
        <v>14322</v>
      </c>
      <c r="U13" s="1">
        <f>VLOOKUP($B13, '[1]Exp of long'!$B$2:$X$31, $A$1, FALSE)</f>
        <v>4398</v>
      </c>
      <c r="V13" s="1">
        <f>VLOOKUP($B13, '[1]Imp of long'!$B$2:$X$31, $A$1, FALSE)</f>
        <v>2407</v>
      </c>
      <c r="W13" s="1">
        <f>VLOOKUP($B13, '[1]Pro of hr flat'!$B$2:$X$31, $A$1, FALSE)*parameters!$B$8</f>
        <v>10212.938833570412</v>
      </c>
      <c r="X13" s="1">
        <f>VLOOKUP($B13, '[1]Exp of flat'!$B$2:$X$31, $A$1, FALSE)</f>
        <v>4072</v>
      </c>
      <c r="Y13" s="1">
        <f>VLOOKUP($B13, '[1]Imp of flat'!$B$2:$X$31, $A$1, FALSE)</f>
        <v>11579</v>
      </c>
      <c r="Z13" s="1">
        <f>VLOOKUP($B13, '[1]Indirect exp'!$B$2:$X$31, $A$1, FALSE)</f>
        <v>10721</v>
      </c>
      <c r="AA13" s="1">
        <f>VLOOKUP($B13, '[1]Indirect imp'!$B$2:$X$31, $A$1, FALSE)</f>
        <v>6212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55883.199999999997</v>
      </c>
      <c r="D14" s="1">
        <f>VLOOKUP($B14, '[1]Pro of iron ore'!$B$2:$X$31, $A$1, FALSE)*(1-VLOOKUP($B14, '[1]Foundry share'!$B$2:$X$31, $A$1, FALSE))</f>
        <v>30600</v>
      </c>
      <c r="E14" s="46">
        <f>VLOOKUP($B14, '[1]Iron content'!$B$2:$X$31, $A$1, FALSE)</f>
        <v>0.54757064735018757</v>
      </c>
      <c r="F14" s="1">
        <f>VLOOKUP($B14, '[1]Exp of usable iron ore'!$B$2:$X$31, $A$1, FALSE)*parameters!$B$12</f>
        <v>12660.7</v>
      </c>
      <c r="G14" s="1">
        <f>VLOOKUP($B14, '[1]Pro of pig iron'!$B$2:$X$31, $A$1, FALSE)*(1-VLOOKUP($B14, '[1]Foundry share'!$B$2:$X$31, $A$1, FALSE))</f>
        <v>25697</v>
      </c>
      <c r="H14" s="1">
        <f>VLOOKUP($B14, '[1]Exp of pig iron'!$B$2:$X$31, $A$1, FALSE)</f>
        <v>0</v>
      </c>
      <c r="I14" s="1">
        <f>VLOOKUP($B14, '[1]Imp of pig iron'!$B$2:$X$31, $A$1, FALSE)</f>
        <v>0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0</v>
      </c>
      <c r="M14" s="1">
        <f>VLOOKUP($B14, '[1]Exp of scrap'!$B$2:$X$31, $A$1, FALSE)</f>
        <v>5010</v>
      </c>
      <c r="N14" s="1">
        <f>VLOOKUP($B14, '[1]Imp of scrap'!$B$2:$X$31, $A$1, FALSE)</f>
        <v>23</v>
      </c>
      <c r="O14" s="1">
        <f>VLOOKUP($B14, '[1]Pro of BOF steel'!$B$2:$X$31, $A$1, FALSE)</f>
        <v>14899</v>
      </c>
      <c r="P14" s="1">
        <f>VLOOKUP($B14, '[1]Pro of OHF steel'!$B$2:$X$31, $A$1, FALSE)</f>
        <v>15883</v>
      </c>
      <c r="Q14" s="1">
        <f>VLOOKUP($B14, '[1]Pro of EAF steel'!$B$2:$X$31, $A$1, FALSE)</f>
        <v>985</v>
      </c>
      <c r="R14" s="1">
        <f>VLOOKUP($B14, '[1]Exp of ingots and semis'!$B$2:$X$31, $A$1, FALSE)</f>
        <v>8884</v>
      </c>
      <c r="S14" s="1">
        <f>VLOOKUP($B14, '[1]Imp of ingots and semis'!$B$2:$X$31, $A$1, FALSE)</f>
        <v>25</v>
      </c>
      <c r="T14" s="1">
        <f>VLOOKUP($B14, '[1]Pro of hr long'!$B$2:$X$31, $A$1, FALSE)+VLOOKUP($B14, '[1]Pro of seamless tubes'!$B$2:$X$31, $A$1, FALSE)</f>
        <v>14119</v>
      </c>
      <c r="U14" s="1">
        <f>VLOOKUP($B14, '[1]Exp of long'!$B$2:$X$31, $A$1, FALSE)</f>
        <v>5638</v>
      </c>
      <c r="V14" s="1">
        <f>VLOOKUP($B14, '[1]Imp of long'!$B$2:$X$31, $A$1, FALSE)</f>
        <v>0</v>
      </c>
      <c r="W14" s="1">
        <f>VLOOKUP($B14, '[1]Pro of hr flat'!$B$2:$X$31, $A$1, FALSE)*parameters!$B$8</f>
        <v>6344.2247510668567</v>
      </c>
      <c r="X14" s="1">
        <f>VLOOKUP($B14, '[1]Exp of flat'!$B$2:$X$31, $A$1, FALSE)</f>
        <v>6485</v>
      </c>
      <c r="Y14" s="1">
        <f>VLOOKUP($B14, '[1]Imp of flat'!$B$2:$X$31, $A$1, FALSE)</f>
        <v>0</v>
      </c>
      <c r="Z14" s="1">
        <f>VLOOKUP($B14, '[1]Indirect exp'!$B$2:$X$31, $A$1, FALSE)</f>
        <v>777</v>
      </c>
      <c r="AA14" s="1">
        <f>VLOOKUP($B14, '[1]Indirect imp'!$B$2:$X$31, $A$1, FALSE)</f>
        <v>337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11325</v>
      </c>
      <c r="D15" s="1">
        <f>VLOOKUP($B15, '[1]Pro of iron ore'!$B$2:$X$31, $A$1, FALSE)*(1-VLOOKUP($B15, '[1]Foundry share'!$B$2:$X$31, $A$1, FALSE))</f>
        <v>6795</v>
      </c>
      <c r="E15" s="46">
        <f>VLOOKUP($B15, '[1]Iron content'!$B$2:$X$31, $A$1, FALSE)</f>
        <v>0.6</v>
      </c>
      <c r="F15" s="1">
        <f>VLOOKUP($B15, '[1]Exp of usable iron ore'!$B$2:$X$31, $A$1, FALSE)*parameters!$B$12</f>
        <v>51.35</v>
      </c>
      <c r="G15" s="1">
        <f>VLOOKUP($B15, '[1]Pro of pig iron'!$B$2:$X$31, $A$1, FALSE)*(1-VLOOKUP($B15, '[1]Foundry share'!$B$2:$X$31, $A$1, FALSE))</f>
        <v>4856</v>
      </c>
      <c r="H15" s="1">
        <f>VLOOKUP($B15, '[1]Exp of pig iron'!$B$2:$X$31, $A$1, FALSE)</f>
        <v>131</v>
      </c>
      <c r="I15" s="1">
        <f>VLOOKUP($B15, '[1]Imp of pig iron'!$B$2:$X$31, $A$1, FALSE)</f>
        <v>1387</v>
      </c>
      <c r="J15" s="1">
        <f>VLOOKUP($B15, '[1]Pro of DRI'!$B$2:$X$31, $A$1, FALSE)*(1-VLOOKUP($B15, '[1]Foundry share'!$B$2:$X$31, $A$1, FALSE))</f>
        <v>5589</v>
      </c>
      <c r="K15" s="1">
        <f>VLOOKUP($B15, '[1]Exp of DRI'!$B$2:$X$31, $A$1, FALSE)</f>
        <v>0</v>
      </c>
      <c r="L15" s="1">
        <f>VLOOKUP($B15, '[1]Imp of DRI'!$B$2:$X$31, $A$1, FALSE)</f>
        <v>0</v>
      </c>
      <c r="M15" s="1">
        <f>VLOOKUP($B15, '[1]Exp of scrap'!$B$2:$X$31, $A$1, FALSE)</f>
        <v>184</v>
      </c>
      <c r="N15" s="1">
        <f>VLOOKUP($B15, '[1]Imp of scrap'!$B$2:$X$31, $A$1, FALSE)</f>
        <v>1962</v>
      </c>
      <c r="O15" s="1">
        <f>VLOOKUP($B15, '[1]Pro of BOF steel'!$B$2:$X$31, $A$1, FALSE)</f>
        <v>5236</v>
      </c>
      <c r="P15" s="1">
        <f>VLOOKUP($B15, '[1]Pro of OHF steel'!$B$2:$X$31, $A$1, FALSE)</f>
        <v>0</v>
      </c>
      <c r="Q15" s="1">
        <f>VLOOKUP($B15, '[1]Pro of EAF steel'!$B$2:$X$31, $A$1, FALSE)</f>
        <v>10395</v>
      </c>
      <c r="R15" s="1">
        <f>VLOOKUP($B15, '[1]Exp of ingots and semis'!$B$2:$X$31, $A$1, FALSE)</f>
        <v>2492</v>
      </c>
      <c r="S15" s="1">
        <f>VLOOKUP($B15, '[1]Imp of ingots and semis'!$B$2:$X$31, $A$1, FALSE)</f>
        <v>587</v>
      </c>
      <c r="T15" s="1">
        <f>VLOOKUP($B15, '[1]Pro of hr long'!$B$2:$X$31, $A$1, FALSE)+VLOOKUP($B15, '[1]Pro of seamless tubes'!$B$2:$X$31, $A$1, FALSE)</f>
        <v>6169</v>
      </c>
      <c r="U15" s="1">
        <f>VLOOKUP($B15, '[1]Exp of long'!$B$2:$X$31, $A$1, FALSE)</f>
        <v>689</v>
      </c>
      <c r="V15" s="1">
        <f>VLOOKUP($B15, '[1]Imp of long'!$B$2:$X$31, $A$1, FALSE)</f>
        <v>1476</v>
      </c>
      <c r="W15" s="1">
        <f>VLOOKUP($B15, '[1]Pro of hr flat'!$B$2:$X$31, $A$1, FALSE)*parameters!$B$8</f>
        <v>5332.8406827880508</v>
      </c>
      <c r="X15" s="1">
        <f>VLOOKUP($B15, '[1]Exp of flat'!$B$2:$X$31, $A$1, FALSE)</f>
        <v>1127</v>
      </c>
      <c r="Y15" s="1">
        <f>VLOOKUP($B15, '[1]Imp of flat'!$B$2:$X$31, $A$1, FALSE)</f>
        <v>3189</v>
      </c>
      <c r="Z15" s="1">
        <f>VLOOKUP($B15, '[1]Indirect exp'!$B$2:$X$31, $A$1, FALSE)</f>
        <v>6920</v>
      </c>
      <c r="AA15" s="1">
        <f>VLOOKUP($B15, '[1]Indirect imp'!$B$2:$X$31, $A$1, FALSE)</f>
        <v>7102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147.53721436787234</v>
      </c>
      <c r="D16" s="1">
        <f>VLOOKUP($B16, '[1]Pro of iron ore'!$B$2:$X$31, $A$1, FALSE)*(1-VLOOKUP($B16, '[1]Foundry share'!$B$2:$X$31, $A$1, FALSE))</f>
        <v>81.145467902329784</v>
      </c>
      <c r="E16" s="46">
        <f>VLOOKUP($B16, '[1]Iron content'!$B$2:$X$31, $A$1, FALSE)</f>
        <v>0.55000000000000004</v>
      </c>
      <c r="F16" s="1">
        <f>VLOOKUP($B16, '[1]Exp of usable iron ore'!$B$2:$X$31, $A$1, FALSE)*parameters!$B$12</f>
        <v>0</v>
      </c>
      <c r="G16" s="1">
        <f>VLOOKUP($B16, '[1]Pro of pig iron'!$B$2:$X$31, $A$1, FALSE)*(1-VLOOKUP($B16, '[1]Foundry share'!$B$2:$X$31, $A$1, FALSE))</f>
        <v>23.114163584299998</v>
      </c>
      <c r="H16" s="1">
        <f>VLOOKUP($B16, '[1]Exp of pig iron'!$B$2:$X$31, $A$1, FALSE)</f>
        <v>0</v>
      </c>
      <c r="I16" s="1">
        <f>VLOOKUP($B16, '[1]Imp of pig iron'!$B$2:$X$31, $A$1, FALSE)</f>
        <v>0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0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306</v>
      </c>
      <c r="R16" s="1">
        <f>VLOOKUP($B16, '[1]Exp of ingots and semis'!$B$2:$X$31, $A$1, FALSE)</f>
        <v>0</v>
      </c>
      <c r="S16" s="1">
        <f>VLOOKUP($B16, '[1]Imp of ingots and semis'!$B$2:$X$31, $A$1, FALSE)</f>
        <v>1087</v>
      </c>
      <c r="T16" s="1">
        <f>VLOOKUP($B16, '[1]Pro of hr long'!$B$2:$X$31, $A$1, FALSE)+VLOOKUP($B16, '[1]Pro of seamless tubes'!$B$2:$X$31, $A$1, FALSE)</f>
        <v>1589</v>
      </c>
      <c r="U16" s="1">
        <f>VLOOKUP($B16, '[1]Exp of long'!$B$2:$X$31, $A$1, FALSE)</f>
        <v>12</v>
      </c>
      <c r="V16" s="1">
        <f>VLOOKUP($B16, '[1]Imp of long'!$B$2:$X$31, $A$1, FALSE)</f>
        <v>178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1205</v>
      </c>
      <c r="Z16" s="1">
        <f>VLOOKUP($B16, '[1]Indirect exp'!$B$2:$X$31, $A$1, FALSE)</f>
        <v>32</v>
      </c>
      <c r="AA16" s="1">
        <f>VLOOKUP($B16, '[1]Indirect imp'!$B$2:$X$31, $A$1, FALSE)</f>
        <v>332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6">
        <f>VLOOKUP($B17, '[1]Iron content'!$B$2:$X$31, $A$1, FALSE)</f>
        <v>0</v>
      </c>
      <c r="F17" s="1">
        <f>VLOOKUP($B17, '[1]Exp of usable iron ore'!$B$2:$X$31, $A$1, FALSE)*parameters!$B$12</f>
        <v>13.65</v>
      </c>
      <c r="G17" s="1">
        <f>VLOOKUP($B17, '[1]Pro of pig iron'!$B$2:$X$31, $A$1, FALSE)*(1-VLOOKUP($B17, '[1]Foundry share'!$B$2:$X$31, $A$1, FALSE))</f>
        <v>13916</v>
      </c>
      <c r="H17" s="1">
        <f>VLOOKUP($B17, '[1]Exp of pig iron'!$B$2:$X$31, $A$1, FALSE)</f>
        <v>1</v>
      </c>
      <c r="I17" s="1">
        <f>VLOOKUP($B17, '[1]Imp of pig iron'!$B$2:$X$31, $A$1, FALSE)</f>
        <v>297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0</v>
      </c>
      <c r="L17" s="1">
        <f>VLOOKUP($B17, '[1]Imp of DRI'!$B$2:$X$31, $A$1, FALSE)</f>
        <v>0</v>
      </c>
      <c r="M17" s="1">
        <f>VLOOKUP($B17, '[1]Exp of scrap'!$B$2:$X$31, $A$1, FALSE)</f>
        <v>4526</v>
      </c>
      <c r="N17" s="1">
        <f>VLOOKUP($B17, '[1]Imp of scrap'!$B$2:$X$31, $A$1, FALSE)</f>
        <v>3223</v>
      </c>
      <c r="O17" s="1">
        <f>VLOOKUP($B17, '[1]Pro of BOF steel'!$B$2:$X$31, $A$1, FALSE)</f>
        <v>12513</v>
      </c>
      <c r="P17" s="1">
        <f>VLOOKUP($B17, '[1]Pro of OHF steel'!$B$2:$X$31, $A$1, FALSE)</f>
        <v>0</v>
      </c>
      <c r="Q17" s="1">
        <f>VLOOKUP($B17, '[1]Pro of EAF steel'!$B$2:$X$31, $A$1, FALSE)</f>
        <v>8443</v>
      </c>
      <c r="R17" s="1">
        <f>VLOOKUP($B17, '[1]Exp of ingots and semis'!$B$2:$X$31, $A$1, FALSE)</f>
        <v>2448</v>
      </c>
      <c r="S17" s="1">
        <f>VLOOKUP($B17, '[1]Imp of ingots and semis'!$B$2:$X$31, $A$1, FALSE)</f>
        <v>1766</v>
      </c>
      <c r="T17" s="1">
        <f>VLOOKUP($B17, '[1]Pro of hr long'!$B$2:$X$31, $A$1, FALSE)+VLOOKUP($B17, '[1]Pro of seamless tubes'!$B$2:$X$31, $A$1, FALSE)</f>
        <v>5457</v>
      </c>
      <c r="U17" s="1">
        <f>VLOOKUP($B17, '[1]Exp of long'!$B$2:$X$31, $A$1, FALSE)</f>
        <v>3234</v>
      </c>
      <c r="V17" s="1">
        <f>VLOOKUP($B17, '[1]Imp of long'!$B$2:$X$31, $A$1, FALSE)</f>
        <v>4371</v>
      </c>
      <c r="W17" s="1">
        <f>VLOOKUP($B17, '[1]Pro of hr flat'!$B$2:$X$31, $A$1, FALSE)*parameters!$B$8</f>
        <v>12286.22759601707</v>
      </c>
      <c r="X17" s="1">
        <f>VLOOKUP($B17, '[1]Exp of flat'!$B$2:$X$31, $A$1, FALSE)</f>
        <v>10459</v>
      </c>
      <c r="Y17" s="1">
        <f>VLOOKUP($B17, '[1]Imp of flat'!$B$2:$X$31, $A$1, FALSE)</f>
        <v>9845</v>
      </c>
      <c r="Z17" s="1">
        <f>VLOOKUP($B17, '[1]Indirect exp'!$B$2:$X$31, $A$1, FALSE)</f>
        <v>9611</v>
      </c>
      <c r="AA17" s="1">
        <f>VLOOKUP($B17, '[1]Indirect imp'!$B$2:$X$31, $A$1, FALSE)</f>
        <v>9068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6">
        <f>VLOOKUP($B18, '[1]Iron content'!$B$2:$X$31, $A$1, FALSE)</f>
        <v>0</v>
      </c>
      <c r="F18" s="1">
        <f>VLOOKUP($B18, '[1]Exp of usable iron ore'!$B$2:$X$31, $A$1, FALSE)*parameters!$B$12</f>
        <v>16.900000000000002</v>
      </c>
      <c r="G18" s="1">
        <f>VLOOKUP($B18, '[1]Pro of pig iron'!$B$2:$X$31, $A$1, FALSE)*(1-VLOOKUP($B18, '[1]Foundry share'!$B$2:$X$31, $A$1, FALSE))</f>
        <v>4059</v>
      </c>
      <c r="H18" s="1">
        <f>VLOOKUP($B18, '[1]Exp of pig iron'!$B$2:$X$31, $A$1, FALSE)</f>
        <v>2</v>
      </c>
      <c r="I18" s="1">
        <f>VLOOKUP($B18, '[1]Imp of pig iron'!$B$2:$X$31, $A$1, FALSE)</f>
        <v>388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0</v>
      </c>
      <c r="L18" s="1">
        <f>VLOOKUP($B18, '[1]Imp of DRI'!$B$2:$X$31, $A$1, FALSE)</f>
        <v>0</v>
      </c>
      <c r="M18" s="1">
        <f>VLOOKUP($B18, '[1]Exp of scrap'!$B$2:$X$31, $A$1, FALSE)</f>
        <v>53</v>
      </c>
      <c r="N18" s="1">
        <f>VLOOKUP($B18, '[1]Imp of scrap'!$B$2:$X$31, $A$1, FALSE)</f>
        <v>6057</v>
      </c>
      <c r="O18" s="1">
        <f>VLOOKUP($B18, '[1]Pro of BOF steel'!$B$2:$X$31, $A$1, FALSE)</f>
        <v>4216</v>
      </c>
      <c r="P18" s="1">
        <f>VLOOKUP($B18, '[1]Pro of OHF steel'!$B$2:$X$31, $A$1, FALSE)</f>
        <v>0</v>
      </c>
      <c r="Q18" s="1">
        <f>VLOOKUP($B18, '[1]Pro of EAF steel'!$B$2:$X$31, $A$1, FALSE)</f>
        <v>11658</v>
      </c>
      <c r="R18" s="1">
        <f>VLOOKUP($B18, '[1]Exp of ingots and semis'!$B$2:$X$31, $A$1, FALSE)</f>
        <v>376</v>
      </c>
      <c r="S18" s="1">
        <f>VLOOKUP($B18, '[1]Imp of ingots and semis'!$B$2:$X$31, $A$1, FALSE)</f>
        <v>772</v>
      </c>
      <c r="T18" s="1">
        <f>VLOOKUP($B18, '[1]Pro of hr long'!$B$2:$X$31, $A$1, FALSE)+VLOOKUP($B18, '[1]Pro of seamless tubes'!$B$2:$X$31, $A$1, FALSE)</f>
        <v>9667</v>
      </c>
      <c r="U18" s="1">
        <f>VLOOKUP($B18, '[1]Exp of long'!$B$2:$X$31, $A$1, FALSE)</f>
        <v>3223</v>
      </c>
      <c r="V18" s="1">
        <f>VLOOKUP($B18, '[1]Imp of long'!$B$2:$X$31, $A$1, FALSE)</f>
        <v>2213</v>
      </c>
      <c r="W18" s="1">
        <f>VLOOKUP($B18, '[1]Pro of hr flat'!$B$2:$X$31, $A$1, FALSE)*parameters!$B$8</f>
        <v>5002.5135135135133</v>
      </c>
      <c r="X18" s="1">
        <f>VLOOKUP($B18, '[1]Exp of flat'!$B$2:$X$31, $A$1, FALSE)</f>
        <v>1923</v>
      </c>
      <c r="Y18" s="1">
        <f>VLOOKUP($B18, '[1]Imp of flat'!$B$2:$X$31, $A$1, FALSE)</f>
        <v>5943</v>
      </c>
      <c r="Z18" s="1">
        <f>VLOOKUP($B18, '[1]Indirect exp'!$B$2:$X$31, $A$1, FALSE)</f>
        <v>6408</v>
      </c>
      <c r="AA18" s="1">
        <f>VLOOKUP($B18, '[1]Indirect imp'!$B$2:$X$31, $A$1, FALSE)</f>
        <v>5730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35247</v>
      </c>
      <c r="D19" s="1">
        <f>VLOOKUP($B19, '[1]Pro of iron ore'!$B$2:$X$31, $A$1, FALSE)*(1-VLOOKUP($B19, '[1]Foundry share'!$B$2:$X$31, $A$1, FALSE))</f>
        <v>22744</v>
      </c>
      <c r="E19" s="46">
        <f>VLOOKUP($B19, '[1]Iron content'!$B$2:$X$31, $A$1, FALSE)</f>
        <v>0.64527477515816944</v>
      </c>
      <c r="F19" s="1">
        <f>VLOOKUP($B19, '[1]Exp of usable iron ore'!$B$2:$X$31, $A$1, FALSE)*parameters!$B$12</f>
        <v>17231.5</v>
      </c>
      <c r="G19" s="1">
        <f>VLOOKUP($B19, '[1]Pro of pig iron'!$B$2:$X$31, $A$1, FALSE)*(1-VLOOKUP($B19, '[1]Foundry share'!$B$2:$X$31, $A$1, FALSE))</f>
        <v>8904</v>
      </c>
      <c r="H19" s="1">
        <f>VLOOKUP($B19, '[1]Exp of pig iron'!$B$2:$X$31, $A$1, FALSE)</f>
        <v>109</v>
      </c>
      <c r="I19" s="1">
        <f>VLOOKUP($B19, '[1]Imp of pig iron'!$B$2:$X$31, $A$1, FALSE)</f>
        <v>68</v>
      </c>
      <c r="J19" s="1">
        <f>VLOOKUP($B19, '[1]Pro of DRI'!$B$2:$X$31, $A$1, FALSE)*(1-VLOOKUP($B19, '[1]Foundry share'!$B$2:$X$31, $A$1, FALSE))</f>
        <v>1126</v>
      </c>
      <c r="K19" s="1">
        <f>VLOOKUP($B19, '[1]Exp of DRI'!$B$2:$X$31, $A$1, FALSE)</f>
        <v>0</v>
      </c>
      <c r="L19" s="1">
        <f>VLOOKUP($B19, '[1]Imp of DRI'!$B$2:$X$31, $A$1, FALSE)</f>
        <v>0</v>
      </c>
      <c r="M19" s="1">
        <f>VLOOKUP($B19, '[1]Exp of scrap'!$B$2:$X$31, $A$1, FALSE)</f>
        <v>1913</v>
      </c>
      <c r="N19" s="1">
        <f>VLOOKUP($B19, '[1]Imp of scrap'!$B$2:$X$31, $A$1, FALSE)</f>
        <v>1326</v>
      </c>
      <c r="O19" s="1">
        <f>VLOOKUP($B19, '[1]Pro of BOF steel'!$B$2:$X$31, $A$1, FALSE)</f>
        <v>9608</v>
      </c>
      <c r="P19" s="1">
        <f>VLOOKUP($B19, '[1]Pro of OHF steel'!$B$2:$X$31, $A$1, FALSE)</f>
        <v>0</v>
      </c>
      <c r="Q19" s="1">
        <f>VLOOKUP($B19, '[1]Pro of EAF steel'!$B$2:$X$31, $A$1, FALSE)</f>
        <v>6986</v>
      </c>
      <c r="R19" s="1">
        <f>VLOOKUP($B19, '[1]Exp of ingots and semis'!$B$2:$X$31, $A$1, FALSE)</f>
        <v>355</v>
      </c>
      <c r="S19" s="1">
        <f>VLOOKUP($B19, '[1]Imp of ingots and semis'!$B$2:$X$31, $A$1, FALSE)</f>
        <v>531</v>
      </c>
      <c r="T19" s="1">
        <f>VLOOKUP($B19, '[1]Pro of hr long'!$B$2:$X$31, $A$1, FALSE)+VLOOKUP($B19, '[1]Pro of seamless tubes'!$B$2:$X$31, $A$1, FALSE)</f>
        <v>4106</v>
      </c>
      <c r="U19" s="1">
        <f>VLOOKUP($B19, '[1]Exp of long'!$B$2:$X$31, $A$1, FALSE)</f>
        <v>2115</v>
      </c>
      <c r="V19" s="1">
        <f>VLOOKUP($B19, '[1]Imp of long'!$B$2:$X$31, $A$1, FALSE)</f>
        <v>2798</v>
      </c>
      <c r="W19" s="1">
        <f>VLOOKUP($B19, '[1]Pro of hr flat'!$B$2:$X$31, $A$1, FALSE)*parameters!$B$8</f>
        <v>10022.51493598862</v>
      </c>
      <c r="X19" s="1">
        <f>VLOOKUP($B19, '[1]Exp of flat'!$B$2:$X$31, $A$1, FALSE)</f>
        <v>1570</v>
      </c>
      <c r="Y19" s="1">
        <f>VLOOKUP($B19, '[1]Imp of flat'!$B$2:$X$31, $A$1, FALSE)</f>
        <v>4438</v>
      </c>
      <c r="Z19" s="1">
        <f>VLOOKUP($B19, '[1]Indirect exp'!$B$2:$X$31, $A$1, FALSE)</f>
        <v>7782</v>
      </c>
      <c r="AA19" s="1">
        <f>VLOOKUP($B19, '[1]Indirect imp'!$B$2:$X$31, $A$1, FALSE)</f>
        <v>8686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358.2029318149572</v>
      </c>
      <c r="D20" s="1">
        <f>VLOOKUP($B20, '[1]Pro of iron ore'!$B$2:$X$31, $A$1, FALSE)*(1-VLOOKUP($B20, '[1]Foundry share'!$B$2:$X$31, $A$1, FALSE))</f>
        <v>196.99506198372521</v>
      </c>
      <c r="E20" s="46">
        <f>VLOOKUP($B20, '[1]Iron content'!$B$2:$X$31, $A$1, FALSE)</f>
        <v>0.5499537957034093</v>
      </c>
      <c r="F20" s="1">
        <f>VLOOKUP($B20, '[1]Exp of usable iron ore'!$B$2:$X$31, $A$1, FALSE)*parameters!$B$12</f>
        <v>92.3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4</v>
      </c>
      <c r="I20" s="1">
        <f>VLOOKUP($B20, '[1]Imp of pig iron'!$B$2:$X$31, $A$1, FALSE)</f>
        <v>159</v>
      </c>
      <c r="J20" s="1">
        <f>VLOOKUP($B20, '[1]Pro of DRI'!$B$2:$X$31, $A$1, FALSE)*(1-VLOOKUP($B20, '[1]Foundry share'!$B$2:$X$31, $A$1, FALSE))</f>
        <v>1271.313857263</v>
      </c>
      <c r="K20" s="1">
        <f>VLOOKUP($B20, '[1]Exp of DRI'!$B$2:$X$31, $A$1, FALSE)</f>
        <v>0</v>
      </c>
      <c r="L20" s="1">
        <f>VLOOKUP($B20, '[1]Imp of DRI'!$B$2:$X$31, $A$1, FALSE)</f>
        <v>0</v>
      </c>
      <c r="M20" s="1">
        <f>VLOOKUP($B20, '[1]Exp of scrap'!$B$2:$X$31, $A$1, FALSE)</f>
        <v>0</v>
      </c>
      <c r="N20" s="1">
        <f>VLOOKUP($B20, '[1]Imp of scrap'!$B$2:$X$31, $A$1, FALSE)</f>
        <v>1266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2848</v>
      </c>
      <c r="R20" s="1">
        <f>VLOOKUP($B20, '[1]Exp of ingots and semis'!$B$2:$X$31, $A$1, FALSE)</f>
        <v>4</v>
      </c>
      <c r="S20" s="1">
        <f>VLOOKUP($B20, '[1]Imp of ingots and semis'!$B$2:$X$31, $A$1, FALSE)</f>
        <v>1250</v>
      </c>
      <c r="T20" s="1">
        <f>VLOOKUP($B20, '[1]Pro of hr long'!$B$2:$X$31, $A$1, FALSE)+VLOOKUP($B20, '[1]Pro of seamless tubes'!$B$2:$X$31, $A$1, FALSE)</f>
        <v>1939</v>
      </c>
      <c r="U20" s="1">
        <f>VLOOKUP($B20, '[1]Exp of long'!$B$2:$X$31, $A$1, FALSE)</f>
        <v>309</v>
      </c>
      <c r="V20" s="1">
        <f>VLOOKUP($B20, '[1]Imp of long'!$B$2:$X$31, $A$1, FALSE)</f>
        <v>362</v>
      </c>
      <c r="W20" s="1">
        <f>VLOOKUP($B20, '[1]Pro of hr flat'!$B$2:$X$31, $A$1, FALSE)*parameters!$B$8</f>
        <v>1746.8477951635846</v>
      </c>
      <c r="X20" s="1">
        <f>VLOOKUP($B20, '[1]Exp of flat'!$B$2:$X$31, $A$1, FALSE)</f>
        <v>685</v>
      </c>
      <c r="Y20" s="1">
        <f>VLOOKUP($B20, '[1]Imp of flat'!$B$2:$X$31, $A$1, FALSE)</f>
        <v>1484</v>
      </c>
      <c r="Z20" s="1">
        <f>VLOOKUP($B20, '[1]Indirect exp'!$B$2:$X$31, $A$1, FALSE)</f>
        <v>583</v>
      </c>
      <c r="AA20" s="1">
        <f>VLOOKUP($B20, '[1]Indirect imp'!$B$2:$X$31, $A$1, FALSE)</f>
        <v>1476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6">
        <f>VLOOKUP($B21, '[1]Iron content'!$B$2:$X$31, $A$1, FALSE)</f>
        <v>0</v>
      </c>
      <c r="F21" s="1">
        <f>VLOOKUP($B21, '[1]Exp of usable iron ore'!$B$2:$X$31, $A$1, FALSE)*parameters!$B$12</f>
        <v>0.65</v>
      </c>
      <c r="G21" s="1">
        <f>VLOOKUP($B21, '[1]Pro of pig iron'!$B$2:$X$31, $A$1, FALSE)*(1-VLOOKUP($B21, '[1]Foundry share'!$B$2:$X$31, $A$1, FALSE))</f>
        <v>6492</v>
      </c>
      <c r="H21" s="1">
        <f>VLOOKUP($B21, '[1]Exp of pig iron'!$B$2:$X$31, $A$1, FALSE)</f>
        <v>0</v>
      </c>
      <c r="I21" s="1">
        <f>VLOOKUP($B21, '[1]Imp of pig iron'!$B$2:$X$31, $A$1, FALSE)</f>
        <v>0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760</v>
      </c>
      <c r="N21" s="1">
        <f>VLOOKUP($B21, '[1]Imp of scrap'!$B$2:$X$31, $A$1, FALSE)</f>
        <v>175</v>
      </c>
      <c r="O21" s="1">
        <f>VLOOKUP($B21, '[1]Pro of BOF steel'!$B$2:$X$31, $A$1, FALSE)</f>
        <v>6794</v>
      </c>
      <c r="P21" s="1">
        <f>VLOOKUP($B21, '[1]Pro of OHF steel'!$B$2:$X$31, $A$1, FALSE)</f>
        <v>0</v>
      </c>
      <c r="Q21" s="1">
        <f>VLOOKUP($B21, '[1]Pro of EAF steel'!$B$2:$X$31, $A$1, FALSE)</f>
        <v>3290</v>
      </c>
      <c r="R21" s="1">
        <f>VLOOKUP($B21, '[1]Exp of ingots and semis'!$B$2:$X$31, $A$1, FALSE)</f>
        <v>1257</v>
      </c>
      <c r="S21" s="1">
        <f>VLOOKUP($B21, '[1]Imp of ingots and semis'!$B$2:$X$31, $A$1, FALSE)</f>
        <v>36</v>
      </c>
      <c r="T21" s="1">
        <f>VLOOKUP($B21, '[1]Pro of hr long'!$B$2:$X$31, $A$1, FALSE)+VLOOKUP($B21, '[1]Pro of seamless tubes'!$B$2:$X$31, $A$1, FALSE)</f>
        <v>4800</v>
      </c>
      <c r="U21" s="1">
        <f>VLOOKUP($B21, '[1]Exp of long'!$B$2:$X$31, $A$1, FALSE)</f>
        <v>1974</v>
      </c>
      <c r="V21" s="1">
        <f>VLOOKUP($B21, '[1]Imp of long'!$B$2:$X$31, $A$1, FALSE)</f>
        <v>493</v>
      </c>
      <c r="W21" s="1">
        <f>VLOOKUP($B21, '[1]Pro of hr flat'!$B$2:$X$31, $A$1, FALSE)*parameters!$B$8</f>
        <v>3886.2019914651491</v>
      </c>
      <c r="X21" s="1">
        <f>VLOOKUP($B21, '[1]Exp of flat'!$B$2:$X$31, $A$1, FALSE)</f>
        <v>488</v>
      </c>
      <c r="Y21" s="1">
        <f>VLOOKUP($B21, '[1]Imp of flat'!$B$2:$X$31, $A$1, FALSE)</f>
        <v>1247</v>
      </c>
      <c r="Z21" s="1">
        <f>VLOOKUP($B21, '[1]Indirect exp'!$B$2:$X$31, $A$1, FALSE)</f>
        <v>2573</v>
      </c>
      <c r="AA21" s="1">
        <f>VLOOKUP($B21, '[1]Indirect imp'!$B$2:$X$31, $A$1, FALSE)</f>
        <v>2192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1350.4661415409032</v>
      </c>
      <c r="D22" s="1">
        <f>VLOOKUP($B22, '[1]Pro of iron ore'!$B$2:$X$31, $A$1, FALSE)*(1-VLOOKUP($B22, '[1]Foundry share'!$B$2:$X$31, $A$1, FALSE))</f>
        <v>675.2330707704516</v>
      </c>
      <c r="E22" s="46">
        <f>VLOOKUP($B22, '[1]Iron content'!$B$2:$X$31, $A$1, FALSE)</f>
        <v>0.5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703.66393690815482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FALSE)*(1-VLOOKUP($B22, '[1]Foundry share'!$B$2:$X$31, $A$1, FALSE))</f>
        <v>1499.7281887638451</v>
      </c>
      <c r="K22" s="1">
        <f>VLOOKUP($B22, '[1]Exp of DRI'!$B$2:$X$31, $A$1, FALSE)</f>
        <v>0</v>
      </c>
      <c r="L22" s="1">
        <f>VLOOKUP($B22, '[1]Imp of DRI'!$B$2:$X$31, $A$1, FALSE)</f>
        <v>0</v>
      </c>
      <c r="M22" s="1">
        <f>VLOOKUP($B22, '[1]Exp of scrap'!$B$2:$X$31, $A$1, FALSE)</f>
        <v>0</v>
      </c>
      <c r="N22" s="1">
        <f>VLOOKUP($B22, '[1]Imp of scrap'!$B$2:$X$31, $A$1, FALSE)</f>
        <v>0</v>
      </c>
      <c r="O22" s="1">
        <f>VLOOKUP($B22, '[1]Pro of BOF steel'!$B$2:$X$31, $A$1, FALSE)</f>
        <v>1160</v>
      </c>
      <c r="P22" s="1">
        <f>VLOOKUP($B22, '[1]Pro of OHF steel'!$B$2:$X$31, $A$1, FALSE)</f>
        <v>0</v>
      </c>
      <c r="Q22" s="1">
        <f>VLOOKUP($B22, '[1]Pro of EAF steel'!$B$2:$X$31, $A$1, FALSE)</f>
        <v>1660</v>
      </c>
      <c r="R22" s="1">
        <f>VLOOKUP($B22, '[1]Exp of ingots and semis'!$B$2:$X$31, $A$1, FALSE)</f>
        <v>0</v>
      </c>
      <c r="S22" s="1">
        <f>VLOOKUP($B22, '[1]Imp of ingots and semis'!$B$2:$X$31, $A$1, FALSE)</f>
        <v>1565</v>
      </c>
      <c r="T22" s="1">
        <f>VLOOKUP($B22, '[1]Pro of hr long'!$B$2:$X$31, $A$1, FALSE)+VLOOKUP($B22, '[1]Pro of seamless tubes'!$B$2:$X$31, $A$1, FALSE)</f>
        <v>2647.0334598137288</v>
      </c>
      <c r="U22" s="1">
        <f>VLOOKUP($B22, '[1]Exp of long'!$B$2:$X$31, $A$1, FALSE)</f>
        <v>0</v>
      </c>
      <c r="V22" s="1">
        <f>VLOOKUP($B22, '[1]Imp of long'!$B$2:$X$31, $A$1, FALSE)</f>
        <v>220</v>
      </c>
      <c r="W22" s="1">
        <f>VLOOKUP($B22, '[1]Pro of hr flat'!$B$2:$X$31, $A$1, FALSE)*parameters!$B$8</f>
        <v>900.50871218658256</v>
      </c>
      <c r="X22" s="1">
        <f>VLOOKUP($B22, '[1]Exp of flat'!$B$2:$X$31, $A$1, FALSE)</f>
        <v>0</v>
      </c>
      <c r="Y22" s="1">
        <f>VLOOKUP($B22, '[1]Imp of flat'!$B$2:$X$31, $A$1, FALSE)</f>
        <v>405</v>
      </c>
      <c r="Z22" s="1">
        <f>VLOOKUP($B22, '[1]Indirect exp'!$B$2:$X$31, $A$1, FALSE)</f>
        <v>27</v>
      </c>
      <c r="AA22" s="1">
        <f>VLOOKUP($B22, '[1]Indirect imp'!$B$2:$X$31, $A$1, FALSE)</f>
        <v>394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6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0</v>
      </c>
      <c r="J23" s="1">
        <f>VLOOKUP($B23, '[1]Pro of DRI'!$B$2:$X$31, $A$1, FALSE)*(1-VLOOKUP($B23, '[1]Foundry share'!$B$2:$X$31, $A$1, FALSE))</f>
        <v>2429.941133241</v>
      </c>
      <c r="K23" s="1">
        <f>VLOOKUP($B23, '[1]Exp of DRI'!$B$2:$X$31, $A$1, FALSE)</f>
        <v>0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2981</v>
      </c>
      <c r="R23" s="1">
        <f>VLOOKUP($B23, '[1]Exp of ingots and semis'!$B$2:$X$31, $A$1, FALSE)</f>
        <v>0</v>
      </c>
      <c r="S23" s="1">
        <f>VLOOKUP($B23, '[1]Imp of ingots and semis'!$B$2:$X$31, $A$1, FALSE)</f>
        <v>42</v>
      </c>
      <c r="T23" s="1">
        <f>VLOOKUP($B23, '[1]Pro of hr long'!$B$2:$X$31, $A$1, FALSE)+VLOOKUP($B23, '[1]Pro of seamless tubes'!$B$2:$X$31, $A$1, FALSE)</f>
        <v>1612.8523977579407</v>
      </c>
      <c r="U23" s="1">
        <f>VLOOKUP($B23, '[1]Exp of long'!$B$2:$X$31, $A$1, FALSE)</f>
        <v>0</v>
      </c>
      <c r="V23" s="1">
        <f>VLOOKUP($B23, '[1]Imp of long'!$B$2:$X$31, $A$1, FALSE)</f>
        <v>343</v>
      </c>
      <c r="W23" s="1">
        <f>VLOOKUP($B23, '[1]Pro of hr flat'!$B$2:$X$31, $A$1, FALSE)*parameters!$B$8</f>
        <v>758.08482688653282</v>
      </c>
      <c r="X23" s="1">
        <f>VLOOKUP($B23, '[1]Exp of flat'!$B$2:$X$31, $A$1, FALSE)</f>
        <v>0</v>
      </c>
      <c r="Y23" s="1">
        <f>VLOOKUP($B23, '[1]Imp of flat'!$B$2:$X$31, $A$1, FALSE)</f>
        <v>1130</v>
      </c>
      <c r="Z23" s="1">
        <f>VLOOKUP($B23, '[1]Indirect exp'!$B$2:$X$31, $A$1, FALSE)</f>
        <v>37</v>
      </c>
      <c r="AA23" s="1">
        <f>VLOOKUP($B23, '[1]Indirect imp'!$B$2:$X$31, $A$1, FALSE)</f>
        <v>964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1800</v>
      </c>
      <c r="D24" s="1">
        <f>VLOOKUP($B24, '[1]Pro of iron ore'!$B$2:$X$31, $A$1, FALSE)*(1-VLOOKUP($B24, '[1]Foundry share'!$B$2:$X$31, $A$1, FALSE))</f>
        <v>500</v>
      </c>
      <c r="E24" s="46">
        <f>VLOOKUP($B24, '[1]Iron content'!$B$2:$X$31, $A$1, FALSE)</f>
        <v>0.27777777777777779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4318</v>
      </c>
      <c r="H24" s="1">
        <f>VLOOKUP($B24, '[1]Exp of pig iron'!$B$2:$X$31, $A$1, FALSE)</f>
        <v>0</v>
      </c>
      <c r="I24" s="1">
        <f>VLOOKUP($B24, '[1]Imp of pig iron'!$B$2:$X$31, $A$1, FALSE)</f>
        <v>30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0</v>
      </c>
      <c r="M24" s="1">
        <f>VLOOKUP($B24, '[1]Exp of scrap'!$B$2:$X$31, $A$1, FALSE)</f>
        <v>753</v>
      </c>
      <c r="N24" s="1">
        <f>VLOOKUP($B24, '[1]Imp of scrap'!$B$2:$X$31, $A$1, FALSE)</f>
        <v>678</v>
      </c>
      <c r="O24" s="1">
        <f>VLOOKUP($B24, '[1]Pro of BOF steel'!$B$2:$X$31, $A$1, FALSE)</f>
        <v>5164</v>
      </c>
      <c r="P24" s="1">
        <f>VLOOKUP($B24, '[1]Pro of OHF steel'!$B$2:$X$31, $A$1, FALSE)</f>
        <v>0</v>
      </c>
      <c r="Q24" s="1">
        <f>VLOOKUP($B24, '[1]Pro of EAF steel'!$B$2:$X$31, $A$1, FALSE)</f>
        <v>541</v>
      </c>
      <c r="R24" s="1">
        <f>VLOOKUP($B24, '[1]Exp of ingots and semis'!$B$2:$X$31, $A$1, FALSE)</f>
        <v>248</v>
      </c>
      <c r="S24" s="1">
        <f>VLOOKUP($B24, '[1]Imp of ingots and semis'!$B$2:$X$31, $A$1, FALSE)</f>
        <v>176</v>
      </c>
      <c r="T24" s="1">
        <f>VLOOKUP($B24, '[1]Pro of hr long'!$B$2:$X$31, $A$1, FALSE)+VLOOKUP($B24, '[1]Pro of seamless tubes'!$B$2:$X$31, $A$1, FALSE)</f>
        <v>1425</v>
      </c>
      <c r="U24" s="1">
        <f>VLOOKUP($B24, '[1]Exp of long'!$B$2:$X$31, $A$1, FALSE)</f>
        <v>839</v>
      </c>
      <c r="V24" s="1">
        <f>VLOOKUP($B24, '[1]Imp of long'!$B$2:$X$31, $A$1, FALSE)</f>
        <v>865</v>
      </c>
      <c r="W24" s="1">
        <f>VLOOKUP($B24, '[1]Pro of hr flat'!$B$2:$X$31, $A$1, FALSE)*parameters!$B$8</f>
        <v>3819.1650071123754</v>
      </c>
      <c r="X24" s="1">
        <f>VLOOKUP($B24, '[1]Exp of flat'!$B$2:$X$31, $A$1, FALSE)</f>
        <v>2763</v>
      </c>
      <c r="Y24" s="1">
        <f>VLOOKUP($B24, '[1]Imp of flat'!$B$2:$X$31, $A$1, FALSE)</f>
        <v>1120</v>
      </c>
      <c r="Z24" s="1">
        <f>VLOOKUP($B24, '[1]Indirect exp'!$B$2:$X$31, $A$1, FALSE)</f>
        <v>2215</v>
      </c>
      <c r="AA24" s="1">
        <f>VLOOKUP($B24, '[1]Indirect imp'!$B$2:$X$31, $A$1, FALSE)</f>
        <v>2600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6">
        <f>VLOOKUP($B25, '[1]Iron content'!$B$2:$X$31, $A$1, FALSE)</f>
        <v>0</v>
      </c>
      <c r="F25" s="1">
        <f>VLOOKUP($B25, '[1]Exp of usable iron ore'!$B$2:$X$31, $A$1, FALSE)*parameters!$B$12</f>
        <v>21.45</v>
      </c>
      <c r="G25" s="1">
        <f>VLOOKUP($B25, '[1]Pro of pig iron'!$B$2:$X$31, $A$1, FALSE)*(1-VLOOKUP($B25, '[1]Foundry share'!$B$2:$X$31, $A$1, FALSE))</f>
        <v>8471</v>
      </c>
      <c r="H25" s="1">
        <f>VLOOKUP($B25, '[1]Exp of pig iron'!$B$2:$X$31, $A$1, FALSE)</f>
        <v>181</v>
      </c>
      <c r="I25" s="1">
        <f>VLOOKUP($B25, '[1]Imp of pig iron'!$B$2:$X$31, $A$1, FALSE)</f>
        <v>334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0</v>
      </c>
      <c r="M25" s="1">
        <f>VLOOKUP($B25, '[1]Exp of scrap'!$B$2:$X$31, $A$1, FALSE)</f>
        <v>1740.0292294065546</v>
      </c>
      <c r="N25" s="1">
        <f>VLOOKUP($B25, '[1]Imp of scrap'!$B$2:$X$31, $A$1, FALSE)</f>
        <v>3177.8963086847452</v>
      </c>
      <c r="O25" s="1">
        <f>VLOOKUP($B25, '[1]Pro of BOF steel'!$B$2:$X$31, $A$1, FALSE)</f>
        <v>8910</v>
      </c>
      <c r="P25" s="1">
        <f>VLOOKUP($B25, '[1]Pro of OHF steel'!$B$2:$X$31, $A$1, FALSE)</f>
        <v>0</v>
      </c>
      <c r="Q25" s="1">
        <f>VLOOKUP($B25, '[1]Pro of EAF steel'!$B$2:$X$31, $A$1, FALSE)</f>
        <v>2726</v>
      </c>
      <c r="R25" s="1">
        <f>VLOOKUP($B25, '[1]Exp of ingots and semis'!$B$2:$X$31, $A$1, FALSE)</f>
        <v>1110</v>
      </c>
      <c r="S25" s="1">
        <f>VLOOKUP($B25, '[1]Imp of ingots and semis'!$B$2:$X$31, $A$1, FALSE)</f>
        <v>4442</v>
      </c>
      <c r="T25" s="1">
        <f>VLOOKUP($B25, '[1]Pro of hr long'!$B$2:$X$31, $A$1, FALSE)+VLOOKUP($B25, '[1]Pro of seamless tubes'!$B$2:$X$31, $A$1, FALSE)</f>
        <v>1216</v>
      </c>
      <c r="U25" s="1">
        <f>VLOOKUP($B25, '[1]Exp of long'!$B$2:$X$31, $A$1, FALSE)</f>
        <v>1825.7277691107643</v>
      </c>
      <c r="V25" s="1">
        <f>VLOOKUP($B25, '[1]Imp of long'!$B$2:$X$31, $A$1, FALSE)</f>
        <v>2274.8966876971608</v>
      </c>
      <c r="W25" s="1">
        <f>VLOOKUP($B25, '[1]Pro of hr flat'!$B$2:$X$31, $A$1, FALSE)*parameters!$B$8</f>
        <v>12118.149359886202</v>
      </c>
      <c r="X25" s="1">
        <f>VLOOKUP($B25, '[1]Exp of flat'!$B$2:$X$31, $A$1, FALSE)</f>
        <v>14185.741239713299</v>
      </c>
      <c r="Y25" s="1">
        <f>VLOOKUP($B25, '[1]Imp of flat'!$B$2:$X$31, $A$1, FALSE)</f>
        <v>5199.9712681638048</v>
      </c>
      <c r="Z25" s="1">
        <f>VLOOKUP($B25, '[1]Indirect exp'!$B$2:$X$31, $A$1, FALSE)</f>
        <v>5484</v>
      </c>
      <c r="AA25" s="1">
        <f>VLOOKUP($B25, '[1]Indirect imp'!$B$2:$X$31, $A$1, FALSE)</f>
        <v>5362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1.0329999999999999</v>
      </c>
      <c r="D26" s="1">
        <f>VLOOKUP($B26, '[1]Pro of iron ore'!$B$2:$X$31, $A$1, FALSE)*(1-VLOOKUP($B26, '[1]Foundry share'!$B$2:$X$31, $A$1, FALSE))</f>
        <v>0.56799999999999995</v>
      </c>
      <c r="E26" s="46">
        <f>VLOOKUP($B26, '[1]Iron content'!$B$2:$X$31, $A$1, FALSE)</f>
        <v>0.54985479186834463</v>
      </c>
      <c r="F26" s="1">
        <f>VLOOKUP($B26, '[1]Exp of usable iron ore'!$B$2:$X$31, $A$1, FALSE)*parameters!$B$12</f>
        <v>0.65</v>
      </c>
      <c r="G26" s="1">
        <f>VLOOKUP($B26, '[1]Pro of pig iron'!$B$2:$X$31, $A$1, FALSE)*(1-VLOOKUP($B26, '[1]Foundry share'!$B$2:$X$31, $A$1, FALSE))</f>
        <v>10890</v>
      </c>
      <c r="H26" s="1">
        <f>VLOOKUP($B26, '[1]Exp of pig iron'!$B$2:$X$31, $A$1, FALSE)</f>
        <v>1</v>
      </c>
      <c r="I26" s="1">
        <f>VLOOKUP($B26, '[1]Imp of pig iron'!$B$2:$X$31, $A$1, FALSE)</f>
        <v>134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0</v>
      </c>
      <c r="M26" s="1">
        <f>VLOOKUP($B26, '[1]Exp of scrap'!$B$2:$X$31, $A$1, FALSE)</f>
        <v>4382</v>
      </c>
      <c r="N26" s="1">
        <f>VLOOKUP($B26, '[1]Imp of scrap'!$B$2:$X$31, $A$1, FALSE)</f>
        <v>190</v>
      </c>
      <c r="O26" s="1">
        <f>VLOOKUP($B26, '[1]Pro of BOF steel'!$B$2:$X$31, $A$1, FALSE)</f>
        <v>11551</v>
      </c>
      <c r="P26" s="1">
        <f>VLOOKUP($B26, '[1]Pro of OHF steel'!$B$2:$X$31, $A$1, FALSE)</f>
        <v>0</v>
      </c>
      <c r="Q26" s="1">
        <f>VLOOKUP($B26, '[1]Pro of EAF steel'!$B$2:$X$31, $A$1, FALSE)</f>
        <v>3604</v>
      </c>
      <c r="R26" s="1">
        <f>VLOOKUP($B26, '[1]Exp of ingots and semis'!$B$2:$X$31, $A$1, FALSE)</f>
        <v>522</v>
      </c>
      <c r="S26" s="1">
        <f>VLOOKUP($B26, '[1]Imp of ingots and semis'!$B$2:$X$31, $A$1, FALSE)</f>
        <v>525</v>
      </c>
      <c r="T26" s="1">
        <f>VLOOKUP($B26, '[1]Pro of hr long'!$B$2:$X$31, $A$1, FALSE)+VLOOKUP($B26, '[1]Pro of seamless tubes'!$B$2:$X$31, $A$1, FALSE)</f>
        <v>5741</v>
      </c>
      <c r="U26" s="1">
        <f>VLOOKUP($B26, '[1]Exp of long'!$B$2:$X$31, $A$1, FALSE)</f>
        <v>3139</v>
      </c>
      <c r="V26" s="1">
        <f>VLOOKUP($B26, '[1]Imp of long'!$B$2:$X$31, $A$1, FALSE)</f>
        <v>2101</v>
      </c>
      <c r="W26" s="1">
        <f>VLOOKUP($B26, '[1]Pro of hr flat'!$B$2:$X$31, $A$1, FALSE)*parameters!$B$8</f>
        <v>7117.5789473684208</v>
      </c>
      <c r="X26" s="1">
        <f>VLOOKUP($B26, '[1]Exp of flat'!$B$2:$X$31, $A$1, FALSE)</f>
        <v>3521</v>
      </c>
      <c r="Y26" s="1">
        <f>VLOOKUP($B26, '[1]Imp of flat'!$B$2:$X$31, $A$1, FALSE)</f>
        <v>4305</v>
      </c>
      <c r="Z26" s="1">
        <f>VLOOKUP($B26, '[1]Indirect exp'!$B$2:$X$31, $A$1, FALSE)</f>
        <v>5782</v>
      </c>
      <c r="AA26" s="1">
        <f>VLOOKUP($B26, '[1]Indirect imp'!$B$2:$X$31, $A$1, FALSE)</f>
        <v>8210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6">
        <f>VLOOKUP($B27, '[1]Iron content'!$B$2:$X$31, $A$1, FALSE)</f>
        <v>0</v>
      </c>
      <c r="F27" s="1">
        <f>VLOOKUP($B27, '[1]Exp of usable iron ore'!$B$2:$X$31, $A$1, FALSE)*parameters!$B$12</f>
        <v>102.05</v>
      </c>
      <c r="G27" s="1">
        <f>VLOOKUP($B27, '[1]Pro of pig iron'!$B$2:$X$31, $A$1, FALSE)*(1-VLOOKUP($B27, '[1]Foundry share'!$B$2:$X$31, $A$1, FALSE))</f>
        <v>4963.9006458383201</v>
      </c>
      <c r="H27" s="1">
        <f>VLOOKUP($B27, '[1]Exp of pig iron'!$B$2:$X$31, $A$1, FALSE)</f>
        <v>63</v>
      </c>
      <c r="I27" s="1">
        <f>VLOOKUP($B27, '[1]Imp of pig iron'!$B$2:$X$31, $A$1, FALSE)</f>
        <v>128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0</v>
      </c>
      <c r="L27" s="1">
        <f>VLOOKUP($B27, '[1]Imp of DRI'!$B$2:$X$31, $A$1, FALSE)</f>
        <v>0</v>
      </c>
      <c r="M27" s="1">
        <f>VLOOKUP($B27, '[1]Exp of scrap'!$B$2:$X$31, $A$1, FALSE)</f>
        <v>3217</v>
      </c>
      <c r="N27" s="1">
        <f>VLOOKUP($B27, '[1]Imp of scrap'!$B$2:$X$31, $A$1, FALSE)</f>
        <v>1458</v>
      </c>
      <c r="O27" s="1">
        <f>VLOOKUP($B27, '[1]Pro of BOF steel'!$B$2:$X$31, $A$1, FALSE)</f>
        <v>5507</v>
      </c>
      <c r="P27" s="1">
        <f>VLOOKUP($B27, '[1]Pro of OHF steel'!$B$2:$X$31, $A$1, FALSE)</f>
        <v>0</v>
      </c>
      <c r="Q27" s="1">
        <f>VLOOKUP($B27, '[1]Pro of EAF steel'!$B$2:$X$31, $A$1, FALSE)</f>
        <v>159</v>
      </c>
      <c r="R27" s="1">
        <f>VLOOKUP($B27, '[1]Exp of ingots and semis'!$B$2:$X$31, $A$1, FALSE)</f>
        <v>538</v>
      </c>
      <c r="S27" s="1">
        <f>VLOOKUP($B27, '[1]Imp of ingots and semis'!$B$2:$X$31, $A$1, FALSE)</f>
        <v>299</v>
      </c>
      <c r="T27" s="1">
        <f>VLOOKUP($B27, '[1]Pro of hr long'!$B$2:$X$31, $A$1, FALSE)+VLOOKUP($B27, '[1]Pro of seamless tubes'!$B$2:$X$31, $A$1, FALSE)</f>
        <v>427</v>
      </c>
      <c r="U27" s="1">
        <f>VLOOKUP($B27, '[1]Exp of long'!$B$2:$X$31, $A$1, FALSE)</f>
        <v>706</v>
      </c>
      <c r="V27" s="1">
        <f>VLOOKUP($B27, '[1]Imp of long'!$B$2:$X$31, $A$1, FALSE)</f>
        <v>2297</v>
      </c>
      <c r="W27" s="1">
        <f>VLOOKUP($B27, '[1]Pro of hr flat'!$B$2:$X$31, $A$1, FALSE)*parameters!$B$8</f>
        <v>4413.7539118065433</v>
      </c>
      <c r="X27" s="1">
        <f>VLOOKUP($B27, '[1]Exp of flat'!$B$2:$X$31, $A$1, FALSE)</f>
        <v>4786</v>
      </c>
      <c r="Y27" s="1">
        <f>VLOOKUP($B27, '[1]Imp of flat'!$B$2:$X$31, $A$1, FALSE)</f>
        <v>2777</v>
      </c>
      <c r="Z27" s="1">
        <f>VLOOKUP($B27, '[1]Indirect exp'!$B$2:$X$31, $A$1, FALSE)</f>
        <v>3428</v>
      </c>
      <c r="AA27" s="1">
        <f>VLOOKUP($B27, '[1]Indirect imp'!$B$2:$X$31, $A$1, FALSE)</f>
        <v>4079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167935</v>
      </c>
      <c r="D28" s="1">
        <f>VLOOKUP($B28, '[1]Pro of iron ore'!$B$2:$X$31, $A$1, FALSE)*(1-VLOOKUP($B28, '[1]Foundry share'!$B$2:$X$31, $A$1, FALSE))</f>
        <v>104226</v>
      </c>
      <c r="E28" s="46">
        <f>VLOOKUP($B28, '[1]Iron content'!$B$2:$X$31, $A$1, FALSE)</f>
        <v>0.62063298299937475</v>
      </c>
      <c r="F28" s="1">
        <f>VLOOKUP($B28, '[1]Exp of usable iron ore'!$B$2:$X$31, $A$1, FALSE)*parameters!$B$12</f>
        <v>102265.15000000001</v>
      </c>
      <c r="G28" s="1">
        <f>VLOOKUP($B28, '[1]Pro of pig iron'!$B$2:$X$31, $A$1, FALSE)*(1-VLOOKUP($B28, '[1]Foundry share'!$B$2:$X$31, $A$1, FALSE))</f>
        <v>7049</v>
      </c>
      <c r="H28" s="1">
        <f>VLOOKUP($B28, '[1]Exp of pig iron'!$B$2:$X$31, $A$1, FALSE)</f>
        <v>3</v>
      </c>
      <c r="I28" s="1">
        <f>VLOOKUP($B28, '[1]Imp of pig iron'!$B$2:$X$31, $A$1, FALSE)</f>
        <v>6</v>
      </c>
      <c r="J28" s="1">
        <f>VLOOKUP($B28, '[1]Pro of DRI'!$B$2:$X$31, $A$1, FALSE)*(1-VLOOKUP($B28, '[1]Foundry share'!$B$2:$X$31, $A$1, FALSE))</f>
        <v>325</v>
      </c>
      <c r="K28" s="1">
        <f>VLOOKUP($B28, '[1]Exp of DRI'!$B$2:$X$31, $A$1, FALSE)</f>
        <v>0</v>
      </c>
      <c r="L28" s="1">
        <f>VLOOKUP($B28, '[1]Imp of DRI'!$B$2:$X$31, $A$1, FALSE)</f>
        <v>0</v>
      </c>
      <c r="M28" s="1">
        <f>VLOOKUP($B28, '[1]Exp of scrap'!$B$2:$X$31, $A$1, FALSE)</f>
        <v>768</v>
      </c>
      <c r="N28" s="1">
        <f>VLOOKUP($B28, '[1]Imp of scrap'!$B$2:$X$31, $A$1, FALSE)</f>
        <v>21</v>
      </c>
      <c r="O28" s="1">
        <f>VLOOKUP($B28, '[1]Pro of BOF steel'!$B$2:$X$31, $A$1, FALSE)</f>
        <v>6027</v>
      </c>
      <c r="P28" s="1">
        <f>VLOOKUP($B28, '[1]Pro of OHF steel'!$B$2:$X$31, $A$1, FALSE)</f>
        <v>0</v>
      </c>
      <c r="Q28" s="1">
        <f>VLOOKUP($B28, '[1]Pro of EAF steel'!$B$2:$X$31, $A$1, FALSE)</f>
        <v>1102</v>
      </c>
      <c r="R28" s="1">
        <f>VLOOKUP($B28, '[1]Exp of ingots and semis'!$B$2:$X$31, $A$1, FALSE)</f>
        <v>679</v>
      </c>
      <c r="S28" s="1">
        <f>VLOOKUP($B28, '[1]Imp of ingots and semis'!$B$2:$X$31, $A$1, FALSE)</f>
        <v>15</v>
      </c>
      <c r="T28" s="1">
        <f>VLOOKUP($B28, '[1]Pro of hr long'!$B$2:$X$31, $A$1, FALSE)+VLOOKUP($B28, '[1]Pro of seamless tubes'!$B$2:$X$31, $A$1, FALSE)</f>
        <v>2158</v>
      </c>
      <c r="U28" s="1">
        <f>VLOOKUP($B28, '[1]Exp of long'!$B$2:$X$31, $A$1, FALSE)</f>
        <v>205</v>
      </c>
      <c r="V28" s="1">
        <f>VLOOKUP($B28, '[1]Imp of long'!$B$2:$X$31, $A$1, FALSE)</f>
        <v>307</v>
      </c>
      <c r="W28" s="1">
        <f>VLOOKUP($B28, '[1]Pro of hr flat'!$B$2:$X$31, $A$1, FALSE)*parameters!$B$8</f>
        <v>3879.4011379800854</v>
      </c>
      <c r="X28" s="1">
        <f>VLOOKUP($B28, '[1]Exp of flat'!$B$2:$X$31, $A$1, FALSE)</f>
        <v>896</v>
      </c>
      <c r="Y28" s="1">
        <f>VLOOKUP($B28, '[1]Imp of flat'!$B$2:$X$31, $A$1, FALSE)</f>
        <v>697</v>
      </c>
      <c r="Z28" s="1">
        <f>VLOOKUP($B28, '[1]Indirect exp'!$B$2:$X$31, $A$1, FALSE)</f>
        <v>508</v>
      </c>
      <c r="AA28" s="1">
        <f>VLOOKUP($B28, '[1]Indirect imp'!$B$2:$X$31, $A$1, FALSE)</f>
        <v>1988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33707.364000000001</v>
      </c>
      <c r="D29" s="1">
        <f>VLOOKUP($B29, '[1]Pro of iron ore'!$B$2:$X$31, $A$1, FALSE)*(1-VLOOKUP($B29, '[1]Foundry share'!$B$2:$X$31, $A$1, FALSE))</f>
        <v>21570</v>
      </c>
      <c r="E29" s="46">
        <f>VLOOKUP($B29, '[1]Iron content'!$B$2:$X$31, $A$1, FALSE)</f>
        <v>0.63991951432333893</v>
      </c>
      <c r="F29" s="1">
        <f>VLOOKUP($B29, '[1]Exp of usable iron ore'!$B$2:$X$31, $A$1, FALSE)*parameters!$B$12</f>
        <v>13908.050000000001</v>
      </c>
      <c r="G29" s="1">
        <f>VLOOKUP($B29, '[1]Pro of pig iron'!$B$2:$X$31, $A$1, FALSE)*(1-VLOOKUP($B29, '[1]Foundry share'!$B$2:$X$31, $A$1, FALSE))</f>
        <v>6292</v>
      </c>
      <c r="H29" s="1">
        <f>VLOOKUP($B29, '[1]Exp of pig iron'!$B$2:$X$31, $A$1, FALSE)</f>
        <v>982</v>
      </c>
      <c r="I29" s="1">
        <f>VLOOKUP($B29, '[1]Imp of pig iron'!$B$2:$X$31, $A$1, FALSE)</f>
        <v>18</v>
      </c>
      <c r="J29" s="1">
        <f>VLOOKUP($B29, '[1]Pro of DRI'!$B$2:$X$31, $A$1, FALSE)*(1-VLOOKUP($B29, '[1]Foundry share'!$B$2:$X$31, $A$1, FALSE))</f>
        <v>1526</v>
      </c>
      <c r="K29" s="1">
        <f>VLOOKUP($B29, '[1]Exp of DRI'!$B$2:$X$31, $A$1, FALSE)</f>
        <v>0</v>
      </c>
      <c r="L29" s="1">
        <f>VLOOKUP($B29, '[1]Imp of DRI'!$B$2:$X$31, $A$1, FALSE)</f>
        <v>0</v>
      </c>
      <c r="M29" s="1">
        <f>VLOOKUP($B29, '[1]Exp of scrap'!$B$2:$X$31, $A$1, FALSE)</f>
        <v>457</v>
      </c>
      <c r="N29" s="1">
        <f>VLOOKUP($B29, '[1]Imp of scrap'!$B$2:$X$31, $A$1, FALSE)</f>
        <v>65</v>
      </c>
      <c r="O29" s="1">
        <f>VLOOKUP($B29, '[1]Pro of BOF steel'!$B$2:$X$31, $A$1, FALSE)</f>
        <v>4675</v>
      </c>
      <c r="P29" s="1">
        <f>VLOOKUP($B29, '[1]Pro of OHF steel'!$B$2:$X$31, $A$1, FALSE)</f>
        <v>0</v>
      </c>
      <c r="Q29" s="1">
        <f>VLOOKUP($B29, '[1]Pro of EAF steel'!$B$2:$X$31, $A$1, FALSE)</f>
        <v>3806</v>
      </c>
      <c r="R29" s="1">
        <f>VLOOKUP($B29, '[1]Exp of ingots and semis'!$B$2:$X$31, $A$1, FALSE)</f>
        <v>579</v>
      </c>
      <c r="S29" s="1">
        <f>VLOOKUP($B29, '[1]Imp of ingots and semis'!$B$2:$X$31, $A$1, FALSE)</f>
        <v>6</v>
      </c>
      <c r="T29" s="1">
        <f>VLOOKUP($B29, '[1]Pro of hr long'!$B$2:$X$31, $A$1, FALSE)+VLOOKUP($B29, '[1]Pro of seamless tubes'!$B$2:$X$31, $A$1, FALSE)</f>
        <v>2564</v>
      </c>
      <c r="U29" s="1">
        <f>VLOOKUP($B29, '[1]Exp of long'!$B$2:$X$31, $A$1, FALSE)</f>
        <v>1352</v>
      </c>
      <c r="V29" s="1">
        <f>VLOOKUP($B29, '[1]Imp of long'!$B$2:$X$31, $A$1, FALSE)</f>
        <v>66</v>
      </c>
      <c r="W29" s="1">
        <f>VLOOKUP($B29, '[1]Pro of hr flat'!$B$2:$X$31, $A$1, FALSE)*parameters!$B$8</f>
        <v>3445.118065433855</v>
      </c>
      <c r="X29" s="1">
        <f>VLOOKUP($B29, '[1]Exp of flat'!$B$2:$X$31, $A$1, FALSE)</f>
        <v>2026</v>
      </c>
      <c r="Y29" s="1">
        <f>VLOOKUP($B29, '[1]Imp of flat'!$B$2:$X$31, $A$1, FALSE)</f>
        <v>216</v>
      </c>
      <c r="Z29" s="1">
        <f>VLOOKUP($B29, '[1]Indirect exp'!$B$2:$X$31, $A$1, FALSE)</f>
        <v>720</v>
      </c>
      <c r="AA29" s="1">
        <f>VLOOKUP($B29, '[1]Indirect imp'!$B$2:$X$31, $A$1, FALSE)</f>
        <v>719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258.57299999999998</v>
      </c>
      <c r="D30" s="1">
        <f>VLOOKUP($B30, '[1]Pro of iron ore'!$B$2:$X$31, $A$1, FALSE)*(1-VLOOKUP($B30, '[1]Foundry share'!$B$2:$X$31, $A$1, FALSE))</f>
        <v>168</v>
      </c>
      <c r="E30" s="46">
        <f>VLOOKUP($B30, '[1]Iron content'!$B$2:$X$31, $A$1, FALSE)</f>
        <v>0.64971980833265663</v>
      </c>
      <c r="F30" s="1">
        <f>VLOOKUP($B30, '[1]Exp of usable iron ore'!$B$2:$X$31, $A$1, FALSE)*parameters!$B$12</f>
        <v>67.600000000000009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321</v>
      </c>
      <c r="J30" s="1">
        <f>VLOOKUP($B30, '[1]Pro of DRI'!$B$2:$X$31, $A$1, FALSE)*(1-VLOOKUP($B30, '[1]Foundry share'!$B$2:$X$31, $A$1, FALSE))</f>
        <v>1240</v>
      </c>
      <c r="K30" s="1">
        <f>VLOOKUP($B30, '[1]Exp of DRI'!$B$2:$X$31, $A$1, FALSE)</f>
        <v>0</v>
      </c>
      <c r="L30" s="1">
        <f>VLOOKUP($B30, '[1]Imp of DRI'!$B$2:$X$31, $A$1, FALSE)</f>
        <v>0</v>
      </c>
      <c r="M30" s="1">
        <f>VLOOKUP($B30, '[1]Exp of scrap'!$B$2:$X$31, $A$1, FALSE)</f>
        <v>180</v>
      </c>
      <c r="N30" s="1">
        <f>VLOOKUP($B30, '[1]Imp of scrap'!$B$2:$X$31, $A$1, FALSE)</f>
        <v>1816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3650</v>
      </c>
      <c r="R30" s="1">
        <f>VLOOKUP($B30, '[1]Exp of ingots and semis'!$B$2:$X$31, $A$1, FALSE)</f>
        <v>17</v>
      </c>
      <c r="S30" s="1">
        <f>VLOOKUP($B30, '[1]Imp of ingots and semis'!$B$2:$X$31, $A$1, FALSE)</f>
        <v>88</v>
      </c>
      <c r="T30" s="1">
        <f>VLOOKUP($B30, '[1]Pro of hr long'!$B$2:$X$31, $A$1, FALSE)+VLOOKUP($B30, '[1]Pro of seamless tubes'!$B$2:$X$31, $A$1, FALSE)</f>
        <v>2958</v>
      </c>
      <c r="U30" s="1">
        <f>VLOOKUP($B30, '[1]Exp of long'!$B$2:$X$31, $A$1, FALSE)</f>
        <v>583</v>
      </c>
      <c r="V30" s="1">
        <f>VLOOKUP($B30, '[1]Imp of long'!$B$2:$X$31, $A$1, FALSE)</f>
        <v>605</v>
      </c>
      <c r="W30" s="1">
        <f>VLOOKUP($B30, '[1]Pro of hr flat'!$B$2:$X$31, $A$1, FALSE)*parameters!$B$8</f>
        <v>727.69132290184916</v>
      </c>
      <c r="X30" s="1">
        <f>VLOOKUP($B30, '[1]Exp of flat'!$B$2:$X$31, $A$1, FALSE)</f>
        <v>878</v>
      </c>
      <c r="Y30" s="1">
        <f>VLOOKUP($B30, '[1]Imp of flat'!$B$2:$X$31, $A$1, FALSE)</f>
        <v>2862</v>
      </c>
      <c r="Z30" s="1">
        <f>VLOOKUP($B30, '[1]Indirect exp'!$B$2:$X$31, $A$1, FALSE)</f>
        <v>774</v>
      </c>
      <c r="AA30" s="1">
        <f>VLOOKUP($B30, '[1]Indirect imp'!$B$2:$X$31, $A$1, FALSE)</f>
        <v>1040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0</v>
      </c>
      <c r="D31" s="1">
        <f>VLOOKUP($B31, '[1]Pro of iron ore'!$B$2:$X$31, $A$1, FALSE)*(1-VLOOKUP($B31, '[1]Foundry share'!$B$2:$X$31, $A$1, FALSE))</f>
        <v>0</v>
      </c>
      <c r="E31" s="46">
        <f>VLOOKUP($B31, '[1]Iron content'!$B$2:$X$31, $A$1, FALSE)</f>
        <v>0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16</v>
      </c>
      <c r="I31" s="1">
        <f>VLOOKUP($B31, '[1]Imp of pig iron'!$B$2:$X$31, $A$1, FALSE)</f>
        <v>313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100</v>
      </c>
      <c r="N31" s="1">
        <f>VLOOKUP($B31, '[1]Imp of scrap'!$B$2:$X$31, $A$1, FALSE)</f>
        <v>741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2100</v>
      </c>
      <c r="R31" s="1">
        <f>VLOOKUP($B31, '[1]Exp of ingots and semis'!$B$2:$X$31, $A$1, FALSE)</f>
        <v>33</v>
      </c>
      <c r="S31" s="1">
        <f>VLOOKUP($B31, '[1]Imp of ingots and semis'!$B$2:$X$31, $A$1, FALSE)</f>
        <v>2736</v>
      </c>
      <c r="T31" s="1">
        <f>VLOOKUP($B31, '[1]Pro of hr long'!$B$2:$X$31, $A$1, FALSE)+VLOOKUP($B31, '[1]Pro of seamless tubes'!$B$2:$X$31, $A$1, FALSE)</f>
        <v>2210</v>
      </c>
      <c r="U31" s="1">
        <f>VLOOKUP($B31, '[1]Exp of long'!$B$2:$X$31, $A$1, FALSE)</f>
        <v>513</v>
      </c>
      <c r="V31" s="1">
        <f>VLOOKUP($B31, '[1]Imp of long'!$B$2:$X$31, $A$1, FALSE)</f>
        <v>661</v>
      </c>
      <c r="W31" s="1">
        <f>VLOOKUP($B31, '[1]Pro of hr flat'!$B$2:$X$31, $A$1, FALSE)*parameters!$B$8</f>
        <v>2178.2162162162163</v>
      </c>
      <c r="X31" s="1">
        <f>VLOOKUP($B31, '[1]Exp of flat'!$B$2:$X$31, $A$1, FALSE)</f>
        <v>1143</v>
      </c>
      <c r="Y31" s="1">
        <f>VLOOKUP($B31, '[1]Imp of flat'!$B$2:$X$31, $A$1, FALSE)</f>
        <v>3278</v>
      </c>
      <c r="Z31" s="1">
        <f>VLOOKUP($B31, '[1]Indirect exp'!$B$2:$X$31, $A$1, FALSE)</f>
        <v>1310</v>
      </c>
      <c r="AA31" s="1">
        <f>VLOOKUP($B31, '[1]Indirect imp'!$B$2:$X$31, $A$1, FALSE)</f>
        <v>1008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20557</v>
      </c>
      <c r="D32" s="1">
        <f>VLOOKUP($B32, '[1]Pro of iron ore'!$B$2:$X$31, $A$1, FALSE)*(1-VLOOKUP($B32, '[1]Foundry share'!$B$2:$X$31, $A$1, FALSE))</f>
        <v>13556</v>
      </c>
      <c r="E32" s="46">
        <f>VLOOKUP($B32, '[1]Iron content'!$B$2:$X$31, $A$1, FALSE)</f>
        <v>0.65943474242350542</v>
      </c>
      <c r="F32" s="1">
        <f>VLOOKUP($B32, '[1]Exp of usable iron ore'!$B$2:$X$31, $A$1, FALSE)*parameters!$B$12</f>
        <v>10386.35</v>
      </c>
      <c r="G32" s="1">
        <f>VLOOKUP($B32, '[1]Pro of pig iron'!$B$2:$X$31, $A$1, FALSE)*(1-VLOOKUP($B32, '[1]Foundry share'!$B$2:$X$31, $A$1, FALSE))</f>
        <v>3145</v>
      </c>
      <c r="H32" s="1">
        <f>VLOOKUP($B32, '[1]Exp of pig iron'!$B$2:$X$31, $A$1, FALSE)</f>
        <v>28</v>
      </c>
      <c r="I32" s="1">
        <f>VLOOKUP($B32, '[1]Imp of pig iron'!$B$2:$X$31, $A$1, FALSE)</f>
        <v>79</v>
      </c>
      <c r="J32" s="1">
        <f>VLOOKUP($B32, '[1]Pro of DRI'!$B$2:$X$31, $A$1, FALSE)*(1-VLOOKUP($B32, '[1]Foundry share'!$B$2:$X$31, $A$1, FALSE))</f>
        <v>125</v>
      </c>
      <c r="K32" s="1">
        <f>VLOOKUP($B32, '[1]Exp of DRI'!$B$2:$X$31, $A$1, FALSE)</f>
        <v>0</v>
      </c>
      <c r="L32" s="1">
        <f>VLOOKUP($B32, '[1]Imp of DRI'!$B$2:$X$31, $A$1, FALSE)</f>
        <v>0</v>
      </c>
      <c r="M32" s="1">
        <f>VLOOKUP($B32, '[1]Exp of scrap'!$B$2:$X$31, $A$1, FALSE)</f>
        <v>474</v>
      </c>
      <c r="N32" s="1">
        <f>VLOOKUP($B32, '[1]Imp of scrap'!$B$2:$X$31, $A$1, FALSE)</f>
        <v>478</v>
      </c>
      <c r="O32" s="1">
        <f>VLOOKUP($B32, '[1]Pro of BOF steel'!$B$2:$X$31, $A$1, FALSE)</f>
        <v>3235</v>
      </c>
      <c r="P32" s="1">
        <f>VLOOKUP($B32, '[1]Pro of OHF steel'!$B$2:$X$31, $A$1, FALSE)</f>
        <v>0</v>
      </c>
      <c r="Q32" s="1">
        <f>VLOOKUP($B32, '[1]Pro of EAF steel'!$B$2:$X$31, $A$1, FALSE)</f>
        <v>1992</v>
      </c>
      <c r="R32" s="1">
        <f>VLOOKUP($B32, '[1]Exp of ingots and semis'!$B$2:$X$31, $A$1, FALSE)</f>
        <v>92</v>
      </c>
      <c r="S32" s="1">
        <f>VLOOKUP($B32, '[1]Imp of ingots and semis'!$B$2:$X$31, $A$1, FALSE)</f>
        <v>477</v>
      </c>
      <c r="T32" s="1">
        <f>VLOOKUP($B32, '[1]Pro of hr long'!$B$2:$X$31, $A$1, FALSE)+VLOOKUP($B32, '[1]Pro of seamless tubes'!$B$2:$X$31, $A$1, FALSE)</f>
        <v>1021</v>
      </c>
      <c r="U32" s="1">
        <f>VLOOKUP($B32, '[1]Exp of long'!$B$2:$X$31, $A$1, FALSE)</f>
        <v>882</v>
      </c>
      <c r="V32" s="1">
        <f>VLOOKUP($B32, '[1]Imp of long'!$B$2:$X$31, $A$1, FALSE)</f>
        <v>860</v>
      </c>
      <c r="W32" s="1">
        <f>VLOOKUP($B32, '[1]Pro of hr flat'!$B$2:$X$31, $A$1, FALSE)*parameters!$B$8</f>
        <v>3695.7780938833571</v>
      </c>
      <c r="X32" s="1">
        <f>VLOOKUP($B32, '[1]Exp of flat'!$B$2:$X$31, $A$1, FALSE)</f>
        <v>2706</v>
      </c>
      <c r="Y32" s="1">
        <f>VLOOKUP($B32, '[1]Imp of flat'!$B$2:$X$31, $A$1, FALSE)</f>
        <v>1536</v>
      </c>
      <c r="Z32" s="1">
        <f>VLOOKUP($B32, '[1]Indirect exp'!$B$2:$X$31, $A$1, FALSE)</f>
        <v>2096</v>
      </c>
      <c r="AA32" s="1">
        <f>VLOOKUP($B32, '[1]Indirect imp'!$B$2:$X$31, $A$1, FALSE)</f>
        <v>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107500.64628834894</v>
      </c>
      <c r="D2" s="9">
        <f ca="1">Q4/parameters!$B$3</f>
        <v>39.940737261709813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107540.58702561066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-44124.290713727241</v>
      </c>
      <c r="Q2" s="17" cm="1">
        <f t="array" aca="1" ref="Q2" ca="1">INDIRECT("'data'!$D$" &amp; $A$1)</f>
        <v>63416.296311883416</v>
      </c>
      <c r="R2" s="17">
        <f ca="1">SUM(L2:P2)</f>
        <v>63416.296311883416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94954.895522388077</v>
      </c>
      <c r="G3" s="14">
        <f ca="1">Q3-O3-P3-F3</f>
        <v>8735.8216943442676</v>
      </c>
      <c r="H3" s="14"/>
      <c r="I3" s="14"/>
      <c r="J3" s="14"/>
      <c r="K3" s="13"/>
      <c r="L3" s="16">
        <f t="shared" ca="1" si="0"/>
        <v>103690.71721673234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3149.6849999999999</v>
      </c>
      <c r="P3" s="13" cm="1">
        <f t="array" aca="1" ref="P3" ca="1">-INDIRECT("'data'!$I$" &amp; $A$1)*parameters!$B$13</f>
        <v>-17.009999999999998</v>
      </c>
      <c r="Q3" s="16" cm="1">
        <f t="array" aca="1" ref="Q3" ca="1">INDIRECT("'data'!$G$" &amp; $A$1)*parameters!$B$13</f>
        <v>106823.39221673235</v>
      </c>
      <c r="R3" s="16">
        <f t="shared" ref="R3:R10" ca="1" si="2">SUM(L3:P3)</f>
        <v>106823.39221673235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39.689110616961045</v>
      </c>
      <c r="H4" s="14"/>
      <c r="I4" s="14"/>
      <c r="J4" s="14"/>
      <c r="K4" s="13"/>
      <c r="L4" s="16">
        <f t="shared" ca="1" si="0"/>
        <v>39.689110616961045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39.689110616961045</v>
      </c>
      <c r="R4" s="16">
        <f t="shared" ca="1" si="2"/>
        <v>39.689110616961045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Q6/parameters!$B$5*15%</f>
        <v>16756.74626865672</v>
      </c>
      <c r="G5" s="14">
        <f ca="1">Q7/parameters!$B$7-(G3+G4)</f>
        <v>11909.964639134905</v>
      </c>
      <c r="H5" s="14"/>
      <c r="I5" s="14"/>
      <c r="J5" s="14"/>
      <c r="K5" s="13"/>
      <c r="L5" s="16">
        <f t="shared" ca="1" si="0"/>
        <v>28666.710907791625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-4997.0199999999995</v>
      </c>
      <c r="Q5" s="16">
        <f ca="1">SUM(L5:P5)</f>
        <v>23669.690907791624</v>
      </c>
      <c r="R5" s="16">
        <f t="shared" ca="1" si="2"/>
        <v>23669.690907791624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104785.52</v>
      </c>
      <c r="I6" s="14"/>
      <c r="J6" s="14"/>
      <c r="K6" s="13"/>
      <c r="L6" s="16">
        <f t="shared" ca="1" si="0"/>
        <v>104785.52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104785.52</v>
      </c>
      <c r="R6" s="16">
        <f t="shared" ca="1" si="2"/>
        <v>104785.52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19796</v>
      </c>
      <c r="I7" s="14"/>
      <c r="J7" s="14"/>
      <c r="K7" s="13"/>
      <c r="L7" s="16">
        <f t="shared" ca="1" si="0"/>
        <v>19796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19796</v>
      </c>
      <c r="R7" s="16">
        <f t="shared" ca="1" si="2"/>
        <v>19796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80070.000000000015</v>
      </c>
      <c r="J8" s="14">
        <f ca="1">Q10/J18</f>
        <v>49189.601706970127</v>
      </c>
      <c r="K8" s="13"/>
      <c r="L8" s="16">
        <f t="shared" ca="1" si="0"/>
        <v>129259.60170697013</v>
      </c>
      <c r="M8" s="16"/>
      <c r="N8" s="16">
        <f ca="1">Q8-(L8+O8+P8)</f>
        <v>-4862.321706970135</v>
      </c>
      <c r="O8" s="11" cm="1">
        <f t="array" aca="1" ref="O8" ca="1">INDIRECT("'data'!$R$" &amp; $A$1)*parameters!$B$15</f>
        <v>4987.22</v>
      </c>
      <c r="P8" s="13" cm="1">
        <f t="array" aca="1" ref="P8" ca="1">-INDIRECT("'data'!$S$" &amp; $A$1)*parameters!$B$15</f>
        <v>-4802.9799999999996</v>
      </c>
      <c r="Q8" s="16">
        <f ca="1">SUM(Q6:Q7)</f>
        <v>124581.52</v>
      </c>
      <c r="R8" s="16">
        <f t="shared" ca="1" si="2"/>
        <v>124581.52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78146.180000000008</v>
      </c>
      <c r="L9" s="16">
        <f t="shared" ca="1" si="0"/>
        <v>78146.180000000008</v>
      </c>
      <c r="M9" s="16"/>
      <c r="N9" s="16">
        <f t="shared" ca="1" si="3"/>
        <v>0</v>
      </c>
      <c r="O9" s="11" cm="1">
        <f t="array" aca="1" ref="O9" ca="1">INDIRECT("'data'!$U$" &amp; $A$1)*parameters!$B$15</f>
        <v>1482.74</v>
      </c>
      <c r="P9" s="13" cm="1">
        <f t="array" aca="1" ref="P9" ca="1">-INDIRECT("'data'!$V$" &amp; $A$1)*parameters!$B$15</f>
        <v>-1160.32</v>
      </c>
      <c r="Q9" s="16" cm="1">
        <f t="array" aca="1" ref="Q9" ca="1">INDIRECT("'data'!$T$" &amp; $A$1)*parameters!$B$15</f>
        <v>78468.600000000006</v>
      </c>
      <c r="R9" s="16">
        <f t="shared" ca="1" si="2"/>
        <v>78468.600000000006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58624.189672830726</v>
      </c>
      <c r="L10" s="16">
        <f t="shared" ca="1" si="0"/>
        <v>58624.189672830726</v>
      </c>
      <c r="M10" s="16"/>
      <c r="N10" s="16">
        <f t="shared" ca="1" si="3"/>
        <v>0</v>
      </c>
      <c r="O10" s="11" cm="1">
        <f t="array" aca="1" ref="O10" ca="1">INDIRECT("'data'!$X$" &amp; $A$1)*parameters!$B$15</f>
        <v>3402.56</v>
      </c>
      <c r="P10" s="13" cm="1">
        <f t="array" aca="1" ref="P10" ca="1">-INDIRECT("'data'!$Y$" &amp; $A$1)*parameters!$B$15</f>
        <v>-13820.94</v>
      </c>
      <c r="Q10" s="16" cm="1">
        <f t="array" aca="1" ref="Q10" ca="1">INDIRECT("'data'!$W$" &amp; $A$1)*parameters!$B$15</f>
        <v>48205.809672830721</v>
      </c>
      <c r="R10" s="16">
        <f t="shared" ca="1" si="2"/>
        <v>48205.809672830721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117038.71231863444</v>
      </c>
      <c r="N11" s="19"/>
      <c r="O11" s="21" cm="1">
        <f t="array" aca="1" ref="O11" ca="1">INDIRECT("'data'!$Z$" &amp; $A$1)*parameters!$B$15</f>
        <v>11460.119999999999</v>
      </c>
      <c r="P11" s="27" cm="1">
        <f t="array" aca="1" ref="P11" ca="1">-INDIRECT("'data'!$AA$" &amp; $A$1)*parameters!$B$15</f>
        <v>-4624.62</v>
      </c>
      <c r="Q11" s="16">
        <f ca="1">K9*parameters!$B$10+K10*parameters!$B$11</f>
        <v>123874.21231863444</v>
      </c>
      <c r="R11" s="16">
        <f t="shared" ref="R11:R17" ca="1" si="4">SUM(L11:P11)</f>
        <v>123874.21231863444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-677.25407161659678</v>
      </c>
      <c r="D12" s="9">
        <f ca="1">-(D17-Q4)</f>
        <v>-0.25162664474876806</v>
      </c>
      <c r="E12" s="9">
        <f ca="1">-(E17-Q5)</f>
        <v>-2925.4674155697503</v>
      </c>
      <c r="F12" s="9">
        <f ca="1">-(F17-Q6)</f>
        <v>-6926.1217910447886</v>
      </c>
      <c r="G12" s="9">
        <f ca="1">-(G17-Q7)</f>
        <v>-889.47544409613329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-11418.570348972018</v>
      </c>
      <c r="M12" s="17"/>
      <c r="N12" s="17"/>
      <c r="O12" s="10"/>
      <c r="P12" s="12"/>
      <c r="Q12" s="9">
        <f t="shared" ref="Q12:Q17" ca="1" si="6">SUM(L12:P12)</f>
        <v>-11418.570348972018</v>
      </c>
      <c r="R12" s="17">
        <f t="shared" ca="1" si="4"/>
        <v>-11418.570348972018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-1601.4000000000087</v>
      </c>
      <c r="J13" s="14">
        <f ca="1">-(J17-Q10)</f>
        <v>-983.79203413940559</v>
      </c>
      <c r="K13" s="13">
        <f ca="1">-(K17-Q11)</f>
        <v>-12896.157354196301</v>
      </c>
      <c r="L13" s="14">
        <f t="shared" ca="1" si="5"/>
        <v>-15481.349388335715</v>
      </c>
      <c r="M13" s="16">
        <f ca="1">-E15</f>
        <v>-11113.80893502566</v>
      </c>
      <c r="N13" s="16"/>
      <c r="O13" s="11"/>
      <c r="P13" s="13"/>
      <c r="Q13" s="14">
        <f t="shared" ca="1" si="6"/>
        <v>-26595.158323361375</v>
      </c>
      <c r="R13" s="16">
        <f t="shared" ca="1" si="4"/>
        <v>-26595.158323361375</v>
      </c>
    </row>
    <row r="14" spans="1:20">
      <c r="A14" s="18" t="s">
        <v>78</v>
      </c>
      <c r="B14" s="11"/>
      <c r="C14" s="14"/>
      <c r="D14" s="14"/>
      <c r="E14" s="14">
        <f ca="1">-(I13+J13)-K13</f>
        <v>15481.349388335715</v>
      </c>
      <c r="F14" s="14"/>
      <c r="G14" s="14"/>
      <c r="H14" s="14"/>
      <c r="I14" s="14"/>
      <c r="J14" s="14"/>
      <c r="K14" s="13"/>
      <c r="L14" s="14">
        <f t="shared" ca="1" si="5"/>
        <v>15481.349388335715</v>
      </c>
      <c r="M14" s="16"/>
      <c r="N14" s="16"/>
      <c r="O14" s="11"/>
      <c r="P14" s="13"/>
      <c r="Q14" s="14">
        <f t="shared" ca="1" si="6"/>
        <v>15481.349388335715</v>
      </c>
      <c r="R14" s="16">
        <f t="shared" ca="1" si="4"/>
        <v>15481.349388335715</v>
      </c>
    </row>
    <row r="15" spans="1:20">
      <c r="A15" s="18" t="s">
        <v>79</v>
      </c>
      <c r="B15" s="11"/>
      <c r="C15" s="14"/>
      <c r="D15" s="14"/>
      <c r="E15" s="14">
        <f ca="1">E17-E14</f>
        <v>11113.80893502566</v>
      </c>
      <c r="F15" s="14"/>
      <c r="G15" s="14"/>
      <c r="H15" s="14"/>
      <c r="I15" s="14"/>
      <c r="J15" s="14"/>
      <c r="K15" s="13"/>
      <c r="L15" s="14">
        <f t="shared" ca="1" si="5"/>
        <v>11113.80893502566</v>
      </c>
      <c r="M15" s="16"/>
      <c r="N15" s="16"/>
      <c r="O15" s="11"/>
      <c r="P15" s="13"/>
      <c r="Q15" s="14">
        <f t="shared" ca="1" si="6"/>
        <v>11113.80893502566</v>
      </c>
      <c r="R15" s="16">
        <f t="shared" ca="1" si="4"/>
        <v>11113.80893502566</v>
      </c>
    </row>
    <row r="16" spans="1:20">
      <c r="A16" s="30" t="s">
        <v>89</v>
      </c>
      <c r="B16" s="21">
        <f ca="1">Q2</f>
        <v>63416.296311883416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63416.296311883416</v>
      </c>
      <c r="M16" s="19"/>
      <c r="N16" s="19"/>
      <c r="O16" s="21"/>
      <c r="P16" s="27"/>
      <c r="Q16" s="22">
        <f t="shared" ca="1" si="6"/>
        <v>63416.296311883416</v>
      </c>
      <c r="R16" s="19">
        <f t="shared" ca="1" si="4"/>
        <v>63416.296311883416</v>
      </c>
    </row>
    <row r="17" spans="1:18">
      <c r="A17" s="29" t="s">
        <v>88</v>
      </c>
      <c r="B17" s="9">
        <f ca="1">B16</f>
        <v>63416.296311883416</v>
      </c>
      <c r="C17" s="9">
        <f ca="1">SUM(C$2:C$11)</f>
        <v>107500.64628834894</v>
      </c>
      <c r="D17" s="9">
        <f ca="1">SUM(D$2:D$11)</f>
        <v>39.940737261709813</v>
      </c>
      <c r="E17" s="9">
        <f ca="1">$Q$5/parameters!$B$4</f>
        <v>26595.158323361375</v>
      </c>
      <c r="F17" s="9">
        <f t="shared" ref="F17:K17" ca="1" si="7">SUM(F$2:F$11)</f>
        <v>111711.64179104479</v>
      </c>
      <c r="G17" s="9">
        <f t="shared" ca="1" si="7"/>
        <v>20685.475444096133</v>
      </c>
      <c r="H17" s="9">
        <f t="shared" ca="1" si="7"/>
        <v>124581.52</v>
      </c>
      <c r="I17" s="9">
        <f t="shared" ca="1" si="7"/>
        <v>80070.000000000015</v>
      </c>
      <c r="J17" s="9">
        <f t="shared" ca="1" si="7"/>
        <v>49189.601706970127</v>
      </c>
      <c r="K17" s="9">
        <f t="shared" ca="1" si="7"/>
        <v>136770.36967283074</v>
      </c>
      <c r="L17" s="17">
        <f t="shared" ca="1" si="5"/>
        <v>720560.65027579735</v>
      </c>
      <c r="M17" s="17"/>
      <c r="N17" s="17"/>
      <c r="O17" s="9"/>
      <c r="P17" s="14"/>
      <c r="Q17" s="11">
        <f t="shared" ca="1" si="6"/>
        <v>720560.65027579735</v>
      </c>
      <c r="R17" s="17">
        <f t="shared" ca="1" si="4"/>
        <v>720560.65027579735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0.99370000000000014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0.95700000000000007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0.90570942094369356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17437.411022534921</v>
      </c>
      <c r="D2" s="9">
        <f ca="1">Q4/parameters!$B$3</f>
        <v>4377.5910596004405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21815.002082135361</v>
      </c>
      <c r="M2" s="17"/>
      <c r="N2" s="17">
        <f ca="1">Q2-(L2+O2+P2)</f>
        <v>0</v>
      </c>
      <c r="O2" s="11" cm="1">
        <f t="array" aca="1" ref="O2" ca="1">INDIRECT("'data'!$F$" &amp; $A$1)</f>
        <v>22696.7</v>
      </c>
      <c r="P2" s="13">
        <f ca="1">IF(-(L2-Q2+O2)&lt;0, -(L2-Q2+O2), 0)</f>
        <v>-2715.7536214395841</v>
      </c>
      <c r="Q2" s="17" cm="1">
        <f t="array" aca="1" ref="Q2" ca="1">INDIRECT("'data'!$D$" &amp; $A$1)</f>
        <v>41795.948460695778</v>
      </c>
      <c r="R2" s="17">
        <f ca="1">SUM(L2:P2)</f>
        <v>41795.948460695785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14401.194029850749</v>
      </c>
      <c r="G3" s="14">
        <f ca="1">Q3-O3-P3-F3</f>
        <v>2671.2113032422003</v>
      </c>
      <c r="H3" s="14"/>
      <c r="I3" s="14"/>
      <c r="J3" s="14"/>
      <c r="K3" s="13"/>
      <c r="L3" s="16">
        <f t="shared" ca="1" si="0"/>
        <v>17072.405333092949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257.03999999999996</v>
      </c>
      <c r="P3" s="13" cm="1">
        <f t="array" aca="1" ref="P3" ca="1">-INDIRECT("'data'!$I$" &amp; $A$1)*parameters!$B$13</f>
        <v>-1.89</v>
      </c>
      <c r="Q3" s="16" cm="1">
        <f t="array" aca="1" ref="Q3" ca="1">INDIRECT("'data'!$G$" &amp; $A$1)*parameters!$B$13</f>
        <v>17327.555333092951</v>
      </c>
      <c r="R3" s="16">
        <f t="shared" ref="R3:R10" ca="1" si="2">SUM(L3:P3)</f>
        <v>17327.555333092951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4350.0122359249581</v>
      </c>
      <c r="H4" s="14"/>
      <c r="I4" s="14"/>
      <c r="J4" s="14"/>
      <c r="K4" s="13"/>
      <c r="L4" s="16">
        <f t="shared" ca="1" si="0"/>
        <v>4350.0122359249581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4350.0122359249581</v>
      </c>
      <c r="R4" s="16">
        <f t="shared" ca="1" si="2"/>
        <v>4350.0122359249581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3600.2985074626872</v>
      </c>
      <c r="G5" s="14">
        <f ca="1">Q7/parameters!$B$7-(G3+G4)</f>
        <v>2901.6604733720269</v>
      </c>
      <c r="H5" s="14"/>
      <c r="I5" s="14"/>
      <c r="J5" s="14"/>
      <c r="K5" s="13"/>
      <c r="L5" s="16">
        <f t="shared" ca="1" si="0"/>
        <v>6501.9589808347137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-686</v>
      </c>
      <c r="Q5" s="16">
        <f ca="1">SUM(L5:P5)</f>
        <v>5815.9589808347137</v>
      </c>
      <c r="R5" s="16">
        <f t="shared" ca="1" si="2"/>
        <v>5815.9589808347137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16885.400000000001</v>
      </c>
      <c r="I6" s="14"/>
      <c r="J6" s="14"/>
      <c r="K6" s="13"/>
      <c r="L6" s="16">
        <f t="shared" ca="1" si="0"/>
        <v>16885.400000000001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16885.400000000001</v>
      </c>
      <c r="R6" s="16">
        <f t="shared" ca="1" si="2"/>
        <v>16885.400000000001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9496.2000000000007</v>
      </c>
      <c r="I7" s="14"/>
      <c r="J7" s="14"/>
      <c r="K7" s="13"/>
      <c r="L7" s="16">
        <f t="shared" ca="1" si="0"/>
        <v>9496.2000000000007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9496.2000000000007</v>
      </c>
      <c r="R7" s="16">
        <f t="shared" ca="1" si="2"/>
        <v>9496.2000000000007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12344</v>
      </c>
      <c r="J8" s="14">
        <f ca="1">Q10/J18</f>
        <v>16810.73826458037</v>
      </c>
      <c r="K8" s="13"/>
      <c r="L8" s="16">
        <f t="shared" ca="1" si="0"/>
        <v>29154.73826458037</v>
      </c>
      <c r="M8" s="16"/>
      <c r="N8" s="16">
        <f t="shared" ca="1" si="3"/>
        <v>-2573.2182645803696</v>
      </c>
      <c r="O8" s="11" cm="1">
        <f t="array" aca="1" ref="O8" ca="1">INDIRECT("'data'!$R$" &amp; $A$1)*parameters!$B$15</f>
        <v>200.9</v>
      </c>
      <c r="P8" s="13" cm="1">
        <f t="array" aca="1" ref="P8" ca="1">-INDIRECT("'data'!$S$" &amp; $A$1)*parameters!$B$15</f>
        <v>-400.82</v>
      </c>
      <c r="Q8" s="16">
        <f ca="1">SUM(Q6:Q7)</f>
        <v>26381.600000000002</v>
      </c>
      <c r="R8" s="16">
        <f t="shared" ca="1" si="2"/>
        <v>26381.600000000002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11808.019999999999</v>
      </c>
      <c r="L9" s="16">
        <f t="shared" ca="1" si="0"/>
        <v>11808.019999999999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384.15999999999997</v>
      </c>
      <c r="P9" s="13" cm="1">
        <f t="array" aca="1" ref="P9" ca="1">-INDIRECT("'data'!$V$" &amp; $A$1)*parameters!$B$15</f>
        <v>-95.06</v>
      </c>
      <c r="Q9" s="16" cm="1">
        <f t="array" aca="1" ref="Q9" ca="1">INDIRECT("'data'!$T$" &amp; $A$1)*parameters!$B$15</f>
        <v>12097.119999999999</v>
      </c>
      <c r="R9" s="16">
        <f t="shared" ca="1" si="2"/>
        <v>12097.119999999999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14989.823499288763</v>
      </c>
      <c r="L10" s="16">
        <f t="shared" ca="1" si="0"/>
        <v>14989.823499288763</v>
      </c>
      <c r="M10" s="16"/>
      <c r="N10" s="16">
        <f t="shared" ca="1" si="3"/>
        <v>0</v>
      </c>
      <c r="O10" s="11" cm="1">
        <f t="array" aca="1" ref="O10" ca="1">INDIRECT("'data'!$X$" &amp; $A$1)*parameters!$B$15</f>
        <v>2510.7599999999998</v>
      </c>
      <c r="P10" s="13" cm="1">
        <f t="array" aca="1" ref="P10" ca="1">-INDIRECT("'data'!$Y$" &amp; $A$1)*parameters!$B$15</f>
        <v>-1026.06</v>
      </c>
      <c r="Q10" s="16" cm="1">
        <f t="array" aca="1" ref="Q10" ca="1">INDIRECT("'data'!$W$" &amp; $A$1)*parameters!$B$15</f>
        <v>16474.523499288764</v>
      </c>
      <c r="R10" s="16">
        <f t="shared" ca="1" si="2"/>
        <v>16474.52349928876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23660.527009388334</v>
      </c>
      <c r="N11" s="19"/>
      <c r="O11" s="21" cm="1">
        <f t="array" aca="1" ref="O11" ca="1">INDIRECT("'data'!$Z$" &amp; $A$1)*parameters!$B$15</f>
        <v>1040.76</v>
      </c>
      <c r="P11" s="27" cm="1">
        <f t="array" aca="1" ref="P11" ca="1">-INDIRECT("'data'!$AA$" &amp; $A$1)*parameters!$B$15</f>
        <v>-710.5</v>
      </c>
      <c r="Q11" s="16">
        <f ca="1">K9*parameters!$B$10+K10*parameters!$B$11</f>
        <v>23990.787009388332</v>
      </c>
      <c r="R11" s="16">
        <f t="shared" ref="R11:R17" ca="1" si="4">SUM(L11:P11)</f>
        <v>23990.787009388332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-109.85568944197075</v>
      </c>
      <c r="D12" s="9">
        <f ca="1">-(D17-Q4)</f>
        <v>-27.578823675482454</v>
      </c>
      <c r="E12" s="9">
        <f ca="1">-(E17-Q5)</f>
        <v>-718.82639088968335</v>
      </c>
      <c r="F12" s="9">
        <f ca="1">-(F17-Q6)</f>
        <v>-1116.0925373134341</v>
      </c>
      <c r="G12" s="9">
        <f ca="1">-(G17-Q7)</f>
        <v>-426.68401253918455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-2399.0374538597553</v>
      </c>
      <c r="M12" s="17"/>
      <c r="N12" s="17"/>
      <c r="O12" s="10"/>
      <c r="P12" s="12"/>
      <c r="Q12" s="9">
        <f t="shared" ref="Q12:Q17" ca="1" si="6">SUM(L12:P12)</f>
        <v>-2399.0374538597553</v>
      </c>
      <c r="R12" s="17">
        <f t="shared" ca="1" si="4"/>
        <v>-2399.0374538597553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-246.88000000000102</v>
      </c>
      <c r="J13" s="14">
        <f ca="1">-(J17-Q10)</f>
        <v>-336.21476529160645</v>
      </c>
      <c r="K13" s="13">
        <f ca="1">-(K17-Q11)</f>
        <v>-2807.0564899004312</v>
      </c>
      <c r="L13" s="14">
        <f t="shared" ca="1" si="5"/>
        <v>-3390.1512551920387</v>
      </c>
      <c r="M13" s="16">
        <f ca="1">-E15</f>
        <v>-3144.6341165323583</v>
      </c>
      <c r="N13" s="16"/>
      <c r="O13" s="11"/>
      <c r="P13" s="13"/>
      <c r="Q13" s="14">
        <f t="shared" ca="1" si="6"/>
        <v>-6534.785371724397</v>
      </c>
      <c r="R13" s="16">
        <f t="shared" ca="1" si="4"/>
        <v>-6534.785371724397</v>
      </c>
    </row>
    <row r="14" spans="1:22">
      <c r="A14" s="18" t="s">
        <v>78</v>
      </c>
      <c r="B14" s="11"/>
      <c r="C14" s="14"/>
      <c r="D14" s="14"/>
      <c r="E14" s="14">
        <f ca="1">-(I13+J13)-K13</f>
        <v>3390.1512551920387</v>
      </c>
      <c r="F14" s="14"/>
      <c r="G14" s="14"/>
      <c r="H14" s="14"/>
      <c r="I14" s="14"/>
      <c r="J14" s="14"/>
      <c r="K14" s="13"/>
      <c r="L14" s="14">
        <f t="shared" ca="1" si="5"/>
        <v>3390.1512551920387</v>
      </c>
      <c r="M14" s="16"/>
      <c r="N14" s="16"/>
      <c r="O14" s="11"/>
      <c r="P14" s="13"/>
      <c r="Q14" s="14">
        <f t="shared" ca="1" si="6"/>
        <v>3390.1512551920387</v>
      </c>
      <c r="R14" s="16">
        <f t="shared" ca="1" si="4"/>
        <v>3390.1512551920387</v>
      </c>
    </row>
    <row r="15" spans="1:22">
      <c r="A15" s="18" t="s">
        <v>79</v>
      </c>
      <c r="B15" s="11"/>
      <c r="C15" s="14"/>
      <c r="D15" s="14"/>
      <c r="E15" s="14">
        <f ca="1">E17-E14</f>
        <v>3144.6341165323583</v>
      </c>
      <c r="F15" s="14"/>
      <c r="G15" s="14"/>
      <c r="H15" s="14"/>
      <c r="I15" s="14"/>
      <c r="J15" s="14"/>
      <c r="K15" s="13"/>
      <c r="L15" s="14">
        <f t="shared" ca="1" si="5"/>
        <v>3144.6341165323583</v>
      </c>
      <c r="M15" s="16"/>
      <c r="N15" s="16"/>
      <c r="O15" s="11"/>
      <c r="P15" s="13"/>
      <c r="Q15" s="14">
        <f t="shared" ca="1" si="6"/>
        <v>3144.6341165323583</v>
      </c>
      <c r="R15" s="16">
        <f t="shared" ca="1" si="4"/>
        <v>3144.6341165323583</v>
      </c>
    </row>
    <row r="16" spans="1:22">
      <c r="A16" s="30" t="s">
        <v>89</v>
      </c>
      <c r="B16" s="21">
        <f ca="1">Q2</f>
        <v>41795.948460695778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41795.948460695778</v>
      </c>
      <c r="M16" s="19"/>
      <c r="N16" s="19"/>
      <c r="O16" s="21"/>
      <c r="P16" s="27"/>
      <c r="Q16" s="22">
        <f t="shared" ca="1" si="6"/>
        <v>41795.948460695778</v>
      </c>
      <c r="R16" s="19">
        <f t="shared" ca="1" si="4"/>
        <v>41795.948460695778</v>
      </c>
    </row>
    <row r="17" spans="1:18">
      <c r="A17" s="29" t="s">
        <v>88</v>
      </c>
      <c r="B17" s="9">
        <f ca="1">B16</f>
        <v>41795.948460695778</v>
      </c>
      <c r="C17" s="9">
        <f ca="1">SUM(C$2:C$11)</f>
        <v>17437.411022534921</v>
      </c>
      <c r="D17" s="9">
        <f ca="1">SUM(D$2:D$11)</f>
        <v>4377.5910596004405</v>
      </c>
      <c r="E17" s="9">
        <f ca="1">$Q$5/parameters!$B$4</f>
        <v>6534.785371724397</v>
      </c>
      <c r="F17" s="9">
        <f t="shared" ref="F17:K17" ca="1" si="7">SUM(F$2:F$11)</f>
        <v>18001.492537313436</v>
      </c>
      <c r="G17" s="9">
        <f t="shared" ca="1" si="7"/>
        <v>9922.8840125391853</v>
      </c>
      <c r="H17" s="9">
        <f t="shared" ca="1" si="7"/>
        <v>26381.600000000002</v>
      </c>
      <c r="I17" s="9">
        <f t="shared" ca="1" si="7"/>
        <v>12344</v>
      </c>
      <c r="J17" s="9">
        <f t="shared" ca="1" si="7"/>
        <v>16810.73826458037</v>
      </c>
      <c r="K17" s="9">
        <f t="shared" ca="1" si="7"/>
        <v>26797.843499288763</v>
      </c>
      <c r="L17" s="17">
        <f t="shared" ca="1" si="5"/>
        <v>180404.29422827729</v>
      </c>
      <c r="M17" s="17"/>
      <c r="N17" s="17"/>
      <c r="O17" s="9"/>
      <c r="P17" s="14"/>
      <c r="Q17" s="11">
        <f t="shared" ca="1" si="6"/>
        <v>180404.29422827729</v>
      </c>
      <c r="R17" s="17">
        <f t="shared" ca="1" si="4"/>
        <v>180404.29422827729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0.99369999999999992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0.95700000000000007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0.89525065739058696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3" width="10.7109375" style="6"/>
    <col min="14" max="14" width="11.140625" style="6" bestFit="1" customWidth="1"/>
    <col min="15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77097.811210626955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77097.811210626955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-77097.811210626955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70467.808955223882</v>
      </c>
      <c r="G3" s="14">
        <f ca="1">Q3-O3-P3-F3</f>
        <v>6736.8010447761335</v>
      </c>
      <c r="H3" s="14"/>
      <c r="I3" s="14"/>
      <c r="J3" s="14"/>
      <c r="K3" s="13"/>
      <c r="L3" s="16">
        <f t="shared" ca="1" si="0"/>
        <v>77204.610000000015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211.67999999999998</v>
      </c>
      <c r="P3" s="13" cm="1">
        <f t="array" aca="1" ref="P3" ca="1">-INDIRECT("'data'!$I$" &amp; $A$1)*parameters!$B$13</f>
        <v>-804.19499999999994</v>
      </c>
      <c r="Q3" s="16" cm="1">
        <f t="array" aca="1" ref="Q3" ca="1">INDIRECT("'data'!$G$" &amp; $A$1)*parameters!$B$13</f>
        <v>76612.095000000001</v>
      </c>
      <c r="R3" s="16">
        <f t="shared" ref="R3:R10" ca="1" si="2">SUM(L3:P3)</f>
        <v>76612.095000000001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Q6/parameters!$B$5*11%</f>
        <v>8709.5044776119394</v>
      </c>
      <c r="G5" s="14">
        <f ca="1">Q7/parameters!$B$7-(G3+G4)</f>
        <v>24660.064158985624</v>
      </c>
      <c r="H5" s="14"/>
      <c r="I5" s="14"/>
      <c r="J5" s="14"/>
      <c r="K5" s="13"/>
      <c r="L5" s="16">
        <f t="shared" ca="1" si="0"/>
        <v>33369.568636597563</v>
      </c>
      <c r="M5" s="16"/>
      <c r="N5" s="16"/>
      <c r="O5" s="11" cm="1">
        <f t="array" aca="1" ref="O5" ca="1">INDIRECT("'data'!$M$" &amp; $A$1)*parameters!$B$15</f>
        <v>2837.1</v>
      </c>
      <c r="P5" s="13" cm="1">
        <f t="array" aca="1" ref="P5" ca="1">-INDIRECT("'data'!$N$" &amp; $A$1)*parameters!$B$15</f>
        <v>-314.58</v>
      </c>
      <c r="Q5" s="16">
        <f ca="1">SUM(L5:P5)</f>
        <v>35892.08863659756</v>
      </c>
      <c r="R5" s="16">
        <f t="shared" ca="1" si="2"/>
        <v>35892.08863659756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74268.319999999992</v>
      </c>
      <c r="I6" s="14"/>
      <c r="J6" s="14"/>
      <c r="K6" s="13"/>
      <c r="L6" s="16">
        <f t="shared" ca="1" si="0"/>
        <v>74268.319999999992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74268.319999999992</v>
      </c>
      <c r="R6" s="16">
        <f t="shared" ca="1" si="2"/>
        <v>74268.319999999992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30046.799999999999</v>
      </c>
      <c r="I7" s="14"/>
      <c r="J7" s="14"/>
      <c r="K7" s="13"/>
      <c r="L7" s="16">
        <f t="shared" ca="1" si="0"/>
        <v>30046.799999999999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30046.799999999999</v>
      </c>
      <c r="R7" s="16">
        <f t="shared" ca="1" si="2"/>
        <v>30046.799999999999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40437.820402104342</v>
      </c>
      <c r="J8" s="14">
        <f ca="1">Q10/J18</f>
        <v>62420.039597895644</v>
      </c>
      <c r="K8" s="13"/>
      <c r="L8" s="16">
        <f t="shared" ca="1" si="0"/>
        <v>102857.85999999999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1469.02</v>
      </c>
      <c r="P8" s="13" cm="1">
        <f t="array" aca="1" ref="P8" ca="1">-INDIRECT("'data'!$S$" &amp; $A$1)*parameters!$B$15</f>
        <v>-11.76</v>
      </c>
      <c r="Q8" s="16">
        <f ca="1">SUM(Q6:Q7)</f>
        <v>104315.12</v>
      </c>
      <c r="R8" s="16">
        <f t="shared" ca="1" si="2"/>
        <v>104315.12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34051.08</v>
      </c>
      <c r="L9" s="16">
        <f t="shared" ca="1" si="0"/>
        <v>34051.08</v>
      </c>
      <c r="M9" s="16"/>
      <c r="N9" s="16">
        <f t="shared" ca="1" si="3"/>
        <v>0</v>
      </c>
      <c r="O9" s="11" cm="1">
        <f t="array" aca="1" ref="O9" ca="1">INDIRECT("'data'!$U$" &amp; $A$1)*parameters!$B$15</f>
        <v>3529.96</v>
      </c>
      <c r="P9" s="13" cm="1">
        <f t="array" aca="1" ref="P9" ca="1">-INDIRECT("'data'!$V$" &amp; $A$1)*parameters!$B$15</f>
        <v>-320.45999999999998</v>
      </c>
      <c r="Q9" s="16" cm="1">
        <f t="array" aca="1" ref="Q9" ca="1">INDIRECT("'data'!$T$" &amp; $A$1)*parameters!$B$15</f>
        <v>37260.58</v>
      </c>
      <c r="R9" s="16">
        <f t="shared" ca="1" si="2"/>
        <v>37260.58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41109.454025604551</v>
      </c>
      <c r="L10" s="16">
        <f t="shared" ca="1" si="0"/>
        <v>41109.454025604551</v>
      </c>
      <c r="M10" s="16"/>
      <c r="N10" s="16">
        <f t="shared" ca="1" si="3"/>
        <v>0</v>
      </c>
      <c r="O10" s="11" cm="1">
        <f t="array" aca="1" ref="O10" ca="1">INDIRECT("'data'!$X$" &amp; $A$1)*parameters!$B$15</f>
        <v>20790.7</v>
      </c>
      <c r="P10" s="13" cm="1">
        <f t="array" aca="1" ref="P10" ca="1">-INDIRECT("'data'!$Y$" &amp; $A$1)*parameters!$B$15</f>
        <v>-4384.5199999999995</v>
      </c>
      <c r="Q10" s="16" cm="1">
        <f t="array" aca="1" ref="Q10" ca="1">INDIRECT("'data'!$W$" &amp; $A$1)*parameters!$B$15</f>
        <v>57515.634025604551</v>
      </c>
      <c r="R10" s="16">
        <f t="shared" ca="1" si="2"/>
        <v>57515.634025604559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51922.245662019923</v>
      </c>
      <c r="N11" s="19"/>
      <c r="O11" s="21" cm="1">
        <f t="array" aca="1" ref="O11" ca="1">INDIRECT("'data'!$Z$" &amp; $A$1)*parameters!$B$15</f>
        <v>18631.759999999998</v>
      </c>
      <c r="P11" s="27" cm="1">
        <f t="array" aca="1" ref="P11" ca="1">-INDIRECT("'data'!$AA$" &amp; $A$1)*parameters!$B$15</f>
        <v>-3191.86</v>
      </c>
      <c r="Q11" s="16">
        <f ca="1">K9*parameters!$B$10+K10*parameters!$B$11</f>
        <v>67362.145662019917</v>
      </c>
      <c r="R11" s="16">
        <f t="shared" ref="R11:R17" ca="1" si="4">SUM(L11:P11)</f>
        <v>67362.145662019917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-485.7162106269534</v>
      </c>
      <c r="D12" s="9">
        <f ca="1">-(D17-Q4)</f>
        <v>0</v>
      </c>
      <c r="E12" s="9">
        <f ca="1">-(E17-Q5)</f>
        <v>-4436.1008427255438</v>
      </c>
      <c r="F12" s="9">
        <f ca="1">-(F17-Q6)</f>
        <v>-4908.9934328358358</v>
      </c>
      <c r="G12" s="9">
        <f ca="1">-(G17-Q7)</f>
        <v>-1350.0652037617583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-11180.875689950091</v>
      </c>
      <c r="M12" s="17"/>
      <c r="N12" s="17"/>
      <c r="O12" s="10"/>
      <c r="P12" s="12"/>
      <c r="Q12" s="9">
        <f t="shared" ref="Q12:Q17" ca="1" si="6">SUM(L12:P12)</f>
        <v>-11180.875689950091</v>
      </c>
      <c r="R12" s="17">
        <f t="shared" ca="1" si="4"/>
        <v>-11180.875689950091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-3177.2404021043403</v>
      </c>
      <c r="J13" s="14">
        <f ca="1">-(J17-Q10)</f>
        <v>-4904.4055722910925</v>
      </c>
      <c r="K13" s="13">
        <f ca="1">-(K17-Q11)</f>
        <v>-7798.3883635846287</v>
      </c>
      <c r="L13" s="14">
        <f t="shared" ca="1" si="5"/>
        <v>-15880.034337980062</v>
      </c>
      <c r="M13" s="16">
        <f ca="1">-E15</f>
        <v>-24448.155141343042</v>
      </c>
      <c r="N13" s="16"/>
      <c r="O13" s="11"/>
      <c r="P13" s="13"/>
      <c r="Q13" s="14">
        <f t="shared" ca="1" si="6"/>
        <v>-40328.189479323104</v>
      </c>
      <c r="R13" s="16">
        <f t="shared" ca="1" si="4"/>
        <v>-40328.189479323104</v>
      </c>
    </row>
    <row r="14" spans="1:20">
      <c r="A14" s="18" t="s">
        <v>78</v>
      </c>
      <c r="B14" s="11"/>
      <c r="C14" s="14"/>
      <c r="D14" s="14"/>
      <c r="E14" s="14">
        <f ca="1">-(I13+J13)-K13</f>
        <v>15880.034337980062</v>
      </c>
      <c r="F14" s="14"/>
      <c r="G14" s="14"/>
      <c r="H14" s="14"/>
      <c r="I14" s="14"/>
      <c r="J14" s="14"/>
      <c r="K14" s="13"/>
      <c r="L14" s="14">
        <f t="shared" ca="1" si="5"/>
        <v>15880.034337980062</v>
      </c>
      <c r="M14" s="16"/>
      <c r="N14" s="16"/>
      <c r="O14" s="11"/>
      <c r="P14" s="13"/>
      <c r="Q14" s="14">
        <f t="shared" ca="1" si="6"/>
        <v>15880.034337980062</v>
      </c>
      <c r="R14" s="16">
        <f t="shared" ca="1" si="4"/>
        <v>15880.034337980062</v>
      </c>
    </row>
    <row r="15" spans="1:20">
      <c r="A15" s="18" t="s">
        <v>79</v>
      </c>
      <c r="B15" s="11"/>
      <c r="C15" s="14"/>
      <c r="D15" s="14"/>
      <c r="E15" s="14">
        <f ca="1">E17-E14</f>
        <v>24448.155141343042</v>
      </c>
      <c r="F15" s="14"/>
      <c r="G15" s="14"/>
      <c r="H15" s="14"/>
      <c r="I15" s="14"/>
      <c r="J15" s="14"/>
      <c r="K15" s="13"/>
      <c r="L15" s="14">
        <f t="shared" ca="1" si="5"/>
        <v>24448.155141343042</v>
      </c>
      <c r="M15" s="16"/>
      <c r="N15" s="16"/>
      <c r="O15" s="11"/>
      <c r="P15" s="13"/>
      <c r="Q15" s="14">
        <f t="shared" ca="1" si="6"/>
        <v>24448.155141343042</v>
      </c>
      <c r="R15" s="16">
        <f t="shared" ca="1" si="4"/>
        <v>24448.155141343042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77097.811210626955</v>
      </c>
      <c r="D17" s="9">
        <f ca="1">SUM(D$2:D$11)</f>
        <v>0</v>
      </c>
      <c r="E17" s="9">
        <f ca="1">$Q$5/parameters!$B$4</f>
        <v>40328.189479323104</v>
      </c>
      <c r="F17" s="9">
        <f t="shared" ref="F17:K17" ca="1" si="7">SUM(F$2:F$11)</f>
        <v>79177.313432835828</v>
      </c>
      <c r="G17" s="9">
        <f t="shared" ca="1" si="7"/>
        <v>31396.865203761758</v>
      </c>
      <c r="H17" s="9">
        <f t="shared" ca="1" si="7"/>
        <v>104315.12</v>
      </c>
      <c r="I17" s="9">
        <f t="shared" ca="1" si="7"/>
        <v>40437.820402104342</v>
      </c>
      <c r="J17" s="9">
        <f t="shared" ca="1" si="7"/>
        <v>62420.039597895644</v>
      </c>
      <c r="K17" s="9">
        <f t="shared" ca="1" si="7"/>
        <v>75160.534025604546</v>
      </c>
      <c r="L17" s="17">
        <f t="shared" ca="1" si="5"/>
        <v>510333.69335215219</v>
      </c>
      <c r="M17" s="17"/>
      <c r="N17" s="17"/>
      <c r="O17" s="9"/>
      <c r="P17" s="14"/>
      <c r="Q17" s="11">
        <f t="shared" ca="1" si="6"/>
        <v>510333.69335215219</v>
      </c>
      <c r="R17" s="17">
        <f t="shared" ca="1" si="4"/>
        <v>510333.69335215219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0.99369999999999992</v>
      </c>
      <c r="D18" s="38" t="str">
        <f ca="1">IFERROR(1-(-D12)/D17, "")</f>
        <v/>
      </c>
      <c r="E18" s="38">
        <f t="shared" ref="E18:G18" ca="1" si="8">IFERROR(1-(-E12)/E17, "")</f>
        <v>0.8899999999999999</v>
      </c>
      <c r="F18" s="38">
        <f t="shared" ca="1" si="8"/>
        <v>0.93799999999999983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0.92142898973014375</v>
      </c>
      <c r="J18" s="38">
        <f ca="1">I18</f>
        <v>0.92142898973014375</v>
      </c>
      <c r="K18" s="39">
        <f ca="1">1-(-K13)/K17</f>
        <v>0.89624357430818691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45531.558820569589</v>
      </c>
      <c r="D2" s="9">
        <f ca="1">Q4/parameters!$B$3</f>
        <v>1444.2990842306531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46975.857904800243</v>
      </c>
      <c r="M2" s="17"/>
      <c r="N2" s="17">
        <f ca="1">Q2-(L2+O2+P2)</f>
        <v>0</v>
      </c>
      <c r="O2" s="11" cm="1">
        <f t="array" aca="1" ref="O2" ca="1">INDIRECT("'data'!$F$" &amp; $A$1)</f>
        <v>3994.9</v>
      </c>
      <c r="P2" s="13">
        <f ca="1">IF(-(L2-Q2+O2)&lt;0, -(L2-Q2+O2), 0)</f>
        <v>-11267.757904800243</v>
      </c>
      <c r="Q2" s="17" cm="1">
        <f t="array" aca="1" ref="Q2" ca="1">INDIRECT("'data'!$D$" &amp; $A$1)</f>
        <v>39703</v>
      </c>
      <c r="R2" s="17">
        <f ca="1">SUM(L2:P2)</f>
        <v>39703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46222.420895522395</v>
      </c>
      <c r="G3" s="14">
        <f ca="1">Q3-O3-P3-F3</f>
        <v>3650.8991044776049</v>
      </c>
      <c r="H3" s="14"/>
      <c r="I3" s="14"/>
      <c r="J3" s="14"/>
      <c r="K3" s="13"/>
      <c r="L3" s="16">
        <f t="shared" ca="1" si="0"/>
        <v>49873.32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68.039999999999992</v>
      </c>
      <c r="P3" s="13" cm="1">
        <f t="array" aca="1" ref="P3" ca="1">-INDIRECT("'data'!$I$" &amp; $A$1)*parameters!$B$13</f>
        <v>-4696.6499999999996</v>
      </c>
      <c r="Q3" s="16" cm="1">
        <f t="array" aca="1" ref="Q3" ca="1">INDIRECT("'data'!$G$" &amp; $A$1)*parameters!$B$13</f>
        <v>45244.71</v>
      </c>
      <c r="R3" s="16">
        <f t="shared" ref="R3:R10" ca="1" si="2">SUM(L3:P3)</f>
        <v>45244.71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1435.2</v>
      </c>
      <c r="H4" s="14"/>
      <c r="I4" s="14"/>
      <c r="J4" s="14"/>
      <c r="K4" s="13"/>
      <c r="L4" s="16">
        <f t="shared" ca="1" si="0"/>
        <v>1435.2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1435.2</v>
      </c>
      <c r="R4" s="16">
        <f t="shared" ca="1" si="2"/>
        <v>1435.2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10146.385074626867</v>
      </c>
      <c r="G5" s="14">
        <f ca="1">Q7/parameters!$B$7-(G3+G4)</f>
        <v>43913.900895522398</v>
      </c>
      <c r="H5" s="14"/>
      <c r="I5" s="14"/>
      <c r="J5" s="14"/>
      <c r="K5" s="13"/>
      <c r="L5" s="16">
        <f t="shared" ca="1" si="0"/>
        <v>54060.285970149263</v>
      </c>
      <c r="M5" s="16"/>
      <c r="N5" s="16"/>
      <c r="O5" s="11" cm="1">
        <f t="array" aca="1" ref="O5" ca="1">INDIRECT("'data'!$M$" &amp; $A$1)*parameters!$B$15</f>
        <v>5645.78</v>
      </c>
      <c r="P5" s="13" cm="1">
        <f t="array" aca="1" ref="P5" ca="1">-INDIRECT("'data'!$N$" &amp; $A$1)*parameters!$B$15</f>
        <v>-3287.9</v>
      </c>
      <c r="Q5" s="16">
        <f ca="1">SUM(L5:P5)</f>
        <v>56418.165970149261</v>
      </c>
      <c r="R5" s="16">
        <f t="shared" ca="1" si="2"/>
        <v>56418.165970149261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52873.94</v>
      </c>
      <c r="I6" s="14"/>
      <c r="J6" s="14"/>
      <c r="K6" s="13"/>
      <c r="L6" s="16">
        <f t="shared" ca="1" si="0"/>
        <v>52873.94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52873.94</v>
      </c>
      <c r="R6" s="16">
        <f t="shared" ca="1" si="2"/>
        <v>52873.94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46893</v>
      </c>
      <c r="I7" s="14"/>
      <c r="J7" s="14"/>
      <c r="K7" s="13"/>
      <c r="L7" s="16">
        <f t="shared" ca="1" si="0"/>
        <v>46893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46893</v>
      </c>
      <c r="R7" s="16">
        <f t="shared" ca="1" si="2"/>
        <v>46893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32858.865262269668</v>
      </c>
      <c r="J8" s="14">
        <f ca="1">Q10/J18</f>
        <v>74416.834737730329</v>
      </c>
      <c r="K8" s="13"/>
      <c r="L8" s="16">
        <f t="shared" ca="1" si="0"/>
        <v>107275.7</v>
      </c>
      <c r="M8" s="16"/>
      <c r="N8" s="16">
        <f t="shared" ca="1" si="3"/>
        <v>0</v>
      </c>
      <c r="O8" s="11" cm="1">
        <f t="array" aca="1" ref="O8" ca="1">INDIRECT("'data'!$R$" &amp; $A$1)*parameters!$B$15</f>
        <v>99.96</v>
      </c>
      <c r="P8" s="13" cm="1">
        <f t="array" aca="1" ref="P8" ca="1">-INDIRECT("'data'!$S$" &amp; $A$1)*parameters!$B$15</f>
        <v>-7608.72</v>
      </c>
      <c r="Q8" s="16">
        <f ca="1">SUM(Q6:Q7)</f>
        <v>99766.94</v>
      </c>
      <c r="R8" s="16">
        <f t="shared" ca="1" si="2"/>
        <v>99766.94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37551.64</v>
      </c>
      <c r="L9" s="16">
        <f t="shared" ca="1" si="0"/>
        <v>37551.64</v>
      </c>
      <c r="M9" s="16"/>
      <c r="N9" s="16">
        <f t="shared" ca="1" si="3"/>
        <v>0</v>
      </c>
      <c r="O9" s="11" cm="1">
        <f t="array" aca="1" ref="O9" ca="1">INDIRECT("'data'!$U$" &amp; $A$1)*parameters!$B$15</f>
        <v>1417.08</v>
      </c>
      <c r="P9" s="13" cm="1">
        <f t="array" aca="1" ref="P9" ca="1">-INDIRECT("'data'!$V$" &amp; $A$1)*parameters!$B$15</f>
        <v>-9668.68</v>
      </c>
      <c r="Q9" s="16" cm="1">
        <f t="array" aca="1" ref="Q9" ca="1">INDIRECT("'data'!$T$" &amp; $A$1)*parameters!$B$15</f>
        <v>29300.04</v>
      </c>
      <c r="R9" s="16">
        <f t="shared" ca="1" si="2"/>
        <v>29300.04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75972.775590327161</v>
      </c>
      <c r="L10" s="16">
        <f t="shared" ca="1" si="0"/>
        <v>75972.775590327161</v>
      </c>
      <c r="M10" s="16"/>
      <c r="N10" s="16">
        <f t="shared" ca="1" si="3"/>
        <v>0</v>
      </c>
      <c r="O10" s="11" cm="1">
        <f t="array" aca="1" ref="O10" ca="1">INDIRECT("'data'!$X$" &amp; $A$1)*parameters!$B$15</f>
        <v>3499.58</v>
      </c>
      <c r="P10" s="13" cm="1">
        <f t="array" aca="1" ref="P10" ca="1">-INDIRECT("'data'!$Y$" &amp; $A$1)*parameters!$B$15</f>
        <v>-13115.34</v>
      </c>
      <c r="Q10" s="16" cm="1">
        <f t="array" aca="1" ref="Q10" ca="1">INDIRECT("'data'!$W$" &amp; $A$1)*parameters!$B$15</f>
        <v>66357.015590327166</v>
      </c>
      <c r="R10" s="16">
        <f t="shared" ca="1" si="2"/>
        <v>66357.015590327166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113922.94860768136</v>
      </c>
      <c r="N11" s="19"/>
      <c r="O11" s="21" cm="1">
        <f t="array" aca="1" ref="O11" ca="1">INDIRECT("'data'!$Z$" &amp; $A$1)*parameters!$B$15</f>
        <v>16128.84</v>
      </c>
      <c r="P11" s="27" cm="1">
        <f t="array" aca="1" ref="P11" ca="1">-INDIRECT("'data'!$AA$" &amp; $A$1)*parameters!$B$15</f>
        <v>-29416.66</v>
      </c>
      <c r="Q11" s="16">
        <f ca="1">K9*parameters!$B$10+K10*parameters!$B$11</f>
        <v>100635.12860768136</v>
      </c>
      <c r="R11" s="16">
        <f t="shared" ref="R11:R17" ca="1" si="4">SUM(L11:P11)</f>
        <v>100635.12860768136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-286.84882056959032</v>
      </c>
      <c r="D12" s="9">
        <f ca="1">-(D17-Q4)</f>
        <v>-9.099084230653034</v>
      </c>
      <c r="E12" s="9">
        <f ca="1">-(E17-Q5)</f>
        <v>-6973.0317491195674</v>
      </c>
      <c r="F12" s="9">
        <f ca="1">-(F17-Q6)</f>
        <v>-3494.8659701492579</v>
      </c>
      <c r="G12" s="9">
        <f ca="1">-(G17-Q7)</f>
        <v>-2107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-12870.845624069068</v>
      </c>
      <c r="M12" s="17"/>
      <c r="N12" s="17"/>
      <c r="O12" s="10"/>
      <c r="P12" s="12"/>
      <c r="Q12" s="9">
        <f t="shared" ref="Q12:Q17" ca="1" si="6">SUM(L12:P12)</f>
        <v>-12870.845624069068</v>
      </c>
      <c r="R12" s="17">
        <f t="shared" ca="1" si="4"/>
        <v>-12870.845624069068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-3558.8252622696673</v>
      </c>
      <c r="J13" s="14">
        <f ca="1">-(J17-Q10)</f>
        <v>-8059.8191474031628</v>
      </c>
      <c r="K13" s="13">
        <f ca="1">-(K17-Q11)</f>
        <v>-12889.286982645805</v>
      </c>
      <c r="L13" s="14">
        <f t="shared" ca="1" si="5"/>
        <v>-24507.931392318635</v>
      </c>
      <c r="M13" s="16">
        <f ca="1">-E15</f>
        <v>-38883.266326950194</v>
      </c>
      <c r="N13" s="16"/>
      <c r="O13" s="11"/>
      <c r="P13" s="13"/>
      <c r="Q13" s="14">
        <f t="shared" ca="1" si="6"/>
        <v>-63391.197719268828</v>
      </c>
      <c r="R13" s="16">
        <f t="shared" ca="1" si="4"/>
        <v>-63391.197719268828</v>
      </c>
    </row>
    <row r="14" spans="1:20">
      <c r="A14" s="18" t="s">
        <v>78</v>
      </c>
      <c r="B14" s="11"/>
      <c r="C14" s="14"/>
      <c r="D14" s="14"/>
      <c r="E14" s="14">
        <f ca="1">-(I13+J13)-K13</f>
        <v>24507.931392318635</v>
      </c>
      <c r="F14" s="14"/>
      <c r="G14" s="14"/>
      <c r="H14" s="14"/>
      <c r="I14" s="14"/>
      <c r="J14" s="14"/>
      <c r="K14" s="13"/>
      <c r="L14" s="14">
        <f t="shared" ca="1" si="5"/>
        <v>24507.931392318635</v>
      </c>
      <c r="M14" s="16"/>
      <c r="N14" s="16"/>
      <c r="O14" s="11"/>
      <c r="P14" s="13"/>
      <c r="Q14" s="14">
        <f t="shared" ca="1" si="6"/>
        <v>24507.931392318635</v>
      </c>
      <c r="R14" s="16">
        <f t="shared" ca="1" si="4"/>
        <v>24507.931392318635</v>
      </c>
    </row>
    <row r="15" spans="1:20">
      <c r="A15" s="18" t="s">
        <v>79</v>
      </c>
      <c r="B15" s="11"/>
      <c r="C15" s="14"/>
      <c r="D15" s="14"/>
      <c r="E15" s="14">
        <f ca="1">E17-E14</f>
        <v>38883.266326950194</v>
      </c>
      <c r="F15" s="14"/>
      <c r="G15" s="14"/>
      <c r="H15" s="14"/>
      <c r="I15" s="14"/>
      <c r="J15" s="14"/>
      <c r="K15" s="13"/>
      <c r="L15" s="14">
        <f t="shared" ca="1" si="5"/>
        <v>38883.266326950194</v>
      </c>
      <c r="M15" s="16"/>
      <c r="N15" s="16"/>
      <c r="O15" s="11"/>
      <c r="P15" s="13"/>
      <c r="Q15" s="14">
        <f t="shared" ca="1" si="6"/>
        <v>38883.266326950194</v>
      </c>
      <c r="R15" s="16">
        <f t="shared" ca="1" si="4"/>
        <v>38883.266326950194</v>
      </c>
    </row>
    <row r="16" spans="1:20">
      <c r="A16" s="30" t="s">
        <v>89</v>
      </c>
      <c r="B16" s="21">
        <f ca="1">Q2</f>
        <v>39703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39703</v>
      </c>
      <c r="M16" s="19"/>
      <c r="N16" s="19"/>
      <c r="O16" s="21"/>
      <c r="P16" s="27"/>
      <c r="Q16" s="22">
        <f t="shared" ca="1" si="6"/>
        <v>39703</v>
      </c>
      <c r="R16" s="19">
        <f t="shared" ca="1" si="4"/>
        <v>39703</v>
      </c>
    </row>
    <row r="17" spans="1:18">
      <c r="A17" s="29" t="s">
        <v>88</v>
      </c>
      <c r="B17" s="9">
        <f ca="1">B16</f>
        <v>39703</v>
      </c>
      <c r="C17" s="9">
        <f ca="1">SUM(C$2:C$11)</f>
        <v>45531.558820569589</v>
      </c>
      <c r="D17" s="9">
        <f ca="1">SUM(D$2:D$11)</f>
        <v>1444.2990842306531</v>
      </c>
      <c r="E17" s="9">
        <f ca="1">$Q$5/parameters!$B$4</f>
        <v>63391.197719268828</v>
      </c>
      <c r="F17" s="9">
        <f t="shared" ref="F17:K17" ca="1" si="7">SUM(F$2:F$11)</f>
        <v>56368.80597014926</v>
      </c>
      <c r="G17" s="9">
        <f t="shared" ca="1" si="7"/>
        <v>49000</v>
      </c>
      <c r="H17" s="9">
        <f t="shared" ca="1" si="7"/>
        <v>99766.94</v>
      </c>
      <c r="I17" s="9">
        <f t="shared" ca="1" si="7"/>
        <v>32858.865262269668</v>
      </c>
      <c r="J17" s="9">
        <f t="shared" ca="1" si="7"/>
        <v>74416.834737730329</v>
      </c>
      <c r="K17" s="9">
        <f t="shared" ca="1" si="7"/>
        <v>113524.41559032716</v>
      </c>
      <c r="L17" s="17">
        <f t="shared" ca="1" si="5"/>
        <v>576005.91718454554</v>
      </c>
      <c r="M17" s="17"/>
      <c r="N17" s="17"/>
      <c r="O17" s="9"/>
      <c r="P17" s="14"/>
      <c r="Q17" s="11">
        <f t="shared" ca="1" si="6"/>
        <v>576005.91718454554</v>
      </c>
      <c r="R17" s="17">
        <f t="shared" ca="1" si="4"/>
        <v>576005.91718454554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0.99369999999999992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0.89169360433282807</v>
      </c>
      <c r="J18" s="38">
        <f ca="1">I18</f>
        <v>0.89169360433282807</v>
      </c>
      <c r="K18" s="39">
        <f ca="1">1-(-K13)/K17</f>
        <v>0.88646242382643869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42353.346080305921</v>
      </c>
      <c r="D2" s="9">
        <f ca="1">Q4/parameters!$B$3</f>
        <v>1777.5988728992654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44130.944953205188</v>
      </c>
      <c r="M2" s="17"/>
      <c r="N2" s="17">
        <f ca="1">Q2-(L2+O2+P2)</f>
        <v>0</v>
      </c>
      <c r="O2" s="11" cm="1">
        <f t="array" aca="1" ref="O2" ca="1">INDIRECT("'data'!$F$" &amp; $A$1)</f>
        <v>11310.65</v>
      </c>
      <c r="P2" s="13">
        <f ca="1">IF(-(L2-Q2+O2)&lt;0, -(L2-Q2+O2), 0)</f>
        <v>-5441.5949532051873</v>
      </c>
      <c r="Q2" s="17" cm="1">
        <f t="array" aca="1" ref="Q2" ca="1">INDIRECT("'data'!$D$" &amp; $A$1)</f>
        <v>50000</v>
      </c>
      <c r="R2" s="17">
        <f ca="1">SUM(L2:P2)</f>
        <v>50000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38492.791044776124</v>
      </c>
      <c r="G3" s="14">
        <f ca="1">Q3-O3-P3-F3</f>
        <v>226.6939552238764</v>
      </c>
      <c r="H3" s="14"/>
      <c r="I3" s="14"/>
      <c r="J3" s="14"/>
      <c r="K3" s="13"/>
      <c r="L3" s="16">
        <f t="shared" ca="1" si="0"/>
        <v>38719.485000000001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3367.0349999999999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42086.52</v>
      </c>
      <c r="R3" s="16">
        <f t="shared" ref="R3:R10" ca="1" si="2">SUM(L3:P3)</f>
        <v>42086.520000000004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1766.4</v>
      </c>
      <c r="H4" s="14"/>
      <c r="I4" s="14"/>
      <c r="J4" s="14"/>
      <c r="K4" s="13"/>
      <c r="L4" s="16">
        <f t="shared" ca="1" si="0"/>
        <v>1766.4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1766.4</v>
      </c>
      <c r="R4" s="16">
        <f t="shared" ca="1" si="2"/>
        <v>1766.4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Q6/parameters!$B$5*27%</f>
        <v>14237.059701492539</v>
      </c>
      <c r="G5" s="14">
        <f ca="1">Q7/parameters!$B$7-(G3+G4)</f>
        <v>6823.8339444626436</v>
      </c>
      <c r="H5" s="14"/>
      <c r="I5" s="14"/>
      <c r="J5" s="14"/>
      <c r="K5" s="13"/>
      <c r="L5" s="16">
        <f t="shared" ca="1" si="0"/>
        <v>21060.893645955184</v>
      </c>
      <c r="M5" s="16"/>
      <c r="N5" s="16"/>
      <c r="O5" s="11" cm="1">
        <f t="array" aca="1" ref="O5" ca="1">INDIRECT("'data'!$M$" &amp; $A$1)*parameters!$B$15</f>
        <v>6665.96</v>
      </c>
      <c r="P5" s="13" cm="1">
        <f t="array" aca="1" ref="P5" ca="1">-INDIRECT("'data'!$N$" &amp; $A$1)*parameters!$B$15</f>
        <v>-305.76</v>
      </c>
      <c r="Q5" s="16">
        <f ca="1">SUM(L5:P5)</f>
        <v>27421.093645955185</v>
      </c>
      <c r="R5" s="16">
        <f t="shared" ca="1" si="2"/>
        <v>27421.093645955185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49460.6</v>
      </c>
      <c r="I6" s="14"/>
      <c r="J6" s="14"/>
      <c r="K6" s="13"/>
      <c r="L6" s="16">
        <f t="shared" ca="1" si="0"/>
        <v>49460.6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49460.6</v>
      </c>
      <c r="R6" s="16">
        <f t="shared" ca="1" si="2"/>
        <v>49460.6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8437.7999999999993</v>
      </c>
      <c r="I7" s="14"/>
      <c r="J7" s="14"/>
      <c r="K7" s="13"/>
      <c r="L7" s="16">
        <f t="shared" ca="1" si="0"/>
        <v>8437.7999999999993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8437.7999999999993</v>
      </c>
      <c r="R7" s="16">
        <f t="shared" ca="1" si="2"/>
        <v>8437.7999999999993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23788</v>
      </c>
      <c r="J8" s="14">
        <f ca="1">Q10/J18</f>
        <v>22054.196301564723</v>
      </c>
      <c r="K8" s="13"/>
      <c r="L8" s="16">
        <f t="shared" ca="1" si="0"/>
        <v>45842.19630156472</v>
      </c>
      <c r="M8" s="16"/>
      <c r="N8" s="16">
        <f t="shared" ca="1" si="3"/>
        <v>123.72369843527122</v>
      </c>
      <c r="O8" s="11" cm="1">
        <f t="array" aca="1" ref="O8" ca="1">INDIRECT("'data'!$R$" &amp; $A$1)*parameters!$B$15</f>
        <v>11947.18</v>
      </c>
      <c r="P8" s="13" cm="1">
        <f t="array" aca="1" ref="P8" ca="1">-INDIRECT("'data'!$S$" &amp; $A$1)*parameters!$B$15</f>
        <v>-14.7</v>
      </c>
      <c r="Q8" s="16">
        <f ca="1">SUM(Q6:Q7)</f>
        <v>57898.399999999994</v>
      </c>
      <c r="R8" s="16">
        <f t="shared" ca="1" si="2"/>
        <v>57898.399999999994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20330.099999999999</v>
      </c>
      <c r="L9" s="16">
        <f t="shared" ca="1" si="0"/>
        <v>20330.099999999999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3847.48</v>
      </c>
      <c r="P9" s="13" cm="1">
        <f t="array" aca="1" ref="P9" ca="1">-INDIRECT("'data'!$V$" &amp; $A$1)*parameters!$B$15</f>
        <v>-865.34</v>
      </c>
      <c r="Q9" s="16" cm="1">
        <f t="array" aca="1" ref="Q9" ca="1">INDIRECT("'data'!$T$" &amp; $A$1)*parameters!$B$15</f>
        <v>23312.239999999998</v>
      </c>
      <c r="R9" s="16">
        <f t="shared" ca="1" si="2"/>
        <v>23312.239999999998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12040.472375533431</v>
      </c>
      <c r="L10" s="16">
        <f t="shared" ca="1" si="0"/>
        <v>12040.472375533431</v>
      </c>
      <c r="M10" s="16"/>
      <c r="N10" s="16">
        <f t="shared" ca="1" si="3"/>
        <v>0</v>
      </c>
      <c r="O10" s="11" cm="1">
        <f t="array" aca="1" ref="O10" ca="1">INDIRECT("'data'!$X$" &amp; $A$1)*parameters!$B$15</f>
        <v>10511.48</v>
      </c>
      <c r="P10" s="13" cm="1">
        <f t="array" aca="1" ref="P10" ca="1">-INDIRECT("'data'!$Y$" &amp; $A$1)*parameters!$B$15</f>
        <v>-938.84</v>
      </c>
      <c r="Q10" s="16" cm="1">
        <f t="array" aca="1" ref="Q10" ca="1">INDIRECT("'data'!$W$" &amp; $A$1)*parameters!$B$15</f>
        <v>21613.11237553343</v>
      </c>
      <c r="R10" s="16">
        <f t="shared" ca="1" si="2"/>
        <v>21613.11237553343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28932.960242958743</v>
      </c>
      <c r="N11" s="19"/>
      <c r="O11" s="21" cm="1">
        <f t="array" aca="1" ref="O11" ca="1">INDIRECT("'data'!$Z$" &amp; $A$1)*parameters!$B$15</f>
        <v>2103.08</v>
      </c>
      <c r="P11" s="27" cm="1">
        <f t="array" aca="1" ref="P11" ca="1">-INDIRECT("'data'!$AA$" &amp; $A$1)*parameters!$B$15</f>
        <v>-1570.94</v>
      </c>
      <c r="Q11" s="16">
        <f ca="1">K9*parameters!$B$10+K10*parameters!$B$11</f>
        <v>29465.100242958746</v>
      </c>
      <c r="R11" s="16">
        <f t="shared" ref="R11:R17" ca="1" si="4">SUM(L11:P11)</f>
        <v>29465.100242958742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-266.82608030592382</v>
      </c>
      <c r="D12" s="9">
        <f ca="1">-(D17-Q4)</f>
        <v>-11.198872899265325</v>
      </c>
      <c r="E12" s="9">
        <f ca="1">-(E17-Q5)</f>
        <v>-3389.1239337697407</v>
      </c>
      <c r="F12" s="9">
        <f ca="1">-(F17-Q6)</f>
        <v>-3269.2507462686626</v>
      </c>
      <c r="G12" s="9">
        <f ca="1">-(G17-Q7)</f>
        <v>-379.12789968652032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-7315.527532930113</v>
      </c>
      <c r="M12" s="17"/>
      <c r="N12" s="17"/>
      <c r="O12" s="10"/>
      <c r="P12" s="12"/>
      <c r="Q12" s="9">
        <f t="shared" ref="Q12:Q17" ca="1" si="6">SUM(L12:P12)</f>
        <v>-7315.527532930113</v>
      </c>
      <c r="R12" s="17">
        <f t="shared" ca="1" si="4"/>
        <v>-7315.527532930113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-475.76000000000204</v>
      </c>
      <c r="J13" s="14">
        <f ca="1">-(J17-Q10)</f>
        <v>-441.08392603129323</v>
      </c>
      <c r="K13" s="13">
        <f ca="1">-(K17-Q11)</f>
        <v>-2905.4721325746832</v>
      </c>
      <c r="L13" s="14">
        <f t="shared" ca="1" si="5"/>
        <v>-3822.3160586059785</v>
      </c>
      <c r="M13" s="16">
        <f ca="1">-E15</f>
        <v>-26987.901521118947</v>
      </c>
      <c r="N13" s="16"/>
      <c r="O13" s="11"/>
      <c r="P13" s="13"/>
      <c r="Q13" s="14">
        <f t="shared" ca="1" si="6"/>
        <v>-30810.217579724926</v>
      </c>
      <c r="R13" s="16">
        <f t="shared" ca="1" si="4"/>
        <v>-30810.217579724926</v>
      </c>
    </row>
    <row r="14" spans="1:20">
      <c r="A14" s="18" t="s">
        <v>78</v>
      </c>
      <c r="B14" s="11"/>
      <c r="C14" s="14"/>
      <c r="D14" s="14"/>
      <c r="E14" s="14">
        <f ca="1">-(I13+J13)-K13</f>
        <v>3822.3160586059785</v>
      </c>
      <c r="F14" s="14"/>
      <c r="G14" s="14"/>
      <c r="H14" s="14"/>
      <c r="I14" s="14"/>
      <c r="J14" s="14"/>
      <c r="K14" s="13"/>
      <c r="L14" s="14">
        <f t="shared" ca="1" si="5"/>
        <v>3822.3160586059785</v>
      </c>
      <c r="M14" s="16"/>
      <c r="N14" s="16"/>
      <c r="O14" s="11"/>
      <c r="P14" s="13"/>
      <c r="Q14" s="14">
        <f t="shared" ca="1" si="6"/>
        <v>3822.3160586059785</v>
      </c>
      <c r="R14" s="16">
        <f t="shared" ca="1" si="4"/>
        <v>3822.3160586059785</v>
      </c>
    </row>
    <row r="15" spans="1:20">
      <c r="A15" s="18" t="s">
        <v>79</v>
      </c>
      <c r="B15" s="11"/>
      <c r="C15" s="14"/>
      <c r="D15" s="14"/>
      <c r="E15" s="14">
        <f ca="1">E17-E14</f>
        <v>26987.901521118947</v>
      </c>
      <c r="F15" s="14"/>
      <c r="G15" s="14"/>
      <c r="H15" s="14"/>
      <c r="I15" s="14"/>
      <c r="J15" s="14"/>
      <c r="K15" s="13"/>
      <c r="L15" s="14">
        <f t="shared" ca="1" si="5"/>
        <v>26987.901521118947</v>
      </c>
      <c r="M15" s="16"/>
      <c r="N15" s="16"/>
      <c r="O15" s="11"/>
      <c r="P15" s="13"/>
      <c r="Q15" s="14">
        <f t="shared" ca="1" si="6"/>
        <v>26987.901521118947</v>
      </c>
      <c r="R15" s="16">
        <f t="shared" ca="1" si="4"/>
        <v>26987.901521118947</v>
      </c>
    </row>
    <row r="16" spans="1:20">
      <c r="A16" s="30" t="s">
        <v>89</v>
      </c>
      <c r="B16" s="21">
        <f ca="1">Q2</f>
        <v>50000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50000</v>
      </c>
      <c r="M16" s="19"/>
      <c r="N16" s="19"/>
      <c r="O16" s="21"/>
      <c r="P16" s="27"/>
      <c r="Q16" s="22">
        <f t="shared" ca="1" si="6"/>
        <v>50000</v>
      </c>
      <c r="R16" s="19">
        <f t="shared" ca="1" si="4"/>
        <v>50000</v>
      </c>
    </row>
    <row r="17" spans="1:18">
      <c r="A17" s="29" t="s">
        <v>88</v>
      </c>
      <c r="B17" s="9">
        <f ca="1">B16</f>
        <v>50000</v>
      </c>
      <c r="C17" s="9">
        <f ca="1">SUM(C$2:C$11)</f>
        <v>42353.346080305921</v>
      </c>
      <c r="D17" s="9">
        <f ca="1">SUM(D$2:D$11)</f>
        <v>1777.5988728992654</v>
      </c>
      <c r="E17" s="9">
        <f ca="1">$Q$5/parameters!$B$4</f>
        <v>30810.217579724926</v>
      </c>
      <c r="F17" s="9">
        <f t="shared" ref="F17:K17" ca="1" si="7">SUM(F$2:F$11)</f>
        <v>52729.850746268661</v>
      </c>
      <c r="G17" s="9">
        <f t="shared" ca="1" si="7"/>
        <v>8816.9278996865196</v>
      </c>
      <c r="H17" s="9">
        <f t="shared" ca="1" si="7"/>
        <v>57898.399999999994</v>
      </c>
      <c r="I17" s="9">
        <f t="shared" ca="1" si="7"/>
        <v>23788</v>
      </c>
      <c r="J17" s="9">
        <f t="shared" ca="1" si="7"/>
        <v>22054.196301564723</v>
      </c>
      <c r="K17" s="9">
        <f t="shared" ca="1" si="7"/>
        <v>32370.572375533429</v>
      </c>
      <c r="L17" s="17">
        <f t="shared" ca="1" si="5"/>
        <v>322599.10985598346</v>
      </c>
      <c r="M17" s="17"/>
      <c r="N17" s="17"/>
      <c r="O17" s="9"/>
      <c r="P17" s="14"/>
      <c r="Q17" s="11">
        <f t="shared" ca="1" si="6"/>
        <v>322599.10985598346</v>
      </c>
      <c r="R17" s="17">
        <f t="shared" ca="1" si="4"/>
        <v>322599.10985598346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0.91024341185975699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23714.868672637618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23714.868672637618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-23714.868672637618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20616.358208955226</v>
      </c>
      <c r="G3" s="14">
        <f ca="1">Q3-O3-P3-F3</f>
        <v>5096.1467910447755</v>
      </c>
      <c r="H3" s="14"/>
      <c r="I3" s="14"/>
      <c r="J3" s="14"/>
      <c r="K3" s="13"/>
      <c r="L3" s="16">
        <f t="shared" ca="1" si="0"/>
        <v>25712.505000000001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-2147.04</v>
      </c>
      <c r="Q3" s="16" cm="1">
        <f t="array" aca="1" ref="Q3" ca="1">INDIRECT("'data'!$G$" &amp; $A$1)*parameters!$B$13</f>
        <v>23565.465</v>
      </c>
      <c r="R3" s="16">
        <f t="shared" ref="R3:R10" ca="1" si="2">SUM(L3:P3)</f>
        <v>23565.465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5154.0895522388064</v>
      </c>
      <c r="G5" s="14">
        <f ca="1">Q7/parameters!$B$7-(G3+G4)</f>
        <v>13788.053835914474</v>
      </c>
      <c r="H5" s="14"/>
      <c r="I5" s="14"/>
      <c r="J5" s="14"/>
      <c r="K5" s="13"/>
      <c r="L5" s="16">
        <f t="shared" ca="1" si="0"/>
        <v>18942.143388153279</v>
      </c>
      <c r="M5" s="16"/>
      <c r="N5" s="16"/>
      <c r="O5" s="11" cm="1">
        <f t="array" aca="1" ref="O5" ca="1">INDIRECT("'data'!$M$" &amp; $A$1)*parameters!$B$15</f>
        <v>34.299999999999997</v>
      </c>
      <c r="P5" s="13" cm="1">
        <f t="array" aca="1" ref="P5" ca="1">-INDIRECT("'data'!$N$" &amp; $A$1)*parameters!$B$15</f>
        <v>-6714.96</v>
      </c>
      <c r="Q5" s="16">
        <f ca="1">SUM(L5:P5)</f>
        <v>12261.48338815328</v>
      </c>
      <c r="R5" s="16">
        <f t="shared" ca="1" si="2"/>
        <v>12261.48338815328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24172.68</v>
      </c>
      <c r="I6" s="14"/>
      <c r="J6" s="14"/>
      <c r="K6" s="13"/>
      <c r="L6" s="16">
        <f t="shared" ca="1" si="0"/>
        <v>24172.68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24172.68</v>
      </c>
      <c r="R6" s="16">
        <f t="shared" ca="1" si="2"/>
        <v>24172.68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18072.18</v>
      </c>
      <c r="I7" s="14"/>
      <c r="J7" s="14"/>
      <c r="K7" s="13"/>
      <c r="L7" s="16">
        <f t="shared" ca="1" si="0"/>
        <v>18072.18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18072.18</v>
      </c>
      <c r="R7" s="16">
        <f t="shared" ca="1" si="2"/>
        <v>18072.18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18942.639311113551</v>
      </c>
      <c r="J8" s="14">
        <f ca="1">Q10/J18</f>
        <v>26555.820688886459</v>
      </c>
      <c r="K8" s="13"/>
      <c r="L8" s="16">
        <f t="shared" ca="1" si="0"/>
        <v>45498.460000000006</v>
      </c>
      <c r="M8" s="16"/>
      <c r="N8" s="16">
        <f t="shared" ca="1" si="3"/>
        <v>0</v>
      </c>
      <c r="O8" s="11" cm="1">
        <f t="array" aca="1" ref="O8" ca="1">INDIRECT("'data'!$R$" &amp; $A$1)*parameters!$B$15</f>
        <v>121.52</v>
      </c>
      <c r="P8" s="13" cm="1">
        <f t="array" aca="1" ref="P8" ca="1">-INDIRECT("'data'!$S$" &amp; $A$1)*parameters!$B$15</f>
        <v>-3375.12</v>
      </c>
      <c r="Q8" s="16">
        <f ca="1">SUM(Q6:Q7)</f>
        <v>42244.86</v>
      </c>
      <c r="R8" s="16">
        <f t="shared" ca="1" si="2"/>
        <v>42244.86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16830.519999999997</v>
      </c>
      <c r="L9" s="16">
        <f t="shared" ca="1" si="0"/>
        <v>16830.519999999997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2368.66</v>
      </c>
      <c r="P9" s="13" cm="1">
        <f t="array" aca="1" ref="P9" ca="1">-INDIRECT("'data'!$V$" &amp; $A$1)*parameters!$B$15</f>
        <v>-1391.6</v>
      </c>
      <c r="Q9" s="16" cm="1">
        <f t="array" aca="1" ref="Q9" ca="1">INDIRECT("'data'!$T$" &amp; $A$1)*parameters!$B$15</f>
        <v>17807.579999999998</v>
      </c>
      <c r="R9" s="16">
        <f t="shared" ca="1" si="2"/>
        <v>17807.579999999998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21267.032972972971</v>
      </c>
      <c r="L10" s="16">
        <f t="shared" ca="1" si="0"/>
        <v>21267.032972972971</v>
      </c>
      <c r="M10" s="16"/>
      <c r="N10" s="16">
        <f t="shared" ca="1" si="3"/>
        <v>0</v>
      </c>
      <c r="O10" s="11" cm="1">
        <f t="array" aca="1" ref="O10" ca="1">INDIRECT("'data'!$X$" &amp; $A$1)*parameters!$B$15</f>
        <v>9801.9599999999991</v>
      </c>
      <c r="P10" s="13" cm="1">
        <f t="array" aca="1" ref="P10" ca="1">-INDIRECT("'data'!$Y$" &amp; $A$1)*parameters!$B$15</f>
        <v>-6104.42</v>
      </c>
      <c r="Q10" s="16" cm="1">
        <f t="array" aca="1" ref="Q10" ca="1">INDIRECT("'data'!$W$" &amp; $A$1)*parameters!$B$15</f>
        <v>24964.572972972972</v>
      </c>
      <c r="R10" s="16">
        <f t="shared" ca="1" si="2"/>
        <v>24964.572972972972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24445.577156756754</v>
      </c>
      <c r="N11" s="19"/>
      <c r="O11" s="21" cm="1">
        <f t="array" aca="1" ref="O11" ca="1">INDIRECT("'data'!$Z$" &amp; $A$1)*parameters!$B$15</f>
        <v>11053.42</v>
      </c>
      <c r="P11" s="27" cm="1">
        <f t="array" aca="1" ref="P11" ca="1">-INDIRECT("'data'!$AA$" &amp; $A$1)*parameters!$B$15</f>
        <v>-1388.66</v>
      </c>
      <c r="Q11" s="16">
        <f ca="1">K9*parameters!$B$10+K10*parameters!$B$11</f>
        <v>34110.337156756752</v>
      </c>
      <c r="R11" s="16">
        <f t="shared" ref="R11:R17" ca="1" si="4">SUM(L11:P11)</f>
        <v>34110.337156756752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-149.403672637618</v>
      </c>
      <c r="D12" s="9">
        <f ca="1">-(D17-Q4)</f>
        <v>0</v>
      </c>
      <c r="E12" s="9">
        <f ca="1">-(E17-Q5)</f>
        <v>-1515.4642389852361</v>
      </c>
      <c r="F12" s="9">
        <f ca="1">-(F17-Q6)</f>
        <v>-1597.7677611940308</v>
      </c>
      <c r="G12" s="9">
        <f ca="1">-(G17-Q7)</f>
        <v>-812.02062695924906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-4074.6562997761339</v>
      </c>
      <c r="M12" s="17"/>
      <c r="N12" s="17"/>
      <c r="O12" s="10"/>
      <c r="P12" s="12"/>
      <c r="Q12" s="9">
        <f t="shared" ref="Q12:Q17" ca="1" si="6">SUM(L12:P12)</f>
        <v>-4074.6562997761339</v>
      </c>
      <c r="R12" s="17">
        <f t="shared" ca="1" si="4"/>
        <v>-4074.6562997761339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-1135.0593111135531</v>
      </c>
      <c r="J13" s="14">
        <f ca="1">-(J17-Q10)</f>
        <v>-1591.2477159134869</v>
      </c>
      <c r="K13" s="13">
        <f ca="1">-(K17-Q11)</f>
        <v>-3987.2158162162159</v>
      </c>
      <c r="L13" s="14">
        <f t="shared" ca="1" si="5"/>
        <v>-6713.5228432432559</v>
      </c>
      <c r="M13" s="16">
        <f ca="1">-E15</f>
        <v>-7063.4247838952597</v>
      </c>
      <c r="N13" s="16"/>
      <c r="O13" s="11"/>
      <c r="P13" s="13"/>
      <c r="Q13" s="14">
        <f t="shared" ca="1" si="6"/>
        <v>-13776.947627138516</v>
      </c>
      <c r="R13" s="16">
        <f t="shared" ca="1" si="4"/>
        <v>-13776.947627138516</v>
      </c>
    </row>
    <row r="14" spans="1:20">
      <c r="A14" s="18" t="s">
        <v>78</v>
      </c>
      <c r="B14" s="11"/>
      <c r="C14" s="14"/>
      <c r="D14" s="14"/>
      <c r="E14" s="14">
        <f ca="1">-(I13+J13)-K13</f>
        <v>6713.5228432432559</v>
      </c>
      <c r="F14" s="14"/>
      <c r="G14" s="14"/>
      <c r="H14" s="14"/>
      <c r="I14" s="14"/>
      <c r="J14" s="14"/>
      <c r="K14" s="13"/>
      <c r="L14" s="14">
        <f t="shared" ca="1" si="5"/>
        <v>6713.5228432432559</v>
      </c>
      <c r="M14" s="16"/>
      <c r="N14" s="16"/>
      <c r="O14" s="11"/>
      <c r="P14" s="13"/>
      <c r="Q14" s="14">
        <f t="shared" ca="1" si="6"/>
        <v>6713.5228432432559</v>
      </c>
      <c r="R14" s="16">
        <f t="shared" ca="1" si="4"/>
        <v>6713.5228432432559</v>
      </c>
    </row>
    <row r="15" spans="1:20">
      <c r="A15" s="18" t="s">
        <v>79</v>
      </c>
      <c r="B15" s="11"/>
      <c r="C15" s="14"/>
      <c r="D15" s="14"/>
      <c r="E15" s="14">
        <f ca="1">E17-E14</f>
        <v>7063.4247838952597</v>
      </c>
      <c r="F15" s="14"/>
      <c r="G15" s="14"/>
      <c r="H15" s="14"/>
      <c r="I15" s="14"/>
      <c r="J15" s="14"/>
      <c r="K15" s="13"/>
      <c r="L15" s="14">
        <f t="shared" ca="1" si="5"/>
        <v>7063.4247838952597</v>
      </c>
      <c r="M15" s="16"/>
      <c r="N15" s="16"/>
      <c r="O15" s="11"/>
      <c r="P15" s="13"/>
      <c r="Q15" s="14">
        <f t="shared" ca="1" si="6"/>
        <v>7063.4247838952597</v>
      </c>
      <c r="R15" s="16">
        <f t="shared" ca="1" si="4"/>
        <v>7063.4247838952597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23714.868672637618</v>
      </c>
      <c r="D17" s="9">
        <f ca="1">SUM(D$2:D$11)</f>
        <v>0</v>
      </c>
      <c r="E17" s="9">
        <f ca="1">$Q$5/parameters!$B$4</f>
        <v>13776.947627138516</v>
      </c>
      <c r="F17" s="9">
        <f t="shared" ref="F17:K17" ca="1" si="7">SUM(F$2:F$11)</f>
        <v>25770.447761194031</v>
      </c>
      <c r="G17" s="9">
        <f t="shared" ca="1" si="7"/>
        <v>18884.200626959249</v>
      </c>
      <c r="H17" s="9">
        <f t="shared" ca="1" si="7"/>
        <v>42244.86</v>
      </c>
      <c r="I17" s="9">
        <f t="shared" ca="1" si="7"/>
        <v>18942.639311113551</v>
      </c>
      <c r="J17" s="9">
        <f t="shared" ca="1" si="7"/>
        <v>26555.820688886459</v>
      </c>
      <c r="K17" s="9">
        <f t="shared" ca="1" si="7"/>
        <v>38097.552972972968</v>
      </c>
      <c r="L17" s="17">
        <f t="shared" ca="1" si="5"/>
        <v>207987.33766090238</v>
      </c>
      <c r="M17" s="17"/>
      <c r="N17" s="17"/>
      <c r="O17" s="9"/>
      <c r="P17" s="14"/>
      <c r="Q17" s="11">
        <f t="shared" ca="1" si="6"/>
        <v>207987.33766090238</v>
      </c>
      <c r="R17" s="17">
        <f t="shared" ca="1" si="4"/>
        <v>207987.33766090238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0.99369999999999992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0.94007913615038752</v>
      </c>
      <c r="J18" s="38">
        <f ca="1">I18</f>
        <v>0.94007913615038752</v>
      </c>
      <c r="K18" s="39">
        <f ca="1">1-(-K13)/K17</f>
        <v>0.89534194442764314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29333.324947167152</v>
      </c>
      <c r="D2" s="9">
        <f ca="1">Q4/parameters!$B$3</f>
        <v>421.25389956727383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29754.578846734425</v>
      </c>
      <c r="M2" s="17"/>
      <c r="N2" s="16">
        <v>0</v>
      </c>
      <c r="O2" s="11" cm="1">
        <f t="array" aca="1" ref="O2" ca="1">INDIRECT("'data'!$F$" &amp; $A$1)</f>
        <v>13.65</v>
      </c>
      <c r="P2" s="13">
        <f ca="1">IF(-(L2-Q2+O2)&lt;0, -(L2-Q2+O2), 0)</f>
        <v>-29470.228846734426</v>
      </c>
      <c r="Q2" s="17" cm="1">
        <f t="array" aca="1" ref="Q2" ca="1">INDIRECT("'data'!$D$" &amp; $A$1)</f>
        <v>298</v>
      </c>
      <c r="R2" s="17">
        <f ca="1">SUM(L2:P2)</f>
        <v>298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27625.552238805969</v>
      </c>
      <c r="G3" s="14">
        <f ca="1">Q3-O3-P3-F3</f>
        <v>1655.2727611940318</v>
      </c>
      <c r="H3" s="14"/>
      <c r="I3" s="14"/>
      <c r="J3" s="14"/>
      <c r="K3" s="13"/>
      <c r="L3" s="16">
        <f t="shared" ca="1" si="0"/>
        <v>29280.825000000001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110.565</v>
      </c>
      <c r="P3" s="13" cm="1">
        <f t="array" aca="1" ref="P3" ca="1">-INDIRECT("'data'!$I$" &amp; $A$1)*parameters!$B$13</f>
        <v>-242.86499999999998</v>
      </c>
      <c r="Q3" s="16" cm="1">
        <f t="array" aca="1" ref="Q3" ca="1">INDIRECT("'data'!$G$" &amp; $A$1)*parameters!$B$13</f>
        <v>29148.524999999998</v>
      </c>
      <c r="R3" s="16">
        <f t="shared" ref="R3:R10" ca="1" si="2">SUM(L3:P3)</f>
        <v>29148.524999999998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418.6</v>
      </c>
      <c r="H4" s="14"/>
      <c r="I4" s="14"/>
      <c r="J4" s="14"/>
      <c r="K4" s="13"/>
      <c r="L4" s="16">
        <f t="shared" ca="1" si="0"/>
        <v>418.6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418.6</v>
      </c>
      <c r="R4" s="16">
        <f t="shared" ca="1" si="2"/>
        <v>418.6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6906.3880597014931</v>
      </c>
      <c r="G5" s="14">
        <f ca="1">Q7/parameters!$B$7-(G3+G4)</f>
        <v>11570.348764406805</v>
      </c>
      <c r="H5" s="14"/>
      <c r="I5" s="14"/>
      <c r="J5" s="14"/>
      <c r="K5" s="13"/>
      <c r="L5" s="16">
        <f t="shared" ca="1" si="0"/>
        <v>18476.736824108299</v>
      </c>
      <c r="M5" s="16"/>
      <c r="N5" s="16"/>
      <c r="O5" s="11" cm="1">
        <f t="array" aca="1" ref="O5" ca="1">INDIRECT("'data'!$M$" &amp; $A$1)*parameters!$B$15</f>
        <v>6731.62</v>
      </c>
      <c r="P5" s="13" cm="1">
        <f t="array" aca="1" ref="P5" ca="1">-INDIRECT("'data'!$N$" &amp; $A$1)*parameters!$B$15</f>
        <v>-3448.62</v>
      </c>
      <c r="Q5" s="16">
        <f ca="1">SUM(L5:P5)</f>
        <v>21759.736824108299</v>
      </c>
      <c r="R5" s="16">
        <f t="shared" ca="1" si="2"/>
        <v>21759.736824108299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32390.959999999999</v>
      </c>
      <c r="I6" s="14"/>
      <c r="J6" s="14"/>
      <c r="K6" s="13"/>
      <c r="L6" s="16">
        <f t="shared" ca="1" si="0"/>
        <v>32390.959999999999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32390.959999999999</v>
      </c>
      <c r="R6" s="16">
        <f t="shared" ca="1" si="2"/>
        <v>32390.959999999999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13057.52</v>
      </c>
      <c r="I7" s="14"/>
      <c r="J7" s="14"/>
      <c r="K7" s="13"/>
      <c r="L7" s="16">
        <f t="shared" ca="1" si="0"/>
        <v>13057.52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13057.52</v>
      </c>
      <c r="R7" s="16">
        <f t="shared" ca="1" si="2"/>
        <v>13057.52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16033.247322530777</v>
      </c>
      <c r="J8" s="14">
        <f ca="1">Q10/J18</f>
        <v>28750.79267746921</v>
      </c>
      <c r="K8" s="13"/>
      <c r="L8" s="16">
        <f t="shared" ca="1" si="0"/>
        <v>44784.039999999986</v>
      </c>
      <c r="M8" s="16"/>
      <c r="N8" s="16">
        <f t="shared" ca="1" si="3"/>
        <v>0</v>
      </c>
      <c r="O8" s="11" cm="1">
        <f t="array" aca="1" ref="O8" ca="1">INDIRECT("'data'!$R$" &amp; $A$1)*parameters!$B$15</f>
        <v>2401.98</v>
      </c>
      <c r="P8" s="13" cm="1">
        <f t="array" aca="1" ref="P8" ca="1">-INDIRECT("'data'!$S$" &amp; $A$1)*parameters!$B$15</f>
        <v>-1737.54</v>
      </c>
      <c r="Q8" s="16">
        <f ca="1">SUM(Q6:Q7)</f>
        <v>45448.479999999996</v>
      </c>
      <c r="R8" s="16">
        <f t="shared" ca="1" si="2"/>
        <v>45448.479999999989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13691.58</v>
      </c>
      <c r="L9" s="16">
        <f t="shared" ca="1" si="0"/>
        <v>13691.58</v>
      </c>
      <c r="M9" s="16"/>
      <c r="N9" s="16">
        <f t="shared" ca="1" si="3"/>
        <v>0</v>
      </c>
      <c r="O9" s="11" cm="1">
        <f t="array" aca="1" ref="O9" ca="1">INDIRECT("'data'!$U$" &amp; $A$1)*parameters!$B$15</f>
        <v>6520.92</v>
      </c>
      <c r="P9" s="13" cm="1">
        <f t="array" aca="1" ref="P9" ca="1">-INDIRECT("'data'!$V$" &amp; $A$1)*parameters!$B$15</f>
        <v>-6353.34</v>
      </c>
      <c r="Q9" s="16" cm="1">
        <f t="array" aca="1" ref="Q9" ca="1">INDIRECT("'data'!$T$" &amp; $A$1)*parameters!$B$15</f>
        <v>13859.16</v>
      </c>
      <c r="R9" s="16">
        <f t="shared" ca="1" si="2"/>
        <v>13859.16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22132.722873399718</v>
      </c>
      <c r="L10" s="16">
        <f t="shared" ca="1" si="0"/>
        <v>22132.722873399718</v>
      </c>
      <c r="M10" s="16"/>
      <c r="N10" s="16">
        <f t="shared" ca="1" si="3"/>
        <v>0</v>
      </c>
      <c r="O10" s="11" cm="1">
        <f t="array" aca="1" ref="O10" ca="1">INDIRECT("'data'!$X$" &amp; $A$1)*parameters!$B$15</f>
        <v>12465.6</v>
      </c>
      <c r="P10" s="13" cm="1">
        <f t="array" aca="1" ref="P10" ca="1">-INDIRECT("'data'!$Y$" &amp; $A$1)*parameters!$B$15</f>
        <v>-9746.1</v>
      </c>
      <c r="Q10" s="16" cm="1">
        <f t="array" aca="1" ref="Q10" ca="1">INDIRECT("'data'!$W$" &amp; $A$1)*parameters!$B$15</f>
        <v>24852.222873399718</v>
      </c>
      <c r="R10" s="16">
        <f t="shared" ca="1" si="2"/>
        <v>24852.222873399718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27775.486871123754</v>
      </c>
      <c r="N11" s="19"/>
      <c r="O11" s="21" cm="1">
        <f t="array" aca="1" ref="O11" ca="1">INDIRECT("'data'!$Z$" &amp; $A$1)*parameters!$B$15</f>
        <v>17203.900000000001</v>
      </c>
      <c r="P11" s="27" cm="1">
        <f t="array" aca="1" ref="P11" ca="1">-INDIRECT("'data'!$AA$" &amp; $A$1)*parameters!$B$15</f>
        <v>-13075.16</v>
      </c>
      <c r="Q11" s="16">
        <f ca="1">K9*parameters!$B$10+K10*parameters!$B$11</f>
        <v>31904.226871123756</v>
      </c>
      <c r="R11" s="16">
        <f t="shared" ref="R11:R17" ca="1" si="4">SUM(L11:P11)</f>
        <v>31904.226871123759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-184.79994716715373</v>
      </c>
      <c r="D12" s="9">
        <f ca="1">-(D17-Q4)</f>
        <v>-2.653899567273811</v>
      </c>
      <c r="E12" s="9">
        <f ca="1">-(E17-Q5)</f>
        <v>-2689.4056748897892</v>
      </c>
      <c r="F12" s="9">
        <f ca="1">-(F17-Q6)</f>
        <v>-2140.9802985074639</v>
      </c>
      <c r="G12" s="9">
        <f ca="1">-(G17-Q7)</f>
        <v>-586.70152560083625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-5604.5413457325167</v>
      </c>
      <c r="M12" s="17"/>
      <c r="N12" s="17"/>
      <c r="O12" s="10"/>
      <c r="P12" s="12"/>
      <c r="Q12" s="9">
        <f t="shared" ref="Q12:Q17" ca="1" si="6">SUM(L12:P12)</f>
        <v>-5604.5413457325167</v>
      </c>
      <c r="R12" s="17">
        <f t="shared" ca="1" si="4"/>
        <v>-5604.5413457325167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-2174.0873225307769</v>
      </c>
      <c r="J13" s="14">
        <f ca="1">-(J17-Q10)</f>
        <v>-3898.5698040694915</v>
      </c>
      <c r="K13" s="13">
        <f ca="1">-(K17-Q11)</f>
        <v>-3920.0760022759641</v>
      </c>
      <c r="L13" s="14">
        <f t="shared" ca="1" si="5"/>
        <v>-9992.7331288762325</v>
      </c>
      <c r="M13" s="16">
        <f ca="1">-E15</f>
        <v>-14456.409370121855</v>
      </c>
      <c r="N13" s="16"/>
      <c r="O13" s="11"/>
      <c r="P13" s="13"/>
      <c r="Q13" s="14">
        <f t="shared" ca="1" si="6"/>
        <v>-24449.142498998088</v>
      </c>
      <c r="R13" s="16">
        <f t="shared" ca="1" si="4"/>
        <v>-24449.142498998088</v>
      </c>
    </row>
    <row r="14" spans="1:20">
      <c r="A14" s="18" t="s">
        <v>78</v>
      </c>
      <c r="B14" s="11"/>
      <c r="C14" s="14"/>
      <c r="D14" s="14"/>
      <c r="E14" s="14">
        <f ca="1">-(I13+J13)-K13</f>
        <v>9992.7331288762325</v>
      </c>
      <c r="F14" s="14"/>
      <c r="G14" s="14"/>
      <c r="H14" s="14"/>
      <c r="I14" s="14"/>
      <c r="J14" s="14"/>
      <c r="K14" s="13"/>
      <c r="L14" s="14">
        <f t="shared" ca="1" si="5"/>
        <v>9992.7331288762325</v>
      </c>
      <c r="M14" s="16"/>
      <c r="N14" s="16"/>
      <c r="O14" s="11"/>
      <c r="P14" s="13"/>
      <c r="Q14" s="14">
        <f t="shared" ca="1" si="6"/>
        <v>9992.7331288762325</v>
      </c>
      <c r="R14" s="16">
        <f t="shared" ca="1" si="4"/>
        <v>9992.7331288762325</v>
      </c>
    </row>
    <row r="15" spans="1:20">
      <c r="A15" s="18" t="s">
        <v>79</v>
      </c>
      <c r="B15" s="11"/>
      <c r="C15" s="14"/>
      <c r="D15" s="14"/>
      <c r="E15" s="14">
        <f ca="1">E17-E14</f>
        <v>14456.409370121855</v>
      </c>
      <c r="F15" s="14"/>
      <c r="G15" s="14"/>
      <c r="H15" s="14"/>
      <c r="I15" s="14"/>
      <c r="J15" s="14"/>
      <c r="K15" s="13"/>
      <c r="L15" s="14">
        <f t="shared" ca="1" si="5"/>
        <v>14456.409370121855</v>
      </c>
      <c r="M15" s="16"/>
      <c r="N15" s="16"/>
      <c r="O15" s="11"/>
      <c r="P15" s="13"/>
      <c r="Q15" s="14">
        <f t="shared" ca="1" si="6"/>
        <v>14456.409370121855</v>
      </c>
      <c r="R15" s="16">
        <f t="shared" ca="1" si="4"/>
        <v>14456.409370121855</v>
      </c>
    </row>
    <row r="16" spans="1:20">
      <c r="A16" s="30" t="s">
        <v>89</v>
      </c>
      <c r="B16" s="21">
        <f ca="1">Q2</f>
        <v>298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298</v>
      </c>
      <c r="M16" s="19"/>
      <c r="N16" s="19"/>
      <c r="O16" s="21"/>
      <c r="P16" s="27"/>
      <c r="Q16" s="22">
        <f t="shared" ca="1" si="6"/>
        <v>298</v>
      </c>
      <c r="R16" s="19">
        <f t="shared" ca="1" si="4"/>
        <v>298</v>
      </c>
    </row>
    <row r="17" spans="1:18">
      <c r="A17" s="29" t="s">
        <v>88</v>
      </c>
      <c r="B17" s="9">
        <f ca="1">B16</f>
        <v>298</v>
      </c>
      <c r="C17" s="9">
        <f ca="1">SUM(C$2:C$11)</f>
        <v>29333.324947167152</v>
      </c>
      <c r="D17" s="9">
        <f ca="1">SUM(D$2:D$11)</f>
        <v>421.25389956727383</v>
      </c>
      <c r="E17" s="9">
        <f ca="1">$Q$5/parameters!$B$4</f>
        <v>24449.142498998088</v>
      </c>
      <c r="F17" s="9">
        <f t="shared" ref="F17:K17" ca="1" si="7">SUM(F$2:F$11)</f>
        <v>34531.940298507463</v>
      </c>
      <c r="G17" s="9">
        <f t="shared" ca="1" si="7"/>
        <v>13644.221525600837</v>
      </c>
      <c r="H17" s="9">
        <f t="shared" ca="1" si="7"/>
        <v>45448.479999999996</v>
      </c>
      <c r="I17" s="9">
        <f t="shared" ca="1" si="7"/>
        <v>16033.247322530777</v>
      </c>
      <c r="J17" s="9">
        <f t="shared" ca="1" si="7"/>
        <v>28750.79267746921</v>
      </c>
      <c r="K17" s="9">
        <f t="shared" ca="1" si="7"/>
        <v>35824.30287339972</v>
      </c>
      <c r="L17" s="17">
        <f t="shared" ca="1" si="5"/>
        <v>228734.7060432405</v>
      </c>
      <c r="M17" s="17"/>
      <c r="N17" s="17"/>
      <c r="O17" s="9"/>
      <c r="P17" s="14"/>
      <c r="Q17" s="11">
        <f t="shared" ca="1" si="6"/>
        <v>228734.7060432405</v>
      </c>
      <c r="R17" s="17">
        <f t="shared" ca="1" si="4"/>
        <v>228734.7060432405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0.86440131067674397</v>
      </c>
      <c r="J18" s="38">
        <f ca="1">I18</f>
        <v>0.86440131067674397</v>
      </c>
      <c r="K18" s="39">
        <f ca="1">1-(-K13)/K17</f>
        <v>0.89057495365285388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4652.2372121720591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4652.2372121720591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-2634.1662694409506</v>
      </c>
      <c r="Q2" s="17" cm="1">
        <f t="array" aca="1" ref="Q2" ca="1">INDIRECT("'data'!$D$" &amp; $A$1)</f>
        <v>2018.0709427311083</v>
      </c>
      <c r="R2" s="17">
        <f ca="1">SUM(L2:P2)</f>
        <v>2018.0709427311085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4370.5074626865671</v>
      </c>
      <c r="G3" s="14">
        <f ca="1">Q3-O3-P3-F3</f>
        <v>533.08565504880789</v>
      </c>
      <c r="H3" s="14"/>
      <c r="I3" s="14"/>
      <c r="J3" s="14"/>
      <c r="K3" s="13"/>
      <c r="L3" s="16">
        <f t="shared" ca="1" si="0"/>
        <v>4903.593117735375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-280.66499999999996</v>
      </c>
      <c r="Q3" s="16" cm="1">
        <f t="array" aca="1" ref="Q3" ca="1">INDIRECT("'data'!$G$" &amp; $A$1)*parameters!$B$13</f>
        <v>4622.9281177353751</v>
      </c>
      <c r="R3" s="16">
        <f t="shared" ref="R3:R10" ca="1" si="2">SUM(L3:P3)</f>
        <v>4622.9281177353751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1092.6268656716418</v>
      </c>
      <c r="G5" s="14">
        <f ca="1">Q7/parameters!$B$7-(G3+G4)</f>
        <v>8781.5224954214118</v>
      </c>
      <c r="H5" s="14"/>
      <c r="I5" s="14"/>
      <c r="J5" s="14"/>
      <c r="K5" s="13"/>
      <c r="L5" s="16">
        <f t="shared" ca="1" si="0"/>
        <v>9874.1493610930538</v>
      </c>
      <c r="M5" s="16"/>
      <c r="N5" s="16"/>
      <c r="O5" s="11" cm="1">
        <f t="array" aca="1" ref="O5" ca="1">INDIRECT("'data'!$M$" &amp; $A$1)*parameters!$B$15</f>
        <v>29.4</v>
      </c>
      <c r="P5" s="13" cm="1">
        <f t="array" aca="1" ref="P5" ca="1">-INDIRECT("'data'!$N$" &amp; $A$1)*parameters!$B$15</f>
        <v>-7289.24</v>
      </c>
      <c r="Q5" s="16">
        <f ca="1">SUM(L5:P5)</f>
        <v>2614.3093610930537</v>
      </c>
      <c r="R5" s="16">
        <f t="shared" ca="1" si="2"/>
        <v>2614.3093610930537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5124.42</v>
      </c>
      <c r="I6" s="14"/>
      <c r="J6" s="14"/>
      <c r="K6" s="13"/>
      <c r="L6" s="16">
        <f t="shared" ca="1" si="0"/>
        <v>5124.42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5124.42</v>
      </c>
      <c r="R6" s="16">
        <f t="shared" ca="1" si="2"/>
        <v>5124.42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8914.08</v>
      </c>
      <c r="I7" s="14"/>
      <c r="J7" s="14"/>
      <c r="K7" s="13"/>
      <c r="L7" s="16">
        <f t="shared" ca="1" si="0"/>
        <v>8914.08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8914.08</v>
      </c>
      <c r="R7" s="16">
        <f t="shared" ca="1" si="2"/>
        <v>8914.08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9093.3655147525606</v>
      </c>
      <c r="J8" s="14">
        <f ca="1">Q10/J18</f>
        <v>6264.2144852474403</v>
      </c>
      <c r="K8" s="13"/>
      <c r="L8" s="16">
        <f t="shared" ca="1" si="0"/>
        <v>15357.580000000002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1210.3</v>
      </c>
      <c r="P8" s="13" cm="1">
        <f t="array" aca="1" ref="P8" ca="1">-INDIRECT("'data'!$S$" &amp; $A$1)*parameters!$B$15</f>
        <v>-2529.38</v>
      </c>
      <c r="Q8" s="16">
        <f ca="1">SUM(Q6:Q7)</f>
        <v>14038.5</v>
      </c>
      <c r="R8" s="16">
        <f t="shared" ca="1" si="2"/>
        <v>14038.5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4277.7000000000007</v>
      </c>
      <c r="L9" s="16">
        <f t="shared" ca="1" si="0"/>
        <v>4277.7000000000007</v>
      </c>
      <c r="M9" s="16"/>
      <c r="N9" s="16">
        <f t="shared" ca="1" si="3"/>
        <v>0</v>
      </c>
      <c r="O9" s="11" cm="1">
        <f t="array" aca="1" ref="O9" ca="1">INDIRECT("'data'!$U$" &amp; $A$1)*parameters!$B$15</f>
        <v>4782.3999999999996</v>
      </c>
      <c r="P9" s="13" cm="1">
        <f t="array" aca="1" ref="P9" ca="1">-INDIRECT("'data'!$V$" &amp; $A$1)*parameters!$B$15</f>
        <v>-563.5</v>
      </c>
      <c r="Q9" s="16" cm="1">
        <f t="array" aca="1" ref="Q9" ca="1">INDIRECT("'data'!$T$" &amp; $A$1)*parameters!$B$15</f>
        <v>8496.6</v>
      </c>
      <c r="R9" s="16">
        <f t="shared" ca="1" si="2"/>
        <v>8496.6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8842.1161767340091</v>
      </c>
      <c r="L10" s="16">
        <f t="shared" ca="1" si="0"/>
        <v>8842.1161767340091</v>
      </c>
      <c r="M10" s="16"/>
      <c r="N10" s="16">
        <f t="shared" ca="1" si="3"/>
        <v>0</v>
      </c>
      <c r="O10" s="11" cm="1">
        <f t="array" aca="1" ref="O10" ca="1">INDIRECT("'data'!$X$" &amp; $A$1)*parameters!$B$15</f>
        <v>745.78</v>
      </c>
      <c r="P10" s="13" cm="1">
        <f t="array" aca="1" ref="P10" ca="1">-INDIRECT("'data'!$Y$" &amp; $A$1)*parameters!$B$15</f>
        <v>-3734.7799999999997</v>
      </c>
      <c r="Q10" s="16" cm="1">
        <f t="array" aca="1" ref="Q10" ca="1">INDIRECT("'data'!$W$" &amp; $A$1)*parameters!$B$15</f>
        <v>5853.11617673401</v>
      </c>
      <c r="R10" s="16">
        <f t="shared" ca="1" si="2"/>
        <v>5853.11617673401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11963.357911991248</v>
      </c>
      <c r="N11" s="19"/>
      <c r="O11" s="21" cm="1">
        <f t="array" aca="1" ref="O11" ca="1">INDIRECT("'data'!$Z$" &amp; $A$1)*parameters!$B$15</f>
        <v>1053.5</v>
      </c>
      <c r="P11" s="27" cm="1">
        <f t="array" aca="1" ref="P11" ca="1">-INDIRECT("'data'!$AA$" &amp; $A$1)*parameters!$B$15</f>
        <v>-1391.6</v>
      </c>
      <c r="Q11" s="16">
        <f ca="1">K9*parameters!$B$10+K10*parameters!$B$11</f>
        <v>11625.257911991248</v>
      </c>
      <c r="R11" s="16">
        <f t="shared" ref="R11:R17" ca="1" si="4">SUM(L11:P11)</f>
        <v>11625.257911991248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-29.309094436684063</v>
      </c>
      <c r="D12" s="9">
        <f ca="1">-(D17-Q4)</f>
        <v>0</v>
      </c>
      <c r="E12" s="9">
        <f ca="1">-(E17-Q5)</f>
        <v>-323.11688732610764</v>
      </c>
      <c r="F12" s="9">
        <f ca="1">-(F17-Q6)</f>
        <v>-338.71432835820906</v>
      </c>
      <c r="G12" s="9">
        <f ca="1">-(G17-Q7)</f>
        <v>-400.52815047021977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-1091.6684605912205</v>
      </c>
      <c r="M12" s="17"/>
      <c r="N12" s="17"/>
      <c r="O12" s="10"/>
      <c r="P12" s="12"/>
      <c r="Q12" s="9">
        <f t="shared" ref="Q12:Q17" ca="1" si="6">SUM(L12:P12)</f>
        <v>-1091.6684605912205</v>
      </c>
      <c r="R12" s="17">
        <f t="shared" ca="1" si="4"/>
        <v>-1091.6684605912205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-596.76551475256019</v>
      </c>
      <c r="J13" s="14">
        <f ca="1">-(J17-Q10)</f>
        <v>-411.09830851343031</v>
      </c>
      <c r="K13" s="13">
        <f ca="1">-(K17-Q11)</f>
        <v>-1494.5582647427618</v>
      </c>
      <c r="L13" s="14">
        <f t="shared" ca="1" si="5"/>
        <v>-2502.4220880087523</v>
      </c>
      <c r="M13" s="16">
        <f ca="1">-E15</f>
        <v>-435.00416041040899</v>
      </c>
      <c r="N13" s="16"/>
      <c r="O13" s="11"/>
      <c r="P13" s="13"/>
      <c r="Q13" s="14">
        <f t="shared" ca="1" si="6"/>
        <v>-2937.4262484191613</v>
      </c>
      <c r="R13" s="16">
        <f t="shared" ca="1" si="4"/>
        <v>-2937.4262484191613</v>
      </c>
    </row>
    <row r="14" spans="1:20">
      <c r="A14" s="18" t="s">
        <v>78</v>
      </c>
      <c r="B14" s="11"/>
      <c r="C14" s="14"/>
      <c r="D14" s="14"/>
      <c r="E14" s="14">
        <f ca="1">-(I13+J13)-K13</f>
        <v>2502.4220880087523</v>
      </c>
      <c r="F14" s="14"/>
      <c r="G14" s="14"/>
      <c r="H14" s="14"/>
      <c r="I14" s="14"/>
      <c r="J14" s="14"/>
      <c r="K14" s="13"/>
      <c r="L14" s="14">
        <f t="shared" ca="1" si="5"/>
        <v>2502.4220880087523</v>
      </c>
      <c r="M14" s="16"/>
      <c r="N14" s="16"/>
      <c r="O14" s="11"/>
      <c r="P14" s="13"/>
      <c r="Q14" s="14">
        <f t="shared" ca="1" si="6"/>
        <v>2502.4220880087523</v>
      </c>
      <c r="R14" s="16">
        <f t="shared" ca="1" si="4"/>
        <v>2502.4220880087523</v>
      </c>
    </row>
    <row r="15" spans="1:20">
      <c r="A15" s="18" t="s">
        <v>79</v>
      </c>
      <c r="B15" s="11"/>
      <c r="C15" s="14"/>
      <c r="D15" s="14"/>
      <c r="E15" s="14">
        <f ca="1">E17-E14</f>
        <v>435.00416041040899</v>
      </c>
      <c r="F15" s="14"/>
      <c r="G15" s="14"/>
      <c r="H15" s="14"/>
      <c r="I15" s="14"/>
      <c r="J15" s="14"/>
      <c r="K15" s="13"/>
      <c r="L15" s="14">
        <f t="shared" ca="1" si="5"/>
        <v>435.00416041040899</v>
      </c>
      <c r="M15" s="16"/>
      <c r="N15" s="16"/>
      <c r="O15" s="11"/>
      <c r="P15" s="13"/>
      <c r="Q15" s="14">
        <f t="shared" ca="1" si="6"/>
        <v>435.00416041040899</v>
      </c>
      <c r="R15" s="16">
        <f t="shared" ca="1" si="4"/>
        <v>435.00416041040899</v>
      </c>
    </row>
    <row r="16" spans="1:20">
      <c r="A16" s="30" t="s">
        <v>89</v>
      </c>
      <c r="B16" s="21">
        <f ca="1">Q2</f>
        <v>2018.0709427311083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2018.0709427311083</v>
      </c>
      <c r="M16" s="19"/>
      <c r="N16" s="19"/>
      <c r="O16" s="21"/>
      <c r="P16" s="27"/>
      <c r="Q16" s="22">
        <f t="shared" ca="1" si="6"/>
        <v>2018.0709427311083</v>
      </c>
      <c r="R16" s="19">
        <f t="shared" ca="1" si="4"/>
        <v>2018.0709427311083</v>
      </c>
    </row>
    <row r="17" spans="1:18">
      <c r="A17" s="29" t="s">
        <v>88</v>
      </c>
      <c r="B17" s="9">
        <f ca="1">B16</f>
        <v>2018.0709427311083</v>
      </c>
      <c r="C17" s="9">
        <f ca="1">SUM(C$2:C$11)</f>
        <v>4652.2372121720591</v>
      </c>
      <c r="D17" s="9">
        <f ca="1">SUM(D$2:D$11)</f>
        <v>0</v>
      </c>
      <c r="E17" s="9">
        <f ca="1">$Q$5/parameters!$B$4</f>
        <v>2937.4262484191613</v>
      </c>
      <c r="F17" s="9">
        <f t="shared" ref="F17:K17" ca="1" si="7">SUM(F$2:F$11)</f>
        <v>5463.1343283582091</v>
      </c>
      <c r="G17" s="9">
        <f t="shared" ca="1" si="7"/>
        <v>9314.6081504702197</v>
      </c>
      <c r="H17" s="9">
        <f t="shared" ca="1" si="7"/>
        <v>14038.5</v>
      </c>
      <c r="I17" s="9">
        <f t="shared" ca="1" si="7"/>
        <v>9093.3655147525606</v>
      </c>
      <c r="J17" s="9">
        <f t="shared" ca="1" si="7"/>
        <v>6264.2144852474403</v>
      </c>
      <c r="K17" s="9">
        <f t="shared" ca="1" si="7"/>
        <v>13119.81617673401</v>
      </c>
      <c r="L17" s="17">
        <f t="shared" ca="1" si="5"/>
        <v>66901.373058884768</v>
      </c>
      <c r="M17" s="17"/>
      <c r="N17" s="17"/>
      <c r="O17" s="9"/>
      <c r="P17" s="14"/>
      <c r="Q17" s="11">
        <f t="shared" ca="1" si="6"/>
        <v>66901.373058884768</v>
      </c>
      <c r="R17" s="17">
        <f t="shared" ca="1" si="4"/>
        <v>66901.373058884768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0.93437352608509994</v>
      </c>
      <c r="J18" s="38">
        <f ca="1">I18</f>
        <v>0.93437352608509994</v>
      </c>
      <c r="K18" s="39">
        <f ca="1">1-(-K13)/K17</f>
        <v>0.8860839020448219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B2" sqref="B2:K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26364.330280768841</v>
      </c>
      <c r="D2" s="9">
        <f ca="1">Q4/parameters!$B$3</f>
        <v>381.44309147630071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26745.773372245141</v>
      </c>
      <c r="M2" s="17"/>
      <c r="N2" s="17">
        <f ca="1">Q2-(L2+O2+P2)</f>
        <v>10286.126627754857</v>
      </c>
      <c r="O2" s="11" cm="1">
        <f t="array" aca="1" ref="O2" ca="1">INDIRECT("'data'!$F$" &amp; $A$1)</f>
        <v>104074.1</v>
      </c>
      <c r="P2" s="13">
        <f ca="1">IF(-(L2-Q2+O2)&lt;0, -(L2-Q2+O2), 0)</f>
        <v>0</v>
      </c>
      <c r="Q2" s="17" cm="1">
        <f t="array" aca="1" ref="Q2" ca="1">INDIRECT("'data'!$D$" &amp; $A$1)</f>
        <v>141106</v>
      </c>
      <c r="R2" s="17">
        <f ca="1">SUM(L2:P2)</f>
        <v>141106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18118.089552238809</v>
      </c>
      <c r="G3" s="14">
        <f ca="1">Q3-O3-P3-F3</f>
        <v>4480.6404477611868</v>
      </c>
      <c r="H3" s="14"/>
      <c r="I3" s="14"/>
      <c r="J3" s="14"/>
      <c r="K3" s="13"/>
      <c r="L3" s="16">
        <f t="shared" ca="1" si="0"/>
        <v>22598.729999999996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3599.5049999999997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26198.234999999997</v>
      </c>
      <c r="R3" s="16">
        <f t="shared" ref="R3:R10" ca="1" si="2">SUM(L3:P3)</f>
        <v>26198.234999999997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379.04</v>
      </c>
      <c r="H4" s="14"/>
      <c r="I4" s="14"/>
      <c r="J4" s="14"/>
      <c r="K4" s="13"/>
      <c r="L4" s="16">
        <f t="shared" ca="1" si="0"/>
        <v>379.04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379.04</v>
      </c>
      <c r="R4" s="16">
        <f t="shared" ca="1" si="2"/>
        <v>379.04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4529.5223880597023</v>
      </c>
      <c r="G5" s="14">
        <f ca="1">Q7/parameters!$B$7-(G3+G4)</f>
        <v>1023.3916525522927</v>
      </c>
      <c r="H5" s="14"/>
      <c r="I5" s="14"/>
      <c r="J5" s="14"/>
      <c r="K5" s="13"/>
      <c r="L5" s="16">
        <f t="shared" ca="1" si="0"/>
        <v>5552.914040611995</v>
      </c>
      <c r="M5" s="16"/>
      <c r="N5" s="16"/>
      <c r="O5" s="11" cm="1">
        <f t="array" aca="1" ref="O5" ca="1">INDIRECT("'data'!$M$" &amp; $A$1)*parameters!$B$15</f>
        <v>6.8599999999999994</v>
      </c>
      <c r="P5" s="13" cm="1">
        <f t="array" aca="1" ref="P5" ca="1">-INDIRECT("'data'!$N$" &amp; $A$1)*parameters!$B$15</f>
        <v>-22.54</v>
      </c>
      <c r="Q5" s="16">
        <f ca="1">SUM(L5:P5)</f>
        <v>5537.2340406119947</v>
      </c>
      <c r="R5" s="16">
        <f t="shared" ca="1" si="2"/>
        <v>5537.2340406119947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21243.46</v>
      </c>
      <c r="I6" s="14"/>
      <c r="J6" s="14"/>
      <c r="K6" s="13"/>
      <c r="L6" s="16">
        <f t="shared" ca="1" si="0"/>
        <v>21243.46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21243.46</v>
      </c>
      <c r="R6" s="16">
        <f t="shared" ca="1" si="2"/>
        <v>21243.46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5630.0999999999995</v>
      </c>
      <c r="I7" s="14"/>
      <c r="J7" s="14"/>
      <c r="K7" s="13"/>
      <c r="L7" s="16">
        <f t="shared" ca="1" si="0"/>
        <v>5630.0999999999995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5630.0999999999995</v>
      </c>
      <c r="R7" s="16">
        <f t="shared" ca="1" si="2"/>
        <v>5630.0999999999995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8173.8065765680749</v>
      </c>
      <c r="J8" s="14">
        <f ca="1">Q10/J18</f>
        <v>12720.773423431923</v>
      </c>
      <c r="K8" s="13"/>
      <c r="L8" s="16">
        <f t="shared" ca="1" si="0"/>
        <v>20894.579999999998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6088.74</v>
      </c>
      <c r="P8" s="13" cm="1">
        <f t="array" aca="1" ref="P8" ca="1">-INDIRECT("'data'!$S$" &amp; $A$1)*parameters!$B$15</f>
        <v>-109.75999999999999</v>
      </c>
      <c r="Q8" s="16">
        <f ca="1">SUM(Q6:Q7)</f>
        <v>26873.559999999998</v>
      </c>
      <c r="R8" s="16">
        <f t="shared" ca="1" si="2"/>
        <v>26873.56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6200.46</v>
      </c>
      <c r="L9" s="16">
        <f t="shared" ca="1" si="0"/>
        <v>6200.46</v>
      </c>
      <c r="M9" s="16"/>
      <c r="N9" s="16">
        <f t="shared" ca="1" si="3"/>
        <v>0</v>
      </c>
      <c r="O9" s="11" cm="1">
        <f t="array" aca="1" ref="O9" ca="1">INDIRECT("'data'!$U$" &amp; $A$1)*parameters!$B$15</f>
        <v>899.64</v>
      </c>
      <c r="P9" s="13" cm="1">
        <f t="array" aca="1" ref="P9" ca="1">-INDIRECT("'data'!$V$" &amp; $A$1)*parameters!$B$15</f>
        <v>-240.1</v>
      </c>
      <c r="Q9" s="16" cm="1">
        <f t="array" aca="1" ref="Q9" ca="1">INDIRECT("'data'!$T$" &amp; $A$1)*parameters!$B$15</f>
        <v>6860</v>
      </c>
      <c r="R9" s="16">
        <f t="shared" ca="1" si="2"/>
        <v>6860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9088.5158179231858</v>
      </c>
      <c r="L10" s="16">
        <f t="shared" ca="1" si="0"/>
        <v>9088.5158179231858</v>
      </c>
      <c r="M10" s="16"/>
      <c r="N10" s="16">
        <f t="shared" ca="1" si="3"/>
        <v>0</v>
      </c>
      <c r="O10" s="11" cm="1">
        <f t="array" aca="1" ref="O10" ca="1">INDIRECT("'data'!$X$" &amp; $A$1)*parameters!$B$15</f>
        <v>2112.88</v>
      </c>
      <c r="P10" s="13" cm="1">
        <f t="array" aca="1" ref="P10" ca="1">-INDIRECT("'data'!$Y$" &amp; $A$1)*parameters!$B$15</f>
        <v>-525.28</v>
      </c>
      <c r="Q10" s="16" cm="1">
        <f t="array" aca="1" ref="Q10" ca="1">INDIRECT("'data'!$W$" &amp; $A$1)*parameters!$B$15</f>
        <v>10676.115817923186</v>
      </c>
      <c r="R10" s="16">
        <f t="shared" ca="1" si="2"/>
        <v>10676.115817923184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13068.316003413938</v>
      </c>
      <c r="N11" s="19"/>
      <c r="O11" s="21" cm="1">
        <f t="array" aca="1" ref="O11" ca="1">INDIRECT("'data'!$Z$" &amp; $A$1)*parameters!$B$15</f>
        <v>1636.6</v>
      </c>
      <c r="P11" s="27" cm="1">
        <f t="array" aca="1" ref="P11" ca="1">-INDIRECT("'data'!$AA$" &amp; $A$1)*parameters!$B$15</f>
        <v>-1060.3599999999999</v>
      </c>
      <c r="Q11" s="16">
        <f ca="1">K9*parameters!$B$10+K10*parameters!$B$11</f>
        <v>13644.556003413938</v>
      </c>
      <c r="R11" s="16">
        <f t="shared" ref="R11:R17" ca="1" si="4">SUM(L11:P11)</f>
        <v>13644.556003413938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-166.09528076884453</v>
      </c>
      <c r="D12" s="9">
        <f ca="1">-(D17-Q4)</f>
        <v>-2.4030914763006876</v>
      </c>
      <c r="E12" s="9">
        <f ca="1">-(E17-Q5)</f>
        <v>-684.3772409745161</v>
      </c>
      <c r="F12" s="9">
        <f ca="1">-(F17-Q6)</f>
        <v>-1404.1519402985141</v>
      </c>
      <c r="G12" s="9">
        <f ca="1">-(G17-Q7)</f>
        <v>-252.97210031348004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-2509.9996538316555</v>
      </c>
      <c r="M12" s="17"/>
      <c r="N12" s="17"/>
      <c r="O12" s="10"/>
      <c r="P12" s="12"/>
      <c r="Q12" s="9">
        <f t="shared" ref="Q12:Q17" ca="1" si="6">SUM(L12:P12)</f>
        <v>-2509.9996538316555</v>
      </c>
      <c r="R12" s="17">
        <f t="shared" ca="1" si="4"/>
        <v>-2509.9996538316555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-1313.8065765680749</v>
      </c>
      <c r="J13" s="14">
        <f ca="1">-(J17-Q10)</f>
        <v>-2044.6576055087371</v>
      </c>
      <c r="K13" s="13">
        <f ca="1">-(K17-Q11)</f>
        <v>-1644.4198145092487</v>
      </c>
      <c r="L13" s="14">
        <f t="shared" ca="1" si="5"/>
        <v>-5002.8839965860607</v>
      </c>
      <c r="M13" s="16">
        <f ca="1">-E15</f>
        <v>-1218.7272850004501</v>
      </c>
      <c r="N13" s="16"/>
      <c r="O13" s="11"/>
      <c r="P13" s="13"/>
      <c r="Q13" s="14">
        <f t="shared" ca="1" si="6"/>
        <v>-6221.6112815865108</v>
      </c>
      <c r="R13" s="16">
        <f t="shared" ca="1" si="4"/>
        <v>-6221.6112815865108</v>
      </c>
    </row>
    <row r="14" spans="1:19">
      <c r="A14" s="18" t="s">
        <v>78</v>
      </c>
      <c r="B14" s="11"/>
      <c r="C14" s="14"/>
      <c r="D14" s="14"/>
      <c r="E14" s="14">
        <f ca="1">-(I13+J13)-K13</f>
        <v>5002.8839965860607</v>
      </c>
      <c r="F14" s="14"/>
      <c r="G14" s="14"/>
      <c r="H14" s="14"/>
      <c r="I14" s="14"/>
      <c r="J14" s="14"/>
      <c r="K14" s="13"/>
      <c r="L14" s="14">
        <f t="shared" ca="1" si="5"/>
        <v>5002.8839965860607</v>
      </c>
      <c r="M14" s="16"/>
      <c r="N14" s="16"/>
      <c r="O14" s="11"/>
      <c r="P14" s="13"/>
      <c r="Q14" s="14">
        <f t="shared" ca="1" si="6"/>
        <v>5002.8839965860607</v>
      </c>
      <c r="R14" s="16">
        <f t="shared" ca="1" si="4"/>
        <v>5002.8839965860607</v>
      </c>
    </row>
    <row r="15" spans="1:19">
      <c r="A15" s="18" t="s">
        <v>79</v>
      </c>
      <c r="B15" s="11"/>
      <c r="C15" s="14"/>
      <c r="D15" s="14"/>
      <c r="E15" s="14">
        <f ca="1">E17-E14</f>
        <v>1218.7272850004501</v>
      </c>
      <c r="F15" s="14"/>
      <c r="G15" s="14"/>
      <c r="H15" s="14"/>
      <c r="I15" s="14"/>
      <c r="J15" s="14"/>
      <c r="K15" s="13"/>
      <c r="L15" s="14">
        <f t="shared" ca="1" si="5"/>
        <v>1218.7272850004501</v>
      </c>
      <c r="M15" s="16"/>
      <c r="N15" s="16"/>
      <c r="O15" s="11"/>
      <c r="P15" s="13"/>
      <c r="Q15" s="14">
        <f t="shared" ca="1" si="6"/>
        <v>1218.7272850004501</v>
      </c>
      <c r="R15" s="16">
        <f t="shared" ca="1" si="4"/>
        <v>1218.7272850004501</v>
      </c>
    </row>
    <row r="16" spans="1:19">
      <c r="A16" s="30" t="s">
        <v>89</v>
      </c>
      <c r="B16" s="21">
        <f ca="1">Q2</f>
        <v>141106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141106</v>
      </c>
      <c r="M16" s="19"/>
      <c r="N16" s="19"/>
      <c r="O16" s="21"/>
      <c r="P16" s="27"/>
      <c r="Q16" s="22">
        <f t="shared" ca="1" si="6"/>
        <v>141106</v>
      </c>
      <c r="R16" s="19">
        <f t="shared" ca="1" si="4"/>
        <v>141106</v>
      </c>
    </row>
    <row r="17" spans="1:18">
      <c r="A17" s="29" t="s">
        <v>88</v>
      </c>
      <c r="B17" s="9">
        <f ca="1">B16</f>
        <v>141106</v>
      </c>
      <c r="C17" s="9">
        <f ca="1">SUM(C$2:C$11)</f>
        <v>26364.330280768841</v>
      </c>
      <c r="D17" s="9">
        <f ca="1">SUM(D$2:D$11)</f>
        <v>381.44309147630071</v>
      </c>
      <c r="E17" s="9">
        <f ca="1">$Q$5/parameters!$B$4</f>
        <v>6221.6112815865108</v>
      </c>
      <c r="F17" s="9">
        <f t="shared" ref="F17:K17" ca="1" si="7">SUM(F$2:F$11)</f>
        <v>22647.611940298513</v>
      </c>
      <c r="G17" s="9">
        <f t="shared" ca="1" si="7"/>
        <v>5883.0721003134795</v>
      </c>
      <c r="H17" s="9">
        <f t="shared" ca="1" si="7"/>
        <v>26873.559999999998</v>
      </c>
      <c r="I17" s="9">
        <f t="shared" ca="1" si="7"/>
        <v>8173.8065765680749</v>
      </c>
      <c r="J17" s="9">
        <f t="shared" ca="1" si="7"/>
        <v>12720.773423431923</v>
      </c>
      <c r="K17" s="9">
        <f t="shared" ca="1" si="7"/>
        <v>15288.975817923187</v>
      </c>
      <c r="L17" s="17">
        <f t="shared" ca="1" si="5"/>
        <v>265661.18451236683</v>
      </c>
      <c r="M17" s="17"/>
      <c r="N17" s="17"/>
      <c r="O17" s="9"/>
      <c r="P17" s="14"/>
      <c r="Q17" s="11">
        <f t="shared" ca="1" si="6"/>
        <v>265661.18451236683</v>
      </c>
      <c r="R17" s="17">
        <f t="shared" ca="1" si="4"/>
        <v>265661.18451236683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0.99369999999999992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0.93799999999999972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0.83926625076566208</v>
      </c>
      <c r="J18" s="38">
        <f ca="1">I18</f>
        <v>0.83926625076566208</v>
      </c>
      <c r="K18" s="39">
        <f ca="1">1-(-K13)/K17</f>
        <v>0.89244408297241828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1720.300057136091</v>
      </c>
      <c r="D2" s="9">
        <f ca="1">Q4/parameters!$B$3</f>
        <v>3452.2567759917442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5172.5568331278355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-161.37449416017444</v>
      </c>
      <c r="Q2" s="17" cm="1">
        <f t="array" aca="1" ref="Q2" ca="1">INDIRECT("'data'!$D$" &amp; $A$1)</f>
        <v>5011.1823389676611</v>
      </c>
      <c r="R2" s="17">
        <f ca="1">SUM(L2:P2)</f>
        <v>5011.1823389676611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1700.8955223880598</v>
      </c>
      <c r="G3" s="14">
        <f ca="1">Q3-O3-P3-F3</f>
        <v>8.5666443880738825</v>
      </c>
      <c r="H3" s="14"/>
      <c r="I3" s="14"/>
      <c r="J3" s="14"/>
      <c r="K3" s="13"/>
      <c r="L3" s="16">
        <f t="shared" ca="1" si="0"/>
        <v>1709.4621667761337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1709.4621667761337</v>
      </c>
      <c r="R3" s="16">
        <f t="shared" ref="R3:R10" ca="1" si="2">SUM(L3:P3)</f>
        <v>1709.4621667761337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3430.5075583029961</v>
      </c>
      <c r="H4" s="14"/>
      <c r="I4" s="14"/>
      <c r="J4" s="14"/>
      <c r="K4" s="13"/>
      <c r="L4" s="16">
        <f t="shared" ca="1" si="0"/>
        <v>3430.5075583029961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3430.5075583029961</v>
      </c>
      <c r="R4" s="16">
        <f t="shared" ca="1" si="2"/>
        <v>3430.5075583029961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Q6/parameters!$B$5*26%</f>
        <v>597.61194029850742</v>
      </c>
      <c r="G5" s="14">
        <f ca="1">Q7/parameters!$B$7-(G3+G4)</f>
        <v>1065.6488903078844</v>
      </c>
      <c r="H5" s="14"/>
      <c r="I5" s="14"/>
      <c r="J5" s="14"/>
      <c r="K5" s="13"/>
      <c r="L5" s="16">
        <f t="shared" ca="1" si="0"/>
        <v>1663.2608306063917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1663.2608306063917</v>
      </c>
      <c r="R5" s="16">
        <f t="shared" ca="1" si="2"/>
        <v>1663.2608306063917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2156</v>
      </c>
      <c r="I6" s="14"/>
      <c r="J6" s="14"/>
      <c r="K6" s="13"/>
      <c r="L6" s="16">
        <f t="shared" ca="1" si="0"/>
        <v>2156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2156</v>
      </c>
      <c r="R6" s="16">
        <f t="shared" ca="1" si="2"/>
        <v>2156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4311.0199999999995</v>
      </c>
      <c r="I7" s="14"/>
      <c r="J7" s="14"/>
      <c r="K7" s="13"/>
      <c r="L7" s="16">
        <f t="shared" ca="1" si="0"/>
        <v>4311.0199999999995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4311.0199999999995</v>
      </c>
      <c r="R7" s="16">
        <f t="shared" ca="1" si="2"/>
        <v>4311.0199999999995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2898</v>
      </c>
      <c r="J8" s="14">
        <f ca="1">Q10/J18</f>
        <v>2789.3214793741108</v>
      </c>
      <c r="K8" s="13"/>
      <c r="L8" s="16">
        <f t="shared" ca="1" si="0"/>
        <v>5687.3214793741108</v>
      </c>
      <c r="M8" s="16"/>
      <c r="N8" s="16">
        <f t="shared" ca="1" si="3"/>
        <v>1173.6585206258887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-393.96</v>
      </c>
      <c r="Q8" s="16">
        <f ca="1">SUM(Q6:Q7)</f>
        <v>6467.0199999999995</v>
      </c>
      <c r="R8" s="16">
        <f t="shared" ca="1" si="2"/>
        <v>6467.0199999999995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3854.34</v>
      </c>
      <c r="L9" s="16">
        <f t="shared" ca="1" si="0"/>
        <v>3854.34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-1014.3</v>
      </c>
      <c r="Q9" s="16" cm="1">
        <f t="array" aca="1" ref="Q9" ca="1">INDIRECT("'data'!$T$" &amp; $A$1)*parameters!$B$15</f>
        <v>2840.04</v>
      </c>
      <c r="R9" s="16">
        <f t="shared" ca="1" si="2"/>
        <v>2840.04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4825.8350497866286</v>
      </c>
      <c r="L10" s="16">
        <f t="shared" ca="1" si="0"/>
        <v>4825.8350497866286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-2092.3000000000002</v>
      </c>
      <c r="Q10" s="16" cm="1">
        <f t="array" aca="1" ref="Q10" ca="1">INDIRECT("'data'!$W$" &amp; $A$1)*parameters!$B$15</f>
        <v>2733.5350497866284</v>
      </c>
      <c r="R10" s="16">
        <f t="shared" ca="1" si="2"/>
        <v>2733.5350497866284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8543.5777428165002</v>
      </c>
      <c r="N11" s="19"/>
      <c r="O11" s="21" cm="1">
        <f t="array" aca="1" ref="O11" ca="1">INDIRECT("'data'!$Z$" &amp; $A$1)*parameters!$B$15</f>
        <v>29.4</v>
      </c>
      <c r="P11" s="27" cm="1">
        <f t="array" aca="1" ref="P11" ca="1">-INDIRECT("'data'!$AA$" &amp; $A$1)*parameters!$B$15</f>
        <v>-799.68</v>
      </c>
      <c r="Q11" s="16">
        <f ca="1">K9*parameters!$B$10+K10*parameters!$B$11</f>
        <v>7773.2977428165004</v>
      </c>
      <c r="R11" s="16">
        <f t="shared" ref="R11:R17" ca="1" si="4">SUM(L11:P11)</f>
        <v>7773.2977428164995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-10.837890359957328</v>
      </c>
      <c r="D12" s="9">
        <f ca="1">-(D17-Q4)</f>
        <v>-21.749217688748104</v>
      </c>
      <c r="E12" s="9">
        <f ca="1">-(E17-Q5)</f>
        <v>-205.57156333337412</v>
      </c>
      <c r="F12" s="9">
        <f ca="1">-(F17-Q6)</f>
        <v>-142.50746268656712</v>
      </c>
      <c r="G12" s="9">
        <f ca="1">-(G17-Q7)</f>
        <v>-193.70309299895507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-574.36922706760174</v>
      </c>
      <c r="M12" s="17"/>
      <c r="N12" s="17"/>
      <c r="O12" s="10"/>
      <c r="P12" s="12"/>
      <c r="Q12" s="9">
        <f t="shared" ref="Q12:Q17" ca="1" si="6">SUM(L12:P12)</f>
        <v>-574.36922706760174</v>
      </c>
      <c r="R12" s="17">
        <f t="shared" ca="1" si="4"/>
        <v>-574.36922706760174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-57.960000000000036</v>
      </c>
      <c r="J13" s="14">
        <f ca="1">-(J17-Q10)</f>
        <v>-55.786429587482417</v>
      </c>
      <c r="K13" s="13">
        <f ca="1">-(K17-Q11)</f>
        <v>-906.8773069701283</v>
      </c>
      <c r="L13" s="14">
        <f t="shared" ca="1" si="5"/>
        <v>-1020.6237365576108</v>
      </c>
      <c r="M13" s="16">
        <f ca="1">-E15</f>
        <v>-848.20865738215502</v>
      </c>
      <c r="N13" s="16"/>
      <c r="O13" s="11"/>
      <c r="P13" s="13"/>
      <c r="Q13" s="14">
        <f t="shared" ca="1" si="6"/>
        <v>-1868.8323939397658</v>
      </c>
      <c r="R13" s="16">
        <f t="shared" ca="1" si="4"/>
        <v>-1868.8323939397658</v>
      </c>
    </row>
    <row r="14" spans="1:22">
      <c r="A14" s="18" t="s">
        <v>78</v>
      </c>
      <c r="B14" s="11"/>
      <c r="C14" s="14"/>
      <c r="D14" s="14"/>
      <c r="E14" s="14">
        <f ca="1">-(I13+J13)-K13</f>
        <v>1020.6237365576108</v>
      </c>
      <c r="F14" s="14"/>
      <c r="G14" s="14"/>
      <c r="H14" s="14"/>
      <c r="I14" s="14"/>
      <c r="J14" s="14"/>
      <c r="K14" s="13"/>
      <c r="L14" s="14">
        <f t="shared" ca="1" si="5"/>
        <v>1020.6237365576108</v>
      </c>
      <c r="M14" s="16"/>
      <c r="N14" s="16"/>
      <c r="O14" s="11"/>
      <c r="P14" s="13"/>
      <c r="Q14" s="14">
        <f t="shared" ca="1" si="6"/>
        <v>1020.6237365576108</v>
      </c>
      <c r="R14" s="16">
        <f t="shared" ca="1" si="4"/>
        <v>1020.6237365576108</v>
      </c>
    </row>
    <row r="15" spans="1:22">
      <c r="A15" s="18" t="s">
        <v>79</v>
      </c>
      <c r="B15" s="11"/>
      <c r="C15" s="14"/>
      <c r="D15" s="14"/>
      <c r="E15" s="14">
        <f ca="1">E17-E14</f>
        <v>848.20865738215502</v>
      </c>
      <c r="F15" s="14"/>
      <c r="G15" s="14"/>
      <c r="H15" s="14"/>
      <c r="I15" s="14"/>
      <c r="J15" s="14"/>
      <c r="K15" s="13"/>
      <c r="L15" s="14">
        <f t="shared" ca="1" si="5"/>
        <v>848.20865738215502</v>
      </c>
      <c r="M15" s="16"/>
      <c r="N15" s="16"/>
      <c r="O15" s="11"/>
      <c r="P15" s="13"/>
      <c r="Q15" s="14">
        <f t="shared" ca="1" si="6"/>
        <v>848.20865738215502</v>
      </c>
      <c r="R15" s="16">
        <f t="shared" ca="1" si="4"/>
        <v>848.20865738215502</v>
      </c>
    </row>
    <row r="16" spans="1:22">
      <c r="A16" s="30" t="s">
        <v>89</v>
      </c>
      <c r="B16" s="21">
        <f ca="1">Q2</f>
        <v>5011.1823389676611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5011.1823389676611</v>
      </c>
      <c r="M16" s="19"/>
      <c r="N16" s="19"/>
      <c r="O16" s="21"/>
      <c r="P16" s="27"/>
      <c r="Q16" s="22">
        <f t="shared" ca="1" si="6"/>
        <v>5011.1823389676611</v>
      </c>
      <c r="R16" s="19">
        <f t="shared" ca="1" si="4"/>
        <v>5011.1823389676611</v>
      </c>
    </row>
    <row r="17" spans="1:18">
      <c r="A17" s="29" t="s">
        <v>88</v>
      </c>
      <c r="B17" s="9">
        <f ca="1">B16</f>
        <v>5011.1823389676611</v>
      </c>
      <c r="C17" s="9">
        <f ca="1">SUM(C$2:C$11)</f>
        <v>1720.300057136091</v>
      </c>
      <c r="D17" s="9">
        <f ca="1">SUM(D$2:D$11)</f>
        <v>3452.2567759917442</v>
      </c>
      <c r="E17" s="9">
        <f ca="1">$Q$5/parameters!$B$4</f>
        <v>1868.8323939397658</v>
      </c>
      <c r="F17" s="9">
        <f t="shared" ref="F17:K17" ca="1" si="7">SUM(F$2:F$11)</f>
        <v>2298.5074626865671</v>
      </c>
      <c r="G17" s="9">
        <f t="shared" ca="1" si="7"/>
        <v>4504.7230929989546</v>
      </c>
      <c r="H17" s="9">
        <f t="shared" ca="1" si="7"/>
        <v>6467.0199999999995</v>
      </c>
      <c r="I17" s="9">
        <f t="shared" ca="1" si="7"/>
        <v>2898</v>
      </c>
      <c r="J17" s="9">
        <f t="shared" ca="1" si="7"/>
        <v>2789.3214793741108</v>
      </c>
      <c r="K17" s="9">
        <f t="shared" ca="1" si="7"/>
        <v>8680.1750497866287</v>
      </c>
      <c r="L17" s="17">
        <f t="shared" ca="1" si="5"/>
        <v>39690.318650881527</v>
      </c>
      <c r="M17" s="17"/>
      <c r="N17" s="17"/>
      <c r="O17" s="9"/>
      <c r="P17" s="14"/>
      <c r="Q17" s="11">
        <f t="shared" ca="1" si="6"/>
        <v>39690.318650881527</v>
      </c>
      <c r="R17" s="17">
        <f t="shared" ca="1" si="4"/>
        <v>39690.318650881527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0.99369999999999992</v>
      </c>
      <c r="E18" s="38">
        <f t="shared" ref="E18:G18" ca="1" si="8">IFERROR(1-(-E12)/E17, "")</f>
        <v>0.89000000000000012</v>
      </c>
      <c r="F18" s="38">
        <f t="shared" ca="1" si="8"/>
        <v>0.93800000000000006</v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0.89552315457135623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10670.121767132938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10670.121767132938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-10670.121767132938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8923.2238805970155</v>
      </c>
      <c r="G3" s="14">
        <f ca="1">Q3-O3-P3-F3</f>
        <v>2697.4411194029854</v>
      </c>
      <c r="H3" s="14"/>
      <c r="I3" s="14"/>
      <c r="J3" s="14"/>
      <c r="K3" s="13"/>
      <c r="L3" s="16">
        <f t="shared" ca="1" si="0"/>
        <v>11620.665000000001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25.514999999999997</v>
      </c>
      <c r="P3" s="13" cm="1">
        <f t="array" aca="1" ref="P3" ca="1">-INDIRECT("'data'!$I$" &amp; $A$1)*parameters!$B$13</f>
        <v>-1043.28</v>
      </c>
      <c r="Q3" s="16" cm="1">
        <f t="array" aca="1" ref="Q3" ca="1">INDIRECT("'data'!$G$" &amp; $A$1)*parameters!$B$13</f>
        <v>10602.9</v>
      </c>
      <c r="R3" s="16">
        <f t="shared" ref="R3:R10" ca="1" si="2">SUM(L3:P3)</f>
        <v>10602.9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2230.8059701492539</v>
      </c>
      <c r="G5" s="14">
        <f ca="1">Q7/parameters!$B$7-(G3+G4)</f>
        <v>13772.08866116128</v>
      </c>
      <c r="H5" s="14"/>
      <c r="I5" s="14"/>
      <c r="J5" s="14"/>
      <c r="K5" s="13"/>
      <c r="L5" s="16">
        <f t="shared" ca="1" si="0"/>
        <v>16002.894631310533</v>
      </c>
      <c r="M5" s="16"/>
      <c r="N5" s="16"/>
      <c r="O5" s="11" cm="1">
        <f t="array" aca="1" ref="O5" ca="1">INDIRECT("'data'!$M$" &amp; $A$1)*parameters!$B$15</f>
        <v>162.68</v>
      </c>
      <c r="P5" s="13" cm="1">
        <f t="array" aca="1" ref="P5" ca="1">-INDIRECT("'data'!$N$" &amp; $A$1)*parameters!$B$15</f>
        <v>-3975.86</v>
      </c>
      <c r="Q5" s="16">
        <f ca="1">SUM(L5:P5)</f>
        <v>12189.714631310533</v>
      </c>
      <c r="R5" s="16">
        <f t="shared" ca="1" si="2"/>
        <v>12189.714631310533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10462.48</v>
      </c>
      <c r="I6" s="14"/>
      <c r="J6" s="14"/>
      <c r="K6" s="13"/>
      <c r="L6" s="16">
        <f t="shared" ca="1" si="0"/>
        <v>10462.48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10462.48</v>
      </c>
      <c r="R6" s="16">
        <f t="shared" ca="1" si="2"/>
        <v>10462.48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15761.34</v>
      </c>
      <c r="I7" s="14"/>
      <c r="J7" s="14"/>
      <c r="K7" s="13"/>
      <c r="L7" s="16">
        <f t="shared" ca="1" si="0"/>
        <v>15761.34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15761.34</v>
      </c>
      <c r="R7" s="16">
        <f t="shared" ca="1" si="2"/>
        <v>15761.34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16011.504715980263</v>
      </c>
      <c r="J8" s="14">
        <f ca="1">Q10/J18</f>
        <v>11417.715284019734</v>
      </c>
      <c r="K8" s="13"/>
      <c r="L8" s="16">
        <f t="shared" ca="1" si="0"/>
        <v>27429.219999999998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824.18</v>
      </c>
      <c r="P8" s="13" cm="1">
        <f t="array" aca="1" ref="P8" ca="1">-INDIRECT("'data'!$S$" &amp; $A$1)*parameters!$B$15</f>
        <v>-2029.58</v>
      </c>
      <c r="Q8" s="16">
        <f ca="1">SUM(Q6:Q7)</f>
        <v>26223.82</v>
      </c>
      <c r="R8" s="16">
        <f t="shared" ca="1" si="2"/>
        <v>26223.82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12084.380000000001</v>
      </c>
      <c r="L9" s="16">
        <f t="shared" ca="1" si="0"/>
        <v>12084.380000000001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4310.04</v>
      </c>
      <c r="P9" s="13" cm="1">
        <f t="array" aca="1" ref="P9" ca="1">-INDIRECT("'data'!$V$" &amp; $A$1)*parameters!$B$15</f>
        <v>-2358.86</v>
      </c>
      <c r="Q9" s="16" cm="1">
        <f t="array" aca="1" ref="Q9" ca="1">INDIRECT("'data'!$T$" &amp; $A$1)*parameters!$B$15</f>
        <v>14035.56</v>
      </c>
      <c r="R9" s="16">
        <f t="shared" ca="1" si="2"/>
        <v>14035.560000000001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17365.540056899004</v>
      </c>
      <c r="L10" s="16">
        <f t="shared" ca="1" si="0"/>
        <v>17365.540056899004</v>
      </c>
      <c r="M10" s="16"/>
      <c r="N10" s="16">
        <f t="shared" ca="1" si="3"/>
        <v>0</v>
      </c>
      <c r="O10" s="11" cm="1">
        <f t="array" aca="1" ref="O10" ca="1">INDIRECT("'data'!$X$" &amp; $A$1)*parameters!$B$15</f>
        <v>3990.56</v>
      </c>
      <c r="P10" s="13" cm="1">
        <f t="array" aca="1" ref="P10" ca="1">-INDIRECT("'data'!$Y$" &amp; $A$1)*parameters!$B$15</f>
        <v>-11347.42</v>
      </c>
      <c r="Q10" s="16" cm="1">
        <f t="array" aca="1" ref="Q10" ca="1">INDIRECT("'data'!$W$" &amp; $A$1)*parameters!$B$15</f>
        <v>10008.680056899004</v>
      </c>
      <c r="R10" s="16">
        <f t="shared" ca="1" si="2"/>
        <v>10008.680056899006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21874.861648933143</v>
      </c>
      <c r="N11" s="19"/>
      <c r="O11" s="21" cm="1">
        <f t="array" aca="1" ref="O11" ca="1">INDIRECT("'data'!$Z$" &amp; $A$1)*parameters!$B$15</f>
        <v>10506.58</v>
      </c>
      <c r="P11" s="27" cm="1">
        <f t="array" aca="1" ref="P11" ca="1">-INDIRECT("'data'!$AA$" &amp; $A$1)*parameters!$B$15</f>
        <v>-6087.76</v>
      </c>
      <c r="Q11" s="16">
        <f ca="1">K9*parameters!$B$10+K10*parameters!$B$11</f>
        <v>26293.681648933143</v>
      </c>
      <c r="R11" s="16">
        <f t="shared" ref="R11:R17" ca="1" si="4">SUM(L11:P11)</f>
        <v>26293.68164893314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-67.221767132938112</v>
      </c>
      <c r="D12" s="9">
        <f ca="1">-(D17-Q4)</f>
        <v>0</v>
      </c>
      <c r="E12" s="9">
        <f ca="1">-(E17-Q5)</f>
        <v>-1506.5939431956831</v>
      </c>
      <c r="F12" s="9">
        <f ca="1">-(F17-Q6)</f>
        <v>-691.54985074626893</v>
      </c>
      <c r="G12" s="9">
        <f ca="1">-(G17-Q7)</f>
        <v>-708.18978056426567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-2973.5553416391558</v>
      </c>
      <c r="M12" s="17"/>
      <c r="N12" s="17"/>
      <c r="O12" s="10"/>
      <c r="P12" s="12"/>
      <c r="Q12" s="9">
        <f t="shared" ref="Q12:Q17" ca="1" si="6">SUM(L12:P12)</f>
        <v>-2973.5553416391558</v>
      </c>
      <c r="R12" s="17">
        <f t="shared" ca="1" si="4"/>
        <v>-2973.5553416391558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-1975.9447159802639</v>
      </c>
      <c r="J13" s="14">
        <f ca="1">-(J17-Q10)</f>
        <v>-1409.0352271207303</v>
      </c>
      <c r="K13" s="13">
        <f ca="1">-(K17-Q11)</f>
        <v>-3156.2384079658623</v>
      </c>
      <c r="L13" s="14">
        <f t="shared" ca="1" si="5"/>
        <v>-6541.2183510668565</v>
      </c>
      <c r="M13" s="16">
        <f ca="1">-E15</f>
        <v>-7155.0902234393598</v>
      </c>
      <c r="N13" s="16"/>
      <c r="O13" s="11"/>
      <c r="P13" s="13"/>
      <c r="Q13" s="14">
        <f t="shared" ca="1" si="6"/>
        <v>-13696.308574506216</v>
      </c>
      <c r="R13" s="16">
        <f t="shared" ca="1" si="4"/>
        <v>-13696.308574506216</v>
      </c>
    </row>
    <row r="14" spans="1:20">
      <c r="A14" s="18" t="s">
        <v>78</v>
      </c>
      <c r="B14" s="11"/>
      <c r="C14" s="14"/>
      <c r="D14" s="14"/>
      <c r="E14" s="14">
        <f ca="1">-(I13+J13)-K13</f>
        <v>6541.2183510668565</v>
      </c>
      <c r="F14" s="14"/>
      <c r="G14" s="14"/>
      <c r="H14" s="14"/>
      <c r="I14" s="14"/>
      <c r="J14" s="14"/>
      <c r="K14" s="13"/>
      <c r="L14" s="14">
        <f t="shared" ca="1" si="5"/>
        <v>6541.2183510668565</v>
      </c>
      <c r="M14" s="16"/>
      <c r="N14" s="16"/>
      <c r="O14" s="11"/>
      <c r="P14" s="13"/>
      <c r="Q14" s="14">
        <f t="shared" ca="1" si="6"/>
        <v>6541.2183510668565</v>
      </c>
      <c r="R14" s="16">
        <f t="shared" ca="1" si="4"/>
        <v>6541.2183510668565</v>
      </c>
    </row>
    <row r="15" spans="1:20">
      <c r="A15" s="18" t="s">
        <v>79</v>
      </c>
      <c r="B15" s="11"/>
      <c r="C15" s="14"/>
      <c r="D15" s="14"/>
      <c r="E15" s="14">
        <f ca="1">E17-E14</f>
        <v>7155.0902234393598</v>
      </c>
      <c r="F15" s="14"/>
      <c r="G15" s="14"/>
      <c r="H15" s="14"/>
      <c r="I15" s="14"/>
      <c r="J15" s="14"/>
      <c r="K15" s="13"/>
      <c r="L15" s="14">
        <f t="shared" ca="1" si="5"/>
        <v>7155.0902234393598</v>
      </c>
      <c r="M15" s="16"/>
      <c r="N15" s="16"/>
      <c r="O15" s="11"/>
      <c r="P15" s="13"/>
      <c r="Q15" s="14">
        <f t="shared" ca="1" si="6"/>
        <v>7155.0902234393598</v>
      </c>
      <c r="R15" s="16">
        <f t="shared" ca="1" si="4"/>
        <v>7155.0902234393598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10670.121767132938</v>
      </c>
      <c r="D17" s="9">
        <f ca="1">SUM(D$2:D$11)</f>
        <v>0</v>
      </c>
      <c r="E17" s="9">
        <f ca="1">$Q$5/parameters!$B$4</f>
        <v>13696.308574506216</v>
      </c>
      <c r="F17" s="9">
        <f t="shared" ref="F17:K17" ca="1" si="7">SUM(F$2:F$11)</f>
        <v>11154.029850746268</v>
      </c>
      <c r="G17" s="9">
        <f t="shared" ca="1" si="7"/>
        <v>16469.529780564266</v>
      </c>
      <c r="H17" s="9">
        <f t="shared" ca="1" si="7"/>
        <v>26223.82</v>
      </c>
      <c r="I17" s="9">
        <f t="shared" ca="1" si="7"/>
        <v>16011.504715980263</v>
      </c>
      <c r="J17" s="9">
        <f t="shared" ca="1" si="7"/>
        <v>11417.715284019734</v>
      </c>
      <c r="K17" s="9">
        <f t="shared" ca="1" si="7"/>
        <v>29449.920056899005</v>
      </c>
      <c r="L17" s="17">
        <f t="shared" ca="1" si="5"/>
        <v>135092.95002984867</v>
      </c>
      <c r="M17" s="17"/>
      <c r="N17" s="17"/>
      <c r="O17" s="9"/>
      <c r="P17" s="14"/>
      <c r="Q17" s="11">
        <f t="shared" ca="1" si="6"/>
        <v>135092.95002984867</v>
      </c>
      <c r="R17" s="17">
        <f t="shared" ca="1" si="4"/>
        <v>135092.95002984867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0.99369999999999992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0.95699999999999985</v>
      </c>
      <c r="H18" s="38">
        <f t="shared" ref="H18" ca="1" si="9">1-(-H12)/H17</f>
        <v>1</v>
      </c>
      <c r="I18" s="38">
        <f ca="1">(Q9+Q10)/(Q8-O8-P8)</f>
        <v>0.87659219098826013</v>
      </c>
      <c r="J18" s="38">
        <f ca="1">I18</f>
        <v>0.87659219098826013</v>
      </c>
      <c r="K18" s="39">
        <f ca="1">1-(-K13)/K17</f>
        <v>0.89282692781957229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24437.622018717921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24437.622018717921</v>
      </c>
      <c r="M2" s="17"/>
      <c r="N2" s="17">
        <f ca="1">Q2-(L2+O2+P2)</f>
        <v>0</v>
      </c>
      <c r="O2" s="11" cm="1">
        <f t="array" aca="1" ref="O2" ca="1">INDIRECT("'data'!$F$" &amp; $A$1)</f>
        <v>12660.7</v>
      </c>
      <c r="P2" s="13">
        <f ca="1">IF(-(L2-Q2+O2)&lt;0, -(L2-Q2+O2), 0)</f>
        <v>-6498.3220187179213</v>
      </c>
      <c r="Q2" s="17" cm="1">
        <f t="array" aca="1" ref="Q2" ca="1">INDIRECT("'data'!$D$" &amp; $A$1)</f>
        <v>30600</v>
      </c>
      <c r="R2" s="17">
        <f ca="1">SUM(L2:P2)</f>
        <v>30600.000000000004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24120.223880597016</v>
      </c>
      <c r="G3" s="14">
        <f ca="1">Q3-O3-P3-F3</f>
        <v>163.44111940298171</v>
      </c>
      <c r="H3" s="14"/>
      <c r="I3" s="14"/>
      <c r="J3" s="14"/>
      <c r="K3" s="13"/>
      <c r="L3" s="16">
        <f t="shared" ca="1" si="0"/>
        <v>24283.664999999997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24283.664999999997</v>
      </c>
      <c r="R3" s="16">
        <f t="shared" ref="R3:R10" ca="1" si="2">SUM(L3:P3)</f>
        <v>24283.664999999997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Q6/parameters!$B$5*25%</f>
        <v>8040.0746268656721</v>
      </c>
      <c r="G5" s="14">
        <f ca="1">Q7/parameters!$B$7-(G3+G4)</f>
        <v>845.23181685616146</v>
      </c>
      <c r="H5" s="14"/>
      <c r="I5" s="14"/>
      <c r="J5" s="14"/>
      <c r="K5" s="13"/>
      <c r="L5" s="16">
        <f t="shared" ca="1" si="0"/>
        <v>8885.3064437218345</v>
      </c>
      <c r="M5" s="16"/>
      <c r="N5" s="16"/>
      <c r="O5" s="11" cm="1">
        <f t="array" aca="1" ref="O5" ca="1">INDIRECT("'data'!$M$" &amp; $A$1)*parameters!$B$15</f>
        <v>4909.8</v>
      </c>
      <c r="P5" s="13" cm="1">
        <f t="array" aca="1" ref="P5" ca="1">-INDIRECT("'data'!$N$" &amp; $A$1)*parameters!$B$15</f>
        <v>-22.54</v>
      </c>
      <c r="Q5" s="16">
        <f ca="1">SUM(L5:P5)</f>
        <v>13772.566443721833</v>
      </c>
      <c r="R5" s="16">
        <f t="shared" ca="1" si="2"/>
        <v>13772.566443721833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30166.36</v>
      </c>
      <c r="I6" s="14"/>
      <c r="J6" s="14"/>
      <c r="K6" s="13"/>
      <c r="L6" s="16">
        <f t="shared" ca="1" si="0"/>
        <v>30166.36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30166.36</v>
      </c>
      <c r="R6" s="16">
        <f t="shared" ca="1" si="2"/>
        <v>30166.36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965.3</v>
      </c>
      <c r="I7" s="14"/>
      <c r="J7" s="14"/>
      <c r="K7" s="13"/>
      <c r="L7" s="16">
        <f t="shared" ca="1" si="0"/>
        <v>965.3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965.3</v>
      </c>
      <c r="R7" s="16">
        <f t="shared" ca="1" si="2"/>
        <v>965.3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15489.703837782201</v>
      </c>
      <c r="J8" s="14">
        <f ca="1">Q10/J18</f>
        <v>6960.136162217801</v>
      </c>
      <c r="K8" s="13"/>
      <c r="L8" s="16">
        <f t="shared" ca="1" si="0"/>
        <v>22449.840000000004</v>
      </c>
      <c r="M8" s="16"/>
      <c r="N8" s="16">
        <f t="shared" ca="1" si="3"/>
        <v>0</v>
      </c>
      <c r="O8" s="11" cm="1">
        <f t="array" aca="1" ref="O8" ca="1">INDIRECT("'data'!$R$" &amp; $A$1)*parameters!$B$15</f>
        <v>8706.32</v>
      </c>
      <c r="P8" s="13" cm="1">
        <f t="array" aca="1" ref="P8" ca="1">-INDIRECT("'data'!$S$" &amp; $A$1)*parameters!$B$15</f>
        <v>-24.5</v>
      </c>
      <c r="Q8" s="16">
        <f ca="1">SUM(Q6:Q7)</f>
        <v>31131.66</v>
      </c>
      <c r="R8" s="16">
        <f t="shared" ca="1" si="2"/>
        <v>31131.660000000003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8311.3799999999992</v>
      </c>
      <c r="L9" s="16">
        <f t="shared" ca="1" si="0"/>
        <v>8311.3799999999992</v>
      </c>
      <c r="M9" s="16"/>
      <c r="N9" s="16">
        <f t="shared" ca="1" si="3"/>
        <v>0</v>
      </c>
      <c r="O9" s="11" cm="1">
        <f t="array" aca="1" ref="O9" ca="1">INDIRECT("'data'!$U$" &amp; $A$1)*parameters!$B$15</f>
        <v>5525.24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13836.619999999999</v>
      </c>
      <c r="R9" s="16">
        <f t="shared" ca="1" si="2"/>
        <v>13836.619999999999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-137.95974395448047</v>
      </c>
      <c r="L10" s="16">
        <f t="shared" ca="1" si="0"/>
        <v>-137.95974395448047</v>
      </c>
      <c r="M10" s="16"/>
      <c r="N10" s="16">
        <f t="shared" ca="1" si="3"/>
        <v>0</v>
      </c>
      <c r="O10" s="11" cm="1">
        <f t="array" aca="1" ref="O10" ca="1">INDIRECT("'data'!$X$" &amp; $A$1)*parameters!$B$15</f>
        <v>6355.3</v>
      </c>
      <c r="P10" s="13" cm="1">
        <f t="array" aca="1" ref="P10" ca="1">-INDIRECT("'data'!$Y$" &amp; $A$1)*parameters!$B$15</f>
        <v>0</v>
      </c>
      <c r="Q10" s="16" cm="1">
        <f t="array" aca="1" ref="Q10" ca="1">INDIRECT("'data'!$W$" &amp; $A$1)*parameters!$B$15</f>
        <v>6217.3402560455197</v>
      </c>
      <c r="R10" s="16">
        <f t="shared" ca="1" si="2"/>
        <v>6217.3402560455197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7262.8518201991455</v>
      </c>
      <c r="N11" s="19"/>
      <c r="O11" s="21" cm="1">
        <f t="array" aca="1" ref="O11" ca="1">INDIRECT("'data'!$Z$" &amp; $A$1)*parameters!$B$15</f>
        <v>761.46</v>
      </c>
      <c r="P11" s="27" cm="1">
        <f t="array" aca="1" ref="P11" ca="1">-INDIRECT("'data'!$AA$" &amp; $A$1)*parameters!$B$15</f>
        <v>-330.26</v>
      </c>
      <c r="Q11" s="16">
        <f ca="1">K9*parameters!$B$10+K10*parameters!$B$11</f>
        <v>7694.0518201991454</v>
      </c>
      <c r="R11" s="16">
        <f t="shared" ref="R11:R17" ca="1" si="4">SUM(L11:P11)</f>
        <v>7694.0518201991454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-153.95701871792335</v>
      </c>
      <c r="D12" s="9">
        <f ca="1">-(D17-Q4)</f>
        <v>0</v>
      </c>
      <c r="E12" s="9">
        <f ca="1">-(E17-Q5)</f>
        <v>-1702.2273132689897</v>
      </c>
      <c r="F12" s="9">
        <f ca="1">-(F17-Q6)</f>
        <v>-1993.938507462688</v>
      </c>
      <c r="G12" s="9">
        <f ca="1">-(G17-Q7)</f>
        <v>-43.372936259143216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-3893.4957757087441</v>
      </c>
      <c r="M12" s="17"/>
      <c r="N12" s="17"/>
      <c r="O12" s="10"/>
      <c r="P12" s="12"/>
      <c r="Q12" s="9">
        <f t="shared" ref="Q12:Q17" ca="1" si="6">SUM(L12:P12)</f>
        <v>-3893.4957757087441</v>
      </c>
      <c r="R12" s="17">
        <f t="shared" ca="1" si="4"/>
        <v>-3893.4957757087441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-1653.083837782202</v>
      </c>
      <c r="J13" s="14">
        <f ca="1">-(J17-Q10)</f>
        <v>-742.79590617228132</v>
      </c>
      <c r="K13" s="13">
        <f ca="1">-(K17-Q11)</f>
        <v>-479.36843584637336</v>
      </c>
      <c r="L13" s="14">
        <f t="shared" ca="1" si="5"/>
        <v>-2875.2481798008566</v>
      </c>
      <c r="M13" s="16">
        <f ca="1">-E15</f>
        <v>-12599.545577189965</v>
      </c>
      <c r="N13" s="16"/>
      <c r="O13" s="11"/>
      <c r="P13" s="13"/>
      <c r="Q13" s="14">
        <f t="shared" ca="1" si="6"/>
        <v>-15474.793756990821</v>
      </c>
      <c r="R13" s="16">
        <f t="shared" ca="1" si="4"/>
        <v>-15474.793756990821</v>
      </c>
    </row>
    <row r="14" spans="1:20">
      <c r="A14" s="18" t="s">
        <v>78</v>
      </c>
      <c r="B14" s="11"/>
      <c r="C14" s="14"/>
      <c r="D14" s="14"/>
      <c r="E14" s="14">
        <f ca="1">-(I13+J13)-K13</f>
        <v>2875.2481798008566</v>
      </c>
      <c r="F14" s="14"/>
      <c r="G14" s="14"/>
      <c r="H14" s="14"/>
      <c r="I14" s="14"/>
      <c r="J14" s="14"/>
      <c r="K14" s="13"/>
      <c r="L14" s="14">
        <f t="shared" ca="1" si="5"/>
        <v>2875.2481798008566</v>
      </c>
      <c r="M14" s="16"/>
      <c r="N14" s="16"/>
      <c r="O14" s="11"/>
      <c r="P14" s="13"/>
      <c r="Q14" s="14">
        <f t="shared" ca="1" si="6"/>
        <v>2875.2481798008566</v>
      </c>
      <c r="R14" s="16">
        <f t="shared" ca="1" si="4"/>
        <v>2875.2481798008566</v>
      </c>
    </row>
    <row r="15" spans="1:20">
      <c r="A15" s="18" t="s">
        <v>79</v>
      </c>
      <c r="B15" s="11"/>
      <c r="C15" s="14"/>
      <c r="D15" s="14"/>
      <c r="E15" s="14">
        <f ca="1">E17-E14</f>
        <v>12599.545577189965</v>
      </c>
      <c r="F15" s="14"/>
      <c r="G15" s="14"/>
      <c r="H15" s="14"/>
      <c r="I15" s="14"/>
      <c r="J15" s="14"/>
      <c r="K15" s="13"/>
      <c r="L15" s="14">
        <f t="shared" ca="1" si="5"/>
        <v>12599.545577189965</v>
      </c>
      <c r="M15" s="16"/>
      <c r="N15" s="16"/>
      <c r="O15" s="11"/>
      <c r="P15" s="13"/>
      <c r="Q15" s="14">
        <f t="shared" ca="1" si="6"/>
        <v>12599.545577189965</v>
      </c>
      <c r="R15" s="16">
        <f t="shared" ca="1" si="4"/>
        <v>12599.545577189965</v>
      </c>
    </row>
    <row r="16" spans="1:20">
      <c r="A16" s="30" t="s">
        <v>89</v>
      </c>
      <c r="B16" s="21">
        <f ca="1">Q2</f>
        <v>30600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30600</v>
      </c>
      <c r="M16" s="19"/>
      <c r="N16" s="19"/>
      <c r="O16" s="21"/>
      <c r="P16" s="27"/>
      <c r="Q16" s="22">
        <f t="shared" ca="1" si="6"/>
        <v>30600</v>
      </c>
      <c r="R16" s="19">
        <f t="shared" ca="1" si="4"/>
        <v>30600</v>
      </c>
    </row>
    <row r="17" spans="1:18">
      <c r="A17" s="29" t="s">
        <v>88</v>
      </c>
      <c r="B17" s="9">
        <f ca="1">B16</f>
        <v>30600</v>
      </c>
      <c r="C17" s="9">
        <f ca="1">SUM(C$2:C$11)</f>
        <v>24437.622018717921</v>
      </c>
      <c r="D17" s="9">
        <f ca="1">SUM(D$2:D$11)</f>
        <v>0</v>
      </c>
      <c r="E17" s="9">
        <f ca="1">$Q$5/parameters!$B$4</f>
        <v>15474.793756990823</v>
      </c>
      <c r="F17" s="9">
        <f t="shared" ref="F17:K17" ca="1" si="7">SUM(F$2:F$11)</f>
        <v>32160.298507462689</v>
      </c>
      <c r="G17" s="9">
        <f t="shared" ca="1" si="7"/>
        <v>1008.6729362591432</v>
      </c>
      <c r="H17" s="9">
        <f t="shared" ca="1" si="7"/>
        <v>31131.66</v>
      </c>
      <c r="I17" s="9">
        <f t="shared" ca="1" si="7"/>
        <v>15489.703837782201</v>
      </c>
      <c r="J17" s="9">
        <f t="shared" ca="1" si="7"/>
        <v>6960.136162217801</v>
      </c>
      <c r="K17" s="9">
        <f t="shared" ca="1" si="7"/>
        <v>8173.4202560455187</v>
      </c>
      <c r="L17" s="17">
        <f t="shared" ca="1" si="5"/>
        <v>165436.30747547609</v>
      </c>
      <c r="M17" s="17"/>
      <c r="N17" s="17"/>
      <c r="O17" s="9"/>
      <c r="P17" s="14"/>
      <c r="Q17" s="11">
        <f t="shared" ca="1" si="6"/>
        <v>165436.30747547609</v>
      </c>
      <c r="R17" s="17">
        <f t="shared" ca="1" si="4"/>
        <v>165436.30747547609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0.89327853811187596</v>
      </c>
      <c r="J18" s="38">
        <f ca="1">I18</f>
        <v>0.89327853811187596</v>
      </c>
      <c r="K18" s="39">
        <f ca="1">1-(-K13)/K17</f>
        <v>0.94135032571073218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4618.0134849552178</v>
      </c>
      <c r="D2" s="9">
        <f ca="1">Q4/parameters!$B$3</f>
        <v>5174.4792190802054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9792.4927040354232</v>
      </c>
      <c r="M2" s="17"/>
      <c r="N2" s="17">
        <f ca="1">Q2-(L2+O2+P2)</f>
        <v>0</v>
      </c>
      <c r="O2" s="11" cm="1">
        <f t="array" aca="1" ref="O2" ca="1">INDIRECT("'data'!$F$" &amp; $A$1)</f>
        <v>51.35</v>
      </c>
      <c r="P2" s="13">
        <f ca="1">IF(-(L2-Q2+O2)&lt;0, -(L2-Q2+O2), 0)</f>
        <v>-3048.8427040354231</v>
      </c>
      <c r="Q2" s="17" cm="1">
        <f t="array" aca="1" ref="Q2" ca="1">INDIRECT("'data'!$D$" &amp; $A$1)</f>
        <v>6795</v>
      </c>
      <c r="R2" s="17">
        <f ca="1">SUM(L2:P2)</f>
        <v>6795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4376.3582089552237</v>
      </c>
      <c r="G3" s="14">
        <f ca="1">Q3-O3-P3-F3</f>
        <v>1399.4817910447764</v>
      </c>
      <c r="H3" s="14"/>
      <c r="I3" s="14"/>
      <c r="J3" s="14"/>
      <c r="K3" s="13"/>
      <c r="L3" s="16">
        <f t="shared" ca="1" si="0"/>
        <v>5775.84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123.79499999999999</v>
      </c>
      <c r="P3" s="13" cm="1">
        <f t="array" aca="1" ref="P3" ca="1">-INDIRECT("'data'!$I$" &amp; $A$1)*parameters!$B$13</f>
        <v>-1310.7149999999999</v>
      </c>
      <c r="Q3" s="16" cm="1">
        <f t="array" aca="1" ref="Q3" ca="1">INDIRECT("'data'!$G$" &amp; $A$1)*parameters!$B$13</f>
        <v>4588.92</v>
      </c>
      <c r="R3" s="16">
        <f t="shared" ref="R3:R10" ca="1" si="2">SUM(L3:P3)</f>
        <v>4588.92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5141.88</v>
      </c>
      <c r="H4" s="14"/>
      <c r="I4" s="14"/>
      <c r="J4" s="14"/>
      <c r="K4" s="13"/>
      <c r="L4" s="16">
        <f t="shared" ca="1" si="0"/>
        <v>5141.88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5141.88</v>
      </c>
      <c r="R4" s="16">
        <f t="shared" ca="1" si="2"/>
        <v>5141.88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1094.0895522388062</v>
      </c>
      <c r="G5" s="14">
        <f ca="1">Q7/parameters!$B$7-(G3+G4)</f>
        <v>4103.4657951621202</v>
      </c>
      <c r="H5" s="14"/>
      <c r="I5" s="14"/>
      <c r="J5" s="14"/>
      <c r="K5" s="13"/>
      <c r="L5" s="16">
        <f t="shared" ca="1" si="0"/>
        <v>5197.5553474009266</v>
      </c>
      <c r="M5" s="16"/>
      <c r="N5" s="16"/>
      <c r="O5" s="11" cm="1">
        <f t="array" aca="1" ref="O5" ca="1">INDIRECT("'data'!$M$" &amp; $A$1)*parameters!$B$15</f>
        <v>180.32</v>
      </c>
      <c r="P5" s="13" cm="1">
        <f t="array" aca="1" ref="P5" ca="1">-INDIRECT("'data'!$N$" &amp; $A$1)*parameters!$B$15</f>
        <v>-1922.76</v>
      </c>
      <c r="Q5" s="16">
        <f ca="1">SUM(L5:P5)</f>
        <v>3455.1153474009261</v>
      </c>
      <c r="R5" s="16">
        <f t="shared" ca="1" si="2"/>
        <v>3455.1153474009261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5131.28</v>
      </c>
      <c r="I6" s="14"/>
      <c r="J6" s="14"/>
      <c r="K6" s="13"/>
      <c r="L6" s="16">
        <f t="shared" ca="1" si="0"/>
        <v>5131.28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5131.28</v>
      </c>
      <c r="R6" s="16">
        <f t="shared" ca="1" si="2"/>
        <v>5131.28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10187.1</v>
      </c>
      <c r="I7" s="14"/>
      <c r="J7" s="14"/>
      <c r="K7" s="13"/>
      <c r="L7" s="16">
        <f t="shared" ca="1" si="0"/>
        <v>10187.1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10187.1</v>
      </c>
      <c r="R7" s="16">
        <f t="shared" ca="1" si="2"/>
        <v>10187.1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7214.6869712931102</v>
      </c>
      <c r="J8" s="14">
        <f ca="1">Q10/J18</f>
        <v>6236.7930287068903</v>
      </c>
      <c r="K8" s="13"/>
      <c r="L8" s="16">
        <f t="shared" ca="1" si="0"/>
        <v>13451.48</v>
      </c>
      <c r="M8" s="16"/>
      <c r="N8" s="16">
        <f t="shared" ca="1" si="3"/>
        <v>0</v>
      </c>
      <c r="O8" s="11" cm="1">
        <f t="array" aca="1" ref="O8" ca="1">INDIRECT("'data'!$R$" &amp; $A$1)*parameters!$B$15</f>
        <v>2442.16</v>
      </c>
      <c r="P8" s="13" cm="1">
        <f t="array" aca="1" ref="P8" ca="1">-INDIRECT("'data'!$S$" &amp; $A$1)*parameters!$B$15</f>
        <v>-575.26</v>
      </c>
      <c r="Q8" s="16">
        <f ca="1">SUM(Q6:Q7)</f>
        <v>15318.380000000001</v>
      </c>
      <c r="R8" s="16">
        <f t="shared" ca="1" si="2"/>
        <v>15318.38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6816.8799999999992</v>
      </c>
      <c r="L9" s="16">
        <f t="shared" ca="1" si="0"/>
        <v>6816.8799999999992</v>
      </c>
      <c r="M9" s="16"/>
      <c r="N9" s="16">
        <f t="shared" ca="1" si="3"/>
        <v>0</v>
      </c>
      <c r="O9" s="11" cm="1">
        <f t="array" aca="1" ref="O9" ca="1">INDIRECT("'data'!$U$" &amp; $A$1)*parameters!$B$15</f>
        <v>675.22</v>
      </c>
      <c r="P9" s="13" cm="1">
        <f t="array" aca="1" ref="P9" ca="1">-INDIRECT("'data'!$V$" &amp; $A$1)*parameters!$B$15</f>
        <v>-1446.48</v>
      </c>
      <c r="Q9" s="16" cm="1">
        <f t="array" aca="1" ref="Q9" ca="1">INDIRECT("'data'!$T$" &amp; $A$1)*parameters!$B$15</f>
        <v>6045.62</v>
      </c>
      <c r="R9" s="16">
        <f t="shared" ca="1" si="2"/>
        <v>6045.619999999999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7246.9438691322903</v>
      </c>
      <c r="L10" s="16">
        <f t="shared" ca="1" si="0"/>
        <v>7246.9438691322903</v>
      </c>
      <c r="M10" s="16"/>
      <c r="N10" s="16">
        <f t="shared" ca="1" si="3"/>
        <v>0</v>
      </c>
      <c r="O10" s="11" cm="1">
        <f t="array" aca="1" ref="O10" ca="1">INDIRECT("'data'!$X$" &amp; $A$1)*parameters!$B$15</f>
        <v>1104.46</v>
      </c>
      <c r="P10" s="13" cm="1">
        <f t="array" aca="1" ref="P10" ca="1">-INDIRECT("'data'!$Y$" &amp; $A$1)*parameters!$B$15</f>
        <v>-3125.22</v>
      </c>
      <c r="Q10" s="16" cm="1">
        <f t="array" aca="1" ref="Q10" ca="1">INDIRECT("'data'!$W$" &amp; $A$1)*parameters!$B$15</f>
        <v>5226.1838691322901</v>
      </c>
      <c r="R10" s="16">
        <f t="shared" ca="1" si="2"/>
        <v>5226.1838691322901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12818.598927453768</v>
      </c>
      <c r="N11" s="19"/>
      <c r="O11" s="21" cm="1">
        <f t="array" aca="1" ref="O11" ca="1">INDIRECT("'data'!$Z$" &amp; $A$1)*parameters!$B$15</f>
        <v>6781.5999999999995</v>
      </c>
      <c r="P11" s="27" cm="1">
        <f t="array" aca="1" ref="P11" ca="1">-INDIRECT("'data'!$AA$" &amp; $A$1)*parameters!$B$15</f>
        <v>-6959.96</v>
      </c>
      <c r="Q11" s="16">
        <f ca="1">K9*parameters!$B$10+K10*parameters!$B$11</f>
        <v>12640.238927453767</v>
      </c>
      <c r="R11" s="16">
        <f t="shared" ref="R11:R17" ca="1" si="4">SUM(L11:P11)</f>
        <v>12640.238927453767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-29.093484955217718</v>
      </c>
      <c r="D12" s="9">
        <f ca="1">-(D17-Q4)</f>
        <v>-32.59921908020533</v>
      </c>
      <c r="E12" s="9">
        <f ca="1">-(E17-Q5)</f>
        <v>-427.0367283304513</v>
      </c>
      <c r="F12" s="9">
        <f ca="1">-(F17-Q6)</f>
        <v>-339.16776119403039</v>
      </c>
      <c r="G12" s="9">
        <f ca="1">-(G17-Q7)</f>
        <v>-457.72758620689638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-1285.6247797668011</v>
      </c>
      <c r="M12" s="17"/>
      <c r="N12" s="17"/>
      <c r="O12" s="10"/>
      <c r="P12" s="12"/>
      <c r="Q12" s="9">
        <f t="shared" ref="Q12:Q17" ca="1" si="6">SUM(L12:P12)</f>
        <v>-1285.6247797668011</v>
      </c>
      <c r="R12" s="17">
        <f t="shared" ca="1" si="4"/>
        <v>-1285.6247797668011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-1169.0669712931103</v>
      </c>
      <c r="J13" s="14">
        <f ca="1">-(J17-Q10)</f>
        <v>-1010.6091595746002</v>
      </c>
      <c r="K13" s="13">
        <f ca="1">-(K17-Q11)</f>
        <v>-1423.5849416785222</v>
      </c>
      <c r="L13" s="14">
        <f t="shared" ca="1" si="5"/>
        <v>-3603.2610725462328</v>
      </c>
      <c r="M13" s="16">
        <f ca="1">-E15</f>
        <v>-278.89100318514465</v>
      </c>
      <c r="N13" s="16"/>
      <c r="O13" s="11"/>
      <c r="P13" s="13"/>
      <c r="Q13" s="14">
        <f t="shared" ca="1" si="6"/>
        <v>-3882.1520757313774</v>
      </c>
      <c r="R13" s="16">
        <f t="shared" ca="1" si="4"/>
        <v>-3882.1520757313774</v>
      </c>
    </row>
    <row r="14" spans="1:20">
      <c r="A14" s="18" t="s">
        <v>78</v>
      </c>
      <c r="B14" s="11"/>
      <c r="C14" s="14"/>
      <c r="D14" s="14"/>
      <c r="E14" s="14">
        <f ca="1">-(I13+J13)-K13</f>
        <v>3603.2610725462328</v>
      </c>
      <c r="F14" s="14"/>
      <c r="G14" s="14"/>
      <c r="H14" s="14"/>
      <c r="I14" s="14"/>
      <c r="J14" s="14"/>
      <c r="K14" s="13"/>
      <c r="L14" s="14">
        <f t="shared" ca="1" si="5"/>
        <v>3603.2610725462328</v>
      </c>
      <c r="M14" s="16"/>
      <c r="N14" s="16"/>
      <c r="O14" s="11"/>
      <c r="P14" s="13"/>
      <c r="Q14" s="14">
        <f t="shared" ca="1" si="6"/>
        <v>3603.2610725462328</v>
      </c>
      <c r="R14" s="16">
        <f t="shared" ca="1" si="4"/>
        <v>3603.2610725462328</v>
      </c>
    </row>
    <row r="15" spans="1:20">
      <c r="A15" s="18" t="s">
        <v>79</v>
      </c>
      <c r="B15" s="11"/>
      <c r="C15" s="14"/>
      <c r="D15" s="14"/>
      <c r="E15" s="14">
        <f ca="1">E17-E14</f>
        <v>278.89100318514465</v>
      </c>
      <c r="F15" s="14"/>
      <c r="G15" s="14"/>
      <c r="H15" s="14"/>
      <c r="I15" s="14"/>
      <c r="J15" s="14"/>
      <c r="K15" s="13"/>
      <c r="L15" s="14">
        <f t="shared" ca="1" si="5"/>
        <v>278.89100318514465</v>
      </c>
      <c r="M15" s="16"/>
      <c r="N15" s="16"/>
      <c r="O15" s="11"/>
      <c r="P15" s="13"/>
      <c r="Q15" s="14">
        <f t="shared" ca="1" si="6"/>
        <v>278.89100318514465</v>
      </c>
      <c r="R15" s="16">
        <f t="shared" ca="1" si="4"/>
        <v>278.89100318514465</v>
      </c>
    </row>
    <row r="16" spans="1:20">
      <c r="A16" s="30" t="s">
        <v>89</v>
      </c>
      <c r="B16" s="21">
        <f ca="1">Q2</f>
        <v>6795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6795</v>
      </c>
      <c r="M16" s="19"/>
      <c r="N16" s="19"/>
      <c r="O16" s="21"/>
      <c r="P16" s="27"/>
      <c r="Q16" s="22">
        <f t="shared" ca="1" si="6"/>
        <v>6795</v>
      </c>
      <c r="R16" s="19">
        <f t="shared" ca="1" si="4"/>
        <v>6795</v>
      </c>
    </row>
    <row r="17" spans="1:18">
      <c r="A17" s="29" t="s">
        <v>88</v>
      </c>
      <c r="B17" s="9">
        <f ca="1">B16</f>
        <v>6795</v>
      </c>
      <c r="C17" s="9">
        <f ca="1">SUM(C$2:C$11)</f>
        <v>4618.0134849552178</v>
      </c>
      <c r="D17" s="9">
        <f ca="1">SUM(D$2:D$11)</f>
        <v>5174.4792190802054</v>
      </c>
      <c r="E17" s="9">
        <f ca="1">$Q$5/parameters!$B$4</f>
        <v>3882.1520757313774</v>
      </c>
      <c r="F17" s="9">
        <f t="shared" ref="F17:K17" ca="1" si="7">SUM(F$2:F$11)</f>
        <v>5470.4477611940301</v>
      </c>
      <c r="G17" s="9">
        <f t="shared" ca="1" si="7"/>
        <v>10644.827586206897</v>
      </c>
      <c r="H17" s="9">
        <f t="shared" ca="1" si="7"/>
        <v>15318.380000000001</v>
      </c>
      <c r="I17" s="9">
        <f t="shared" ca="1" si="7"/>
        <v>7214.6869712931102</v>
      </c>
      <c r="J17" s="9">
        <f t="shared" ca="1" si="7"/>
        <v>6236.7930287068903</v>
      </c>
      <c r="K17" s="9">
        <f t="shared" ca="1" si="7"/>
        <v>14063.823869132289</v>
      </c>
      <c r="L17" s="17">
        <f t="shared" ca="1" si="5"/>
        <v>79418.603996300022</v>
      </c>
      <c r="M17" s="17"/>
      <c r="N17" s="17"/>
      <c r="O17" s="9"/>
      <c r="P17" s="14"/>
      <c r="Q17" s="11">
        <f t="shared" ca="1" si="6"/>
        <v>79418.603996300022</v>
      </c>
      <c r="R17" s="17">
        <f t="shared" ca="1" si="4"/>
        <v>79418.603996300022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0.95700000000000007</v>
      </c>
      <c r="H18" s="38">
        <f t="shared" ref="H18" ca="1" si="9">1-(-H12)/H17</f>
        <v>1</v>
      </c>
      <c r="I18" s="38">
        <f ca="1">(Q9+Q10)/(Q8-O8-P8)</f>
        <v>0.83796012551275323</v>
      </c>
      <c r="J18" s="38">
        <f ca="1">I18</f>
        <v>0.83796012551275323</v>
      </c>
      <c r="K18" s="39">
        <f ca="1">1-(-K13)/K17</f>
        <v>0.89877682236884027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21.981367200526815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21.981367200526815</v>
      </c>
      <c r="M2" s="17"/>
      <c r="N2" s="17">
        <f ca="1">Q2-(L2+O2+P2)</f>
        <v>59.164100701802965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81.145467902329784</v>
      </c>
      <c r="R2" s="17">
        <f ca="1">SUM(L2:P2)</f>
        <v>81.145467902329784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21.842884587163496</v>
      </c>
      <c r="H3" s="14"/>
      <c r="I3" s="14"/>
      <c r="J3" s="14"/>
      <c r="K3" s="13"/>
      <c r="L3" s="16">
        <f t="shared" ca="1" si="0"/>
        <v>21.842884587163496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21.842884587163496</v>
      </c>
      <c r="R3" s="16">
        <f t="shared" ref="R3:R10" ca="1" si="2">SUM(L3:P3)</f>
        <v>21.842884587163496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291.51134738775812</v>
      </c>
      <c r="H5" s="14"/>
      <c r="I5" s="14"/>
      <c r="J5" s="14"/>
      <c r="K5" s="13"/>
      <c r="L5" s="16">
        <f t="shared" ca="1" si="0"/>
        <v>291.51134738775812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291.51134738775812</v>
      </c>
      <c r="R5" s="16">
        <f t="shared" ca="1" si="2"/>
        <v>291.51134738775812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299.88</v>
      </c>
      <c r="I7" s="14"/>
      <c r="J7" s="14"/>
      <c r="K7" s="13"/>
      <c r="L7" s="16">
        <f t="shared" ca="1" si="0"/>
        <v>299.88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299.88</v>
      </c>
      <c r="R7" s="16">
        <f t="shared" ca="1" si="2"/>
        <v>299.88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1589</v>
      </c>
      <c r="J8" s="14">
        <f ca="1">Q10/J18</f>
        <v>0</v>
      </c>
      <c r="K8" s="13"/>
      <c r="L8" s="16">
        <f t="shared" ca="1" si="0"/>
        <v>1589</v>
      </c>
      <c r="M8" s="16"/>
      <c r="N8" s="16">
        <f t="shared" ca="1" si="3"/>
        <v>-223.86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-1065.26</v>
      </c>
      <c r="Q8" s="16">
        <f ca="1">SUM(Q6:Q7)</f>
        <v>299.88</v>
      </c>
      <c r="R8" s="16">
        <f t="shared" ca="1" si="2"/>
        <v>299.87999999999988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1719.9</v>
      </c>
      <c r="L9" s="16">
        <f t="shared" ca="1" si="0"/>
        <v>1719.9</v>
      </c>
      <c r="M9" s="16"/>
      <c r="N9" s="16">
        <f t="shared" ca="1" si="3"/>
        <v>0</v>
      </c>
      <c r="O9" s="11" cm="1">
        <f t="array" aca="1" ref="O9" ca="1">INDIRECT("'data'!$U$" &amp; $A$1)*parameters!$B$15</f>
        <v>11.76</v>
      </c>
      <c r="P9" s="13" cm="1">
        <f t="array" aca="1" ref="P9" ca="1">-INDIRECT("'data'!$V$" &amp; $A$1)*parameters!$B$15</f>
        <v>-174.44</v>
      </c>
      <c r="Q9" s="16" cm="1">
        <f t="array" aca="1" ref="Q9" ca="1">INDIRECT("'data'!$T$" &amp; $A$1)*parameters!$B$15</f>
        <v>1557.22</v>
      </c>
      <c r="R9" s="16">
        <f t="shared" ca="1" si="2"/>
        <v>1557.22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1180.9000000000001</v>
      </c>
      <c r="L10" s="16">
        <f t="shared" ca="1" si="0"/>
        <v>1180.9000000000001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-1180.9000000000001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2926.2799999999997</v>
      </c>
      <c r="N11" s="19"/>
      <c r="O11" s="21" cm="1">
        <f t="array" aca="1" ref="O11" ca="1">INDIRECT("'data'!$Z$" &amp; $A$1)*parameters!$B$15</f>
        <v>31.36</v>
      </c>
      <c r="P11" s="27" cm="1">
        <f t="array" aca="1" ref="P11" ca="1">-INDIRECT("'data'!$AA$" &amp; $A$1)*parameters!$B$15</f>
        <v>-325.36</v>
      </c>
      <c r="Q11" s="16">
        <f ca="1">K9*parameters!$B$10+K10*parameters!$B$11</f>
        <v>2632.2799999999997</v>
      </c>
      <c r="R11" s="16">
        <f t="shared" ref="R11:R17" ca="1" si="4">SUM(L11:P11)</f>
        <v>2632.2799999999997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-0.13848261336331902</v>
      </c>
      <c r="D12" s="9">
        <f ca="1">-(D17-Q4)</f>
        <v>0</v>
      </c>
      <c r="E12" s="9">
        <f ca="1">-(E17-Q5)</f>
        <v>-36.02949237376788</v>
      </c>
      <c r="F12" s="9">
        <f ca="1">-(F17-Q6)</f>
        <v>0</v>
      </c>
      <c r="G12" s="9">
        <f ca="1">-(G17-Q7)</f>
        <v>-13.474231974921622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-49.642206962052825</v>
      </c>
      <c r="M12" s="17"/>
      <c r="N12" s="17"/>
      <c r="O12" s="10"/>
      <c r="P12" s="12"/>
      <c r="Q12" s="9">
        <f t="shared" ref="Q12:Q17" ca="1" si="6">SUM(L12:P12)</f>
        <v>-49.642206962052825</v>
      </c>
      <c r="R12" s="17">
        <f t="shared" ca="1" si="4"/>
        <v>-49.642206962052825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-31.779999999999973</v>
      </c>
      <c r="J13" s="14">
        <f ca="1">-(J17-Q10)</f>
        <v>0</v>
      </c>
      <c r="K13" s="13">
        <f ca="1">-(K17-Q11)</f>
        <v>-268.52000000000044</v>
      </c>
      <c r="L13" s="14">
        <f t="shared" ca="1" si="5"/>
        <v>-300.30000000000041</v>
      </c>
      <c r="M13" s="16">
        <f ca="1">-E15</f>
        <v>-27.240839761525592</v>
      </c>
      <c r="N13" s="16"/>
      <c r="O13" s="11"/>
      <c r="P13" s="13"/>
      <c r="Q13" s="14">
        <f t="shared" ca="1" si="6"/>
        <v>-327.540839761526</v>
      </c>
      <c r="R13" s="16">
        <f t="shared" ca="1" si="4"/>
        <v>-327.540839761526</v>
      </c>
    </row>
    <row r="14" spans="1:20">
      <c r="A14" s="18" t="s">
        <v>78</v>
      </c>
      <c r="B14" s="11"/>
      <c r="C14" s="14"/>
      <c r="D14" s="14"/>
      <c r="E14" s="14">
        <f ca="1">-(I13+J13)-K13</f>
        <v>300.30000000000041</v>
      </c>
      <c r="F14" s="14"/>
      <c r="G14" s="14"/>
      <c r="H14" s="14"/>
      <c r="I14" s="14"/>
      <c r="J14" s="14"/>
      <c r="K14" s="13"/>
      <c r="L14" s="14">
        <f t="shared" ca="1" si="5"/>
        <v>300.30000000000041</v>
      </c>
      <c r="M14" s="16"/>
      <c r="N14" s="16"/>
      <c r="O14" s="11"/>
      <c r="P14" s="13"/>
      <c r="Q14" s="14">
        <f t="shared" ca="1" si="6"/>
        <v>300.30000000000041</v>
      </c>
      <c r="R14" s="16">
        <f t="shared" ca="1" si="4"/>
        <v>300.30000000000041</v>
      </c>
    </row>
    <row r="15" spans="1:20">
      <c r="A15" s="18" t="s">
        <v>79</v>
      </c>
      <c r="B15" s="11"/>
      <c r="C15" s="14"/>
      <c r="D15" s="14"/>
      <c r="E15" s="14">
        <f ca="1">E17-E14</f>
        <v>27.240839761525592</v>
      </c>
      <c r="F15" s="14"/>
      <c r="G15" s="14"/>
      <c r="H15" s="14"/>
      <c r="I15" s="14"/>
      <c r="J15" s="14"/>
      <c r="K15" s="13"/>
      <c r="L15" s="14">
        <f t="shared" ca="1" si="5"/>
        <v>27.240839761525592</v>
      </c>
      <c r="M15" s="16"/>
      <c r="N15" s="16"/>
      <c r="O15" s="11"/>
      <c r="P15" s="13"/>
      <c r="Q15" s="14">
        <f t="shared" ca="1" si="6"/>
        <v>27.240839761525592</v>
      </c>
      <c r="R15" s="16">
        <f t="shared" ca="1" si="4"/>
        <v>27.240839761525592</v>
      </c>
    </row>
    <row r="16" spans="1:20">
      <c r="A16" s="30" t="s">
        <v>89</v>
      </c>
      <c r="B16" s="21">
        <f ca="1">Q2</f>
        <v>81.145467902329784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81.145467902329784</v>
      </c>
      <c r="M16" s="19"/>
      <c r="N16" s="19"/>
      <c r="O16" s="21"/>
      <c r="P16" s="27"/>
      <c r="Q16" s="22">
        <f t="shared" ca="1" si="6"/>
        <v>81.145467902329784</v>
      </c>
      <c r="R16" s="19">
        <f t="shared" ca="1" si="4"/>
        <v>81.145467902329784</v>
      </c>
    </row>
    <row r="17" spans="1:18">
      <c r="A17" s="29" t="s">
        <v>88</v>
      </c>
      <c r="B17" s="9">
        <f ca="1">B16</f>
        <v>81.145467902329784</v>
      </c>
      <c r="C17" s="9">
        <f ca="1">SUM(C$2:C$11)</f>
        <v>21.981367200526815</v>
      </c>
      <c r="D17" s="9">
        <f ca="1">SUM(D$2:D$11)</f>
        <v>0</v>
      </c>
      <c r="E17" s="9">
        <f ca="1">$Q$5/parameters!$B$4</f>
        <v>327.540839761526</v>
      </c>
      <c r="F17" s="9">
        <f t="shared" ref="F17:K17" ca="1" si="7">SUM(F$2:F$11)</f>
        <v>0</v>
      </c>
      <c r="G17" s="9">
        <f t="shared" ca="1" si="7"/>
        <v>313.35423197492162</v>
      </c>
      <c r="H17" s="9">
        <f t="shared" ca="1" si="7"/>
        <v>299.88</v>
      </c>
      <c r="I17" s="9">
        <f t="shared" ca="1" si="7"/>
        <v>1589</v>
      </c>
      <c r="J17" s="9">
        <f t="shared" ca="1" si="7"/>
        <v>0</v>
      </c>
      <c r="K17" s="9">
        <f t="shared" ca="1" si="7"/>
        <v>2900.8</v>
      </c>
      <c r="L17" s="17">
        <f t="shared" ca="1" si="5"/>
        <v>5533.7019068393038</v>
      </c>
      <c r="M17" s="17"/>
      <c r="N17" s="17"/>
      <c r="O17" s="9"/>
      <c r="P17" s="14"/>
      <c r="Q17" s="11">
        <f t="shared" ca="1" si="6"/>
        <v>5533.7019068393038</v>
      </c>
      <c r="R17" s="17">
        <f t="shared" ca="1" si="4"/>
        <v>5533.7019068393038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0.8899999999999999</v>
      </c>
      <c r="F18" s="38" t="str">
        <f t="shared" ca="1" si="8"/>
        <v/>
      </c>
      <c r="G18" s="38">
        <f t="shared" ca="1" si="8"/>
        <v>0.95700000000000007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0.90743243243243232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13233.994163228337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13233.994163228337</v>
      </c>
      <c r="M2" s="17"/>
      <c r="N2" s="17">
        <f ca="1">Q2-(L2+O2+P2)</f>
        <v>0</v>
      </c>
      <c r="O2" s="11" cm="1">
        <f t="array" aca="1" ref="O2" ca="1">INDIRECT("'data'!$F$" &amp; $A$1)</f>
        <v>13.65</v>
      </c>
      <c r="P2" s="13">
        <f ca="1">IF(-(L2-Q2+O2)&lt;0, -(L2-Q2+O2), 0)</f>
        <v>-13247.644163228337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10458.626865671642</v>
      </c>
      <c r="G3" s="14">
        <f ca="1">Q3-O3-P3-F3</f>
        <v>2971.7131343283581</v>
      </c>
      <c r="H3" s="14"/>
      <c r="I3" s="14"/>
      <c r="J3" s="14"/>
      <c r="K3" s="13"/>
      <c r="L3" s="16">
        <f t="shared" ca="1" si="0"/>
        <v>13430.34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-280.66499999999996</v>
      </c>
      <c r="Q3" s="16" cm="1">
        <f t="array" aca="1" ref="Q3" ca="1">INDIRECT("'data'!$G$" &amp; $A$1)*parameters!$B$13</f>
        <v>13150.619999999999</v>
      </c>
      <c r="R3" s="16">
        <f t="shared" ref="R3:R10" ca="1" si="2">SUM(L3:P3)</f>
        <v>13150.619999999999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2614.6567164179105</v>
      </c>
      <c r="G5" s="14">
        <f ca="1">Q7/parameters!$B$7-(G3+G4)</f>
        <v>5674.2011812411292</v>
      </c>
      <c r="H5" s="14"/>
      <c r="I5" s="14"/>
      <c r="J5" s="14"/>
      <c r="K5" s="13"/>
      <c r="L5" s="16">
        <f t="shared" ca="1" si="0"/>
        <v>8288.8578976590397</v>
      </c>
      <c r="M5" s="16"/>
      <c r="N5" s="16"/>
      <c r="O5" s="11" cm="1">
        <f t="array" aca="1" ref="O5" ca="1">INDIRECT("'data'!$M$" &amp; $A$1)*parameters!$B$15</f>
        <v>4435.4799999999996</v>
      </c>
      <c r="P5" s="13" cm="1">
        <f t="array" aca="1" ref="P5" ca="1">-INDIRECT("'data'!$N$" &amp; $A$1)*parameters!$B$15</f>
        <v>-3158.54</v>
      </c>
      <c r="Q5" s="16">
        <f ca="1">SUM(L5:P5)</f>
        <v>9565.7978976590384</v>
      </c>
      <c r="R5" s="16">
        <f t="shared" ca="1" si="2"/>
        <v>9565.7978976590384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12262.74</v>
      </c>
      <c r="I6" s="14"/>
      <c r="J6" s="14"/>
      <c r="K6" s="13"/>
      <c r="L6" s="16">
        <f t="shared" ca="1" si="0"/>
        <v>12262.74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12262.74</v>
      </c>
      <c r="R6" s="16">
        <f t="shared" ca="1" si="2"/>
        <v>12262.74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8274.14</v>
      </c>
      <c r="I7" s="14"/>
      <c r="J7" s="14"/>
      <c r="K7" s="13"/>
      <c r="L7" s="16">
        <f t="shared" ca="1" si="0"/>
        <v>8274.14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8274.14</v>
      </c>
      <c r="R7" s="16">
        <f t="shared" ca="1" si="2"/>
        <v>8274.14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6110.642105742827</v>
      </c>
      <c r="J8" s="14">
        <f ca="1">Q10/J18</f>
        <v>13757.87789425717</v>
      </c>
      <c r="K8" s="13"/>
      <c r="L8" s="16">
        <f t="shared" ca="1" si="0"/>
        <v>19868.519999999997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2399.04</v>
      </c>
      <c r="P8" s="13" cm="1">
        <f t="array" aca="1" ref="P8" ca="1">-INDIRECT("'data'!$S$" &amp; $A$1)*parameters!$B$15</f>
        <v>-1730.68</v>
      </c>
      <c r="Q8" s="16">
        <f ca="1">SUM(Q6:Q7)</f>
        <v>20536.879999999997</v>
      </c>
      <c r="R8" s="16">
        <f t="shared" ca="1" si="2"/>
        <v>20536.879999999997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6462.119999999999</v>
      </c>
      <c r="L9" s="16">
        <f t="shared" ca="1" si="0"/>
        <v>6462.119999999999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3169.32</v>
      </c>
      <c r="P9" s="13" cm="1">
        <f t="array" aca="1" ref="P9" ca="1">-INDIRECT("'data'!$V$" &amp; $A$1)*parameters!$B$15</f>
        <v>-4283.58</v>
      </c>
      <c r="Q9" s="16" cm="1">
        <f t="array" aca="1" ref="Q9" ca="1">INDIRECT("'data'!$T$" &amp; $A$1)*parameters!$B$15</f>
        <v>5347.86</v>
      </c>
      <c r="R9" s="16">
        <f t="shared" ca="1" si="2"/>
        <v>5347.8599999999988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11438.783044096728</v>
      </c>
      <c r="L10" s="16">
        <f t="shared" ca="1" si="0"/>
        <v>11438.783044096728</v>
      </c>
      <c r="M10" s="16"/>
      <c r="N10" s="16">
        <f t="shared" ca="1" si="3"/>
        <v>0</v>
      </c>
      <c r="O10" s="11" cm="1">
        <f t="array" aca="1" ref="O10" ca="1">INDIRECT("'data'!$X$" &amp; $A$1)*parameters!$B$15</f>
        <v>10249.82</v>
      </c>
      <c r="P10" s="13" cm="1">
        <f t="array" aca="1" ref="P10" ca="1">-INDIRECT("'data'!$Y$" &amp; $A$1)*parameters!$B$15</f>
        <v>-9648.1</v>
      </c>
      <c r="Q10" s="16" cm="1">
        <f t="array" aca="1" ref="Q10" ca="1">INDIRECT("'data'!$W$" &amp; $A$1)*parameters!$B$15</f>
        <v>12040.503044096728</v>
      </c>
      <c r="R10" s="16">
        <f t="shared" ca="1" si="2"/>
        <v>12040.503044096729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15379.606217923183</v>
      </c>
      <c r="N11" s="19"/>
      <c r="O11" s="21" cm="1">
        <f t="array" aca="1" ref="O11" ca="1">INDIRECT("'data'!$Z$" &amp; $A$1)*parameters!$B$15</f>
        <v>9418.7800000000007</v>
      </c>
      <c r="P11" s="27" cm="1">
        <f t="array" aca="1" ref="P11" ca="1">-INDIRECT("'data'!$AA$" &amp; $A$1)*parameters!$B$15</f>
        <v>-8886.64</v>
      </c>
      <c r="Q11" s="16">
        <f ca="1">K9*parameters!$B$10+K10*parameters!$B$11</f>
        <v>15911.746217923184</v>
      </c>
      <c r="R11" s="16">
        <f t="shared" ref="R11:R17" ca="1" si="4">SUM(L11:P11)</f>
        <v>15911.746217923184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-83.374163228338148</v>
      </c>
      <c r="D12" s="9">
        <f ca="1">-(D17-Q4)</f>
        <v>0</v>
      </c>
      <c r="E12" s="9">
        <f ca="1">-(E17-Q5)</f>
        <v>-1182.2896278005555</v>
      </c>
      <c r="F12" s="9">
        <f ca="1">-(F17-Q6)</f>
        <v>-810.54358208955273</v>
      </c>
      <c r="G12" s="9">
        <f ca="1">-(G17-Q7)</f>
        <v>-371.77431556948795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-2447.9816886879344</v>
      </c>
      <c r="M12" s="17"/>
      <c r="N12" s="17"/>
      <c r="O12" s="10"/>
      <c r="P12" s="12"/>
      <c r="Q12" s="9">
        <f t="shared" ref="Q12:Q17" ca="1" si="6">SUM(L12:P12)</f>
        <v>-2447.9816886879344</v>
      </c>
      <c r="R12" s="17">
        <f t="shared" ca="1" si="4"/>
        <v>-2447.9816886879344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-762.7821057428273</v>
      </c>
      <c r="J13" s="14">
        <f ca="1">-(J17-Q10)</f>
        <v>-1717.3748501604423</v>
      </c>
      <c r="K13" s="13">
        <f ca="1">-(K17-Q11)</f>
        <v>-1989.156826173541</v>
      </c>
      <c r="L13" s="14">
        <f t="shared" ca="1" si="5"/>
        <v>-4469.3137820768106</v>
      </c>
      <c r="M13" s="16">
        <f ca="1">-E15</f>
        <v>-6278.7737433827833</v>
      </c>
      <c r="N13" s="16"/>
      <c r="O13" s="11"/>
      <c r="P13" s="13"/>
      <c r="Q13" s="14">
        <f t="shared" ca="1" si="6"/>
        <v>-10748.087525459594</v>
      </c>
      <c r="R13" s="16">
        <f t="shared" ca="1" si="4"/>
        <v>-10748.087525459594</v>
      </c>
    </row>
    <row r="14" spans="1:20">
      <c r="A14" s="18" t="s">
        <v>78</v>
      </c>
      <c r="B14" s="11"/>
      <c r="C14" s="14"/>
      <c r="D14" s="14"/>
      <c r="E14" s="14">
        <f ca="1">-(I13+J13)-K13</f>
        <v>4469.3137820768106</v>
      </c>
      <c r="F14" s="14"/>
      <c r="G14" s="14"/>
      <c r="H14" s="14"/>
      <c r="I14" s="14"/>
      <c r="J14" s="14"/>
      <c r="K14" s="13"/>
      <c r="L14" s="14">
        <f t="shared" ca="1" si="5"/>
        <v>4469.3137820768106</v>
      </c>
      <c r="M14" s="16"/>
      <c r="N14" s="16"/>
      <c r="O14" s="11"/>
      <c r="P14" s="13"/>
      <c r="Q14" s="14">
        <f t="shared" ca="1" si="6"/>
        <v>4469.3137820768106</v>
      </c>
      <c r="R14" s="16">
        <f t="shared" ca="1" si="4"/>
        <v>4469.3137820768106</v>
      </c>
    </row>
    <row r="15" spans="1:20">
      <c r="A15" s="18" t="s">
        <v>79</v>
      </c>
      <c r="B15" s="11"/>
      <c r="C15" s="14"/>
      <c r="D15" s="14"/>
      <c r="E15" s="14">
        <f ca="1">E17-E14</f>
        <v>6278.7737433827833</v>
      </c>
      <c r="F15" s="14"/>
      <c r="G15" s="14"/>
      <c r="H15" s="14"/>
      <c r="I15" s="14"/>
      <c r="J15" s="14"/>
      <c r="K15" s="13"/>
      <c r="L15" s="14">
        <f t="shared" ca="1" si="5"/>
        <v>6278.7737433827833</v>
      </c>
      <c r="M15" s="16"/>
      <c r="N15" s="16"/>
      <c r="O15" s="11"/>
      <c r="P15" s="13"/>
      <c r="Q15" s="14">
        <f t="shared" ca="1" si="6"/>
        <v>6278.7737433827833</v>
      </c>
      <c r="R15" s="16">
        <f t="shared" ca="1" si="4"/>
        <v>6278.7737433827833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13233.994163228337</v>
      </c>
      <c r="D17" s="9">
        <f ca="1">SUM(D$2:D$11)</f>
        <v>0</v>
      </c>
      <c r="E17" s="9">
        <f ca="1">$Q$5/parameters!$B$4</f>
        <v>10748.087525459594</v>
      </c>
      <c r="F17" s="9">
        <f t="shared" ref="F17:K17" ca="1" si="7">SUM(F$2:F$11)</f>
        <v>13073.283582089553</v>
      </c>
      <c r="G17" s="9">
        <f t="shared" ca="1" si="7"/>
        <v>8645.9143155694874</v>
      </c>
      <c r="H17" s="9">
        <f t="shared" ca="1" si="7"/>
        <v>20536.879999999997</v>
      </c>
      <c r="I17" s="9">
        <f t="shared" ca="1" si="7"/>
        <v>6110.642105742827</v>
      </c>
      <c r="J17" s="9">
        <f t="shared" ca="1" si="7"/>
        <v>13757.87789425717</v>
      </c>
      <c r="K17" s="9">
        <f t="shared" ca="1" si="7"/>
        <v>17900.903044096725</v>
      </c>
      <c r="L17" s="17">
        <f t="shared" ca="1" si="5"/>
        <v>104007.58263044368</v>
      </c>
      <c r="M17" s="17"/>
      <c r="N17" s="17"/>
      <c r="O17" s="9"/>
      <c r="P17" s="14"/>
      <c r="Q17" s="11">
        <f t="shared" ca="1" si="6"/>
        <v>104007.58263044368</v>
      </c>
      <c r="R17" s="17">
        <f t="shared" ca="1" si="4"/>
        <v>104007.58263044368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0.87517152984201796</v>
      </c>
      <c r="J18" s="38">
        <f ca="1">I18</f>
        <v>0.87517152984201796</v>
      </c>
      <c r="K18" s="39">
        <f ca="1">1-(-K13)/K17</f>
        <v>0.88887952628571354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3860.0734628157388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3860.0734628157388</v>
      </c>
      <c r="M2" s="17"/>
      <c r="N2" s="17">
        <f ca="1">Q2-(L2+O2+P2)</f>
        <v>0</v>
      </c>
      <c r="O2" s="11" cm="1">
        <f t="array" aca="1" ref="O2" ca="1">INDIRECT("'data'!$F$" &amp; $A$1)</f>
        <v>16.900000000000002</v>
      </c>
      <c r="P2" s="13">
        <f ca="1">IF(-(L2-Q2+O2)&lt;0, -(L2-Q2+O2), 0)</f>
        <v>-3876.9734628157389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3523.8208955223881</v>
      </c>
      <c r="G3" s="14">
        <f ca="1">Q3-O3-P3-F3</f>
        <v>676.70410447761151</v>
      </c>
      <c r="H3" s="14"/>
      <c r="I3" s="14"/>
      <c r="J3" s="14"/>
      <c r="K3" s="13"/>
      <c r="L3" s="16">
        <f t="shared" ca="1" si="0"/>
        <v>4200.5249999999996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-366.65999999999997</v>
      </c>
      <c r="Q3" s="16" cm="1">
        <f t="array" aca="1" ref="Q3" ca="1">INDIRECT("'data'!$G$" &amp; $A$1)*parameters!$B$13</f>
        <v>3835.7549999999997</v>
      </c>
      <c r="R3" s="16">
        <f t="shared" ref="R3:R10" ca="1" si="2">SUM(L3:P3)</f>
        <v>3835.7550000000001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880.95522388059715</v>
      </c>
      <c r="G5" s="14">
        <f ca="1">Q7/parameters!$B$7-(G3+G4)</f>
        <v>11261.477713704207</v>
      </c>
      <c r="H5" s="14"/>
      <c r="I5" s="14"/>
      <c r="J5" s="14"/>
      <c r="K5" s="13"/>
      <c r="L5" s="16">
        <f t="shared" ca="1" si="0"/>
        <v>12142.432937584805</v>
      </c>
      <c r="M5" s="16"/>
      <c r="N5" s="16"/>
      <c r="O5" s="11" cm="1">
        <f t="array" aca="1" ref="O5" ca="1">INDIRECT("'data'!$M$" &amp; $A$1)*parameters!$B$15</f>
        <v>51.94</v>
      </c>
      <c r="P5" s="13" cm="1">
        <f t="array" aca="1" ref="P5" ca="1">-INDIRECT("'data'!$N$" &amp; $A$1)*parameters!$B$15</f>
        <v>-5935.86</v>
      </c>
      <c r="Q5" s="16">
        <f ca="1">SUM(L5:P5)</f>
        <v>6258.5129375848055</v>
      </c>
      <c r="R5" s="16">
        <f t="shared" ca="1" si="2"/>
        <v>6258.5129375848055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4131.68</v>
      </c>
      <c r="I6" s="14"/>
      <c r="J6" s="14"/>
      <c r="K6" s="13"/>
      <c r="L6" s="16">
        <f t="shared" ca="1" si="0"/>
        <v>4131.68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4131.68</v>
      </c>
      <c r="R6" s="16">
        <f t="shared" ca="1" si="2"/>
        <v>4131.68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11424.84</v>
      </c>
      <c r="I7" s="14"/>
      <c r="J7" s="14"/>
      <c r="K7" s="13"/>
      <c r="L7" s="16">
        <f t="shared" ca="1" si="0"/>
        <v>11424.84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11424.84</v>
      </c>
      <c r="R7" s="16">
        <f t="shared" ca="1" si="2"/>
        <v>11424.84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10507.26379290015</v>
      </c>
      <c r="J8" s="14">
        <f ca="1">Q10/J18</f>
        <v>5437.3362070998501</v>
      </c>
      <c r="K8" s="13"/>
      <c r="L8" s="16">
        <f t="shared" ca="1" si="0"/>
        <v>15944.6</v>
      </c>
      <c r="M8" s="16"/>
      <c r="N8" s="16">
        <f t="shared" ca="1" si="3"/>
        <v>0</v>
      </c>
      <c r="O8" s="11" cm="1">
        <f t="array" aca="1" ref="O8" ca="1">INDIRECT("'data'!$R$" &amp; $A$1)*parameters!$B$15</f>
        <v>368.48</v>
      </c>
      <c r="P8" s="13" cm="1">
        <f t="array" aca="1" ref="P8" ca="1">-INDIRECT("'data'!$S$" &amp; $A$1)*parameters!$B$15</f>
        <v>-756.56</v>
      </c>
      <c r="Q8" s="16">
        <f ca="1">SUM(Q6:Q7)</f>
        <v>15556.52</v>
      </c>
      <c r="R8" s="16">
        <f t="shared" ca="1" si="2"/>
        <v>15556.52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8483.86</v>
      </c>
      <c r="L9" s="16">
        <f t="shared" ca="1" si="0"/>
        <v>8483.86</v>
      </c>
      <c r="M9" s="16"/>
      <c r="N9" s="16">
        <f t="shared" ca="1" si="3"/>
        <v>0</v>
      </c>
      <c r="O9" s="11" cm="1">
        <f t="array" aca="1" ref="O9" ca="1">INDIRECT("'data'!$U$" &amp; $A$1)*parameters!$B$15</f>
        <v>3158.54</v>
      </c>
      <c r="P9" s="13" cm="1">
        <f t="array" aca="1" ref="P9" ca="1">-INDIRECT("'data'!$V$" &amp; $A$1)*parameters!$B$15</f>
        <v>-2168.7399999999998</v>
      </c>
      <c r="Q9" s="16" cm="1">
        <f t="array" aca="1" ref="Q9" ca="1">INDIRECT("'data'!$T$" &amp; $A$1)*parameters!$B$15</f>
        <v>9473.66</v>
      </c>
      <c r="R9" s="16">
        <f t="shared" ca="1" si="2"/>
        <v>9473.6600000000017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8842.0632432432431</v>
      </c>
      <c r="L10" s="16">
        <f t="shared" ca="1" si="0"/>
        <v>8842.0632432432431</v>
      </c>
      <c r="M10" s="16"/>
      <c r="N10" s="16">
        <f t="shared" ca="1" si="3"/>
        <v>0</v>
      </c>
      <c r="O10" s="11" cm="1">
        <f t="array" aca="1" ref="O10" ca="1">INDIRECT("'data'!$X$" &amp; $A$1)*parameters!$B$15</f>
        <v>1884.54</v>
      </c>
      <c r="P10" s="13" cm="1">
        <f t="array" aca="1" ref="P10" ca="1">-INDIRECT("'data'!$Y$" &amp; $A$1)*parameters!$B$15</f>
        <v>-5824.14</v>
      </c>
      <c r="Q10" s="16" cm="1">
        <f t="array" aca="1" ref="Q10" ca="1">INDIRECT("'data'!$W$" &amp; $A$1)*parameters!$B$15</f>
        <v>4902.4632432432427</v>
      </c>
      <c r="R10" s="16">
        <f t="shared" ca="1" si="2"/>
        <v>4902.4632432432436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14914.562789189189</v>
      </c>
      <c r="N11" s="19"/>
      <c r="O11" s="21" cm="1">
        <f t="array" aca="1" ref="O11" ca="1">INDIRECT("'data'!$Z$" &amp; $A$1)*parameters!$B$15</f>
        <v>6279.84</v>
      </c>
      <c r="P11" s="27" cm="1">
        <f t="array" aca="1" ref="P11" ca="1">-INDIRECT("'data'!$AA$" &amp; $A$1)*parameters!$B$15</f>
        <v>-5615.4</v>
      </c>
      <c r="Q11" s="16">
        <f ca="1">K9*parameters!$B$10+K10*parameters!$B$11</f>
        <v>15579.00278918919</v>
      </c>
      <c r="R11" s="16">
        <f t="shared" ref="R11:R17" ca="1" si="4">SUM(L11:P11)</f>
        <v>15579.00278918919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-24.318462815739167</v>
      </c>
      <c r="D12" s="9">
        <f ca="1">-(D17-Q4)</f>
        <v>0</v>
      </c>
      <c r="E12" s="9">
        <f ca="1">-(E17-Q5)</f>
        <v>-773.5240709374475</v>
      </c>
      <c r="F12" s="9">
        <f ca="1">-(F17-Q6)</f>
        <v>-273.0961194029851</v>
      </c>
      <c r="G12" s="9">
        <f ca="1">-(G17-Q7)</f>
        <v>-513.34181818181969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-1584.2804713379915</v>
      </c>
      <c r="M12" s="17"/>
      <c r="N12" s="17"/>
      <c r="O12" s="10"/>
      <c r="P12" s="12"/>
      <c r="Q12" s="9">
        <f t="shared" ref="Q12:Q17" ca="1" si="6">SUM(L12:P12)</f>
        <v>-1584.2804713379915</v>
      </c>
      <c r="R12" s="17">
        <f t="shared" ca="1" si="4"/>
        <v>-1584.2804713379915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-1033.6037929001504</v>
      </c>
      <c r="J13" s="14">
        <f ca="1">-(J17-Q10)</f>
        <v>-534.87296385660738</v>
      </c>
      <c r="K13" s="13">
        <f ca="1">-(K17-Q11)</f>
        <v>-1746.9204540540541</v>
      </c>
      <c r="L13" s="14">
        <f t="shared" ca="1" si="5"/>
        <v>-3315.3972108108119</v>
      </c>
      <c r="M13" s="16">
        <f ca="1">-E15</f>
        <v>-3716.6397977114411</v>
      </c>
      <c r="N13" s="16"/>
      <c r="O13" s="11"/>
      <c r="P13" s="13"/>
      <c r="Q13" s="14">
        <f t="shared" ca="1" si="6"/>
        <v>-7032.037008522253</v>
      </c>
      <c r="R13" s="16">
        <f t="shared" ca="1" si="4"/>
        <v>-7032.037008522253</v>
      </c>
    </row>
    <row r="14" spans="1:20">
      <c r="A14" s="18" t="s">
        <v>78</v>
      </c>
      <c r="B14" s="11"/>
      <c r="C14" s="14"/>
      <c r="D14" s="14"/>
      <c r="E14" s="14">
        <f ca="1">-(I13+J13)-K13</f>
        <v>3315.3972108108119</v>
      </c>
      <c r="F14" s="14"/>
      <c r="G14" s="14"/>
      <c r="H14" s="14"/>
      <c r="I14" s="14"/>
      <c r="J14" s="14"/>
      <c r="K14" s="13"/>
      <c r="L14" s="14">
        <f t="shared" ca="1" si="5"/>
        <v>3315.3972108108119</v>
      </c>
      <c r="M14" s="16"/>
      <c r="N14" s="16"/>
      <c r="O14" s="11"/>
      <c r="P14" s="13"/>
      <c r="Q14" s="14">
        <f t="shared" ca="1" si="6"/>
        <v>3315.3972108108119</v>
      </c>
      <c r="R14" s="16">
        <f t="shared" ca="1" si="4"/>
        <v>3315.3972108108119</v>
      </c>
    </row>
    <row r="15" spans="1:20">
      <c r="A15" s="18" t="s">
        <v>79</v>
      </c>
      <c r="B15" s="11"/>
      <c r="C15" s="14"/>
      <c r="D15" s="14"/>
      <c r="E15" s="14">
        <f ca="1">E17-E14</f>
        <v>3716.6397977114411</v>
      </c>
      <c r="F15" s="14"/>
      <c r="G15" s="14"/>
      <c r="H15" s="14"/>
      <c r="I15" s="14"/>
      <c r="J15" s="14"/>
      <c r="K15" s="13"/>
      <c r="L15" s="14">
        <f t="shared" ca="1" si="5"/>
        <v>3716.6397977114411</v>
      </c>
      <c r="M15" s="16"/>
      <c r="N15" s="16"/>
      <c r="O15" s="11"/>
      <c r="P15" s="13"/>
      <c r="Q15" s="14">
        <f t="shared" ca="1" si="6"/>
        <v>3716.6397977114411</v>
      </c>
      <c r="R15" s="16">
        <f t="shared" ca="1" si="4"/>
        <v>3716.6397977114411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3860.0734628157388</v>
      </c>
      <c r="D17" s="9">
        <f ca="1">SUM(D$2:D$11)</f>
        <v>0</v>
      </c>
      <c r="E17" s="9">
        <f ca="1">$Q$5/parameters!$B$4</f>
        <v>7032.037008522253</v>
      </c>
      <c r="F17" s="9">
        <f t="shared" ref="F17:K17" ca="1" si="7">SUM(F$2:F$11)</f>
        <v>4404.7761194029854</v>
      </c>
      <c r="G17" s="9">
        <f t="shared" ca="1" si="7"/>
        <v>11938.18181818182</v>
      </c>
      <c r="H17" s="9">
        <f t="shared" ca="1" si="7"/>
        <v>15556.52</v>
      </c>
      <c r="I17" s="9">
        <f t="shared" ca="1" si="7"/>
        <v>10507.26379290015</v>
      </c>
      <c r="J17" s="9">
        <f t="shared" ca="1" si="7"/>
        <v>5437.3362070998501</v>
      </c>
      <c r="K17" s="9">
        <f t="shared" ca="1" si="7"/>
        <v>17325.923243243244</v>
      </c>
      <c r="L17" s="17">
        <f t="shared" ca="1" si="5"/>
        <v>76062.111652166044</v>
      </c>
      <c r="M17" s="17"/>
      <c r="N17" s="17"/>
      <c r="O17" s="9"/>
      <c r="P17" s="14"/>
      <c r="Q17" s="11">
        <f t="shared" ca="1" si="6"/>
        <v>76062.111652166044</v>
      </c>
      <c r="R17" s="17">
        <f t="shared" ca="1" si="4"/>
        <v>76062.111652166044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0.95699999999999985</v>
      </c>
      <c r="H18" s="38">
        <f t="shared" ref="H18" ca="1" si="9">1-(-H12)/H17</f>
        <v>1</v>
      </c>
      <c r="I18" s="38">
        <f ca="1">(Q9+Q10)/(Q8-O8-P8)</f>
        <v>0.9016295951759995</v>
      </c>
      <c r="J18" s="38">
        <f ca="1">I18</f>
        <v>0.9016295951759995</v>
      </c>
      <c r="K18" s="39">
        <f ca="1">1-(-K13)/K17</f>
        <v>0.89917302359426543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8467.6260440776878</v>
      </c>
      <c r="D2" s="9">
        <f ca="1">Q4/parameters!$B$3</f>
        <v>1042.4876723357152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9510.1137164134034</v>
      </c>
      <c r="M2" s="17"/>
      <c r="N2" s="17">
        <f ca="1">Q2-(L2+O2+P2)</f>
        <v>0</v>
      </c>
      <c r="O2" s="11" cm="1">
        <f t="array" aca="1" ref="O2" ca="1">INDIRECT("'data'!$F$" &amp; $A$1)</f>
        <v>17231.5</v>
      </c>
      <c r="P2" s="13">
        <f ca="1">IF(-(L2-Q2+O2)&lt;0, -(L2-Q2+O2), 0)</f>
        <v>-3997.6137164134034</v>
      </c>
      <c r="Q2" s="17" cm="1">
        <f t="array" aca="1" ref="Q2" ca="1">INDIRECT("'data'!$D$" &amp; $A$1)</f>
        <v>22744</v>
      </c>
      <c r="R2" s="17">
        <f ca="1">SUM(L2:P2)</f>
        <v>22744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8030.567164179105</v>
      </c>
      <c r="G3" s="14">
        <f ca="1">Q3-O3-P3-F3</f>
        <v>344.96783582089483</v>
      </c>
      <c r="H3" s="14"/>
      <c r="I3" s="14"/>
      <c r="J3" s="14"/>
      <c r="K3" s="13"/>
      <c r="L3" s="16">
        <f t="shared" ca="1" si="0"/>
        <v>8375.5349999999999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103.005</v>
      </c>
      <c r="P3" s="13" cm="1">
        <f t="array" aca="1" ref="P3" ca="1">-INDIRECT("'data'!$I$" &amp; $A$1)*parameters!$B$13</f>
        <v>-64.259999999999991</v>
      </c>
      <c r="Q3" s="16" cm="1">
        <f t="array" aca="1" ref="Q3" ca="1">INDIRECT("'data'!$G$" &amp; $A$1)*parameters!$B$13</f>
        <v>8414.2799999999988</v>
      </c>
      <c r="R3" s="16">
        <f t="shared" ref="R3:R10" ca="1" si="2">SUM(L3:P3)</f>
        <v>8414.2799999999988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1035.92</v>
      </c>
      <c r="H4" s="14"/>
      <c r="I4" s="14"/>
      <c r="J4" s="14"/>
      <c r="K4" s="13"/>
      <c r="L4" s="16">
        <f t="shared" ca="1" si="0"/>
        <v>1035.92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1035.92</v>
      </c>
      <c r="R4" s="16">
        <f t="shared" ca="1" si="2"/>
        <v>1035.92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2007.6417910447763</v>
      </c>
      <c r="G5" s="14">
        <f ca="1">Q7/parameters!$B$7-(G3+G4)</f>
        <v>5773.0097608353226</v>
      </c>
      <c r="H5" s="14"/>
      <c r="I5" s="14"/>
      <c r="J5" s="14"/>
      <c r="K5" s="13"/>
      <c r="L5" s="16">
        <f t="shared" ca="1" si="0"/>
        <v>7780.6515518800989</v>
      </c>
      <c r="M5" s="16"/>
      <c r="N5" s="16"/>
      <c r="O5" s="11" cm="1">
        <f t="array" aca="1" ref="O5" ca="1">INDIRECT("'data'!$M$" &amp; $A$1)*parameters!$B$15</f>
        <v>1874.74</v>
      </c>
      <c r="P5" s="13" cm="1">
        <f t="array" aca="1" ref="P5" ca="1">-INDIRECT("'data'!$N$" &amp; $A$1)*parameters!$B$15</f>
        <v>-1299.48</v>
      </c>
      <c r="Q5" s="16">
        <f ca="1">SUM(L5:P5)</f>
        <v>8355.9115518800991</v>
      </c>
      <c r="R5" s="16">
        <f t="shared" ca="1" si="2"/>
        <v>8355.9115518800991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9415.84</v>
      </c>
      <c r="I6" s="14"/>
      <c r="J6" s="14"/>
      <c r="K6" s="13"/>
      <c r="L6" s="16">
        <f t="shared" ca="1" si="0"/>
        <v>9415.84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9415.84</v>
      </c>
      <c r="R6" s="16">
        <f t="shared" ca="1" si="2"/>
        <v>9415.84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6846.28</v>
      </c>
      <c r="I7" s="14"/>
      <c r="J7" s="14"/>
      <c r="K7" s="13"/>
      <c r="L7" s="16">
        <f t="shared" ca="1" si="0"/>
        <v>6846.28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6846.28</v>
      </c>
      <c r="R7" s="16">
        <f t="shared" ca="1" si="2"/>
        <v>6846.28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4776.1897061177697</v>
      </c>
      <c r="J8" s="14">
        <f ca="1">Q10/J18</f>
        <v>11658.410293882231</v>
      </c>
      <c r="K8" s="13"/>
      <c r="L8" s="16">
        <f t="shared" ca="1" si="0"/>
        <v>16434.599999999999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347.9</v>
      </c>
      <c r="P8" s="13" cm="1">
        <f t="array" aca="1" ref="P8" ca="1">-INDIRECT("'data'!$S$" &amp; $A$1)*parameters!$B$15</f>
        <v>-520.38</v>
      </c>
      <c r="Q8" s="16">
        <f ca="1">SUM(Q6:Q7)</f>
        <v>16262.119999999999</v>
      </c>
      <c r="R8" s="16">
        <f t="shared" ca="1" si="2"/>
        <v>16262.12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4693.22</v>
      </c>
      <c r="L9" s="16">
        <f t="shared" ca="1" si="0"/>
        <v>4693.22</v>
      </c>
      <c r="M9" s="16"/>
      <c r="N9" s="16">
        <f t="shared" ca="1" si="3"/>
        <v>0</v>
      </c>
      <c r="O9" s="11" cm="1">
        <f t="array" aca="1" ref="O9" ca="1">INDIRECT("'data'!$U$" &amp; $A$1)*parameters!$B$15</f>
        <v>2072.6999999999998</v>
      </c>
      <c r="P9" s="13" cm="1">
        <f t="array" aca="1" ref="P9" ca="1">-INDIRECT("'data'!$V$" &amp; $A$1)*parameters!$B$15</f>
        <v>-2742.04</v>
      </c>
      <c r="Q9" s="16" cm="1">
        <f t="array" aca="1" ref="Q9" ca="1">INDIRECT("'data'!$T$" &amp; $A$1)*parameters!$B$15</f>
        <v>4023.88</v>
      </c>
      <c r="R9" s="16">
        <f t="shared" ca="1" si="2"/>
        <v>4023.88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12632.704637268847</v>
      </c>
      <c r="L10" s="16">
        <f t="shared" ca="1" si="0"/>
        <v>12632.704637268847</v>
      </c>
      <c r="M10" s="16"/>
      <c r="N10" s="16">
        <f t="shared" ca="1" si="3"/>
        <v>0</v>
      </c>
      <c r="O10" s="11" cm="1">
        <f t="array" aca="1" ref="O10" ca="1">INDIRECT("'data'!$X$" &amp; $A$1)*parameters!$B$15</f>
        <v>1538.6</v>
      </c>
      <c r="P10" s="13" cm="1">
        <f t="array" aca="1" ref="P10" ca="1">-INDIRECT("'data'!$Y$" &amp; $A$1)*parameters!$B$15</f>
        <v>-4349.24</v>
      </c>
      <c r="Q10" s="16" cm="1">
        <f t="array" aca="1" ref="Q10" ca="1">INDIRECT("'data'!$W$" &amp; $A$1)*parameters!$B$15</f>
        <v>9822.0646372688479</v>
      </c>
      <c r="R10" s="16">
        <f t="shared" ca="1" si="2"/>
        <v>9822.0646372688479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16161.672788051208</v>
      </c>
      <c r="N11" s="19"/>
      <c r="O11" s="21" cm="1">
        <f t="array" aca="1" ref="O11" ca="1">INDIRECT("'data'!$Z$" &amp; $A$1)*parameters!$B$15</f>
        <v>7626.36</v>
      </c>
      <c r="P11" s="27" cm="1">
        <f t="array" aca="1" ref="P11" ca="1">-INDIRECT("'data'!$AA$" &amp; $A$1)*parameters!$B$15</f>
        <v>-8512.2800000000007</v>
      </c>
      <c r="Q11" s="16">
        <f ca="1">K9*parameters!$B$10+K10*parameters!$B$11</f>
        <v>15275.752788051208</v>
      </c>
      <c r="R11" s="16">
        <f t="shared" ref="R11:R17" ca="1" si="4">SUM(L11:P11)</f>
        <v>15275.752788051208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-53.34604407768893</v>
      </c>
      <c r="D12" s="9">
        <f ca="1">-(D17-Q4)</f>
        <v>-6.5676723357150877</v>
      </c>
      <c r="E12" s="9">
        <f ca="1">-(E17-Q5)</f>
        <v>-1032.7531131537198</v>
      </c>
      <c r="F12" s="9">
        <f ca="1">-(F17-Q6)</f>
        <v>-622.36895522388113</v>
      </c>
      <c r="G12" s="9">
        <f ca="1">-(G17-Q7)</f>
        <v>-307.61759665621776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-2022.6533814472227</v>
      </c>
      <c r="M12" s="17"/>
      <c r="N12" s="17"/>
      <c r="O12" s="10"/>
      <c r="P12" s="12"/>
      <c r="Q12" s="9">
        <f t="shared" ref="Q12:Q17" ca="1" si="6">SUM(L12:P12)</f>
        <v>-2022.6533814472227</v>
      </c>
      <c r="R12" s="17">
        <f t="shared" ca="1" si="4"/>
        <v>-2022.6533814472227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-752.30970611776957</v>
      </c>
      <c r="J13" s="14">
        <f ca="1">-(J17-Q10)</f>
        <v>-1836.3456566133827</v>
      </c>
      <c r="K13" s="13">
        <f ca="1">-(K17-Q11)</f>
        <v>-2050.1718492176387</v>
      </c>
      <c r="L13" s="14">
        <f t="shared" ca="1" si="5"/>
        <v>-4638.827211948791</v>
      </c>
      <c r="M13" s="16">
        <f ca="1">-E15</f>
        <v>-4749.8374530850278</v>
      </c>
      <c r="N13" s="16"/>
      <c r="O13" s="11"/>
      <c r="P13" s="13"/>
      <c r="Q13" s="14">
        <f t="shared" ca="1" si="6"/>
        <v>-9388.6646650338189</v>
      </c>
      <c r="R13" s="16">
        <f t="shared" ca="1" si="4"/>
        <v>-9388.6646650338189</v>
      </c>
    </row>
    <row r="14" spans="1:20">
      <c r="A14" s="18" t="s">
        <v>78</v>
      </c>
      <c r="B14" s="11"/>
      <c r="C14" s="14"/>
      <c r="D14" s="14"/>
      <c r="E14" s="14">
        <f ca="1">-(I13+J13)-K13</f>
        <v>4638.827211948791</v>
      </c>
      <c r="F14" s="14"/>
      <c r="G14" s="14"/>
      <c r="H14" s="14"/>
      <c r="I14" s="14"/>
      <c r="J14" s="14"/>
      <c r="K14" s="13"/>
      <c r="L14" s="14">
        <f t="shared" ca="1" si="5"/>
        <v>4638.827211948791</v>
      </c>
      <c r="M14" s="16"/>
      <c r="N14" s="16"/>
      <c r="O14" s="11"/>
      <c r="P14" s="13"/>
      <c r="Q14" s="14">
        <f t="shared" ca="1" si="6"/>
        <v>4638.827211948791</v>
      </c>
      <c r="R14" s="16">
        <f t="shared" ca="1" si="4"/>
        <v>4638.827211948791</v>
      </c>
    </row>
    <row r="15" spans="1:20">
      <c r="A15" s="18" t="s">
        <v>79</v>
      </c>
      <c r="B15" s="11"/>
      <c r="C15" s="14"/>
      <c r="D15" s="14"/>
      <c r="E15" s="14">
        <f ca="1">E17-E14</f>
        <v>4749.8374530850278</v>
      </c>
      <c r="F15" s="14"/>
      <c r="G15" s="14"/>
      <c r="H15" s="14"/>
      <c r="I15" s="14"/>
      <c r="J15" s="14"/>
      <c r="K15" s="13"/>
      <c r="L15" s="14">
        <f t="shared" ca="1" si="5"/>
        <v>4749.8374530850278</v>
      </c>
      <c r="M15" s="16"/>
      <c r="N15" s="16"/>
      <c r="O15" s="11"/>
      <c r="P15" s="13"/>
      <c r="Q15" s="14">
        <f t="shared" ca="1" si="6"/>
        <v>4749.8374530850278</v>
      </c>
      <c r="R15" s="16">
        <f t="shared" ca="1" si="4"/>
        <v>4749.8374530850278</v>
      </c>
    </row>
    <row r="16" spans="1:20">
      <c r="A16" s="30" t="s">
        <v>89</v>
      </c>
      <c r="B16" s="21">
        <f ca="1">Q2</f>
        <v>22744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22744</v>
      </c>
      <c r="M16" s="19"/>
      <c r="N16" s="19"/>
      <c r="O16" s="21"/>
      <c r="P16" s="27"/>
      <c r="Q16" s="22">
        <f t="shared" ca="1" si="6"/>
        <v>22744</v>
      </c>
      <c r="R16" s="19">
        <f t="shared" ca="1" si="4"/>
        <v>22744</v>
      </c>
    </row>
    <row r="17" spans="1:18">
      <c r="A17" s="29" t="s">
        <v>88</v>
      </c>
      <c r="B17" s="9">
        <f ca="1">B16</f>
        <v>22744</v>
      </c>
      <c r="C17" s="9">
        <f ca="1">SUM(C$2:C$11)</f>
        <v>8467.6260440776878</v>
      </c>
      <c r="D17" s="9">
        <f ca="1">SUM(D$2:D$11)</f>
        <v>1042.4876723357152</v>
      </c>
      <c r="E17" s="9">
        <f ca="1">$Q$5/parameters!$B$4</f>
        <v>9388.6646650338189</v>
      </c>
      <c r="F17" s="9">
        <f t="shared" ref="F17:K17" ca="1" si="7">SUM(F$2:F$11)</f>
        <v>10038.208955223881</v>
      </c>
      <c r="G17" s="9">
        <f t="shared" ca="1" si="7"/>
        <v>7153.8975966562175</v>
      </c>
      <c r="H17" s="9">
        <f t="shared" ca="1" si="7"/>
        <v>16262.119999999999</v>
      </c>
      <c r="I17" s="9">
        <f t="shared" ca="1" si="7"/>
        <v>4776.1897061177697</v>
      </c>
      <c r="J17" s="9">
        <f t="shared" ca="1" si="7"/>
        <v>11658.410293882231</v>
      </c>
      <c r="K17" s="9">
        <f t="shared" ca="1" si="7"/>
        <v>17325.924637268847</v>
      </c>
      <c r="L17" s="17">
        <f t="shared" ca="1" si="5"/>
        <v>108857.52957059618</v>
      </c>
      <c r="M17" s="17"/>
      <c r="N17" s="17"/>
      <c r="O17" s="9"/>
      <c r="P17" s="14"/>
      <c r="Q17" s="11">
        <f t="shared" ca="1" si="6"/>
        <v>108857.52957059618</v>
      </c>
      <c r="R17" s="17">
        <f t="shared" ca="1" si="4"/>
        <v>108857.52957059618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0.99369999999999992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0.84248747382162315</v>
      </c>
      <c r="J18" s="38">
        <f ca="1">I18</f>
        <v>0.84248747382162315</v>
      </c>
      <c r="K18" s="39">
        <f ca="1">1-(-K13)/K17</f>
        <v>0.88167027779818308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1177.0239998812117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1177.0239998812117</v>
      </c>
      <c r="M2" s="17"/>
      <c r="N2" s="17">
        <f ca="1">Q2-(L2+O2+P2)</f>
        <v>0</v>
      </c>
      <c r="O2" s="11" cm="1">
        <f t="array" aca="1" ref="O2" ca="1">INDIRECT("'data'!$F$" &amp; $A$1)</f>
        <v>92.3</v>
      </c>
      <c r="P2" s="13">
        <f ca="1">IF(-(L2-Q2+O2)&lt;0, -(L2-Q2+O2), 0)</f>
        <v>-1072.3289378974864</v>
      </c>
      <c r="Q2" s="17" cm="1">
        <f t="array" aca="1" ref="Q2" ca="1">INDIRECT("'data'!$D$" &amp; $A$1)</f>
        <v>196.99506198372521</v>
      </c>
      <c r="R2" s="17">
        <f ca="1">SUM(L2:P2)</f>
        <v>196.99506198372524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146.47499999999999</v>
      </c>
      <c r="H3" s="14"/>
      <c r="I3" s="14"/>
      <c r="J3" s="14"/>
      <c r="K3" s="13"/>
      <c r="L3" s="16">
        <f t="shared" ca="1" si="0"/>
        <v>146.47499999999999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3.78</v>
      </c>
      <c r="P3" s="13" cm="1">
        <f t="array" aca="1" ref="P3" ca="1">-INDIRECT("'data'!$I$" &amp; $A$1)*parameters!$B$13</f>
        <v>-150.255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1169.6087486819602</v>
      </c>
      <c r="H4" s="14"/>
      <c r="I4" s="14"/>
      <c r="J4" s="14"/>
      <c r="K4" s="13"/>
      <c r="L4" s="16">
        <f t="shared" ca="1" si="0"/>
        <v>1169.6087486819602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1169.6087486819602</v>
      </c>
      <c r="R4" s="16">
        <f t="shared" ca="1" si="2"/>
        <v>1169.6087486819602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1600.3634822480294</v>
      </c>
      <c r="H5" s="14"/>
      <c r="I5" s="14"/>
      <c r="J5" s="14"/>
      <c r="K5" s="13"/>
      <c r="L5" s="16">
        <f t="shared" ca="1" si="0"/>
        <v>1600.3634822480294</v>
      </c>
      <c r="M5" s="16"/>
      <c r="N5" s="47">
        <f ca="1">$E$14*[2]parameters!$B$4-$P$5-$L$5-$O$5</f>
        <v>411.4205973821272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-1240.68</v>
      </c>
      <c r="Q5" s="16">
        <f ca="1">SUM(L5:P5)</f>
        <v>771.10407963015655</v>
      </c>
      <c r="R5" s="16">
        <f t="shared" ca="1" si="2"/>
        <v>771.10407963015655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2791.04</v>
      </c>
      <c r="I7" s="14"/>
      <c r="J7" s="14"/>
      <c r="K7" s="13"/>
      <c r="L7" s="16">
        <f t="shared" ca="1" si="0"/>
        <v>2791.04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2791.04</v>
      </c>
      <c r="R7" s="16">
        <f t="shared" ca="1" si="2"/>
        <v>2791.04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2110.640783975924</v>
      </c>
      <c r="J8" s="14">
        <f ca="1">Q10/J18</f>
        <v>1901.4792160240756</v>
      </c>
      <c r="K8" s="13"/>
      <c r="L8" s="16">
        <f t="shared" ca="1" si="0"/>
        <v>4012.12</v>
      </c>
      <c r="M8" s="16"/>
      <c r="N8" s="16">
        <f t="shared" ca="1" si="3"/>
        <v>0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-1225</v>
      </c>
      <c r="Q8" s="16">
        <f ca="1">SUM(Q6:Q7)</f>
        <v>2791.04</v>
      </c>
      <c r="R8" s="16">
        <f t="shared" ca="1" si="2"/>
        <v>2791.04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1952.16</v>
      </c>
      <c r="L9" s="16">
        <f t="shared" ca="1" si="0"/>
        <v>1952.16</v>
      </c>
      <c r="M9" s="16"/>
      <c r="N9" s="16">
        <f t="shared" ca="1" si="3"/>
        <v>0</v>
      </c>
      <c r="O9" s="11" cm="1">
        <f t="array" aca="1" ref="O9" ca="1">INDIRECT("'data'!$U$" &amp; $A$1)*parameters!$B$15</f>
        <v>302.82</v>
      </c>
      <c r="P9" s="13" cm="1">
        <f t="array" aca="1" ref="P9" ca="1">-INDIRECT("'data'!$V$" &amp; $A$1)*parameters!$B$15</f>
        <v>-354.76</v>
      </c>
      <c r="Q9" s="16" cm="1">
        <f t="array" aca="1" ref="Q9" ca="1">INDIRECT("'data'!$T$" &amp; $A$1)*parameters!$B$15</f>
        <v>1900.22</v>
      </c>
      <c r="R9" s="16">
        <f t="shared" ca="1" si="2"/>
        <v>1900.22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2494.930839260313</v>
      </c>
      <c r="L10" s="16">
        <f t="shared" ca="1" si="0"/>
        <v>2494.930839260313</v>
      </c>
      <c r="M10" s="16"/>
      <c r="N10" s="16">
        <f t="shared" ca="1" si="3"/>
        <v>0</v>
      </c>
      <c r="O10" s="11" cm="1">
        <f t="array" aca="1" ref="O10" ca="1">INDIRECT("'data'!$X$" &amp; $A$1)*parameters!$B$15</f>
        <v>671.3</v>
      </c>
      <c r="P10" s="13" cm="1">
        <f t="array" aca="1" ref="P10" ca="1">-INDIRECT("'data'!$Y$" &amp; $A$1)*parameters!$B$15</f>
        <v>-1454.32</v>
      </c>
      <c r="Q10" s="16" cm="1">
        <f t="array" aca="1" ref="Q10" ca="1">INDIRECT("'data'!$W$" &amp; $A$1)*parameters!$B$15</f>
        <v>1711.910839260313</v>
      </c>
      <c r="R10" s="16">
        <f t="shared" ca="1" si="2"/>
        <v>1711.9108392603127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4855.8109217638685</v>
      </c>
      <c r="N11" s="19"/>
      <c r="O11" s="21" cm="1">
        <f t="array" aca="1" ref="O11" ca="1">INDIRECT("'data'!$Z$" &amp; $A$1)*parameters!$B$15</f>
        <v>571.34</v>
      </c>
      <c r="P11" s="27" cm="1">
        <f t="array" aca="1" ref="P11" ca="1">-INDIRECT("'data'!$AA$" &amp; $A$1)*parameters!$B$15</f>
        <v>-1446.48</v>
      </c>
      <c r="Q11" s="16">
        <f ca="1">K9*parameters!$B$10+K10*parameters!$B$11</f>
        <v>3980.670921763869</v>
      </c>
      <c r="R11" s="16">
        <f t="shared" ref="R11:R17" ca="1" si="4">SUM(L11:P11)</f>
        <v>3980.6709217638686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-7.4152511992515429</v>
      </c>
      <c r="E12" s="9">
        <f ca="1">-(E17-Q5)</f>
        <v>-95.304998605974447</v>
      </c>
      <c r="F12" s="9">
        <f ca="1">-(F17-Q6)</f>
        <v>0</v>
      </c>
      <c r="G12" s="9">
        <f ca="1">-(G17-Q7)</f>
        <v>-125.40723092998951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-228.1274807352155</v>
      </c>
      <c r="M12" s="17"/>
      <c r="N12" s="17"/>
      <c r="O12" s="10"/>
      <c r="P12" s="12"/>
      <c r="Q12" s="9">
        <f t="shared" ref="Q12:Q17" ca="1" si="6">SUM(L12:P12)</f>
        <v>-228.1274807352155</v>
      </c>
      <c r="R12" s="17">
        <f t="shared" ca="1" si="4"/>
        <v>-228.1274807352155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-210.420783975924</v>
      </c>
      <c r="J13" s="14">
        <f ca="1">-(J17-Q10)</f>
        <v>-189.56837676376267</v>
      </c>
      <c r="K13" s="13">
        <f ca="1">-(K17-Q11)</f>
        <v>-466.41991749644421</v>
      </c>
      <c r="L13" s="14">
        <f t="shared" ca="1" si="5"/>
        <v>-866.40907823613088</v>
      </c>
      <c r="M13" s="16">
        <f ca="1">-E15</f>
        <v>0</v>
      </c>
      <c r="N13" s="16"/>
      <c r="O13" s="11"/>
      <c r="P13" s="13"/>
      <c r="Q13" s="14">
        <f t="shared" ca="1" si="6"/>
        <v>-866.40907823613088</v>
      </c>
      <c r="R13" s="16">
        <f t="shared" ca="1" si="4"/>
        <v>-866.40907823613088</v>
      </c>
    </row>
    <row r="14" spans="1:19">
      <c r="A14" s="18" t="s">
        <v>78</v>
      </c>
      <c r="B14" s="11"/>
      <c r="C14" s="14"/>
      <c r="D14" s="14"/>
      <c r="E14" s="14">
        <f ca="1">-(I13+J13)-K13</f>
        <v>866.40907823613088</v>
      </c>
      <c r="F14" s="14"/>
      <c r="G14" s="14"/>
      <c r="H14" s="14"/>
      <c r="I14" s="14"/>
      <c r="J14" s="14"/>
      <c r="K14" s="13"/>
      <c r="L14" s="14">
        <f t="shared" ca="1" si="5"/>
        <v>866.40907823613088</v>
      </c>
      <c r="M14" s="16"/>
      <c r="N14" s="16"/>
      <c r="O14" s="11"/>
      <c r="P14" s="13"/>
      <c r="Q14" s="14">
        <f t="shared" ca="1" si="6"/>
        <v>866.40907823613088</v>
      </c>
      <c r="R14" s="16">
        <f t="shared" ca="1" si="4"/>
        <v>866.40907823613088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196.99506198372521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196.99506198372521</v>
      </c>
      <c r="M16" s="19"/>
      <c r="N16" s="19"/>
      <c r="O16" s="21"/>
      <c r="P16" s="27"/>
      <c r="Q16" s="22">
        <f t="shared" ca="1" si="6"/>
        <v>196.99506198372521</v>
      </c>
      <c r="R16" s="19">
        <f t="shared" ca="1" si="4"/>
        <v>196.99506198372521</v>
      </c>
    </row>
    <row r="17" spans="1:18">
      <c r="A17" s="29" t="s">
        <v>88</v>
      </c>
      <c r="B17" s="9">
        <f ca="1">B16</f>
        <v>196.99506198372521</v>
      </c>
      <c r="C17" s="9">
        <f ca="1">SUM(C$2:C$11)</f>
        <v>0</v>
      </c>
      <c r="D17" s="9">
        <f ca="1">SUM(D$2:D$11)</f>
        <v>1177.0239998812117</v>
      </c>
      <c r="E17" s="9">
        <f ca="1">$Q$5/parameters!$B$4</f>
        <v>866.40907823613099</v>
      </c>
      <c r="F17" s="9">
        <f t="shared" ref="F17:K17" ca="1" si="7">SUM(F$2:F$11)</f>
        <v>0</v>
      </c>
      <c r="G17" s="9">
        <f t="shared" ca="1" si="7"/>
        <v>2916.4472309299895</v>
      </c>
      <c r="H17" s="9">
        <f t="shared" ca="1" si="7"/>
        <v>2791.04</v>
      </c>
      <c r="I17" s="9">
        <f t="shared" ca="1" si="7"/>
        <v>2110.640783975924</v>
      </c>
      <c r="J17" s="9">
        <f t="shared" ca="1" si="7"/>
        <v>1901.4792160240756</v>
      </c>
      <c r="K17" s="9">
        <f t="shared" ca="1" si="7"/>
        <v>4447.0908392603133</v>
      </c>
      <c r="L17" s="17">
        <f t="shared" ca="1" si="5"/>
        <v>16407.126210291372</v>
      </c>
      <c r="M17" s="17"/>
      <c r="N17" s="17"/>
      <c r="O17" s="9"/>
      <c r="P17" s="14"/>
      <c r="Q17" s="11">
        <f t="shared" ca="1" si="6"/>
        <v>16407.126210291372</v>
      </c>
      <c r="R17" s="17">
        <f t="shared" ca="1" si="4"/>
        <v>16407.126210291372</v>
      </c>
    </row>
    <row r="18" spans="1:18">
      <c r="A18" s="30" t="s">
        <v>75</v>
      </c>
      <c r="B18" s="38">
        <f ca="1">IFERROR(1-(-B12)/B17, "")</f>
        <v>1</v>
      </c>
      <c r="C18" s="38" t="str">
        <f ca="1">IFERROR(1-(-C12)/C17, "")</f>
        <v/>
      </c>
      <c r="D18" s="38">
        <f ca="1">IFERROR(1-(-D12)/D17, "")</f>
        <v>0.99370000000000003</v>
      </c>
      <c r="E18" s="38">
        <f t="shared" ref="E18:G18" ca="1" si="8">IFERROR(1-(-E12)/E17, "")</f>
        <v>0.8899999999999999</v>
      </c>
      <c r="F18" s="38" t="str">
        <f t="shared" ca="1" si="8"/>
        <v/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0.90030478631255129</v>
      </c>
      <c r="J18" s="38">
        <f ca="1">I18</f>
        <v>0.90030478631255129</v>
      </c>
      <c r="K18" s="39">
        <f ca="1">1-(-K13)/K17</f>
        <v>0.89511796939726462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6173.8351615175598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6173.8351615175598</v>
      </c>
      <c r="M2" s="17"/>
      <c r="N2" s="17">
        <f ca="1">Q2-(L2+O2+P2)</f>
        <v>0</v>
      </c>
      <c r="O2" s="11" cm="1">
        <f t="array" aca="1" ref="O2" ca="1">INDIRECT("'data'!$F$" &amp; $A$1)</f>
        <v>0.65</v>
      </c>
      <c r="P2" s="13">
        <f ca="1">IF(-(L2-Q2+O2)&lt;0, -(L2-Q2+O2), 0)</f>
        <v>-6174.4851615175594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5678.567164179105</v>
      </c>
      <c r="G3" s="14">
        <f ca="1">Q3-O3-P3-F3</f>
        <v>456.37283582089458</v>
      </c>
      <c r="H3" s="14"/>
      <c r="I3" s="14"/>
      <c r="J3" s="14"/>
      <c r="K3" s="13"/>
      <c r="L3" s="16">
        <f t="shared" ca="1" si="0"/>
        <v>6134.94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6134.94</v>
      </c>
      <c r="R3" s="16">
        <f t="shared" ref="R3:R10" ca="1" si="2">SUM(L3:P3)</f>
        <v>6134.94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1419.6417910447763</v>
      </c>
      <c r="G5" s="14">
        <f ca="1">Q7/parameters!$B$7-(G3+G4)</f>
        <v>2912.6971746284262</v>
      </c>
      <c r="H5" s="14"/>
      <c r="I5" s="14"/>
      <c r="J5" s="14"/>
      <c r="K5" s="13"/>
      <c r="L5" s="16">
        <f t="shared" ca="1" si="0"/>
        <v>4332.3389656732024</v>
      </c>
      <c r="M5" s="16"/>
      <c r="N5" s="16"/>
      <c r="O5" s="11" cm="1">
        <f t="array" aca="1" ref="O5" ca="1">INDIRECT("'data'!$M$" &amp; $A$1)*parameters!$B$15</f>
        <v>744.8</v>
      </c>
      <c r="P5" s="13" cm="1">
        <f t="array" aca="1" ref="P5" ca="1">-INDIRECT("'data'!$N$" &amp; $A$1)*parameters!$B$15</f>
        <v>-171.5</v>
      </c>
      <c r="Q5" s="16">
        <f ca="1">SUM(L5:P5)</f>
        <v>4905.6389656732026</v>
      </c>
      <c r="R5" s="16">
        <f t="shared" ca="1" si="2"/>
        <v>4905.6389656732026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6658.12</v>
      </c>
      <c r="I6" s="14"/>
      <c r="J6" s="14"/>
      <c r="K6" s="13"/>
      <c r="L6" s="16">
        <f t="shared" ca="1" si="0"/>
        <v>6658.12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6658.12</v>
      </c>
      <c r="R6" s="16">
        <f t="shared" ca="1" si="2"/>
        <v>6658.12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3224.2</v>
      </c>
      <c r="I7" s="14"/>
      <c r="J7" s="14"/>
      <c r="K7" s="13"/>
      <c r="L7" s="16">
        <f t="shared" ca="1" si="0"/>
        <v>3224.2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3224.2</v>
      </c>
      <c r="R7" s="16">
        <f t="shared" ca="1" si="2"/>
        <v>3224.2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4799.7447032621503</v>
      </c>
      <c r="J8" s="14">
        <f ca="1">Q10/J18</f>
        <v>3885.9952967378481</v>
      </c>
      <c r="K8" s="13"/>
      <c r="L8" s="16">
        <f t="shared" ca="1" si="0"/>
        <v>8685.739999999998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1231.8599999999999</v>
      </c>
      <c r="P8" s="13" cm="1">
        <f t="array" aca="1" ref="P8" ca="1">-INDIRECT("'data'!$S$" &amp; $A$1)*parameters!$B$15</f>
        <v>-35.28</v>
      </c>
      <c r="Q8" s="16">
        <f ca="1">SUM(Q6:Q7)</f>
        <v>9882.32</v>
      </c>
      <c r="R8" s="16">
        <f t="shared" ca="1" si="2"/>
        <v>9882.3199999999979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3252.62</v>
      </c>
      <c r="L9" s="16">
        <f t="shared" ca="1" si="0"/>
        <v>3252.62</v>
      </c>
      <c r="M9" s="16"/>
      <c r="N9" s="16">
        <f t="shared" ca="1" si="3"/>
        <v>0</v>
      </c>
      <c r="O9" s="11" cm="1">
        <f t="array" aca="1" ref="O9" ca="1">INDIRECT("'data'!$U$" &amp; $A$1)*parameters!$B$15</f>
        <v>1934.52</v>
      </c>
      <c r="P9" s="13" cm="1">
        <f t="array" aca="1" ref="P9" ca="1">-INDIRECT("'data'!$V$" &amp; $A$1)*parameters!$B$15</f>
        <v>-483.14</v>
      </c>
      <c r="Q9" s="16" cm="1">
        <f t="array" aca="1" ref="Q9" ca="1">INDIRECT("'data'!$T$" &amp; $A$1)*parameters!$B$15</f>
        <v>4704</v>
      </c>
      <c r="R9" s="16">
        <f t="shared" ca="1" si="2"/>
        <v>4703.9999999999991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4552.2979516358464</v>
      </c>
      <c r="L10" s="16">
        <f t="shared" ca="1" si="0"/>
        <v>4552.2979516358464</v>
      </c>
      <c r="M10" s="16"/>
      <c r="N10" s="16">
        <f t="shared" ca="1" si="3"/>
        <v>0</v>
      </c>
      <c r="O10" s="11" cm="1">
        <f t="array" aca="1" ref="O10" ca="1">INDIRECT("'data'!$X$" &amp; $A$1)*parameters!$B$15</f>
        <v>478.24</v>
      </c>
      <c r="P10" s="13" cm="1">
        <f t="array" aca="1" ref="P10" ca="1">-INDIRECT("'data'!$Y$" &amp; $A$1)*parameters!$B$15</f>
        <v>-1222.06</v>
      </c>
      <c r="Q10" s="16" cm="1">
        <f t="array" aca="1" ref="Q10" ca="1">INDIRECT("'data'!$W$" &amp; $A$1)*parameters!$B$15</f>
        <v>3808.4779516358462</v>
      </c>
      <c r="R10" s="16">
        <f t="shared" ca="1" si="2"/>
        <v>3808.4779516358462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6599.0590384068273</v>
      </c>
      <c r="N11" s="19"/>
      <c r="O11" s="21" cm="1">
        <f t="array" aca="1" ref="O11" ca="1">INDIRECT("'data'!$Z$" &amp; $A$1)*parameters!$B$15</f>
        <v>2521.54</v>
      </c>
      <c r="P11" s="27" cm="1">
        <f t="array" aca="1" ref="P11" ca="1">-INDIRECT("'data'!$AA$" &amp; $A$1)*parameters!$B$15</f>
        <v>-2148.16</v>
      </c>
      <c r="Q11" s="16">
        <f ca="1">K9*parameters!$B$10+K10*parameters!$B$11</f>
        <v>6972.4390384068274</v>
      </c>
      <c r="R11" s="16">
        <f t="shared" ref="R11:R17" ca="1" si="4">SUM(L11:P11)</f>
        <v>6972.4390384068283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-38.895161517560155</v>
      </c>
      <c r="D12" s="9">
        <f ca="1">-(D17-Q4)</f>
        <v>0</v>
      </c>
      <c r="E12" s="9">
        <f ca="1">-(E17-Q5)</f>
        <v>-606.31492834163146</v>
      </c>
      <c r="F12" s="9">
        <f ca="1">-(F17-Q6)</f>
        <v>-440.08895522388138</v>
      </c>
      <c r="G12" s="9">
        <f ca="1">-(G17-Q7)</f>
        <v>-144.87001044932094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-1230.1690555323939</v>
      </c>
      <c r="M12" s="17"/>
      <c r="N12" s="17"/>
      <c r="O12" s="10"/>
      <c r="P12" s="12"/>
      <c r="Q12" s="9">
        <f t="shared" ref="Q12:Q17" ca="1" si="6">SUM(L12:P12)</f>
        <v>-1230.1690555323939</v>
      </c>
      <c r="R12" s="17">
        <f t="shared" ca="1" si="4"/>
        <v>-1230.1690555323939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-95.744703262150324</v>
      </c>
      <c r="J13" s="14">
        <f ca="1">-(J17-Q10)</f>
        <v>-77.517345102001855</v>
      </c>
      <c r="K13" s="13">
        <f ca="1">-(K17-Q11)</f>
        <v>-832.47891322901887</v>
      </c>
      <c r="L13" s="14">
        <f t="shared" ca="1" si="5"/>
        <v>-1005.7409615931711</v>
      </c>
      <c r="M13" s="16">
        <f ca="1">-E15</f>
        <v>-4506.212932421663</v>
      </c>
      <c r="N13" s="16"/>
      <c r="O13" s="11"/>
      <c r="P13" s="13"/>
      <c r="Q13" s="14">
        <f t="shared" ca="1" si="6"/>
        <v>-5511.9538940148341</v>
      </c>
      <c r="R13" s="16">
        <f t="shared" ca="1" si="4"/>
        <v>-5511.9538940148341</v>
      </c>
    </row>
    <row r="14" spans="1:20">
      <c r="A14" s="18" t="s">
        <v>78</v>
      </c>
      <c r="B14" s="11"/>
      <c r="C14" s="14"/>
      <c r="D14" s="14"/>
      <c r="E14" s="14">
        <f ca="1">-(I13+J13)-K13</f>
        <v>1005.7409615931711</v>
      </c>
      <c r="F14" s="14"/>
      <c r="G14" s="14"/>
      <c r="H14" s="14"/>
      <c r="I14" s="14"/>
      <c r="J14" s="14"/>
      <c r="K14" s="13"/>
      <c r="L14" s="14">
        <f t="shared" ca="1" si="5"/>
        <v>1005.7409615931711</v>
      </c>
      <c r="M14" s="16"/>
      <c r="N14" s="16"/>
      <c r="O14" s="11"/>
      <c r="P14" s="13"/>
      <c r="Q14" s="14">
        <f t="shared" ca="1" si="6"/>
        <v>1005.7409615931711</v>
      </c>
      <c r="R14" s="16">
        <f t="shared" ca="1" si="4"/>
        <v>1005.7409615931711</v>
      </c>
    </row>
    <row r="15" spans="1:20">
      <c r="A15" s="18" t="s">
        <v>79</v>
      </c>
      <c r="B15" s="11"/>
      <c r="C15" s="14"/>
      <c r="D15" s="14"/>
      <c r="E15" s="14">
        <f ca="1">E17-E14</f>
        <v>4506.212932421663</v>
      </c>
      <c r="F15" s="14"/>
      <c r="G15" s="14"/>
      <c r="H15" s="14"/>
      <c r="I15" s="14"/>
      <c r="J15" s="14"/>
      <c r="K15" s="13"/>
      <c r="L15" s="14">
        <f t="shared" ca="1" si="5"/>
        <v>4506.212932421663</v>
      </c>
      <c r="M15" s="16"/>
      <c r="N15" s="16"/>
      <c r="O15" s="11"/>
      <c r="P15" s="13"/>
      <c r="Q15" s="14">
        <f t="shared" ca="1" si="6"/>
        <v>4506.212932421663</v>
      </c>
      <c r="R15" s="16">
        <f t="shared" ca="1" si="4"/>
        <v>4506.212932421663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6173.8351615175598</v>
      </c>
      <c r="D17" s="9">
        <f ca="1">SUM(D$2:D$11)</f>
        <v>0</v>
      </c>
      <c r="E17" s="9">
        <f ca="1">$Q$5/parameters!$B$4</f>
        <v>5511.9538940148341</v>
      </c>
      <c r="F17" s="9">
        <f t="shared" ref="F17:K17" ca="1" si="7">SUM(F$2:F$11)</f>
        <v>7098.2089552238813</v>
      </c>
      <c r="G17" s="9">
        <f t="shared" ca="1" si="7"/>
        <v>3369.0700104493208</v>
      </c>
      <c r="H17" s="9">
        <f t="shared" ca="1" si="7"/>
        <v>9882.32</v>
      </c>
      <c r="I17" s="9">
        <f t="shared" ca="1" si="7"/>
        <v>4799.7447032621503</v>
      </c>
      <c r="J17" s="9">
        <f t="shared" ca="1" si="7"/>
        <v>3885.9952967378481</v>
      </c>
      <c r="K17" s="9">
        <f t="shared" ca="1" si="7"/>
        <v>7804.9179516358463</v>
      </c>
      <c r="L17" s="17">
        <f t="shared" ca="1" si="5"/>
        <v>48526.045972841443</v>
      </c>
      <c r="M17" s="17"/>
      <c r="N17" s="17"/>
      <c r="O17" s="9"/>
      <c r="P17" s="14"/>
      <c r="Q17" s="11">
        <f t="shared" ca="1" si="6"/>
        <v>48526.045972841443</v>
      </c>
      <c r="R17" s="17">
        <f t="shared" ca="1" si="4"/>
        <v>48526.045972841443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0.98005212585638612</v>
      </c>
      <c r="J18" s="38">
        <f ca="1">I18</f>
        <v>0.98005212585638612</v>
      </c>
      <c r="K18" s="39">
        <f ca="1">1-(-K13)/K17</f>
        <v>0.89333918455164052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669.17824331106601</v>
      </c>
      <c r="D2" s="9">
        <f ca="1">Q4/parameters!$B$3</f>
        <v>1388.497467709306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2057.6757110203721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-1382.4426402499205</v>
      </c>
      <c r="Q2" s="17" cm="1">
        <f t="array" aca="1" ref="Q2" ca="1">INDIRECT("'data'!$D$" &amp; $A$1)</f>
        <v>675.2330707704516</v>
      </c>
      <c r="R2" s="17">
        <f ca="1">SUM(L2:P2)</f>
        <v>675.2330707704516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654.44776119402991</v>
      </c>
      <c r="G3" s="14">
        <f ca="1">Q3-O3-P3-F3</f>
        <v>10.514659184176367</v>
      </c>
      <c r="H3" s="14"/>
      <c r="I3" s="14"/>
      <c r="J3" s="14"/>
      <c r="K3" s="13"/>
      <c r="L3" s="16">
        <f t="shared" ca="1" si="0"/>
        <v>664.96242037820628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664.96242037820628</v>
      </c>
      <c r="R3" s="16">
        <f t="shared" ref="R3:R10" ca="1" si="2">SUM(L3:P3)</f>
        <v>664.96242037820628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1379.7499336627375</v>
      </c>
      <c r="H4" s="14"/>
      <c r="I4" s="14"/>
      <c r="J4" s="14"/>
      <c r="K4" s="13"/>
      <c r="L4" s="16">
        <f t="shared" ca="1" si="0"/>
        <v>1379.7499336627375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1379.7499336627375</v>
      </c>
      <c r="R4" s="16">
        <f t="shared" ca="1" si="2"/>
        <v>1379.7499336627375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Q6/parameters!$B$5*46%</f>
        <v>557.49253731343288</v>
      </c>
      <c r="G5" s="14">
        <f ca="1">Q7/parameters!$B$7-(G3+G4)</f>
        <v>309.63091394514481</v>
      </c>
      <c r="H5" s="14"/>
      <c r="I5" s="14"/>
      <c r="J5" s="14"/>
      <c r="K5" s="13"/>
      <c r="L5" s="16">
        <f t="shared" ca="1" si="0"/>
        <v>867.12345125857769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867.12345125857769</v>
      </c>
      <c r="R5" s="16">
        <f t="shared" ca="1" si="2"/>
        <v>867.12345125857769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1136.8</v>
      </c>
      <c r="I6" s="14"/>
      <c r="J6" s="14"/>
      <c r="K6" s="13"/>
      <c r="L6" s="16">
        <f t="shared" ca="1" si="0"/>
        <v>1136.8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1136.8</v>
      </c>
      <c r="R6" s="16">
        <f t="shared" ca="1" si="2"/>
        <v>1136.8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1626.8</v>
      </c>
      <c r="I7" s="14"/>
      <c r="J7" s="14"/>
      <c r="K7" s="13"/>
      <c r="L7" s="16">
        <f t="shared" ca="1" si="0"/>
        <v>1626.8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1626.8</v>
      </c>
      <c r="R7" s="16">
        <f t="shared" ca="1" si="2"/>
        <v>1626.8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2647.0334598137288</v>
      </c>
      <c r="J8" s="14">
        <f ca="1">Q10/J18</f>
        <v>900.50871218658256</v>
      </c>
      <c r="K8" s="13"/>
      <c r="L8" s="16">
        <f t="shared" ca="1" si="0"/>
        <v>3547.5421720003114</v>
      </c>
      <c r="M8" s="16"/>
      <c r="N8" s="16">
        <f t="shared" ca="1" si="3"/>
        <v>749.75782799968852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-1533.7</v>
      </c>
      <c r="Q8" s="16">
        <f ca="1">SUM(Q6:Q7)</f>
        <v>2763.6</v>
      </c>
      <c r="R8" s="16">
        <f t="shared" ca="1" si="2"/>
        <v>2763.6000000000004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2809.6927906174542</v>
      </c>
      <c r="L9" s="16">
        <f t="shared" ca="1" si="0"/>
        <v>2809.6927906174542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-215.6</v>
      </c>
      <c r="Q9" s="16" cm="1">
        <f t="array" aca="1" ref="Q9" ca="1">INDIRECT("'data'!$T$" &amp; $A$1)*parameters!$B$15</f>
        <v>2594.0927906174543</v>
      </c>
      <c r="R9" s="16">
        <f t="shared" ca="1" si="2"/>
        <v>2594.0927906174543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1279.3985379428509</v>
      </c>
      <c r="L10" s="16">
        <f t="shared" ca="1" si="0"/>
        <v>1279.3985379428509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-396.9</v>
      </c>
      <c r="Q10" s="16" cm="1">
        <f t="array" aca="1" ref="Q10" ca="1">INDIRECT("'data'!$W$" &amp; $A$1)*parameters!$B$15</f>
        <v>882.49853794285093</v>
      </c>
      <c r="R10" s="16">
        <f t="shared" ca="1" si="2"/>
        <v>882.49853794285093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4101.0539658112584</v>
      </c>
      <c r="N11" s="19"/>
      <c r="O11" s="21" cm="1">
        <f t="array" aca="1" ref="O11" ca="1">INDIRECT("'data'!$Z$" &amp; $A$1)*parameters!$B$15</f>
        <v>26.46</v>
      </c>
      <c r="P11" s="27" cm="1">
        <f t="array" aca="1" ref="P11" ca="1">-INDIRECT("'data'!$AA$" &amp; $A$1)*parameters!$B$15</f>
        <v>-386.12</v>
      </c>
      <c r="Q11" s="16">
        <f ca="1">K9*parameters!$B$10+K10*parameters!$B$11</f>
        <v>3741.3939658112586</v>
      </c>
      <c r="R11" s="16">
        <f t="shared" ref="R11:R17" ca="1" si="4">SUM(L11:P11)</f>
        <v>3741.3939658112586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-4.2158229328597372</v>
      </c>
      <c r="D12" s="9">
        <f ca="1">-(D17-Q4)</f>
        <v>-8.7475340465684894</v>
      </c>
      <c r="E12" s="9">
        <f ca="1">-(E17-Q5)</f>
        <v>-107.17256139150959</v>
      </c>
      <c r="F12" s="9">
        <f ca="1">-(F17-Q6)</f>
        <v>-75.14029850746283</v>
      </c>
      <c r="G12" s="9">
        <f ca="1">-(G17-Q7)</f>
        <v>-73.095506792058586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-268.37172367045923</v>
      </c>
      <c r="M12" s="17"/>
      <c r="N12" s="17"/>
      <c r="O12" s="10"/>
      <c r="P12" s="12"/>
      <c r="Q12" s="9">
        <f t="shared" ref="Q12:Q17" ca="1" si="6">SUM(L12:P12)</f>
        <v>-268.37172367045923</v>
      </c>
      <c r="R12" s="17">
        <f t="shared" ca="1" si="4"/>
        <v>-268.37172367045923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-52.940669196274484</v>
      </c>
      <c r="J13" s="14">
        <f ca="1">-(J17-Q10)</f>
        <v>-18.010174243731626</v>
      </c>
      <c r="K13" s="13">
        <f ca="1">-(K17-Q11)</f>
        <v>-347.69736274904653</v>
      </c>
      <c r="L13" s="14">
        <f t="shared" ca="1" si="5"/>
        <v>-418.64820618905264</v>
      </c>
      <c r="M13" s="16">
        <f ca="1">-E15</f>
        <v>-555.64780646103463</v>
      </c>
      <c r="N13" s="16"/>
      <c r="O13" s="11"/>
      <c r="P13" s="13"/>
      <c r="Q13" s="14">
        <f t="shared" ca="1" si="6"/>
        <v>-974.29601265008728</v>
      </c>
      <c r="R13" s="16">
        <f t="shared" ca="1" si="4"/>
        <v>-974.29601265008728</v>
      </c>
    </row>
    <row r="14" spans="1:19">
      <c r="A14" s="18" t="s">
        <v>78</v>
      </c>
      <c r="B14" s="11"/>
      <c r="C14" s="14"/>
      <c r="D14" s="14"/>
      <c r="E14" s="14">
        <f ca="1">-(I13+J13)-K13</f>
        <v>418.64820618905264</v>
      </c>
      <c r="F14" s="14"/>
      <c r="G14" s="14"/>
      <c r="H14" s="14"/>
      <c r="I14" s="14"/>
      <c r="J14" s="14"/>
      <c r="K14" s="13"/>
      <c r="L14" s="14">
        <f t="shared" ca="1" si="5"/>
        <v>418.64820618905264</v>
      </c>
      <c r="M14" s="16"/>
      <c r="N14" s="16"/>
      <c r="O14" s="11"/>
      <c r="P14" s="13"/>
      <c r="Q14" s="14">
        <f t="shared" ca="1" si="6"/>
        <v>418.64820618905264</v>
      </c>
      <c r="R14" s="16">
        <f t="shared" ca="1" si="4"/>
        <v>418.64820618905264</v>
      </c>
    </row>
    <row r="15" spans="1:19">
      <c r="A15" s="18" t="s">
        <v>79</v>
      </c>
      <c r="B15" s="11"/>
      <c r="C15" s="14"/>
      <c r="D15" s="14"/>
      <c r="E15" s="14">
        <f ca="1">E17-E14</f>
        <v>555.64780646103463</v>
      </c>
      <c r="F15" s="14"/>
      <c r="G15" s="14"/>
      <c r="H15" s="14"/>
      <c r="I15" s="14"/>
      <c r="J15" s="14"/>
      <c r="K15" s="13"/>
      <c r="L15" s="14">
        <f t="shared" ca="1" si="5"/>
        <v>555.64780646103463</v>
      </c>
      <c r="M15" s="16"/>
      <c r="N15" s="16"/>
      <c r="O15" s="11"/>
      <c r="P15" s="13"/>
      <c r="Q15" s="14">
        <f t="shared" ca="1" si="6"/>
        <v>555.64780646103463</v>
      </c>
      <c r="R15" s="16">
        <f t="shared" ca="1" si="4"/>
        <v>555.64780646103463</v>
      </c>
    </row>
    <row r="16" spans="1:19">
      <c r="A16" s="30" t="s">
        <v>89</v>
      </c>
      <c r="B16" s="21">
        <f ca="1">Q2</f>
        <v>675.2330707704516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675.2330707704516</v>
      </c>
      <c r="M16" s="19"/>
      <c r="N16" s="19"/>
      <c r="O16" s="21"/>
      <c r="P16" s="27"/>
      <c r="Q16" s="22">
        <f t="shared" ca="1" si="6"/>
        <v>675.2330707704516</v>
      </c>
      <c r="R16" s="19">
        <f t="shared" ca="1" si="4"/>
        <v>675.2330707704516</v>
      </c>
    </row>
    <row r="17" spans="1:18">
      <c r="A17" s="29" t="s">
        <v>88</v>
      </c>
      <c r="B17" s="9">
        <f ca="1">B16</f>
        <v>675.2330707704516</v>
      </c>
      <c r="C17" s="9">
        <f ca="1">SUM(C$2:C$11)</f>
        <v>669.17824331106601</v>
      </c>
      <c r="D17" s="9">
        <f ca="1">SUM(D$2:D$11)</f>
        <v>1388.497467709306</v>
      </c>
      <c r="E17" s="9">
        <f ca="1">$Q$5/parameters!$B$4</f>
        <v>974.29601265008728</v>
      </c>
      <c r="F17" s="9">
        <f t="shared" ref="F17:K17" ca="1" si="7">SUM(F$2:F$11)</f>
        <v>1211.9402985074628</v>
      </c>
      <c r="G17" s="9">
        <f t="shared" ca="1" si="7"/>
        <v>1699.8955067920585</v>
      </c>
      <c r="H17" s="9">
        <f t="shared" ca="1" si="7"/>
        <v>2763.6</v>
      </c>
      <c r="I17" s="9">
        <f t="shared" ca="1" si="7"/>
        <v>2647.0334598137288</v>
      </c>
      <c r="J17" s="9">
        <f t="shared" ca="1" si="7"/>
        <v>900.50871218658256</v>
      </c>
      <c r="K17" s="9">
        <f t="shared" ca="1" si="7"/>
        <v>4089.0913285603051</v>
      </c>
      <c r="L17" s="17">
        <f t="shared" ca="1" si="5"/>
        <v>17019.274100301049</v>
      </c>
      <c r="M17" s="17"/>
      <c r="N17" s="17"/>
      <c r="O17" s="9"/>
      <c r="P17" s="14"/>
      <c r="Q17" s="11">
        <f t="shared" ca="1" si="6"/>
        <v>17019.274100301049</v>
      </c>
      <c r="R17" s="17">
        <f t="shared" ca="1" si="4"/>
        <v>17019.274100301049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0.99369999999999992</v>
      </c>
      <c r="D18" s="38">
        <f ca="1">IFERROR(1-(-D12)/D17, "")</f>
        <v>0.99370000000000014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0.91496952872621107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G4" sqref="G4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2249.719072739982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2249.719072739982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-2249.719072739982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0</v>
      </c>
      <c r="H3" s="14"/>
      <c r="I3" s="14"/>
      <c r="J3" s="14"/>
      <c r="K3" s="13"/>
      <c r="L3" s="16">
        <f t="shared" ca="1" si="0"/>
        <v>0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2235.5458425817201</v>
      </c>
      <c r="H4" s="14"/>
      <c r="I4" s="14"/>
      <c r="J4" s="14"/>
      <c r="K4" s="13"/>
      <c r="L4" s="16">
        <f t="shared" ca="1" si="0"/>
        <v>2235.5458425817201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2235.5458425817201</v>
      </c>
      <c r="R4" s="16">
        <f t="shared" ca="1" si="2"/>
        <v>2235.5458425817201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817.09783557919991</v>
      </c>
      <c r="H5" s="14"/>
      <c r="I5" s="14"/>
      <c r="J5" s="14"/>
      <c r="K5" s="13"/>
      <c r="L5" s="16">
        <f t="shared" ca="1" si="0"/>
        <v>817.09783557919991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817.09783557919991</v>
      </c>
      <c r="R5" s="16">
        <f t="shared" ca="1" si="2"/>
        <v>817.09783557919991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2921.38</v>
      </c>
      <c r="I7" s="14"/>
      <c r="J7" s="14"/>
      <c r="K7" s="13"/>
      <c r="L7" s="16">
        <f t="shared" ca="1" si="0"/>
        <v>2921.38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2921.38</v>
      </c>
      <c r="R7" s="16">
        <f t="shared" ca="1" si="2"/>
        <v>2921.38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1612.8523977579407</v>
      </c>
      <c r="J8" s="14">
        <f ca="1">Q10/J18</f>
        <v>758.08482688653282</v>
      </c>
      <c r="K8" s="13"/>
      <c r="L8" s="16">
        <f t="shared" ca="1" si="0"/>
        <v>2370.9372246444736</v>
      </c>
      <c r="M8" s="16"/>
      <c r="N8" s="16">
        <f t="shared" ca="1" si="3"/>
        <v>591.60277535552632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-41.16</v>
      </c>
      <c r="Q8" s="16">
        <f ca="1">SUM(Q6:Q7)</f>
        <v>2921.38</v>
      </c>
      <c r="R8" s="16">
        <f t="shared" ca="1" si="2"/>
        <v>2921.38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1916.7353498027819</v>
      </c>
      <c r="L9" s="16">
        <f t="shared" ca="1" si="0"/>
        <v>1916.7353498027819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-336.14</v>
      </c>
      <c r="Q9" s="16" cm="1">
        <f t="array" aca="1" ref="Q9" ca="1">INDIRECT("'data'!$T$" &amp; $A$1)*parameters!$B$15</f>
        <v>1580.5953498027818</v>
      </c>
      <c r="R9" s="16">
        <f t="shared" ca="1" si="2"/>
        <v>1580.595349802782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1850.3231303488024</v>
      </c>
      <c r="L10" s="16">
        <f t="shared" ca="1" si="0"/>
        <v>1850.3231303488024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-1107.4000000000001</v>
      </c>
      <c r="Q10" s="16" cm="1">
        <f t="array" aca="1" ref="Q10" ca="1">INDIRECT("'data'!$W$" &amp; $A$1)*parameters!$B$15</f>
        <v>742.92313034880215</v>
      </c>
      <c r="R10" s="16">
        <f t="shared" ca="1" si="2"/>
        <v>742.92313034880226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4301.4691209145849</v>
      </c>
      <c r="N11" s="19"/>
      <c r="O11" s="21" cm="1">
        <f t="array" aca="1" ref="O11" ca="1">INDIRECT("'data'!$Z$" &amp; $A$1)*parameters!$B$15</f>
        <v>36.26</v>
      </c>
      <c r="P11" s="27" cm="1">
        <f t="array" aca="1" ref="P11" ca="1">-INDIRECT("'data'!$AA$" &amp; $A$1)*parameters!$B$15</f>
        <v>-944.72</v>
      </c>
      <c r="Q11" s="16">
        <f ca="1">K9*parameters!$B$10+K10*parameters!$B$11</f>
        <v>3393.0091209145849</v>
      </c>
      <c r="R11" s="16">
        <f t="shared" ref="R11:R17" ca="1" si="4">SUM(L11:P11)</f>
        <v>3393.0091209145849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-14.173230158261958</v>
      </c>
      <c r="E12" s="9">
        <f ca="1">-(E17-Q5)</f>
        <v>-100.98962012776622</v>
      </c>
      <c r="F12" s="9">
        <f ca="1">-(F17-Q6)</f>
        <v>0</v>
      </c>
      <c r="G12" s="9">
        <f ca="1">-(G17-Q7)</f>
        <v>-131.26367816091988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-246.42652844694805</v>
      </c>
      <c r="M12" s="17"/>
      <c r="N12" s="17"/>
      <c r="O12" s="10"/>
      <c r="P12" s="12"/>
      <c r="Q12" s="9">
        <f t="shared" ref="Q12:Q17" ca="1" si="6">SUM(L12:P12)</f>
        <v>-246.42652844694805</v>
      </c>
      <c r="R12" s="17">
        <f t="shared" ca="1" si="4"/>
        <v>-246.42652844694805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-32.257047955158896</v>
      </c>
      <c r="J13" s="14">
        <f ca="1">-(J17-Q10)</f>
        <v>-15.161696537730677</v>
      </c>
      <c r="K13" s="13">
        <f ca="1">-(K17-Q11)</f>
        <v>-374.04935923699941</v>
      </c>
      <c r="L13" s="14">
        <f t="shared" ca="1" si="5"/>
        <v>-421.46810372988898</v>
      </c>
      <c r="M13" s="16">
        <f ca="1">-E15</f>
        <v>-496.61935197707714</v>
      </c>
      <c r="N13" s="16"/>
      <c r="O13" s="11"/>
      <c r="P13" s="13"/>
      <c r="Q13" s="14">
        <f t="shared" ca="1" si="6"/>
        <v>-918.08745570696613</v>
      </c>
      <c r="R13" s="16">
        <f t="shared" ca="1" si="4"/>
        <v>-918.08745570696613</v>
      </c>
    </row>
    <row r="14" spans="1:22">
      <c r="A14" s="18" t="s">
        <v>78</v>
      </c>
      <c r="B14" s="11"/>
      <c r="C14" s="14"/>
      <c r="D14" s="14"/>
      <c r="E14" s="14">
        <f ca="1">-(I13+J13)-K13</f>
        <v>421.46810372988898</v>
      </c>
      <c r="F14" s="14"/>
      <c r="G14" s="14"/>
      <c r="H14" s="14"/>
      <c r="I14" s="14"/>
      <c r="J14" s="14"/>
      <c r="K14" s="13"/>
      <c r="L14" s="14">
        <f t="shared" ca="1" si="5"/>
        <v>421.46810372988898</v>
      </c>
      <c r="M14" s="16"/>
      <c r="N14" s="16"/>
      <c r="O14" s="11"/>
      <c r="P14" s="13"/>
      <c r="Q14" s="14">
        <f t="shared" ca="1" si="6"/>
        <v>421.46810372988898</v>
      </c>
      <c r="R14" s="16">
        <f t="shared" ca="1" si="4"/>
        <v>421.46810372988898</v>
      </c>
    </row>
    <row r="15" spans="1:22">
      <c r="A15" s="18" t="s">
        <v>79</v>
      </c>
      <c r="B15" s="11"/>
      <c r="C15" s="14"/>
      <c r="D15" s="14"/>
      <c r="E15" s="14">
        <f ca="1">E17-E14</f>
        <v>496.61935197707714</v>
      </c>
      <c r="F15" s="14"/>
      <c r="G15" s="14"/>
      <c r="H15" s="14"/>
      <c r="I15" s="14"/>
      <c r="J15" s="14"/>
      <c r="K15" s="13"/>
      <c r="L15" s="14">
        <f t="shared" ca="1" si="5"/>
        <v>496.61935197707714</v>
      </c>
      <c r="M15" s="16"/>
      <c r="N15" s="16"/>
      <c r="O15" s="11"/>
      <c r="P15" s="13"/>
      <c r="Q15" s="14">
        <f t="shared" ca="1" si="6"/>
        <v>496.61935197707714</v>
      </c>
      <c r="R15" s="16">
        <f t="shared" ca="1" si="4"/>
        <v>496.61935197707714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2249.719072739982</v>
      </c>
      <c r="E17" s="9">
        <f ca="1">$Q$5/parameters!$B$4</f>
        <v>918.08745570696613</v>
      </c>
      <c r="F17" s="9">
        <f t="shared" ref="F17:K17" ca="1" si="7">SUM(F$2:F$11)</f>
        <v>0</v>
      </c>
      <c r="G17" s="9">
        <f t="shared" ca="1" si="7"/>
        <v>3052.64367816092</v>
      </c>
      <c r="H17" s="9">
        <f t="shared" ca="1" si="7"/>
        <v>2921.38</v>
      </c>
      <c r="I17" s="9">
        <f t="shared" ca="1" si="7"/>
        <v>1612.8523977579407</v>
      </c>
      <c r="J17" s="9">
        <f t="shared" ca="1" si="7"/>
        <v>758.08482688653282</v>
      </c>
      <c r="K17" s="9">
        <f t="shared" ca="1" si="7"/>
        <v>3767.0584801515843</v>
      </c>
      <c r="L17" s="17">
        <f t="shared" ca="1" si="5"/>
        <v>15279.825911403925</v>
      </c>
      <c r="M17" s="17"/>
      <c r="N17" s="17"/>
      <c r="O17" s="9"/>
      <c r="P17" s="14"/>
      <c r="Q17" s="11">
        <f t="shared" ca="1" si="6"/>
        <v>15279.825911403925</v>
      </c>
      <c r="R17" s="17">
        <f t="shared" ca="1" si="4"/>
        <v>15279.825911403925</v>
      </c>
    </row>
    <row r="18" spans="1:18">
      <c r="A18" s="30" t="s">
        <v>75</v>
      </c>
      <c r="B18" s="38" t="str">
        <f ca="1">IFERROR(1-(-B12)/B17, "")</f>
        <v/>
      </c>
      <c r="C18" s="38" t="str">
        <f ca="1">IFERROR(1-(-C12)/C17, "")</f>
        <v/>
      </c>
      <c r="D18" s="38">
        <f ca="1">IFERROR(1-(-D12)/D17, "")</f>
        <v>0.99369999999999992</v>
      </c>
      <c r="E18" s="38">
        <f t="shared" ref="E18:G18" ca="1" si="8">IFERROR(1-(-E12)/E17, "")</f>
        <v>0.89000000000000012</v>
      </c>
      <c r="F18" s="38" t="str">
        <f t="shared" ca="1" si="8"/>
        <v/>
      </c>
      <c r="G18" s="38">
        <f t="shared" ca="1" si="8"/>
        <v>0.95699999999999985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0.90070518915279807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4106.3801952299482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4106.3801952299482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-3606.3801952299482</v>
      </c>
      <c r="Q2" s="17" cm="1">
        <f t="array" aca="1" ref="Q2" ca="1">INDIRECT("'data'!$D$" &amp; $A$1)</f>
        <v>500</v>
      </c>
      <c r="R2" s="17">
        <f ca="1">SUM(L2:P2)</f>
        <v>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4100.3701492537321</v>
      </c>
      <c r="G3" s="14">
        <f ca="1">Q3-O3-P3-F3</f>
        <v>8.4898507462676207</v>
      </c>
      <c r="H3" s="14"/>
      <c r="I3" s="14"/>
      <c r="J3" s="14"/>
      <c r="K3" s="13"/>
      <c r="L3" s="16">
        <f t="shared" ca="1" si="0"/>
        <v>4108.8599999999997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-28.349999999999998</v>
      </c>
      <c r="Q3" s="16" cm="1">
        <f t="array" aca="1" ref="Q3" ca="1">INDIRECT("'data'!$G$" &amp; $A$1)*parameters!$B$13</f>
        <v>4080.5099999999998</v>
      </c>
      <c r="R3" s="16">
        <f t="shared" ref="R3:R10" ca="1" si="2">SUM(L3:P3)</f>
        <v>4080.5099999999998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Q6/parameters!$B$5*24%</f>
        <v>1294.8537313432837</v>
      </c>
      <c r="G5" s="14">
        <f ca="1">Q7/parameters!$B$7-(G3+G4)</f>
        <v>545.51223911789123</v>
      </c>
      <c r="H5" s="14"/>
      <c r="I5" s="14"/>
      <c r="J5" s="14"/>
      <c r="K5" s="13"/>
      <c r="L5" s="16">
        <f t="shared" ca="1" si="0"/>
        <v>1840.365970461175</v>
      </c>
      <c r="M5" s="16"/>
      <c r="N5" s="16"/>
      <c r="O5" s="11" cm="1">
        <f t="array" aca="1" ref="O5" ca="1">INDIRECT("'data'!$M$" &amp; $A$1)*parameters!$B$15</f>
        <v>737.93999999999994</v>
      </c>
      <c r="P5" s="13" cm="1">
        <f t="array" aca="1" ref="P5" ca="1">-INDIRECT("'data'!$N$" &amp; $A$1)*parameters!$B$15</f>
        <v>-664.43999999999994</v>
      </c>
      <c r="Q5" s="16">
        <f ca="1">SUM(L5:P5)</f>
        <v>1913.865970461175</v>
      </c>
      <c r="R5" s="16">
        <f t="shared" ca="1" si="2"/>
        <v>1913.865970461175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5060.72</v>
      </c>
      <c r="I6" s="14"/>
      <c r="J6" s="14"/>
      <c r="K6" s="13"/>
      <c r="L6" s="16">
        <f t="shared" ca="1" si="0"/>
        <v>5060.72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5060.72</v>
      </c>
      <c r="R6" s="16">
        <f t="shared" ca="1" si="2"/>
        <v>5060.72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530.17999999999995</v>
      </c>
      <c r="I7" s="14"/>
      <c r="J7" s="14"/>
      <c r="K7" s="13"/>
      <c r="L7" s="16">
        <f t="shared" ca="1" si="0"/>
        <v>530.17999999999995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530.17999999999995</v>
      </c>
      <c r="R7" s="16">
        <f t="shared" ca="1" si="2"/>
        <v>530.17999999999995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1500.0451910516003</v>
      </c>
      <c r="J8" s="14">
        <f ca="1">Q10/J18</f>
        <v>4020.2948089483998</v>
      </c>
      <c r="K8" s="13"/>
      <c r="L8" s="16">
        <f t="shared" ca="1" si="0"/>
        <v>5520.34</v>
      </c>
      <c r="M8" s="16"/>
      <c r="N8" s="16">
        <f t="shared" ca="1" si="3"/>
        <v>0</v>
      </c>
      <c r="O8" s="11" cm="1">
        <f t="array" aca="1" ref="O8" ca="1">INDIRECT("'data'!$R$" &amp; $A$1)*parameters!$B$15</f>
        <v>243.04</v>
      </c>
      <c r="P8" s="13" cm="1">
        <f t="array" aca="1" ref="P8" ca="1">-INDIRECT("'data'!$S$" &amp; $A$1)*parameters!$B$15</f>
        <v>-172.48</v>
      </c>
      <c r="Q8" s="16">
        <f ca="1">SUM(Q6:Q7)</f>
        <v>5590.9000000000005</v>
      </c>
      <c r="R8" s="16">
        <f t="shared" ca="1" si="2"/>
        <v>5590.9000000000005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1421.98</v>
      </c>
      <c r="L9" s="16">
        <f t="shared" ca="1" si="0"/>
        <v>1421.98</v>
      </c>
      <c r="M9" s="16"/>
      <c r="N9" s="16">
        <f t="shared" ca="1" si="3"/>
        <v>0</v>
      </c>
      <c r="O9" s="11" cm="1">
        <f t="array" aca="1" ref="O9" ca="1">INDIRECT("'data'!$U$" &amp; $A$1)*parameters!$B$15</f>
        <v>822.22</v>
      </c>
      <c r="P9" s="13" cm="1">
        <f t="array" aca="1" ref="P9" ca="1">-INDIRECT("'data'!$V$" &amp; $A$1)*parameters!$B$15</f>
        <v>-847.69999999999993</v>
      </c>
      <c r="Q9" s="16" cm="1">
        <f t="array" aca="1" ref="Q9" ca="1">INDIRECT("'data'!$T$" &amp; $A$1)*parameters!$B$15</f>
        <v>1396.5</v>
      </c>
      <c r="R9" s="16">
        <f t="shared" ca="1" si="2"/>
        <v>1396.5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2132.6417069701279</v>
      </c>
      <c r="L10" s="16">
        <f t="shared" ca="1" si="0"/>
        <v>2132.6417069701279</v>
      </c>
      <c r="M10" s="16"/>
      <c r="N10" s="16">
        <f t="shared" ca="1" si="3"/>
        <v>0</v>
      </c>
      <c r="O10" s="11" cm="1">
        <f t="array" aca="1" ref="O10" ca="1">INDIRECT("'data'!$X$" &amp; $A$1)*parameters!$B$15</f>
        <v>2707.74</v>
      </c>
      <c r="P10" s="13" cm="1">
        <f t="array" aca="1" ref="P10" ca="1">-INDIRECT("'data'!$Y$" &amp; $A$1)*parameters!$B$15</f>
        <v>-1097.5999999999999</v>
      </c>
      <c r="Q10" s="16" cm="1">
        <f t="array" aca="1" ref="Q10" ca="1">INDIRECT("'data'!$W$" &amp; $A$1)*parameters!$B$15</f>
        <v>3742.7817069701277</v>
      </c>
      <c r="R10" s="16">
        <f t="shared" ca="1" si="2"/>
        <v>3742.7817069701273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3548.0330679943099</v>
      </c>
      <c r="N11" s="19"/>
      <c r="O11" s="21" cm="1">
        <f t="array" aca="1" ref="O11" ca="1">INDIRECT("'data'!$Z$" &amp; $A$1)*parameters!$B$15</f>
        <v>2170.6999999999998</v>
      </c>
      <c r="P11" s="27" cm="1">
        <f t="array" aca="1" ref="P11" ca="1">-INDIRECT("'data'!$AA$" &amp; $A$1)*parameters!$B$15</f>
        <v>-2548</v>
      </c>
      <c r="Q11" s="16">
        <f ca="1">K9*parameters!$B$10+K10*parameters!$B$11</f>
        <v>3170.7330679943097</v>
      </c>
      <c r="R11" s="16">
        <f t="shared" ref="R11:R17" ca="1" si="4">SUM(L11:P11)</f>
        <v>3170.7330679943097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-25.870195229948422</v>
      </c>
      <c r="D12" s="9">
        <f ca="1">-(D17-Q4)</f>
        <v>0</v>
      </c>
      <c r="E12" s="9">
        <f ca="1">-(E17-Q5)</f>
        <v>-236.54523230418999</v>
      </c>
      <c r="F12" s="9">
        <f ca="1">-(F17-Q6)</f>
        <v>-334.50388059701527</v>
      </c>
      <c r="G12" s="9">
        <f ca="1">-(G17-Q7)</f>
        <v>-23.822089864158897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-620.74139799531258</v>
      </c>
      <c r="M12" s="17"/>
      <c r="N12" s="17"/>
      <c r="O12" s="10"/>
      <c r="P12" s="12"/>
      <c r="Q12" s="9">
        <f t="shared" ref="Q12:Q17" ca="1" si="6">SUM(L12:P12)</f>
        <v>-620.74139799531258</v>
      </c>
      <c r="R12" s="17">
        <f t="shared" ca="1" si="4"/>
        <v>-620.74139799531258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-103.54519105160034</v>
      </c>
      <c r="J13" s="14">
        <f ca="1">-(J17-Q10)</f>
        <v>-277.51310197827206</v>
      </c>
      <c r="K13" s="13">
        <f ca="1">-(K17-Q11)</f>
        <v>-383.88863897581814</v>
      </c>
      <c r="L13" s="14">
        <f t="shared" ca="1" si="5"/>
        <v>-764.94693200569054</v>
      </c>
      <c r="M13" s="16">
        <f ca="1">-E15</f>
        <v>-1385.4642707596745</v>
      </c>
      <c r="N13" s="16"/>
      <c r="O13" s="11"/>
      <c r="P13" s="13"/>
      <c r="Q13" s="14">
        <f t="shared" ca="1" si="6"/>
        <v>-2150.411202765365</v>
      </c>
      <c r="R13" s="16">
        <f t="shared" ca="1" si="4"/>
        <v>-2150.411202765365</v>
      </c>
    </row>
    <row r="14" spans="1:20">
      <c r="A14" s="18" t="s">
        <v>78</v>
      </c>
      <c r="B14" s="11"/>
      <c r="C14" s="14"/>
      <c r="D14" s="14"/>
      <c r="E14" s="14">
        <f ca="1">-(I13+J13)-K13</f>
        <v>764.94693200569054</v>
      </c>
      <c r="F14" s="14"/>
      <c r="G14" s="14"/>
      <c r="H14" s="14"/>
      <c r="I14" s="14"/>
      <c r="J14" s="14"/>
      <c r="K14" s="13"/>
      <c r="L14" s="14">
        <f t="shared" ca="1" si="5"/>
        <v>764.94693200569054</v>
      </c>
      <c r="M14" s="16"/>
      <c r="N14" s="16"/>
      <c r="O14" s="11"/>
      <c r="P14" s="13"/>
      <c r="Q14" s="14">
        <f t="shared" ca="1" si="6"/>
        <v>764.94693200569054</v>
      </c>
      <c r="R14" s="16">
        <f t="shared" ca="1" si="4"/>
        <v>764.94693200569054</v>
      </c>
    </row>
    <row r="15" spans="1:20">
      <c r="A15" s="18" t="s">
        <v>79</v>
      </c>
      <c r="B15" s="11"/>
      <c r="C15" s="14"/>
      <c r="D15" s="14"/>
      <c r="E15" s="14">
        <f ca="1">E17-E14</f>
        <v>1385.4642707596745</v>
      </c>
      <c r="F15" s="14"/>
      <c r="G15" s="14"/>
      <c r="H15" s="14"/>
      <c r="I15" s="14"/>
      <c r="J15" s="14"/>
      <c r="K15" s="13"/>
      <c r="L15" s="14">
        <f t="shared" ca="1" si="5"/>
        <v>1385.4642707596745</v>
      </c>
      <c r="M15" s="16"/>
      <c r="N15" s="16"/>
      <c r="O15" s="11"/>
      <c r="P15" s="13"/>
      <c r="Q15" s="14">
        <f t="shared" ca="1" si="6"/>
        <v>1385.4642707596745</v>
      </c>
      <c r="R15" s="16">
        <f t="shared" ca="1" si="4"/>
        <v>1385.4642707596745</v>
      </c>
    </row>
    <row r="16" spans="1:20">
      <c r="A16" s="30" t="s">
        <v>89</v>
      </c>
      <c r="B16" s="21">
        <f ca="1">Q2</f>
        <v>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500</v>
      </c>
      <c r="M16" s="19"/>
      <c r="N16" s="19"/>
      <c r="O16" s="21"/>
      <c r="P16" s="27"/>
      <c r="Q16" s="22">
        <f t="shared" ca="1" si="6"/>
        <v>500</v>
      </c>
      <c r="R16" s="19">
        <f t="shared" ca="1" si="4"/>
        <v>500</v>
      </c>
    </row>
    <row r="17" spans="1:18">
      <c r="A17" s="29" t="s">
        <v>88</v>
      </c>
      <c r="B17" s="9">
        <f ca="1">B16</f>
        <v>500</v>
      </c>
      <c r="C17" s="9">
        <f ca="1">SUM(C$2:C$11)</f>
        <v>4106.3801952299482</v>
      </c>
      <c r="D17" s="9">
        <f ca="1">SUM(D$2:D$11)</f>
        <v>0</v>
      </c>
      <c r="E17" s="9">
        <f ca="1">$Q$5/parameters!$B$4</f>
        <v>2150.411202765365</v>
      </c>
      <c r="F17" s="9">
        <f t="shared" ref="F17:K17" ca="1" si="7">SUM(F$2:F$11)</f>
        <v>5395.2238805970155</v>
      </c>
      <c r="G17" s="9">
        <f t="shared" ca="1" si="7"/>
        <v>554.00208986415885</v>
      </c>
      <c r="H17" s="9">
        <f t="shared" ca="1" si="7"/>
        <v>5590.9000000000005</v>
      </c>
      <c r="I17" s="9">
        <f t="shared" ca="1" si="7"/>
        <v>1500.0451910516003</v>
      </c>
      <c r="J17" s="9">
        <f t="shared" ca="1" si="7"/>
        <v>4020.2948089483998</v>
      </c>
      <c r="K17" s="9">
        <f t="shared" ca="1" si="7"/>
        <v>3554.6217069701279</v>
      </c>
      <c r="L17" s="17">
        <f t="shared" ca="1" si="5"/>
        <v>27371.879075426612</v>
      </c>
      <c r="M17" s="17"/>
      <c r="N17" s="17"/>
      <c r="O17" s="9"/>
      <c r="P17" s="14"/>
      <c r="Q17" s="11">
        <f t="shared" ca="1" si="6"/>
        <v>27371.879075426612</v>
      </c>
      <c r="R17" s="17">
        <f t="shared" ca="1" si="4"/>
        <v>27371.879075426612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0.89000000000000012</v>
      </c>
      <c r="F18" s="38">
        <f t="shared" ca="1" si="8"/>
        <v>0.93799999999999994</v>
      </c>
      <c r="G18" s="38">
        <f t="shared" ca="1" si="8"/>
        <v>0.95699999999999985</v>
      </c>
      <c r="H18" s="38">
        <f t="shared" ref="H18" ca="1" si="9">1-(-H12)/H17</f>
        <v>1</v>
      </c>
      <c r="I18" s="38">
        <f ca="1">(Q9+Q10)/(Q8-O8-P8)</f>
        <v>0.93097195226564444</v>
      </c>
      <c r="J18" s="38">
        <f ca="1">I18</f>
        <v>0.93097195226564444</v>
      </c>
      <c r="K18" s="39">
        <f ca="1">1-(-K13)/K17</f>
        <v>0.89200295541349306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8055.8468350608828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8055.8468350608828</v>
      </c>
      <c r="M2" s="17"/>
      <c r="N2" s="17">
        <f ca="1">Q2-(L2+O2+P2)</f>
        <v>0</v>
      </c>
      <c r="O2" s="11" cm="1">
        <f t="array" aca="1" ref="O2" ca="1">INDIRECT("'data'!$F$" &amp; $A$1)</f>
        <v>21.45</v>
      </c>
      <c r="P2" s="13">
        <f ca="1">IF(-(L2-Q2+O2)&lt;0, -(L2-Q2+O2), 0)</f>
        <v>-8077.2968350608826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7447.1641791044776</v>
      </c>
      <c r="G3" s="14">
        <f ca="1">Q3-O3-P3-F3</f>
        <v>702.51582089552176</v>
      </c>
      <c r="H3" s="14"/>
      <c r="I3" s="14"/>
      <c r="J3" s="14"/>
      <c r="K3" s="13"/>
      <c r="L3" s="16">
        <f t="shared" ca="1" si="0"/>
        <v>8149.6799999999994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171.04499999999999</v>
      </c>
      <c r="P3" s="13" cm="1">
        <f t="array" aca="1" ref="P3" ca="1">-INDIRECT("'data'!$I$" &amp; $A$1)*parameters!$B$13</f>
        <v>-315.63</v>
      </c>
      <c r="Q3" s="16" cm="1">
        <f t="array" aca="1" ref="Q3" ca="1">INDIRECT("'data'!$G$" &amp; $A$1)*parameters!$B$13</f>
        <v>8005.0949999999993</v>
      </c>
      <c r="R3" s="16">
        <f t="shared" ref="R3:R10" ca="1" si="2">SUM(L3:P3)</f>
        <v>8005.0949999999984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1861.7910447761196</v>
      </c>
      <c r="G5" s="14">
        <f ca="1">Q7/parameters!$B$7-(G3+G4)</f>
        <v>2088.9993306196297</v>
      </c>
      <c r="H5" s="14"/>
      <c r="I5" s="14"/>
      <c r="J5" s="14"/>
      <c r="K5" s="13"/>
      <c r="L5" s="16">
        <f t="shared" ca="1" si="0"/>
        <v>3950.7903753957494</v>
      </c>
      <c r="M5" s="16"/>
      <c r="N5" s="16"/>
      <c r="O5" s="11" cm="1">
        <f t="array" aca="1" ref="O5" ca="1">INDIRECT("'data'!$M$" &amp; $A$1)*parameters!$B$15</f>
        <v>1705.2286448184234</v>
      </c>
      <c r="P5" s="13" cm="1">
        <f t="array" aca="1" ref="P5" ca="1">-INDIRECT("'data'!$N$" &amp; $A$1)*parameters!$B$15</f>
        <v>-3114.3383825110504</v>
      </c>
      <c r="Q5" s="16">
        <f ca="1">SUM(L5:P5)</f>
        <v>2541.6806377031226</v>
      </c>
      <c r="R5" s="16">
        <f t="shared" ca="1" si="2"/>
        <v>2541.6806377031226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8731.7999999999993</v>
      </c>
      <c r="I6" s="14"/>
      <c r="J6" s="14"/>
      <c r="K6" s="13"/>
      <c r="L6" s="16">
        <f t="shared" ca="1" si="0"/>
        <v>8731.7999999999993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8731.7999999999993</v>
      </c>
      <c r="R6" s="16">
        <f t="shared" ca="1" si="2"/>
        <v>8731.7999999999993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2671.48</v>
      </c>
      <c r="I7" s="14"/>
      <c r="J7" s="14"/>
      <c r="K7" s="13"/>
      <c r="L7" s="16">
        <f t="shared" ca="1" si="0"/>
        <v>2671.48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2671.48</v>
      </c>
      <c r="R7" s="16">
        <f t="shared" ca="1" si="2"/>
        <v>2671.48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1337.6980982124105</v>
      </c>
      <c r="J8" s="14">
        <f ca="1">Q10/J18</f>
        <v>13330.94190178759</v>
      </c>
      <c r="K8" s="13"/>
      <c r="L8" s="16">
        <f t="shared" ca="1" si="0"/>
        <v>14668.64</v>
      </c>
      <c r="M8" s="16"/>
      <c r="N8" s="16">
        <f t="shared" ca="1" si="3"/>
        <v>0</v>
      </c>
      <c r="O8" s="11" cm="1">
        <f t="array" aca="1" ref="O8" ca="1">INDIRECT("'data'!$R$" &amp; $A$1)*parameters!$B$15</f>
        <v>1087.8</v>
      </c>
      <c r="P8" s="13" cm="1">
        <f t="array" aca="1" ref="P8" ca="1">-INDIRECT("'data'!$S$" &amp; $A$1)*parameters!$B$15</f>
        <v>-4353.16</v>
      </c>
      <c r="Q8" s="16">
        <f ca="1">SUM(Q6:Q7)</f>
        <v>11403.279999999999</v>
      </c>
      <c r="R8" s="16">
        <f t="shared" ca="1" si="2"/>
        <v>11403.279999999999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1631.8655402146685</v>
      </c>
      <c r="L9" s="16">
        <f t="shared" ca="1" si="0"/>
        <v>1631.8655402146685</v>
      </c>
      <c r="M9" s="16"/>
      <c r="N9" s="16">
        <f t="shared" ca="1" si="3"/>
        <v>0</v>
      </c>
      <c r="O9" s="11" cm="1">
        <f t="array" aca="1" ref="O9" ca="1">INDIRECT("'data'!$U$" &amp; $A$1)*parameters!$B$15</f>
        <v>1789.2132137285489</v>
      </c>
      <c r="P9" s="13" cm="1">
        <f t="array" aca="1" ref="P9" ca="1">-INDIRECT("'data'!$V$" &amp; $A$1)*parameters!$B$15</f>
        <v>-2229.3987539432173</v>
      </c>
      <c r="Q9" s="16" cm="1">
        <f t="array" aca="1" ref="Q9" ca="1">INDIRECT("'data'!$T$" &amp; $A$1)*parameters!$B$15</f>
        <v>1191.68</v>
      </c>
      <c r="R9" s="16">
        <f t="shared" ca="1" si="2"/>
        <v>1191.6800000000003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3069.7318005699726</v>
      </c>
      <c r="L10" s="16">
        <f t="shared" ca="1" si="0"/>
        <v>3069.7318005699726</v>
      </c>
      <c r="M10" s="16"/>
      <c r="N10" s="16">
        <f t="shared" ca="1" si="3"/>
        <v>0</v>
      </c>
      <c r="O10" s="11" cm="1">
        <f t="array" aca="1" ref="O10" ca="1">INDIRECT("'data'!$X$" &amp; $A$1)*parameters!$B$15</f>
        <v>13902.026414919033</v>
      </c>
      <c r="P10" s="13" cm="1">
        <f t="array" aca="1" ref="P10" ca="1">-INDIRECT("'data'!$Y$" &amp; $A$1)*parameters!$B$15</f>
        <v>-5095.971842800529</v>
      </c>
      <c r="Q10" s="16" cm="1">
        <f t="array" aca="1" ref="Q10" ca="1">INDIRECT("'data'!$W$" &amp; $A$1)*parameters!$B$15</f>
        <v>11875.786372688477</v>
      </c>
      <c r="R10" s="16">
        <f t="shared" ca="1" si="2"/>
        <v>11875.786372688475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4054.362956291965</v>
      </c>
      <c r="N11" s="19"/>
      <c r="O11" s="21" cm="1">
        <f t="array" aca="1" ref="O11" ca="1">INDIRECT("'data'!$Z$" &amp; $A$1)*parameters!$B$15</f>
        <v>5374.32</v>
      </c>
      <c r="P11" s="27" cm="1">
        <f t="array" aca="1" ref="P11" ca="1">-INDIRECT("'data'!$AA$" &amp; $A$1)*parameters!$B$15</f>
        <v>-5254.76</v>
      </c>
      <c r="Q11" s="16">
        <f ca="1">K9*parameters!$B$10+K10*parameters!$B$11</f>
        <v>4173.9229562919645</v>
      </c>
      <c r="R11" s="16">
        <f t="shared" ref="R11:R17" ca="1" si="4">SUM(L11:P11)</f>
        <v>4173.9229562919645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-50.751835060883423</v>
      </c>
      <c r="D12" s="9">
        <f ca="1">-(D17-Q4)</f>
        <v>0</v>
      </c>
      <c r="E12" s="9">
        <f ca="1">-(E17-Q5)</f>
        <v>-314.14030353634098</v>
      </c>
      <c r="F12" s="9">
        <f ca="1">-(F17-Q6)</f>
        <v>-577.15522388059799</v>
      </c>
      <c r="G12" s="9">
        <f ca="1">-(G17-Q7)</f>
        <v>-120.03515151515148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-1062.0825139929739</v>
      </c>
      <c r="M12" s="17"/>
      <c r="N12" s="17"/>
      <c r="O12" s="10"/>
      <c r="P12" s="12"/>
      <c r="Q12" s="9">
        <f t="shared" ref="Q12:Q17" ca="1" si="6">SUM(L12:P12)</f>
        <v>-1062.0825139929739</v>
      </c>
      <c r="R12" s="17">
        <f t="shared" ca="1" si="4"/>
        <v>-1062.0825139929739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-146.01809821241045</v>
      </c>
      <c r="J13" s="14">
        <f ca="1">-(J17-Q10)</f>
        <v>-1455.1555290991128</v>
      </c>
      <c r="K13" s="13">
        <f ca="1">-(K17-Q11)</f>
        <v>-527.67438449267684</v>
      </c>
      <c r="L13" s="14">
        <f t="shared" ca="1" si="5"/>
        <v>-2128.8480118041998</v>
      </c>
      <c r="M13" s="16">
        <f ca="1">-E15</f>
        <v>-726.97292943526372</v>
      </c>
      <c r="N13" s="16"/>
      <c r="O13" s="11"/>
      <c r="P13" s="13"/>
      <c r="Q13" s="14">
        <f t="shared" ca="1" si="6"/>
        <v>-2855.8209412394635</v>
      </c>
      <c r="R13" s="16">
        <f t="shared" ca="1" si="4"/>
        <v>-2855.8209412394635</v>
      </c>
    </row>
    <row r="14" spans="1:20">
      <c r="A14" s="18" t="s">
        <v>78</v>
      </c>
      <c r="B14" s="11"/>
      <c r="C14" s="14"/>
      <c r="D14" s="14"/>
      <c r="E14" s="14">
        <f ca="1">-(I13+J13)-K13</f>
        <v>2128.8480118041998</v>
      </c>
      <c r="F14" s="14"/>
      <c r="G14" s="14"/>
      <c r="H14" s="14"/>
      <c r="I14" s="14"/>
      <c r="J14" s="14"/>
      <c r="K14" s="13"/>
      <c r="L14" s="14">
        <f t="shared" ca="1" si="5"/>
        <v>2128.8480118041998</v>
      </c>
      <c r="M14" s="16"/>
      <c r="N14" s="16"/>
      <c r="O14" s="11"/>
      <c r="P14" s="13"/>
      <c r="Q14" s="14">
        <f t="shared" ca="1" si="6"/>
        <v>2128.8480118041998</v>
      </c>
      <c r="R14" s="16">
        <f t="shared" ca="1" si="4"/>
        <v>2128.8480118041998</v>
      </c>
    </row>
    <row r="15" spans="1:20">
      <c r="A15" s="18" t="s">
        <v>79</v>
      </c>
      <c r="B15" s="11"/>
      <c r="C15" s="14"/>
      <c r="D15" s="14"/>
      <c r="E15" s="14">
        <f ca="1">E17-E14</f>
        <v>726.97292943526372</v>
      </c>
      <c r="F15" s="14"/>
      <c r="G15" s="14"/>
      <c r="H15" s="14"/>
      <c r="I15" s="14"/>
      <c r="J15" s="14"/>
      <c r="K15" s="13"/>
      <c r="L15" s="14">
        <f t="shared" ca="1" si="5"/>
        <v>726.97292943526372</v>
      </c>
      <c r="M15" s="16"/>
      <c r="N15" s="16"/>
      <c r="O15" s="11"/>
      <c r="P15" s="13"/>
      <c r="Q15" s="14">
        <f t="shared" ca="1" si="6"/>
        <v>726.97292943526372</v>
      </c>
      <c r="R15" s="16">
        <f t="shared" ca="1" si="4"/>
        <v>726.97292943526372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8055.8468350608828</v>
      </c>
      <c r="D17" s="9">
        <f ca="1">SUM(D$2:D$11)</f>
        <v>0</v>
      </c>
      <c r="E17" s="9">
        <f ca="1">$Q$5/parameters!$B$4</f>
        <v>2855.8209412394635</v>
      </c>
      <c r="F17" s="9">
        <f t="shared" ref="F17:K17" ca="1" si="7">SUM(F$2:F$11)</f>
        <v>9308.9552238805973</v>
      </c>
      <c r="G17" s="9">
        <f t="shared" ca="1" si="7"/>
        <v>2791.5151515151515</v>
      </c>
      <c r="H17" s="9">
        <f t="shared" ca="1" si="7"/>
        <v>11403.279999999999</v>
      </c>
      <c r="I17" s="9">
        <f t="shared" ca="1" si="7"/>
        <v>1337.6980982124105</v>
      </c>
      <c r="J17" s="9">
        <f t="shared" ca="1" si="7"/>
        <v>13330.94190178759</v>
      </c>
      <c r="K17" s="9">
        <f t="shared" ca="1" si="7"/>
        <v>4701.5973407846413</v>
      </c>
      <c r="L17" s="17">
        <f t="shared" ca="1" si="5"/>
        <v>53785.655492480735</v>
      </c>
      <c r="M17" s="17"/>
      <c r="N17" s="17"/>
      <c r="O17" s="9"/>
      <c r="P17" s="14"/>
      <c r="Q17" s="11">
        <f t="shared" ca="1" si="6"/>
        <v>53785.655492480735</v>
      </c>
      <c r="R17" s="17">
        <f t="shared" ca="1" si="4"/>
        <v>53785.655492480735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0.89084375734140842</v>
      </c>
      <c r="J18" s="38">
        <f ca="1">I18</f>
        <v>0.89084375734140842</v>
      </c>
      <c r="K18" s="39">
        <f ca="1">1-(-K13)/K17</f>
        <v>0.88776699784235158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10356.294656334909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10356.294656334909</v>
      </c>
      <c r="M2" s="17"/>
      <c r="N2" s="17">
        <f ca="1">Q2-(L2+O2+P2)</f>
        <v>6.9844130479168598E-13</v>
      </c>
      <c r="O2" s="11" cm="1">
        <f t="array" aca="1" ref="O2" ca="1">INDIRECT("'data'!$F$" &amp; $A$1)</f>
        <v>0.65</v>
      </c>
      <c r="P2" s="13">
        <f ca="1">IF(-(L2-Q2+O2)&lt;0, -(L2-Q2+O2), 0)</f>
        <v>-10356.376656334909</v>
      </c>
      <c r="Q2" s="17" cm="1">
        <f t="array" aca="1" ref="Q2" ca="1">INDIRECT("'data'!$D$" &amp; $A$1)</f>
        <v>0.56799999999999995</v>
      </c>
      <c r="R2" s="17">
        <f ca="1">SUM(L2:P2)</f>
        <v>0.56799999999930151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10137.29552238806</v>
      </c>
      <c r="G3" s="14">
        <f ca="1">Q3-O3-P3-F3</f>
        <v>279.43947761193886</v>
      </c>
      <c r="H3" s="14"/>
      <c r="I3" s="14"/>
      <c r="J3" s="14"/>
      <c r="K3" s="13"/>
      <c r="L3" s="16">
        <f t="shared" ca="1" si="0"/>
        <v>10416.734999999999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-126.63</v>
      </c>
      <c r="Q3" s="16" cm="1">
        <f t="array" aca="1" ref="Q3" ca="1">INDIRECT("'data'!$G$" &amp; $A$1)*parameters!$B$13</f>
        <v>10291.049999999999</v>
      </c>
      <c r="R3" s="16">
        <f t="shared" ref="R3:R10" ca="1" si="2">SUM(L3:P3)</f>
        <v>10291.049999999999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Q6/parameters!$B$5*16%</f>
        <v>1930.9134328358211</v>
      </c>
      <c r="G5" s="14">
        <f ca="1">Q7/parameters!$B$7-(G3+G4)</f>
        <v>3411.1770323149162</v>
      </c>
      <c r="H5" s="14"/>
      <c r="I5" s="14"/>
      <c r="J5" s="14"/>
      <c r="K5" s="13"/>
      <c r="L5" s="16">
        <f t="shared" ca="1" si="0"/>
        <v>5342.0904651507371</v>
      </c>
      <c r="M5" s="16"/>
      <c r="N5" s="16"/>
      <c r="O5" s="11" cm="1">
        <f t="array" aca="1" ref="O5" ca="1">INDIRECT("'data'!$M$" &amp; $A$1)*parameters!$B$15</f>
        <v>4294.3599999999997</v>
      </c>
      <c r="P5" s="13" cm="1">
        <f t="array" aca="1" ref="P5" ca="1">-INDIRECT("'data'!$N$" &amp; $A$1)*parameters!$B$15</f>
        <v>-186.2</v>
      </c>
      <c r="Q5" s="16">
        <f ca="1">SUM(L5:P5)</f>
        <v>9450.250465150737</v>
      </c>
      <c r="R5" s="16">
        <f t="shared" ca="1" si="2"/>
        <v>9450.250465150737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11319.98</v>
      </c>
      <c r="I6" s="14"/>
      <c r="J6" s="14"/>
      <c r="K6" s="13"/>
      <c r="L6" s="16">
        <f t="shared" ca="1" si="0"/>
        <v>11319.98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11319.98</v>
      </c>
      <c r="R6" s="16">
        <f t="shared" ca="1" si="2"/>
        <v>11319.98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3531.92</v>
      </c>
      <c r="I7" s="14"/>
      <c r="J7" s="14"/>
      <c r="K7" s="13"/>
      <c r="L7" s="16">
        <f t="shared" ca="1" si="0"/>
        <v>3531.92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3531.92</v>
      </c>
      <c r="R7" s="16">
        <f t="shared" ca="1" si="2"/>
        <v>3531.92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6632.2753695464426</v>
      </c>
      <c r="J8" s="14">
        <f ca="1">Q10/J18</f>
        <v>8222.5646304535567</v>
      </c>
      <c r="K8" s="13"/>
      <c r="L8" s="16">
        <f t="shared" ca="1" si="0"/>
        <v>14854.84</v>
      </c>
      <c r="M8" s="16"/>
      <c r="N8" s="16">
        <f t="shared" ca="1" si="3"/>
        <v>0</v>
      </c>
      <c r="O8" s="11" cm="1">
        <f t="array" aca="1" ref="O8" ca="1">INDIRECT("'data'!$R$" &amp; $A$1)*parameters!$B$15</f>
        <v>511.56</v>
      </c>
      <c r="P8" s="13" cm="1">
        <f t="array" aca="1" ref="P8" ca="1">-INDIRECT("'data'!$S$" &amp; $A$1)*parameters!$B$15</f>
        <v>-514.5</v>
      </c>
      <c r="Q8" s="16">
        <f ca="1">SUM(Q6:Q7)</f>
        <v>14851.9</v>
      </c>
      <c r="R8" s="16">
        <f t="shared" ca="1" si="2"/>
        <v>14851.9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4608.9400000000005</v>
      </c>
      <c r="L9" s="16">
        <f t="shared" ca="1" si="0"/>
        <v>4608.9400000000005</v>
      </c>
      <c r="M9" s="16"/>
      <c r="N9" s="16">
        <f t="shared" ca="1" si="3"/>
        <v>0</v>
      </c>
      <c r="O9" s="11" cm="1">
        <f t="array" aca="1" ref="O9" ca="1">INDIRECT("'data'!$U$" &amp; $A$1)*parameters!$B$15</f>
        <v>3076.22</v>
      </c>
      <c r="P9" s="13" cm="1">
        <f t="array" aca="1" ref="P9" ca="1">-INDIRECT("'data'!$V$" &amp; $A$1)*parameters!$B$15</f>
        <v>-2058.98</v>
      </c>
      <c r="Q9" s="16" cm="1">
        <f t="array" aca="1" ref="Q9" ca="1">INDIRECT("'data'!$T$" &amp; $A$1)*parameters!$B$15</f>
        <v>5626.18</v>
      </c>
      <c r="R9" s="16">
        <f t="shared" ca="1" si="2"/>
        <v>5626.18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7743.5473684210519</v>
      </c>
      <c r="L10" s="16">
        <f t="shared" ca="1" si="0"/>
        <v>7743.5473684210519</v>
      </c>
      <c r="M10" s="16"/>
      <c r="N10" s="16">
        <f t="shared" ca="1" si="3"/>
        <v>0</v>
      </c>
      <c r="O10" s="11" cm="1">
        <f t="array" aca="1" ref="O10" ca="1">INDIRECT("'data'!$X$" &amp; $A$1)*parameters!$B$15</f>
        <v>3450.58</v>
      </c>
      <c r="P10" s="13" cm="1">
        <f t="array" aca="1" ref="P10" ca="1">-INDIRECT("'data'!$Y$" &amp; $A$1)*parameters!$B$15</f>
        <v>-4218.8999999999996</v>
      </c>
      <c r="Q10" s="16" cm="1">
        <f t="array" aca="1" ref="Q10" ca="1">INDIRECT("'data'!$W$" &amp; $A$1)*parameters!$B$15</f>
        <v>6975.2273684210522</v>
      </c>
      <c r="R10" s="16">
        <f t="shared" ca="1" si="2"/>
        <v>6975.2273684210522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13371.294336842106</v>
      </c>
      <c r="N11" s="19"/>
      <c r="O11" s="21" cm="1">
        <f t="array" aca="1" ref="O11" ca="1">INDIRECT("'data'!$Z$" &amp; $A$1)*parameters!$B$15</f>
        <v>5666.36</v>
      </c>
      <c r="P11" s="27" cm="1">
        <f t="array" aca="1" ref="P11" ca="1">-INDIRECT("'data'!$AA$" &amp; $A$1)*parameters!$B$15</f>
        <v>-8045.8</v>
      </c>
      <c r="Q11" s="16">
        <f ca="1">K9*parameters!$B$10+K10*parameters!$B$11</f>
        <v>10991.854336842105</v>
      </c>
      <c r="R11" s="16">
        <f t="shared" ref="R11:R17" ca="1" si="4">SUM(L11:P11)</f>
        <v>10991.854336842105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-65.24465633490945</v>
      </c>
      <c r="D12" s="9">
        <f ca="1">-(D17-Q4)</f>
        <v>0</v>
      </c>
      <c r="E12" s="9">
        <f ca="1">-(E17-Q5)</f>
        <v>-1168.0084844568319</v>
      </c>
      <c r="F12" s="9">
        <f ca="1">-(F17-Q6)</f>
        <v>-748.22895522388171</v>
      </c>
      <c r="G12" s="9">
        <f ca="1">-(G17-Q7)</f>
        <v>-158.69650992685501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-2140.178605942478</v>
      </c>
      <c r="M12" s="17"/>
      <c r="N12" s="17"/>
      <c r="O12" s="10"/>
      <c r="P12" s="12"/>
      <c r="Q12" s="9">
        <f t="shared" ref="Q12:Q17" ca="1" si="6">SUM(L12:P12)</f>
        <v>-2140.178605942478</v>
      </c>
      <c r="R12" s="17">
        <f t="shared" ca="1" si="4"/>
        <v>-2140.178605942478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-1006.0953695464423</v>
      </c>
      <c r="J13" s="14">
        <f ca="1">-(J17-Q10)</f>
        <v>-1247.3372620325044</v>
      </c>
      <c r="K13" s="13">
        <f ca="1">-(K17-Q11)</f>
        <v>-1360.6330315789473</v>
      </c>
      <c r="L13" s="14">
        <f t="shared" ca="1" si="5"/>
        <v>-3614.0656631578941</v>
      </c>
      <c r="M13" s="16">
        <f ca="1">-E15</f>
        <v>-7004.1932864496748</v>
      </c>
      <c r="N13" s="16"/>
      <c r="O13" s="11"/>
      <c r="P13" s="13"/>
      <c r="Q13" s="14">
        <f t="shared" ca="1" si="6"/>
        <v>-10618.258949607569</v>
      </c>
      <c r="R13" s="16">
        <f t="shared" ca="1" si="4"/>
        <v>-10618.258949607569</v>
      </c>
    </row>
    <row r="14" spans="1:20">
      <c r="A14" s="18" t="s">
        <v>78</v>
      </c>
      <c r="B14" s="11"/>
      <c r="C14" s="14"/>
      <c r="D14" s="14"/>
      <c r="E14" s="14">
        <f ca="1">-(I13+J13)-K13</f>
        <v>3614.0656631578941</v>
      </c>
      <c r="F14" s="14"/>
      <c r="G14" s="14"/>
      <c r="H14" s="14"/>
      <c r="I14" s="14"/>
      <c r="J14" s="14"/>
      <c r="K14" s="13"/>
      <c r="L14" s="14">
        <f t="shared" ca="1" si="5"/>
        <v>3614.0656631578941</v>
      </c>
      <c r="M14" s="16"/>
      <c r="N14" s="16"/>
      <c r="O14" s="11"/>
      <c r="P14" s="13"/>
      <c r="Q14" s="14">
        <f t="shared" ca="1" si="6"/>
        <v>3614.0656631578941</v>
      </c>
      <c r="R14" s="16">
        <f t="shared" ca="1" si="4"/>
        <v>3614.0656631578941</v>
      </c>
    </row>
    <row r="15" spans="1:20">
      <c r="A15" s="18" t="s">
        <v>79</v>
      </c>
      <c r="B15" s="11"/>
      <c r="C15" s="14"/>
      <c r="D15" s="14"/>
      <c r="E15" s="14">
        <f ca="1">E17-E14</f>
        <v>7004.1932864496748</v>
      </c>
      <c r="F15" s="14"/>
      <c r="G15" s="14"/>
      <c r="H15" s="14"/>
      <c r="I15" s="14"/>
      <c r="J15" s="14"/>
      <c r="K15" s="13"/>
      <c r="L15" s="14">
        <f t="shared" ca="1" si="5"/>
        <v>7004.1932864496748</v>
      </c>
      <c r="M15" s="16"/>
      <c r="N15" s="16"/>
      <c r="O15" s="11"/>
      <c r="P15" s="13"/>
      <c r="Q15" s="14">
        <f t="shared" ca="1" si="6"/>
        <v>7004.1932864496748</v>
      </c>
      <c r="R15" s="16">
        <f t="shared" ca="1" si="4"/>
        <v>7004.1932864496748</v>
      </c>
    </row>
    <row r="16" spans="1:20">
      <c r="A16" s="30" t="s">
        <v>89</v>
      </c>
      <c r="B16" s="21">
        <f ca="1">Q2</f>
        <v>0.56799999999999995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0.56799999999999995</v>
      </c>
      <c r="M16" s="19"/>
      <c r="N16" s="19"/>
      <c r="O16" s="21"/>
      <c r="P16" s="27"/>
      <c r="Q16" s="22">
        <f t="shared" ca="1" si="6"/>
        <v>0.56799999999999995</v>
      </c>
      <c r="R16" s="19">
        <f t="shared" ca="1" si="4"/>
        <v>0.56799999999999995</v>
      </c>
    </row>
    <row r="17" spans="1:18">
      <c r="A17" s="29" t="s">
        <v>88</v>
      </c>
      <c r="B17" s="9">
        <f ca="1">B16</f>
        <v>0.56799999999999995</v>
      </c>
      <c r="C17" s="9">
        <f ca="1">SUM(C$2:C$11)</f>
        <v>10356.294656334909</v>
      </c>
      <c r="D17" s="9">
        <f ca="1">SUM(D$2:D$11)</f>
        <v>0</v>
      </c>
      <c r="E17" s="9">
        <f ca="1">$Q$5/parameters!$B$4</f>
        <v>10618.258949607569</v>
      </c>
      <c r="F17" s="9">
        <f t="shared" ref="F17:K17" ca="1" si="7">SUM(F$2:F$11)</f>
        <v>12068.208955223881</v>
      </c>
      <c r="G17" s="9">
        <f t="shared" ca="1" si="7"/>
        <v>3690.6165099268551</v>
      </c>
      <c r="H17" s="9">
        <f t="shared" ca="1" si="7"/>
        <v>14851.9</v>
      </c>
      <c r="I17" s="9">
        <f t="shared" ca="1" si="7"/>
        <v>6632.2753695464426</v>
      </c>
      <c r="J17" s="9">
        <f t="shared" ca="1" si="7"/>
        <v>8222.5646304535567</v>
      </c>
      <c r="K17" s="9">
        <f t="shared" ca="1" si="7"/>
        <v>12352.487368421052</v>
      </c>
      <c r="L17" s="17">
        <f t="shared" ca="1" si="5"/>
        <v>78793.17443951426</v>
      </c>
      <c r="M17" s="17"/>
      <c r="N17" s="17"/>
      <c r="O17" s="9"/>
      <c r="P17" s="14"/>
      <c r="Q17" s="11">
        <f t="shared" ca="1" si="6"/>
        <v>78793.17443951426</v>
      </c>
      <c r="R17" s="17">
        <f t="shared" ca="1" si="4"/>
        <v>78793.17443951426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0.89000000000000012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0.84830313678377234</v>
      </c>
      <c r="J18" s="38">
        <f ca="1">I18</f>
        <v>0.84830313678377234</v>
      </c>
      <c r="K18" s="39">
        <f ca="1">1-(-K13)/K17</f>
        <v>0.88984946990859626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4720.6260544603119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4720.6260544603119</v>
      </c>
      <c r="M2" s="17"/>
      <c r="N2" s="17">
        <f ca="1">Q2-(L2+O2+P2)</f>
        <v>0</v>
      </c>
      <c r="O2" s="11" cm="1">
        <f t="array" aca="1" ref="O2" ca="1">INDIRECT("'data'!$F$" &amp; $A$1)</f>
        <v>102.05</v>
      </c>
      <c r="P2" s="13">
        <f ca="1">IF(-(L2-Q2+O2)&lt;0, -(L2-Q2+O2), 0)</f>
        <v>-4822.6760544603121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4717.9373134328353</v>
      </c>
      <c r="G3" s="14">
        <f ca="1">Q3-O3-P3-F3</f>
        <v>34.373796884377043</v>
      </c>
      <c r="H3" s="14"/>
      <c r="I3" s="14"/>
      <c r="J3" s="14"/>
      <c r="K3" s="13"/>
      <c r="L3" s="16">
        <f t="shared" ca="1" si="0"/>
        <v>4752.3111103172123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59.534999999999997</v>
      </c>
      <c r="P3" s="13" cm="1">
        <f t="array" aca="1" ref="P3" ca="1">-INDIRECT("'data'!$I$" &amp; $A$1)*parameters!$B$13</f>
        <v>-120.96</v>
      </c>
      <c r="Q3" s="16" cm="1">
        <f t="array" aca="1" ref="Q3" ca="1">INDIRECT("'data'!$G$" &amp; $A$1)*parameters!$B$13</f>
        <v>4690.8861103172121</v>
      </c>
      <c r="R3" s="16">
        <f t="shared" ref="R3:R10" ca="1" si="2">SUM(L3:P3)</f>
        <v>4690.8861103172121</v>
      </c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108</v>
      </c>
      <c r="B5" s="11"/>
      <c r="C5" s="14"/>
      <c r="D5" s="14"/>
      <c r="E5" s="14"/>
      <c r="F5" s="14">
        <f ca="1">Q6/parameters!$B$5*18%</f>
        <v>1035.6447761194029</v>
      </c>
      <c r="G5" s="14">
        <f ca="1">Q7/parameters!$B$7-(G3+G4)</f>
        <v>128.44751973004301</v>
      </c>
      <c r="H5" s="14"/>
      <c r="I5" s="14"/>
      <c r="J5" s="14"/>
      <c r="K5" s="13"/>
      <c r="L5" s="16">
        <f t="shared" ca="1" si="0"/>
        <v>1164.0922958494459</v>
      </c>
      <c r="M5" s="16"/>
      <c r="N5" s="16"/>
      <c r="O5" s="11" cm="1">
        <f t="array" aca="1" ref="O5" ca="1">INDIRECT("'data'!$M$" &amp; $A$1)*parameters!$B$15</f>
        <v>3152.66</v>
      </c>
      <c r="P5" s="13" cm="1">
        <f t="array" aca="1" ref="P5" ca="1">-INDIRECT("'data'!$N$" &amp; $A$1)*parameters!$B$15</f>
        <v>-1428.84</v>
      </c>
      <c r="Q5" s="16">
        <f ca="1">SUM(L5:P5)</f>
        <v>2887.9122958494454</v>
      </c>
      <c r="R5" s="16">
        <f t="shared" ca="1" si="2"/>
        <v>2887.9122958494454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5396.86</v>
      </c>
      <c r="I6" s="14"/>
      <c r="J6" s="14"/>
      <c r="K6" s="13"/>
      <c r="L6" s="16">
        <f t="shared" ca="1" si="0"/>
        <v>5396.86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5396.86</v>
      </c>
      <c r="R6" s="16">
        <f t="shared" ca="1" si="2"/>
        <v>5396.86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155.82</v>
      </c>
      <c r="I7" s="14"/>
      <c r="J7" s="14"/>
      <c r="K7" s="13"/>
      <c r="L7" s="16">
        <f t="shared" ca="1" si="0"/>
        <v>155.82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155.82</v>
      </c>
      <c r="R7" s="16">
        <f t="shared" ca="1" si="2"/>
        <v>155.82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469.13816760259169</v>
      </c>
      <c r="J8" s="14">
        <f ca="1">Q10/J18</f>
        <v>4849.321832397407</v>
      </c>
      <c r="K8" s="13"/>
      <c r="L8" s="16">
        <f t="shared" ca="1" si="0"/>
        <v>5318.4599999999991</v>
      </c>
      <c r="M8" s="16"/>
      <c r="N8" s="16">
        <f t="shared" ca="1" si="3"/>
        <v>0</v>
      </c>
      <c r="O8" s="11" cm="1">
        <f t="array" aca="1" ref="O8" ca="1">INDIRECT("'data'!$R$" &amp; $A$1)*parameters!$B$15</f>
        <v>527.24</v>
      </c>
      <c r="P8" s="13" cm="1">
        <f t="array" aca="1" ref="P8" ca="1">-INDIRECT("'data'!$S$" &amp; $A$1)*parameters!$B$15</f>
        <v>-293.02</v>
      </c>
      <c r="Q8" s="16">
        <f ca="1">SUM(Q6:Q7)</f>
        <v>5552.6799999999994</v>
      </c>
      <c r="R8" s="16">
        <f t="shared" ca="1" si="2"/>
        <v>5552.6799999999985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1977.6399999999999</v>
      </c>
      <c r="L9" s="16">
        <f t="shared" ca="1" si="0"/>
        <v>1977.6399999999999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691.88</v>
      </c>
      <c r="P9" s="13" cm="1">
        <f t="array" aca="1" ref="P9" ca="1">-INDIRECT("'data'!$V$" &amp; $A$1)*parameters!$B$15</f>
        <v>-2251.06</v>
      </c>
      <c r="Q9" s="16" cm="1">
        <f t="array" aca="1" ref="Q9" ca="1">INDIRECT("'data'!$T$" &amp; $A$1)*parameters!$B$15</f>
        <v>418.46</v>
      </c>
      <c r="R9" s="16">
        <f t="shared" ca="1" si="2"/>
        <v>418.46000000000004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2356.6588335704128</v>
      </c>
      <c r="L10" s="16">
        <f t="shared" ca="1" si="0"/>
        <v>2356.6588335704128</v>
      </c>
      <c r="M10" s="16"/>
      <c r="N10" s="16">
        <f t="shared" ca="1" si="3"/>
        <v>0</v>
      </c>
      <c r="O10" s="11" cm="1">
        <f t="array" aca="1" ref="O10" ca="1">INDIRECT("'data'!$X$" &amp; $A$1)*parameters!$B$15</f>
        <v>4690.28</v>
      </c>
      <c r="P10" s="13" cm="1">
        <f t="array" aca="1" ref="P10" ca="1">-INDIRECT("'data'!$Y$" &amp; $A$1)*parameters!$B$15</f>
        <v>-2721.46</v>
      </c>
      <c r="Q10" s="16" cm="1">
        <f t="array" aca="1" ref="Q10" ca="1">INDIRECT("'data'!$W$" &amp; $A$1)*parameters!$B$15</f>
        <v>4325.4788335704125</v>
      </c>
      <c r="R10" s="16">
        <f t="shared" ca="1" si="2"/>
        <v>4325.4788335704125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4523.6881968705547</v>
      </c>
      <c r="N11" s="19"/>
      <c r="O11" s="21" cm="1">
        <f t="array" aca="1" ref="O11" ca="1">INDIRECT("'data'!$Z$" &amp; $A$1)*parameters!$B$15</f>
        <v>3359.44</v>
      </c>
      <c r="P11" s="27" cm="1">
        <f t="array" aca="1" ref="P11" ca="1">-INDIRECT("'data'!$AA$" &amp; $A$1)*parameters!$B$15</f>
        <v>-3997.42</v>
      </c>
      <c r="Q11" s="16">
        <f ca="1">K9*parameters!$B$10+K10*parameters!$B$11</f>
        <v>3885.7081968705547</v>
      </c>
      <c r="R11" s="16">
        <f t="shared" ref="R11:R17" ca="1" si="4">SUM(L11:P11)</f>
        <v>3885.7081968705552</v>
      </c>
    </row>
    <row r="12" spans="1:19">
      <c r="A12" s="29" t="s">
        <v>86</v>
      </c>
      <c r="B12" s="10">
        <f ca="1">-(B17-Q2)</f>
        <v>0</v>
      </c>
      <c r="C12" s="9">
        <f ca="1">-(C17-Q3)</f>
        <v>-29.739944143099819</v>
      </c>
      <c r="D12" s="9">
        <f ca="1">-(D17-Q4)</f>
        <v>0</v>
      </c>
      <c r="E12" s="9">
        <f ca="1">-(E17-Q5)</f>
        <v>-356.93298038588637</v>
      </c>
      <c r="F12" s="9">
        <f ca="1">-(F17-Q6)</f>
        <v>-356.72208955223869</v>
      </c>
      <c r="G12" s="9">
        <f ca="1">-(G17-Q7)</f>
        <v>-7.0013166144200625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-750.39633069564491</v>
      </c>
      <c r="M12" s="17"/>
      <c r="N12" s="17"/>
      <c r="O12" s="10"/>
      <c r="P12" s="12"/>
      <c r="Q12" s="9">
        <f t="shared" ref="Q12:Q17" ca="1" si="6">SUM(L12:P12)</f>
        <v>-750.39633069564491</v>
      </c>
      <c r="R12" s="17">
        <f t="shared" ca="1" si="4"/>
        <v>-750.39633069564491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-50.678167602591714</v>
      </c>
      <c r="J13" s="14">
        <f ca="1">-(J17-Q10)</f>
        <v>-523.84299882699452</v>
      </c>
      <c r="K13" s="13">
        <f ca="1">-(K17-Q11)</f>
        <v>-448.59063669985744</v>
      </c>
      <c r="L13" s="14">
        <f t="shared" ca="1" si="5"/>
        <v>-1023.1118031294436</v>
      </c>
      <c r="M13" s="16">
        <f ca="1">-E15</f>
        <v>-2221.7334731058882</v>
      </c>
      <c r="N13" s="16"/>
      <c r="O13" s="11"/>
      <c r="P13" s="13"/>
      <c r="Q13" s="14">
        <f t="shared" ca="1" si="6"/>
        <v>-3244.8452762353318</v>
      </c>
      <c r="R13" s="16">
        <f t="shared" ca="1" si="4"/>
        <v>-3244.8452762353318</v>
      </c>
    </row>
    <row r="14" spans="1:19">
      <c r="A14" s="18" t="s">
        <v>78</v>
      </c>
      <c r="B14" s="11"/>
      <c r="C14" s="14"/>
      <c r="D14" s="14"/>
      <c r="E14" s="14">
        <f ca="1">-(I13+J13)-K13</f>
        <v>1023.1118031294436</v>
      </c>
      <c r="F14" s="14"/>
      <c r="G14" s="14"/>
      <c r="H14" s="14"/>
      <c r="I14" s="14"/>
      <c r="J14" s="14"/>
      <c r="K14" s="13"/>
      <c r="L14" s="14">
        <f t="shared" ca="1" si="5"/>
        <v>1023.1118031294436</v>
      </c>
      <c r="M14" s="16"/>
      <c r="N14" s="16"/>
      <c r="O14" s="11"/>
      <c r="P14" s="13"/>
      <c r="Q14" s="14">
        <f t="shared" ca="1" si="6"/>
        <v>1023.1118031294436</v>
      </c>
      <c r="R14" s="16">
        <f t="shared" ca="1" si="4"/>
        <v>1023.1118031294436</v>
      </c>
    </row>
    <row r="15" spans="1:19">
      <c r="A15" s="18" t="s">
        <v>79</v>
      </c>
      <c r="B15" s="11"/>
      <c r="C15" s="14"/>
      <c r="D15" s="14"/>
      <c r="E15" s="14">
        <f ca="1">E17-E14</f>
        <v>2221.7334731058882</v>
      </c>
      <c r="F15" s="14"/>
      <c r="G15" s="14"/>
      <c r="H15" s="14"/>
      <c r="I15" s="14"/>
      <c r="J15" s="14"/>
      <c r="K15" s="13"/>
      <c r="L15" s="14">
        <f t="shared" ca="1" si="5"/>
        <v>2221.7334731058882</v>
      </c>
      <c r="M15" s="16"/>
      <c r="N15" s="16"/>
      <c r="O15" s="11"/>
      <c r="P15" s="13"/>
      <c r="Q15" s="14">
        <f t="shared" ca="1" si="6"/>
        <v>2221.7334731058882</v>
      </c>
      <c r="R15" s="16">
        <f t="shared" ca="1" si="4"/>
        <v>2221.7334731058882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4720.6260544603119</v>
      </c>
      <c r="D17" s="9">
        <f ca="1">SUM(D$2:D$11)</f>
        <v>0</v>
      </c>
      <c r="E17" s="9">
        <f ca="1">$Q$5/parameters!$B$4</f>
        <v>3244.8452762353318</v>
      </c>
      <c r="F17" s="9">
        <f t="shared" ref="F17:K17" ca="1" si="7">SUM(F$2:F$11)</f>
        <v>5753.5820895522384</v>
      </c>
      <c r="G17" s="9">
        <f t="shared" ca="1" si="7"/>
        <v>162.82131661442006</v>
      </c>
      <c r="H17" s="9">
        <f t="shared" ca="1" si="7"/>
        <v>5552.6799999999994</v>
      </c>
      <c r="I17" s="9">
        <f t="shared" ca="1" si="7"/>
        <v>469.13816760259169</v>
      </c>
      <c r="J17" s="9">
        <f t="shared" ca="1" si="7"/>
        <v>4849.321832397407</v>
      </c>
      <c r="K17" s="9">
        <f t="shared" ca="1" si="7"/>
        <v>4334.2988335704122</v>
      </c>
      <c r="L17" s="17">
        <f t="shared" ca="1" si="5"/>
        <v>29087.313570432714</v>
      </c>
      <c r="M17" s="17"/>
      <c r="N17" s="17"/>
      <c r="O17" s="9"/>
      <c r="P17" s="14"/>
      <c r="Q17" s="11">
        <f t="shared" ca="1" si="6"/>
        <v>29087.313570432714</v>
      </c>
      <c r="R17" s="17">
        <f t="shared" ca="1" si="4"/>
        <v>29087.313570432714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0.93800000000000006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0.89197602944657162</v>
      </c>
      <c r="J18" s="38">
        <f ca="1">I18</f>
        <v>0.89197602944657162</v>
      </c>
      <c r="K18" s="39">
        <f ca="1">1-(-K13)/K17</f>
        <v>0.89650214396261929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6703.5372848948364</v>
      </c>
      <c r="D2" s="9">
        <f ca="1">Q4/parameters!$B$3</f>
        <v>300.89564254805271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7004.4329274428892</v>
      </c>
      <c r="M2" s="17"/>
      <c r="N2" s="17">
        <f ca="1">Q2-(L2+O2+P2)</f>
        <v>0</v>
      </c>
      <c r="O2" s="11" cm="1">
        <f t="array" aca="1" ref="O2" ca="1">INDIRECT("'data'!$F$" &amp; $A$1)</f>
        <v>102265.15000000001</v>
      </c>
      <c r="P2" s="13">
        <f ca="1">IF(-(L2-Q2+O2)&lt;0, -(L2-Q2+O2), 0)</f>
        <v>-5043.5829274428979</v>
      </c>
      <c r="Q2" s="17" cm="1">
        <f t="array" aca="1" ref="Q2" ca="1">INDIRECT("'data'!$D$" &amp; $A$1)</f>
        <v>104226</v>
      </c>
      <c r="R2" s="17">
        <f ca="1">SUM(L2:P2)</f>
        <v>104226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6233.8970149253737</v>
      </c>
      <c r="G3" s="14">
        <f ca="1">Q3-O3-P3-F3</f>
        <v>430.24298507462572</v>
      </c>
      <c r="H3" s="14"/>
      <c r="I3" s="14"/>
      <c r="J3" s="14"/>
      <c r="K3" s="13"/>
      <c r="L3" s="16">
        <f t="shared" ca="1" si="0"/>
        <v>6664.1399999999994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-5.67</v>
      </c>
      <c r="Q3" s="16" cm="1">
        <f t="array" aca="1" ref="Q3" ca="1">INDIRECT("'data'!$G$" &amp; $A$1)*parameters!$B$13</f>
        <v>6661.3049999999994</v>
      </c>
      <c r="R3" s="16">
        <f t="shared" ref="R3:R10" ca="1" si="2">SUM(L3:P3)</f>
        <v>6661.3049999999994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299</v>
      </c>
      <c r="H4" s="14"/>
      <c r="I4" s="14"/>
      <c r="J4" s="14"/>
      <c r="K4" s="13"/>
      <c r="L4" s="16">
        <f t="shared" ca="1" si="0"/>
        <v>299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299</v>
      </c>
      <c r="R4" s="16">
        <f t="shared" ca="1" si="2"/>
        <v>299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Q6/parameters!$B$5*1%</f>
        <v>62.968656716417918</v>
      </c>
      <c r="G5" s="14">
        <f ca="1">Q7/parameters!$B$7-(G3+G4)</f>
        <v>399.24186341022278</v>
      </c>
      <c r="H5" s="14"/>
      <c r="I5" s="14"/>
      <c r="J5" s="14"/>
      <c r="K5" s="13"/>
      <c r="L5" s="16">
        <f t="shared" ca="1" si="0"/>
        <v>462.21052012664069</v>
      </c>
      <c r="M5" s="16"/>
      <c r="N5" s="16"/>
      <c r="O5" s="11" cm="1">
        <f t="array" aca="1" ref="O5" ca="1">INDIRECT("'data'!$M$" &amp; $A$1)*parameters!$B$15</f>
        <v>752.64</v>
      </c>
      <c r="P5" s="13" cm="1">
        <f t="array" aca="1" ref="P5" ca="1">-INDIRECT("'data'!$N$" &amp; $A$1)*parameters!$B$15</f>
        <v>-20.58</v>
      </c>
      <c r="Q5" s="16">
        <f ca="1">SUM(L5:P5)</f>
        <v>1194.2705201266408</v>
      </c>
      <c r="R5" s="16">
        <f t="shared" ca="1" si="2"/>
        <v>1194.2705201266408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5906.46</v>
      </c>
      <c r="I6" s="14"/>
      <c r="J6" s="14"/>
      <c r="K6" s="13"/>
      <c r="L6" s="16">
        <f t="shared" ca="1" si="0"/>
        <v>5906.46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5906.46</v>
      </c>
      <c r="R6" s="16">
        <f t="shared" ca="1" si="2"/>
        <v>5906.46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1079.96</v>
      </c>
      <c r="I7" s="14"/>
      <c r="J7" s="14"/>
      <c r="K7" s="13"/>
      <c r="L7" s="16">
        <f t="shared" ca="1" si="0"/>
        <v>1079.96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1079.96</v>
      </c>
      <c r="R7" s="16">
        <f t="shared" ca="1" si="2"/>
        <v>1079.96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2264.6235172265438</v>
      </c>
      <c r="J8" s="14">
        <f ca="1">Q10/J18</f>
        <v>4071.0764827734556</v>
      </c>
      <c r="K8" s="13"/>
      <c r="L8" s="16">
        <f t="shared" ca="1" si="0"/>
        <v>6335.6999999999989</v>
      </c>
      <c r="M8" s="16"/>
      <c r="N8" s="16">
        <f t="shared" ca="1" si="3"/>
        <v>0</v>
      </c>
      <c r="O8" s="11" cm="1">
        <f t="array" aca="1" ref="O8" ca="1">INDIRECT("'data'!$R$" &amp; $A$1)*parameters!$B$15</f>
        <v>665.42</v>
      </c>
      <c r="P8" s="13" cm="1">
        <f t="array" aca="1" ref="P8" ca="1">-INDIRECT("'data'!$S$" &amp; $A$1)*parameters!$B$15</f>
        <v>-14.7</v>
      </c>
      <c r="Q8" s="16">
        <f ca="1">SUM(Q6:Q7)</f>
        <v>6986.42</v>
      </c>
      <c r="R8" s="16">
        <f t="shared" ca="1" si="2"/>
        <v>6986.4199999999992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2214.8000000000002</v>
      </c>
      <c r="L9" s="16">
        <f t="shared" ca="1" si="0"/>
        <v>2214.8000000000002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200.9</v>
      </c>
      <c r="P9" s="13" cm="1">
        <f t="array" aca="1" ref="P9" ca="1">-INDIRECT("'data'!$V$" &amp; $A$1)*parameters!$B$15</f>
        <v>-300.86</v>
      </c>
      <c r="Q9" s="16" cm="1">
        <f t="array" aca="1" ref="Q9" ca="1">INDIRECT("'data'!$T$" &amp; $A$1)*parameters!$B$15</f>
        <v>2114.84</v>
      </c>
      <c r="R9" s="16">
        <f t="shared" ca="1" si="2"/>
        <v>2114.84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3606.7931152204837</v>
      </c>
      <c r="L10" s="16">
        <f t="shared" ca="1" si="0"/>
        <v>3606.7931152204837</v>
      </c>
      <c r="M10" s="16"/>
      <c r="N10" s="16">
        <f t="shared" ca="1" si="3"/>
        <v>0</v>
      </c>
      <c r="O10" s="11" cm="1">
        <f t="array" aca="1" ref="O10" ca="1">INDIRECT("'data'!$X$" &amp; $A$1)*parameters!$B$15</f>
        <v>878.07999999999993</v>
      </c>
      <c r="P10" s="13" cm="1">
        <f t="array" aca="1" ref="P10" ca="1">-INDIRECT("'data'!$Y$" &amp; $A$1)*parameters!$B$15</f>
        <v>-683.06</v>
      </c>
      <c r="Q10" s="16" cm="1">
        <f t="array" aca="1" ref="Q10" ca="1">INDIRECT("'data'!$W$" &amp; $A$1)*parameters!$B$15</f>
        <v>3801.8131152204837</v>
      </c>
      <c r="R10" s="16">
        <f t="shared" ca="1" si="2"/>
        <v>3801.8131152204837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6634.1540790896161</v>
      </c>
      <c r="N11" s="19"/>
      <c r="O11" s="21" cm="1">
        <f t="array" aca="1" ref="O11" ca="1">INDIRECT("'data'!$Z$" &amp; $A$1)*parameters!$B$15</f>
        <v>497.84</v>
      </c>
      <c r="P11" s="27" cm="1">
        <f t="array" aca="1" ref="P11" ca="1">-INDIRECT("'data'!$AA$" &amp; $A$1)*parameters!$B$15</f>
        <v>-1948.24</v>
      </c>
      <c r="Q11" s="16">
        <f ca="1">K9*parameters!$B$10+K10*parameters!$B$11</f>
        <v>5183.7540790896164</v>
      </c>
      <c r="R11" s="16">
        <f t="shared" ref="R11:R17" ca="1" si="4">SUM(L11:P11)</f>
        <v>5183.7540790896164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-42.232284894836994</v>
      </c>
      <c r="D12" s="9">
        <f ca="1">-(D17-Q4)</f>
        <v>-1.8956425480527059</v>
      </c>
      <c r="E12" s="9">
        <f ca="1">-(E17-Q5)</f>
        <v>-147.60646877969725</v>
      </c>
      <c r="F12" s="9">
        <f ca="1">-(F17-Q6)</f>
        <v>-390.40567164179174</v>
      </c>
      <c r="G12" s="9">
        <f ca="1">-(G17-Q7)</f>
        <v>-48.524848484848462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-630.66491634922716</v>
      </c>
      <c r="M12" s="17"/>
      <c r="N12" s="17"/>
      <c r="O12" s="10"/>
      <c r="P12" s="12"/>
      <c r="Q12" s="9">
        <f t="shared" ref="Q12:Q17" ca="1" si="6">SUM(L12:P12)</f>
        <v>-630.66491634922716</v>
      </c>
      <c r="R12" s="17">
        <f t="shared" ca="1" si="4"/>
        <v>-630.66491634922716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-149.78351722654361</v>
      </c>
      <c r="J13" s="14">
        <f ca="1">-(J17-Q10)</f>
        <v>-269.26336755297189</v>
      </c>
      <c r="K13" s="13">
        <f ca="1">-(K17-Q11)</f>
        <v>-637.8390361308675</v>
      </c>
      <c r="L13" s="14">
        <f t="shared" ca="1" si="5"/>
        <v>-1056.885920910383</v>
      </c>
      <c r="M13" s="16">
        <f ca="1">-E15</f>
        <v>-284.99106799595506</v>
      </c>
      <c r="N13" s="16"/>
      <c r="O13" s="11"/>
      <c r="P13" s="13"/>
      <c r="Q13" s="14">
        <f t="shared" ca="1" si="6"/>
        <v>-1341.8769889063381</v>
      </c>
      <c r="R13" s="16">
        <f t="shared" ca="1" si="4"/>
        <v>-1341.8769889063381</v>
      </c>
    </row>
    <row r="14" spans="1:19">
      <c r="A14" s="18" t="s">
        <v>78</v>
      </c>
      <c r="B14" s="11"/>
      <c r="C14" s="14"/>
      <c r="D14" s="14"/>
      <c r="E14" s="14">
        <f ca="1">-(I13+J13)-K13</f>
        <v>1056.885920910383</v>
      </c>
      <c r="F14" s="14"/>
      <c r="G14" s="14"/>
      <c r="H14" s="14"/>
      <c r="I14" s="14"/>
      <c r="J14" s="14"/>
      <c r="K14" s="13"/>
      <c r="L14" s="14">
        <f t="shared" ca="1" si="5"/>
        <v>1056.885920910383</v>
      </c>
      <c r="M14" s="16"/>
      <c r="N14" s="16"/>
      <c r="O14" s="11"/>
      <c r="P14" s="13"/>
      <c r="Q14" s="14">
        <f t="shared" ca="1" si="6"/>
        <v>1056.885920910383</v>
      </c>
      <c r="R14" s="16">
        <f t="shared" ca="1" si="4"/>
        <v>1056.885920910383</v>
      </c>
    </row>
    <row r="15" spans="1:19">
      <c r="A15" s="18" t="s">
        <v>79</v>
      </c>
      <c r="B15" s="11"/>
      <c r="C15" s="14"/>
      <c r="D15" s="14"/>
      <c r="E15" s="14">
        <f ca="1">E17-E14</f>
        <v>284.99106799595506</v>
      </c>
      <c r="F15" s="14"/>
      <c r="G15" s="14"/>
      <c r="H15" s="14"/>
      <c r="I15" s="14"/>
      <c r="J15" s="14"/>
      <c r="K15" s="13"/>
      <c r="L15" s="14">
        <f t="shared" ca="1" si="5"/>
        <v>284.99106799595506</v>
      </c>
      <c r="M15" s="16"/>
      <c r="N15" s="16"/>
      <c r="O15" s="11"/>
      <c r="P15" s="13"/>
      <c r="Q15" s="14">
        <f t="shared" ca="1" si="6"/>
        <v>284.99106799595506</v>
      </c>
      <c r="R15" s="16">
        <f t="shared" ca="1" si="4"/>
        <v>284.99106799595506</v>
      </c>
    </row>
    <row r="16" spans="1:19">
      <c r="A16" s="30" t="s">
        <v>89</v>
      </c>
      <c r="B16" s="21">
        <f ca="1">Q2</f>
        <v>104226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104226</v>
      </c>
      <c r="M16" s="19"/>
      <c r="N16" s="19"/>
      <c r="O16" s="21"/>
      <c r="P16" s="27"/>
      <c r="Q16" s="22">
        <f t="shared" ca="1" si="6"/>
        <v>104226</v>
      </c>
      <c r="R16" s="19">
        <f t="shared" ca="1" si="4"/>
        <v>104226</v>
      </c>
    </row>
    <row r="17" spans="1:18">
      <c r="A17" s="29" t="s">
        <v>88</v>
      </c>
      <c r="B17" s="9">
        <f ca="1">B16</f>
        <v>104226</v>
      </c>
      <c r="C17" s="9">
        <f ca="1">SUM(C$2:C$11)</f>
        <v>6703.5372848948364</v>
      </c>
      <c r="D17" s="9">
        <f ca="1">SUM(D$2:D$11)</f>
        <v>300.89564254805271</v>
      </c>
      <c r="E17" s="9">
        <f ca="1">$Q$5/parameters!$B$4</f>
        <v>1341.8769889063381</v>
      </c>
      <c r="F17" s="9">
        <f t="shared" ref="F17:K17" ca="1" si="7">SUM(F$2:F$11)</f>
        <v>6296.8656716417918</v>
      </c>
      <c r="G17" s="9">
        <f t="shared" ca="1" si="7"/>
        <v>1128.4848484848485</v>
      </c>
      <c r="H17" s="9">
        <f t="shared" ca="1" si="7"/>
        <v>6986.42</v>
      </c>
      <c r="I17" s="9">
        <f t="shared" ca="1" si="7"/>
        <v>2264.6235172265438</v>
      </c>
      <c r="J17" s="9">
        <f t="shared" ca="1" si="7"/>
        <v>4071.0764827734556</v>
      </c>
      <c r="K17" s="9">
        <f t="shared" ca="1" si="7"/>
        <v>5821.5931152204839</v>
      </c>
      <c r="L17" s="17">
        <f t="shared" ca="1" si="5"/>
        <v>139141.37355169636</v>
      </c>
      <c r="M17" s="17"/>
      <c r="N17" s="17"/>
      <c r="O17" s="9"/>
      <c r="P17" s="14"/>
      <c r="Q17" s="11">
        <f t="shared" ca="1" si="6"/>
        <v>139141.37355169636</v>
      </c>
      <c r="R17" s="17">
        <f t="shared" ca="1" si="4"/>
        <v>139141.37355169636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0.99370000000000014</v>
      </c>
      <c r="E18" s="38">
        <f t="shared" ref="E18:G18" ca="1" si="8">IFERROR(1-(-E12)/E17, "")</f>
        <v>0.8899999999999999</v>
      </c>
      <c r="F18" s="38">
        <f t="shared" ca="1" si="8"/>
        <v>0.93799999999999994</v>
      </c>
      <c r="G18" s="38">
        <f t="shared" ca="1" si="8"/>
        <v>0.95700000000000007</v>
      </c>
      <c r="H18" s="38">
        <f t="shared" ref="H18" ca="1" si="9">1-(-H12)/H17</f>
        <v>1</v>
      </c>
      <c r="I18" s="38">
        <f ca="1">(Q9+Q10)/(Q8-O8-P8)</f>
        <v>0.93385941809436757</v>
      </c>
      <c r="J18" s="38">
        <f ca="1">I18</f>
        <v>0.93385941809436757</v>
      </c>
      <c r="K18" s="39">
        <f ca="1">1-(-K13)/K17</f>
        <v>0.89043565506781208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5983.6369125490583</v>
      </c>
      <c r="D2" s="9">
        <f ca="1">Q4/parameters!$B$3</f>
        <v>1412.8207708563953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7396.4576834054533</v>
      </c>
      <c r="M2" s="17"/>
      <c r="N2" s="17">
        <f ca="1">Q2-(L2+O2+P2)</f>
        <v>265.49231659454381</v>
      </c>
      <c r="O2" s="11" cm="1">
        <f t="array" aca="1" ref="O2" ca="1">INDIRECT("'data'!$F$" &amp; $A$1)</f>
        <v>13908.050000000001</v>
      </c>
      <c r="P2" s="13">
        <f ca="1">IF(-(L2-Q2+O2)&lt;0, -(L2-Q2+O2), 0)</f>
        <v>0</v>
      </c>
      <c r="Q2" s="17" cm="1">
        <f t="array" aca="1" ref="Q2" ca="1">INDIRECT("'data'!$D$" &amp; $A$1)</f>
        <v>21570</v>
      </c>
      <c r="R2" s="17">
        <f ca="1">SUM(L2:P2)</f>
        <v>21570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3907.4626865671644</v>
      </c>
      <c r="G3" s="14">
        <f ca="1">Q3-O3-P3-F3</f>
        <v>1127.4973134328357</v>
      </c>
      <c r="H3" s="14"/>
      <c r="I3" s="14"/>
      <c r="J3" s="14"/>
      <c r="K3" s="13"/>
      <c r="L3" s="16">
        <f t="shared" ca="1" si="0"/>
        <v>5034.96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927.9899999999999</v>
      </c>
      <c r="P3" s="13" cm="1">
        <f t="array" aca="1" ref="P3" ca="1">-INDIRECT("'data'!$I$" &amp; $A$1)*parameters!$B$13</f>
        <v>-17.009999999999998</v>
      </c>
      <c r="Q3" s="16" cm="1">
        <f t="array" aca="1" ref="Q3" ca="1">INDIRECT("'data'!$G$" &amp; $A$1)*parameters!$B$13</f>
        <v>5945.94</v>
      </c>
      <c r="R3" s="16">
        <f t="shared" ref="R3:R10" ca="1" si="2">SUM(L3:P3)</f>
        <v>5945.94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1403.92</v>
      </c>
      <c r="H4" s="14"/>
      <c r="I4" s="14"/>
      <c r="J4" s="14"/>
      <c r="K4" s="13"/>
      <c r="L4" s="16">
        <f t="shared" ca="1" si="0"/>
        <v>1403.92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1403.92</v>
      </c>
      <c r="R4" s="16">
        <f t="shared" ca="1" si="2"/>
        <v>1403.92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976.8656716417911</v>
      </c>
      <c r="G5" s="14">
        <f ca="1">Q7/parameters!$B$7-(G3+G4)</f>
        <v>1366.0539509349805</v>
      </c>
      <c r="H5" s="14"/>
      <c r="I5" s="14"/>
      <c r="J5" s="14"/>
      <c r="K5" s="13"/>
      <c r="L5" s="16">
        <f t="shared" ca="1" si="0"/>
        <v>2342.9196225767719</v>
      </c>
      <c r="M5" s="16"/>
      <c r="N5" s="16"/>
      <c r="O5" s="11" cm="1">
        <f t="array" aca="1" ref="O5" ca="1">INDIRECT("'data'!$M$" &amp; $A$1)*parameters!$B$15</f>
        <v>447.86</v>
      </c>
      <c r="P5" s="13" cm="1">
        <f t="array" aca="1" ref="P5" ca="1">-INDIRECT("'data'!$N$" &amp; $A$1)*parameters!$B$15</f>
        <v>-63.699999999999996</v>
      </c>
      <c r="Q5" s="16">
        <f ca="1">SUM(L5:P5)</f>
        <v>2727.0796225767722</v>
      </c>
      <c r="R5" s="16">
        <f t="shared" ca="1" si="2"/>
        <v>2727.0796225767722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4581.5</v>
      </c>
      <c r="I6" s="14"/>
      <c r="J6" s="14"/>
      <c r="K6" s="13"/>
      <c r="L6" s="16">
        <f t="shared" ca="1" si="0"/>
        <v>4581.5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4581.5</v>
      </c>
      <c r="R6" s="16">
        <f t="shared" ca="1" si="2"/>
        <v>4581.5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3729.88</v>
      </c>
      <c r="I7" s="14"/>
      <c r="J7" s="14"/>
      <c r="K7" s="13"/>
      <c r="L7" s="16">
        <f t="shared" ca="1" si="0"/>
        <v>3729.88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3729.88</v>
      </c>
      <c r="R7" s="16">
        <f t="shared" ca="1" si="2"/>
        <v>3729.88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3306.7397817162632</v>
      </c>
      <c r="J8" s="14">
        <f ca="1">Q10/J18</f>
        <v>4443.1002182837374</v>
      </c>
      <c r="K8" s="13"/>
      <c r="L8" s="16">
        <f t="shared" ca="1" si="0"/>
        <v>7749.84</v>
      </c>
      <c r="M8" s="16"/>
      <c r="N8" s="16">
        <f t="shared" ca="1" si="3"/>
        <v>0</v>
      </c>
      <c r="O8" s="11" cm="1">
        <f t="array" aca="1" ref="O8" ca="1">INDIRECT("'data'!$R$" &amp; $A$1)*parameters!$B$15</f>
        <v>567.41999999999996</v>
      </c>
      <c r="P8" s="13" cm="1">
        <f t="array" aca="1" ref="P8" ca="1">-INDIRECT("'data'!$S$" &amp; $A$1)*parameters!$B$15</f>
        <v>-5.88</v>
      </c>
      <c r="Q8" s="16">
        <f ca="1">SUM(Q6:Q7)</f>
        <v>8311.380000000001</v>
      </c>
      <c r="R8" s="16">
        <f t="shared" ca="1" si="2"/>
        <v>8311.380000000001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1252.4399999999998</v>
      </c>
      <c r="L9" s="16">
        <f t="shared" ca="1" si="0"/>
        <v>1252.4399999999998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1324.96</v>
      </c>
      <c r="P9" s="13" cm="1">
        <f t="array" aca="1" ref="P9" ca="1">-INDIRECT("'data'!$V$" &amp; $A$1)*parameters!$B$15</f>
        <v>-64.679999999999993</v>
      </c>
      <c r="Q9" s="16" cm="1">
        <f t="array" aca="1" ref="Q9" ca="1">INDIRECT("'data'!$T$" &amp; $A$1)*parameters!$B$15</f>
        <v>2512.7199999999998</v>
      </c>
      <c r="R9" s="16">
        <f t="shared" ca="1" si="2"/>
        <v>2512.7199999999998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1602.4157041251781</v>
      </c>
      <c r="L10" s="16">
        <f t="shared" ca="1" si="0"/>
        <v>1602.4157041251781</v>
      </c>
      <c r="M10" s="16"/>
      <c r="N10" s="16">
        <f t="shared" ca="1" si="3"/>
        <v>0</v>
      </c>
      <c r="O10" s="11" cm="1">
        <f t="array" aca="1" ref="O10" ca="1">INDIRECT("'data'!$X$" &amp; $A$1)*parameters!$B$15</f>
        <v>1985.48</v>
      </c>
      <c r="P10" s="13" cm="1">
        <f t="array" aca="1" ref="P10" ca="1">-INDIRECT("'data'!$Y$" &amp; $A$1)*parameters!$B$15</f>
        <v>-211.68</v>
      </c>
      <c r="Q10" s="16" cm="1">
        <f t="array" aca="1" ref="Q10" ca="1">INDIRECT("'data'!$W$" &amp; $A$1)*parameters!$B$15</f>
        <v>3376.215704125178</v>
      </c>
      <c r="R10" s="16">
        <f t="shared" ca="1" si="2"/>
        <v>3376.215704125178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2554.3911055476528</v>
      </c>
      <c r="N11" s="19"/>
      <c r="O11" s="21" cm="1">
        <f t="array" aca="1" ref="O11" ca="1">INDIRECT("'data'!$Z$" &amp; $A$1)*parameters!$B$15</f>
        <v>705.6</v>
      </c>
      <c r="P11" s="27" cm="1">
        <f t="array" aca="1" ref="P11" ca="1">-INDIRECT("'data'!$AA$" &amp; $A$1)*parameters!$B$15</f>
        <v>-704.62</v>
      </c>
      <c r="Q11" s="16">
        <f ca="1">K9*parameters!$B$10+K10*parameters!$B$11</f>
        <v>2555.3711055476529</v>
      </c>
      <c r="R11" s="16">
        <f t="shared" ref="R11:R17" ca="1" si="4">SUM(L11:P11)</f>
        <v>2555.3711055476529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-37.696912549058652</v>
      </c>
      <c r="D12" s="9">
        <f ca="1">-(D17-Q4)</f>
        <v>-8.9007708563951837</v>
      </c>
      <c r="E12" s="9">
        <f ca="1">-(E17-Q5)</f>
        <v>-337.05478481285945</v>
      </c>
      <c r="F12" s="9">
        <f ca="1">-(F17-Q6)</f>
        <v>-302.82835820895525</v>
      </c>
      <c r="G12" s="9">
        <f ca="1">-(G17-Q7)</f>
        <v>-167.59126436781617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-854.0720907950847</v>
      </c>
      <c r="M12" s="17"/>
      <c r="N12" s="17"/>
      <c r="O12" s="10"/>
      <c r="P12" s="12"/>
      <c r="Q12" s="9">
        <f t="shared" ref="Q12:Q17" ca="1" si="6">SUM(L12:P12)</f>
        <v>-854.0720907950847</v>
      </c>
      <c r="R12" s="17">
        <f t="shared" ca="1" si="4"/>
        <v>-854.0720907950847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-794.01978171626342</v>
      </c>
      <c r="J13" s="14">
        <f ca="1">-(J17-Q10)</f>
        <v>-1066.8845141585593</v>
      </c>
      <c r="K13" s="13">
        <f ca="1">-(K17-Q11)</f>
        <v>-299.48459857752505</v>
      </c>
      <c r="L13" s="14">
        <f t="shared" ca="1" si="5"/>
        <v>-2160.3888944523478</v>
      </c>
      <c r="M13" s="16">
        <f ca="1">-E15</f>
        <v>-903.74551293728382</v>
      </c>
      <c r="N13" s="16"/>
      <c r="O13" s="11"/>
      <c r="P13" s="13"/>
      <c r="Q13" s="14">
        <f t="shared" ca="1" si="6"/>
        <v>-3064.1344073896316</v>
      </c>
      <c r="R13" s="16">
        <f t="shared" ca="1" si="4"/>
        <v>-3064.1344073896316</v>
      </c>
    </row>
    <row r="14" spans="1:20">
      <c r="A14" s="18" t="s">
        <v>78</v>
      </c>
      <c r="B14" s="11"/>
      <c r="C14" s="14"/>
      <c r="D14" s="14"/>
      <c r="E14" s="14">
        <f ca="1">-(I13+J13)-K13</f>
        <v>2160.3888944523478</v>
      </c>
      <c r="F14" s="14"/>
      <c r="G14" s="14"/>
      <c r="H14" s="14"/>
      <c r="I14" s="14"/>
      <c r="J14" s="14"/>
      <c r="K14" s="13"/>
      <c r="L14" s="14">
        <f t="shared" ca="1" si="5"/>
        <v>2160.3888944523478</v>
      </c>
      <c r="M14" s="16"/>
      <c r="N14" s="16"/>
      <c r="O14" s="11"/>
      <c r="P14" s="13"/>
      <c r="Q14" s="14">
        <f t="shared" ca="1" si="6"/>
        <v>2160.3888944523478</v>
      </c>
      <c r="R14" s="16">
        <f t="shared" ca="1" si="4"/>
        <v>2160.3888944523478</v>
      </c>
    </row>
    <row r="15" spans="1:20">
      <c r="A15" s="18" t="s">
        <v>79</v>
      </c>
      <c r="B15" s="11"/>
      <c r="C15" s="14"/>
      <c r="D15" s="14"/>
      <c r="E15" s="14">
        <f ca="1">E17-E14</f>
        <v>903.74551293728382</v>
      </c>
      <c r="F15" s="14"/>
      <c r="G15" s="14"/>
      <c r="H15" s="14"/>
      <c r="I15" s="14"/>
      <c r="J15" s="14"/>
      <c r="K15" s="13"/>
      <c r="L15" s="14">
        <f t="shared" ca="1" si="5"/>
        <v>903.74551293728382</v>
      </c>
      <c r="M15" s="16"/>
      <c r="N15" s="16"/>
      <c r="O15" s="11"/>
      <c r="P15" s="13"/>
      <c r="Q15" s="14">
        <f t="shared" ca="1" si="6"/>
        <v>903.74551293728382</v>
      </c>
      <c r="R15" s="16">
        <f t="shared" ca="1" si="4"/>
        <v>903.74551293728382</v>
      </c>
    </row>
    <row r="16" spans="1:20">
      <c r="A16" s="30" t="s">
        <v>89</v>
      </c>
      <c r="B16" s="21">
        <f ca="1">Q2</f>
        <v>21570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21570</v>
      </c>
      <c r="M16" s="19"/>
      <c r="N16" s="19"/>
      <c r="O16" s="21"/>
      <c r="P16" s="27"/>
      <c r="Q16" s="22">
        <f t="shared" ca="1" si="6"/>
        <v>21570</v>
      </c>
      <c r="R16" s="19">
        <f t="shared" ca="1" si="4"/>
        <v>21570</v>
      </c>
    </row>
    <row r="17" spans="1:18">
      <c r="A17" s="29" t="s">
        <v>88</v>
      </c>
      <c r="B17" s="9">
        <f ca="1">B16</f>
        <v>21570</v>
      </c>
      <c r="C17" s="9">
        <f ca="1">SUM(C$2:C$11)</f>
        <v>5983.6369125490583</v>
      </c>
      <c r="D17" s="9">
        <f ca="1">SUM(D$2:D$11)</f>
        <v>1412.8207708563953</v>
      </c>
      <c r="E17" s="9">
        <f ca="1">$Q$5/parameters!$B$4</f>
        <v>3064.1344073896316</v>
      </c>
      <c r="F17" s="9">
        <f t="shared" ref="F17:K17" ca="1" si="7">SUM(F$2:F$11)</f>
        <v>4884.3283582089553</v>
      </c>
      <c r="G17" s="9">
        <f t="shared" ca="1" si="7"/>
        <v>3897.4712643678163</v>
      </c>
      <c r="H17" s="9">
        <f t="shared" ca="1" si="7"/>
        <v>8311.380000000001</v>
      </c>
      <c r="I17" s="9">
        <f t="shared" ca="1" si="7"/>
        <v>3306.7397817162632</v>
      </c>
      <c r="J17" s="9">
        <f t="shared" ca="1" si="7"/>
        <v>4443.1002182837374</v>
      </c>
      <c r="K17" s="9">
        <f t="shared" ca="1" si="7"/>
        <v>2854.8557041251779</v>
      </c>
      <c r="L17" s="17">
        <f t="shared" ca="1" si="5"/>
        <v>59728.467417497035</v>
      </c>
      <c r="M17" s="17"/>
      <c r="N17" s="17"/>
      <c r="O17" s="9"/>
      <c r="P17" s="14"/>
      <c r="Q17" s="11">
        <f t="shared" ca="1" si="6"/>
        <v>59728.467417497035</v>
      </c>
      <c r="R17" s="17">
        <f t="shared" ca="1" si="4"/>
        <v>59728.467417497035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0.75987835931131187</v>
      </c>
      <c r="J18" s="38">
        <f ca="1">I18</f>
        <v>0.75987835931131187</v>
      </c>
      <c r="K18" s="39">
        <f ca="1">1-(-K13)/K17</f>
        <v>0.89509641480486068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1148.0326054141087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1148.0326054141087</v>
      </c>
      <c r="M2" s="17"/>
      <c r="N2" s="17">
        <f ca="1">Q2-(L2+O2+P2)</f>
        <v>0</v>
      </c>
      <c r="O2" s="11" cm="1">
        <f t="array" aca="1" ref="O2" ca="1">INDIRECT("'data'!$F$" &amp; $A$1)</f>
        <v>67.600000000000009</v>
      </c>
      <c r="P2" s="13">
        <f ca="1">IF(-(L2-Q2+O2)&lt;0, -(L2-Q2+O2), 0)</f>
        <v>-1047.6326054141086</v>
      </c>
      <c r="Q2" s="17" cm="1">
        <f t="array" aca="1" ref="Q2" ca="1">INDIRECT("'data'!$D$" &amp; $A$1)</f>
        <v>168</v>
      </c>
      <c r="R2" s="17">
        <f ca="1">SUM(L2:P2)</f>
        <v>168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303.34499999999997</v>
      </c>
      <c r="H3" s="14"/>
      <c r="I3" s="14"/>
      <c r="J3" s="14"/>
      <c r="K3" s="13"/>
      <c r="L3" s="16">
        <f t="shared" ca="1" si="0"/>
        <v>303.34499999999997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-303.34499999999997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1140.8</v>
      </c>
      <c r="H4" s="14"/>
      <c r="I4" s="14"/>
      <c r="J4" s="14"/>
      <c r="K4" s="13"/>
      <c r="L4" s="16">
        <f t="shared" ca="1" si="0"/>
        <v>1140.8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1140.8</v>
      </c>
      <c r="R4" s="16">
        <f t="shared" ca="1" si="2"/>
        <v>1140.8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2293.5770480668757</v>
      </c>
      <c r="H5" s="14"/>
      <c r="I5" s="14"/>
      <c r="J5" s="14"/>
      <c r="K5" s="13"/>
      <c r="L5" s="16">
        <f t="shared" ca="1" si="0"/>
        <v>2293.5770480668757</v>
      </c>
      <c r="M5" s="16"/>
      <c r="N5" s="16"/>
      <c r="O5" s="11" cm="1">
        <f t="array" aca="1" ref="O5" ca="1">INDIRECT("'data'!$M$" &amp; $A$1)*parameters!$B$15</f>
        <v>176.4</v>
      </c>
      <c r="P5" s="13" cm="1">
        <f t="array" aca="1" ref="P5" ca="1">-INDIRECT("'data'!$N$" &amp; $A$1)*parameters!$B$15</f>
        <v>-1779.68</v>
      </c>
      <c r="Q5" s="16">
        <f ca="1">SUM(L5:P5)</f>
        <v>690.29704806687573</v>
      </c>
      <c r="R5" s="16">
        <f t="shared" ca="1" si="2"/>
        <v>690.29704806687573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3577</v>
      </c>
      <c r="I7" s="14"/>
      <c r="J7" s="14"/>
      <c r="K7" s="13"/>
      <c r="L7" s="16">
        <f t="shared" ca="1" si="0"/>
        <v>3577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3577</v>
      </c>
      <c r="R7" s="16">
        <f t="shared" ca="1" si="2"/>
        <v>3577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2926.6106938948478</v>
      </c>
      <c r="J8" s="14">
        <f ca="1">Q10/J18</f>
        <v>719.96930610515221</v>
      </c>
      <c r="K8" s="13"/>
      <c r="L8" s="16">
        <f t="shared" ca="1" si="0"/>
        <v>3646.58</v>
      </c>
      <c r="M8" s="16"/>
      <c r="N8" s="16">
        <f t="shared" ca="1" si="3"/>
        <v>0</v>
      </c>
      <c r="O8" s="11" cm="1">
        <f t="array" aca="1" ref="O8" ca="1">INDIRECT("'data'!$R$" &amp; $A$1)*parameters!$B$15</f>
        <v>16.66</v>
      </c>
      <c r="P8" s="13" cm="1">
        <f t="array" aca="1" ref="P8" ca="1">-INDIRECT("'data'!$S$" &amp; $A$1)*parameters!$B$15</f>
        <v>-86.24</v>
      </c>
      <c r="Q8" s="16">
        <f ca="1">SUM(Q6:Q7)</f>
        <v>3577</v>
      </c>
      <c r="R8" s="16">
        <f t="shared" ca="1" si="2"/>
        <v>3577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2920.4</v>
      </c>
      <c r="L9" s="16">
        <f t="shared" ca="1" si="0"/>
        <v>2920.4</v>
      </c>
      <c r="M9" s="16"/>
      <c r="N9" s="16">
        <f t="shared" ca="1" si="3"/>
        <v>0</v>
      </c>
      <c r="O9" s="11" cm="1">
        <f t="array" aca="1" ref="O9" ca="1">INDIRECT("'data'!$U$" &amp; $A$1)*parameters!$B$15</f>
        <v>571.34</v>
      </c>
      <c r="P9" s="13" cm="1">
        <f t="array" aca="1" ref="P9" ca="1">-INDIRECT("'data'!$V$" &amp; $A$1)*parameters!$B$15</f>
        <v>-592.9</v>
      </c>
      <c r="Q9" s="16" cm="1">
        <f t="array" aca="1" ref="Q9" ca="1">INDIRECT("'data'!$T$" &amp; $A$1)*parameters!$B$15</f>
        <v>2898.84</v>
      </c>
      <c r="R9" s="16">
        <f t="shared" ca="1" si="2"/>
        <v>2898.84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2657.457496443812</v>
      </c>
      <c r="L10" s="16">
        <f t="shared" ca="1" si="0"/>
        <v>2657.457496443812</v>
      </c>
      <c r="M10" s="16"/>
      <c r="N10" s="16">
        <f t="shared" ca="1" si="3"/>
        <v>0</v>
      </c>
      <c r="O10" s="11" cm="1">
        <f t="array" aca="1" ref="O10" ca="1">INDIRECT("'data'!$X$" &amp; $A$1)*parameters!$B$15</f>
        <v>860.43999999999994</v>
      </c>
      <c r="P10" s="13" cm="1">
        <f t="array" aca="1" ref="P10" ca="1">-INDIRECT("'data'!$Y$" &amp; $A$1)*parameters!$B$15</f>
        <v>-2804.7599999999998</v>
      </c>
      <c r="Q10" s="16" cm="1">
        <f t="array" aca="1" ref="Q10" ca="1">INDIRECT("'data'!$W$" &amp; $A$1)*parameters!$B$15</f>
        <v>713.13749644381221</v>
      </c>
      <c r="R10" s="16">
        <f t="shared" ca="1" si="2"/>
        <v>713.13749644381232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5291.2694469416774</v>
      </c>
      <c r="N11" s="19"/>
      <c r="O11" s="21" cm="1">
        <f t="array" aca="1" ref="O11" ca="1">INDIRECT("'data'!$Z$" &amp; $A$1)*parameters!$B$15</f>
        <v>758.52</v>
      </c>
      <c r="P11" s="27" cm="1">
        <f t="array" aca="1" ref="P11" ca="1">-INDIRECT("'data'!$AA$" &amp; $A$1)*parameters!$B$15</f>
        <v>-1019.1999999999999</v>
      </c>
      <c r="Q11" s="16">
        <f ca="1">K9*parameters!$B$10+K10*parameters!$B$11</f>
        <v>5030.589446941678</v>
      </c>
      <c r="R11" s="16">
        <f t="shared" ref="R11:R17" ca="1" si="4">SUM(L11:P11)</f>
        <v>5030.5894469416771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-7.2326054141087752</v>
      </c>
      <c r="E12" s="9">
        <f ca="1">-(E17-Q5)</f>
        <v>-85.317612682422805</v>
      </c>
      <c r="F12" s="9">
        <f ca="1">-(F17-Q6)</f>
        <v>0</v>
      </c>
      <c r="G12" s="9">
        <f ca="1">-(G17-Q7)</f>
        <v>-160.72204806687569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-253.27226616340727</v>
      </c>
      <c r="M12" s="17"/>
      <c r="N12" s="17"/>
      <c r="O12" s="10"/>
      <c r="P12" s="12"/>
      <c r="Q12" s="9">
        <f t="shared" ref="Q12:Q17" ca="1" si="6">SUM(L12:P12)</f>
        <v>-253.27226616340727</v>
      </c>
      <c r="R12" s="17">
        <f t="shared" ca="1" si="4"/>
        <v>-253.27226616340727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-27.770693894847682</v>
      </c>
      <c r="J13" s="14">
        <f ca="1">-(J17-Q10)</f>
        <v>-6.831809661340003</v>
      </c>
      <c r="K13" s="13">
        <f ca="1">-(K17-Q11)</f>
        <v>-547.26804950213409</v>
      </c>
      <c r="L13" s="14">
        <f t="shared" ca="1" si="5"/>
        <v>-581.87055305832178</v>
      </c>
      <c r="M13" s="16">
        <f ca="1">-E15</f>
        <v>-193.74410769097676</v>
      </c>
      <c r="N13" s="16"/>
      <c r="O13" s="11"/>
      <c r="P13" s="13"/>
      <c r="Q13" s="14">
        <f t="shared" ca="1" si="6"/>
        <v>-775.61466074929854</v>
      </c>
      <c r="R13" s="16">
        <f t="shared" ca="1" si="4"/>
        <v>-775.61466074929854</v>
      </c>
    </row>
    <row r="14" spans="1:19">
      <c r="A14" s="18" t="s">
        <v>78</v>
      </c>
      <c r="B14" s="11"/>
      <c r="C14" s="14"/>
      <c r="D14" s="14"/>
      <c r="E14" s="14">
        <f ca="1">-(I13+J13)-K13</f>
        <v>581.87055305832178</v>
      </c>
      <c r="F14" s="14"/>
      <c r="G14" s="14"/>
      <c r="H14" s="14"/>
      <c r="I14" s="14"/>
      <c r="J14" s="14"/>
      <c r="K14" s="13"/>
      <c r="L14" s="14">
        <f t="shared" ca="1" si="5"/>
        <v>581.87055305832178</v>
      </c>
      <c r="M14" s="16"/>
      <c r="N14" s="16"/>
      <c r="O14" s="11"/>
      <c r="P14" s="13"/>
      <c r="Q14" s="14">
        <f t="shared" ca="1" si="6"/>
        <v>581.87055305832178</v>
      </c>
      <c r="R14" s="16">
        <f t="shared" ca="1" si="4"/>
        <v>581.87055305832178</v>
      </c>
    </row>
    <row r="15" spans="1:19">
      <c r="A15" s="18" t="s">
        <v>79</v>
      </c>
      <c r="B15" s="11"/>
      <c r="C15" s="14"/>
      <c r="D15" s="14"/>
      <c r="E15" s="14">
        <f ca="1">E17-E14</f>
        <v>193.74410769097676</v>
      </c>
      <c r="F15" s="14"/>
      <c r="G15" s="14"/>
      <c r="H15" s="14"/>
      <c r="I15" s="14"/>
      <c r="J15" s="14"/>
      <c r="K15" s="13"/>
      <c r="L15" s="14">
        <f t="shared" ca="1" si="5"/>
        <v>193.74410769097676</v>
      </c>
      <c r="M15" s="16"/>
      <c r="N15" s="16"/>
      <c r="O15" s="11"/>
      <c r="P15" s="13"/>
      <c r="Q15" s="14">
        <f t="shared" ca="1" si="6"/>
        <v>193.74410769097676</v>
      </c>
      <c r="R15" s="16">
        <f t="shared" ca="1" si="4"/>
        <v>193.74410769097676</v>
      </c>
    </row>
    <row r="16" spans="1:19">
      <c r="A16" s="30" t="s">
        <v>89</v>
      </c>
      <c r="B16" s="21">
        <f ca="1">Q2</f>
        <v>168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168</v>
      </c>
      <c r="M16" s="19"/>
      <c r="N16" s="19"/>
      <c r="O16" s="21"/>
      <c r="P16" s="27"/>
      <c r="Q16" s="22">
        <f t="shared" ca="1" si="6"/>
        <v>168</v>
      </c>
      <c r="R16" s="19">
        <f t="shared" ca="1" si="4"/>
        <v>168</v>
      </c>
    </row>
    <row r="17" spans="1:18">
      <c r="A17" s="29" t="s">
        <v>88</v>
      </c>
      <c r="B17" s="9">
        <f ca="1">B16</f>
        <v>168</v>
      </c>
      <c r="C17" s="9">
        <f ca="1">SUM(C$2:C$11)</f>
        <v>0</v>
      </c>
      <c r="D17" s="9">
        <f ca="1">SUM(D$2:D$11)</f>
        <v>1148.0326054141087</v>
      </c>
      <c r="E17" s="9">
        <f ca="1">$Q$5/parameters!$B$4</f>
        <v>775.61466074929854</v>
      </c>
      <c r="F17" s="9">
        <f t="shared" ref="F17:K17" ca="1" si="7">SUM(F$2:F$11)</f>
        <v>0</v>
      </c>
      <c r="G17" s="9">
        <f t="shared" ca="1" si="7"/>
        <v>3737.7220480668757</v>
      </c>
      <c r="H17" s="9">
        <f t="shared" ca="1" si="7"/>
        <v>3577</v>
      </c>
      <c r="I17" s="9">
        <f t="shared" ca="1" si="7"/>
        <v>2926.6106938948478</v>
      </c>
      <c r="J17" s="9">
        <f t="shared" ca="1" si="7"/>
        <v>719.96930610515221</v>
      </c>
      <c r="K17" s="9">
        <f t="shared" ca="1" si="7"/>
        <v>5577.8574964438121</v>
      </c>
      <c r="L17" s="17">
        <f t="shared" ca="1" si="5"/>
        <v>18630.806810674098</v>
      </c>
      <c r="M17" s="17"/>
      <c r="N17" s="17"/>
      <c r="O17" s="9"/>
      <c r="P17" s="14"/>
      <c r="Q17" s="11">
        <f t="shared" ca="1" si="6"/>
        <v>18630.806810674098</v>
      </c>
      <c r="R17" s="17">
        <f t="shared" ca="1" si="4"/>
        <v>18630.806810674098</v>
      </c>
    </row>
    <row r="18" spans="1:18">
      <c r="A18" s="30" t="s">
        <v>75</v>
      </c>
      <c r="B18" s="38">
        <f ca="1">IFERROR(1-(-B12)/B17, "")</f>
        <v>1</v>
      </c>
      <c r="C18" s="38" t="str">
        <f ca="1">IFERROR(1-(-C12)/C17, "")</f>
        <v/>
      </c>
      <c r="D18" s="38">
        <f ca="1">IFERROR(1-(-D12)/D17, "")</f>
        <v>0.99370000000000014</v>
      </c>
      <c r="E18" s="38">
        <f t="shared" ref="E18:G18" ca="1" si="8">IFERROR(1-(-E12)/E17, "")</f>
        <v>0.89</v>
      </c>
      <c r="F18" s="38" t="str">
        <f t="shared" ca="1" si="8"/>
        <v/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0.99051097094916674</v>
      </c>
      <c r="J18" s="38">
        <f ca="1">I18</f>
        <v>0.99051097094916674</v>
      </c>
      <c r="K18" s="39">
        <f ca="1">1-(-K13)/K17</f>
        <v>0.90188561650220589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280.66499999999996</v>
      </c>
      <c r="H3" s="14"/>
      <c r="I3" s="14"/>
      <c r="J3" s="14"/>
      <c r="K3" s="13"/>
      <c r="L3" s="16">
        <f t="shared" ca="1" si="0"/>
        <v>280.66499999999996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15.12</v>
      </c>
      <c r="P3" s="13" cm="1">
        <f t="array" aca="1" ref="P3" ca="1">-INDIRECT("'data'!$I$" &amp; $A$1)*parameters!$B$13</f>
        <v>-295.78499999999997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1869.8052194357369</v>
      </c>
      <c r="H5" s="14"/>
      <c r="I5" s="14"/>
      <c r="J5" s="14"/>
      <c r="K5" s="13"/>
      <c r="L5" s="16">
        <f t="shared" ca="1" si="0"/>
        <v>1869.8052194357369</v>
      </c>
      <c r="M5" s="16"/>
      <c r="N5" s="16"/>
      <c r="O5" s="11" cm="1">
        <f t="array" aca="1" ref="O5" ca="1">INDIRECT("'data'!$M$" &amp; $A$1)*parameters!$B$15</f>
        <v>98</v>
      </c>
      <c r="P5" s="13" cm="1">
        <f t="array" aca="1" ref="P5" ca="1">-INDIRECT("'data'!$N$" &amp; $A$1)*parameters!$B$15</f>
        <v>-726.18</v>
      </c>
      <c r="Q5" s="16">
        <f ca="1">SUM(L5:P5)</f>
        <v>1241.6252194357371</v>
      </c>
      <c r="R5" s="16">
        <f t="shared" ca="1" si="2"/>
        <v>1241.6252194357371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2058</v>
      </c>
      <c r="I7" s="14"/>
      <c r="J7" s="14"/>
      <c r="K7" s="13"/>
      <c r="L7" s="16">
        <f t="shared" ca="1" si="0"/>
        <v>2058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2058</v>
      </c>
      <c r="R7" s="16">
        <f t="shared" ca="1" si="2"/>
        <v>2058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2370.5161476682024</v>
      </c>
      <c r="J8" s="14">
        <f ca="1">Q10/J18</f>
        <v>2336.4238523317977</v>
      </c>
      <c r="K8" s="13"/>
      <c r="L8" s="16">
        <f t="shared" ca="1" si="0"/>
        <v>4706.9400000000005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32.339999999999996</v>
      </c>
      <c r="P8" s="13" cm="1">
        <f t="array" aca="1" ref="P8" ca="1">-INDIRECT("'data'!$S$" &amp; $A$1)*parameters!$B$15</f>
        <v>-2681.2799999999997</v>
      </c>
      <c r="Q8" s="16">
        <f ca="1">SUM(Q6:Q7)</f>
        <v>2058</v>
      </c>
      <c r="R8" s="16">
        <f t="shared" ca="1" si="2"/>
        <v>2058.0000000000009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2310.84</v>
      </c>
      <c r="L9" s="16">
        <f t="shared" ca="1" si="0"/>
        <v>2310.84</v>
      </c>
      <c r="M9" s="16"/>
      <c r="N9" s="16">
        <f t="shared" ca="1" si="3"/>
        <v>0</v>
      </c>
      <c r="O9" s="11" cm="1">
        <f t="array" aca="1" ref="O9" ca="1">INDIRECT("'data'!$U$" &amp; $A$1)*parameters!$B$15</f>
        <v>502.74</v>
      </c>
      <c r="P9" s="13" cm="1">
        <f t="array" aca="1" ref="P9" ca="1">-INDIRECT("'data'!$V$" &amp; $A$1)*parameters!$B$15</f>
        <v>-647.78</v>
      </c>
      <c r="Q9" s="16" cm="1">
        <f t="array" aca="1" ref="Q9" ca="1">INDIRECT("'data'!$T$" &amp; $A$1)*parameters!$B$15</f>
        <v>2165.8000000000002</v>
      </c>
      <c r="R9" s="16">
        <f t="shared" ca="1" si="2"/>
        <v>2165.8000000000002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4226.951891891892</v>
      </c>
      <c r="L10" s="16">
        <f t="shared" ca="1" si="0"/>
        <v>4226.951891891892</v>
      </c>
      <c r="M10" s="16"/>
      <c r="N10" s="16">
        <f t="shared" ca="1" si="3"/>
        <v>0</v>
      </c>
      <c r="O10" s="11" cm="1">
        <f t="array" aca="1" ref="O10" ca="1">INDIRECT("'data'!$X$" &amp; $A$1)*parameters!$B$15</f>
        <v>1120.1399999999999</v>
      </c>
      <c r="P10" s="13" cm="1">
        <f t="array" aca="1" ref="P10" ca="1">-INDIRECT("'data'!$Y$" &amp; $A$1)*parameters!$B$15</f>
        <v>-3212.44</v>
      </c>
      <c r="Q10" s="16" cm="1">
        <f t="array" aca="1" ref="Q10" ca="1">INDIRECT("'data'!$W$" &amp; $A$1)*parameters!$B$15</f>
        <v>2134.6518918918919</v>
      </c>
      <c r="R10" s="16">
        <f t="shared" ca="1" si="2"/>
        <v>2134.6518918918923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5511.4082270270274</v>
      </c>
      <c r="N11" s="19"/>
      <c r="O11" s="21" cm="1">
        <f t="array" aca="1" ref="O11" ca="1">INDIRECT("'data'!$Z$" &amp; $A$1)*parameters!$B$15</f>
        <v>1283.8</v>
      </c>
      <c r="P11" s="27" cm="1">
        <f t="array" aca="1" ref="P11" ca="1">-INDIRECT("'data'!$AA$" &amp; $A$1)*parameters!$B$15</f>
        <v>-987.84</v>
      </c>
      <c r="Q11" s="16">
        <f ca="1">K9*parameters!$B$10+K10*parameters!$B$11</f>
        <v>5807.3682270270274</v>
      </c>
      <c r="R11" s="16">
        <f t="shared" ref="R11:R17" ca="1" si="4">SUM(L11:P11)</f>
        <v>5807.3682270270274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-153.45929678419225</v>
      </c>
      <c r="F12" s="9">
        <f ca="1">-(F17-Q6)</f>
        <v>0</v>
      </c>
      <c r="G12" s="9">
        <f ca="1">-(G17-Q7)</f>
        <v>-92.470219435736908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-245.92951621992916</v>
      </c>
      <c r="M12" s="17"/>
      <c r="N12" s="17"/>
      <c r="O12" s="10"/>
      <c r="P12" s="12"/>
      <c r="Q12" s="9">
        <f t="shared" ref="Q12:Q17" ca="1" si="6">SUM(L12:P12)</f>
        <v>-245.92951621992916</v>
      </c>
      <c r="R12" s="17">
        <f t="shared" ca="1" si="4"/>
        <v>-245.92951621992916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-204.71614766820221</v>
      </c>
      <c r="J13" s="14">
        <f ca="1">-(J17-Q10)</f>
        <v>-201.7719604399058</v>
      </c>
      <c r="K13" s="13">
        <f ca="1">-(K17-Q11)</f>
        <v>-730.4236648648648</v>
      </c>
      <c r="L13" s="14">
        <f t="shared" ca="1" si="5"/>
        <v>-1136.9117729729728</v>
      </c>
      <c r="M13" s="16">
        <f ca="1">-E15</f>
        <v>-258.17274324695654</v>
      </c>
      <c r="N13" s="16"/>
      <c r="O13" s="11"/>
      <c r="P13" s="13"/>
      <c r="Q13" s="14">
        <f t="shared" ca="1" si="6"/>
        <v>-1395.0845162199294</v>
      </c>
      <c r="R13" s="16">
        <f t="shared" ca="1" si="4"/>
        <v>-1395.0845162199294</v>
      </c>
    </row>
    <row r="14" spans="1:20">
      <c r="A14" s="18" t="s">
        <v>78</v>
      </c>
      <c r="B14" s="11"/>
      <c r="C14" s="14"/>
      <c r="D14" s="14"/>
      <c r="E14" s="14">
        <f ca="1">-(I13+J13)-K13</f>
        <v>1136.9117729729728</v>
      </c>
      <c r="F14" s="14"/>
      <c r="G14" s="14"/>
      <c r="H14" s="14"/>
      <c r="I14" s="14"/>
      <c r="J14" s="14"/>
      <c r="K14" s="13"/>
      <c r="L14" s="14">
        <f t="shared" ca="1" si="5"/>
        <v>1136.9117729729728</v>
      </c>
      <c r="M14" s="16"/>
      <c r="N14" s="16"/>
      <c r="O14" s="11"/>
      <c r="P14" s="13"/>
      <c r="Q14" s="14">
        <f t="shared" ca="1" si="6"/>
        <v>1136.9117729729728</v>
      </c>
      <c r="R14" s="16">
        <f t="shared" ca="1" si="4"/>
        <v>1136.9117729729728</v>
      </c>
    </row>
    <row r="15" spans="1:20">
      <c r="A15" s="18" t="s">
        <v>79</v>
      </c>
      <c r="B15" s="11"/>
      <c r="C15" s="14"/>
      <c r="D15" s="14"/>
      <c r="E15" s="14">
        <f ca="1">E17-E14</f>
        <v>258.17274324695654</v>
      </c>
      <c r="F15" s="14"/>
      <c r="G15" s="14"/>
      <c r="H15" s="14"/>
      <c r="I15" s="14"/>
      <c r="J15" s="14"/>
      <c r="K15" s="13"/>
      <c r="L15" s="14">
        <f t="shared" ca="1" si="5"/>
        <v>258.17274324695654</v>
      </c>
      <c r="M15" s="16"/>
      <c r="N15" s="16"/>
      <c r="O15" s="11"/>
      <c r="P15" s="13"/>
      <c r="Q15" s="14">
        <f t="shared" ca="1" si="6"/>
        <v>258.17274324695654</v>
      </c>
      <c r="R15" s="16">
        <f t="shared" ca="1" si="4"/>
        <v>258.17274324695654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0</v>
      </c>
      <c r="E17" s="9">
        <f ca="1">$Q$5/parameters!$B$4</f>
        <v>1395.0845162199294</v>
      </c>
      <c r="F17" s="9">
        <f t="shared" ref="F17:K17" ca="1" si="7">SUM(F$2:F$11)</f>
        <v>0</v>
      </c>
      <c r="G17" s="9">
        <f t="shared" ca="1" si="7"/>
        <v>2150.4702194357369</v>
      </c>
      <c r="H17" s="9">
        <f t="shared" ca="1" si="7"/>
        <v>2058</v>
      </c>
      <c r="I17" s="9">
        <f t="shared" ca="1" si="7"/>
        <v>2370.5161476682024</v>
      </c>
      <c r="J17" s="9">
        <f t="shared" ca="1" si="7"/>
        <v>2336.4238523317977</v>
      </c>
      <c r="K17" s="9">
        <f t="shared" ca="1" si="7"/>
        <v>6537.7918918918922</v>
      </c>
      <c r="L17" s="17">
        <f t="shared" ca="1" si="5"/>
        <v>16848.286627547557</v>
      </c>
      <c r="M17" s="17"/>
      <c r="N17" s="17"/>
      <c r="O17" s="9"/>
      <c r="P17" s="14"/>
      <c r="Q17" s="11">
        <f t="shared" ca="1" si="6"/>
        <v>16848.286627547557</v>
      </c>
      <c r="R17" s="17">
        <f t="shared" ca="1" si="4"/>
        <v>16848.286627547557</v>
      </c>
    </row>
    <row r="18" spans="1:18">
      <c r="A18" s="30" t="s">
        <v>75</v>
      </c>
      <c r="B18" s="38" t="str">
        <f ca="1">IFERROR(1-(-B12)/B17, "")</f>
        <v/>
      </c>
      <c r="C18" s="38" t="str">
        <f ca="1">IFERROR(1-(-C12)/C17, "")</f>
        <v/>
      </c>
      <c r="D18" s="38" t="str">
        <f ca="1">IFERROR(1-(-D12)/D17, "")</f>
        <v/>
      </c>
      <c r="E18" s="38">
        <f t="shared" ref="E18:G18" ca="1" si="8">IFERROR(1-(-E12)/E17, "")</f>
        <v>0.89</v>
      </c>
      <c r="F18" s="38" t="str">
        <f t="shared" ca="1" si="8"/>
        <v/>
      </c>
      <c r="G18" s="38">
        <f t="shared" ca="1" si="8"/>
        <v>0.95699999999999985</v>
      </c>
      <c r="H18" s="38">
        <f t="shared" ref="H18" ca="1" si="9">1-(-H12)/H17</f>
        <v>1</v>
      </c>
      <c r="I18" s="38">
        <f ca="1">(Q9+Q10)/(Q8-O8-P8)</f>
        <v>0.91364068628278505</v>
      </c>
      <c r="J18" s="38">
        <f ca="1">I18</f>
        <v>0.91364068628278505</v>
      </c>
      <c r="K18" s="39">
        <f ca="1">1-(-K13)/K17</f>
        <v>0.88827670306074913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2990.8674650296866</v>
      </c>
      <c r="D2" s="9">
        <f ca="1">Q4/parameters!$B$3</f>
        <v>115.72909328771259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3106.5965583173993</v>
      </c>
      <c r="M2" s="17"/>
      <c r="N2" s="17">
        <f ca="1">Q2-(L2+O2+P2)</f>
        <v>63.05344168260126</v>
      </c>
      <c r="O2" s="11" cm="1">
        <f t="array" aca="1" ref="O2" ca="1">INDIRECT("'data'!$F$" &amp; $A$1)</f>
        <v>10386.35</v>
      </c>
      <c r="P2" s="13">
        <f ca="1">IF(-(L2-Q2+O2)&lt;0, -(L2-Q2+O2), 0)</f>
        <v>0</v>
      </c>
      <c r="Q2" s="17" cm="1">
        <f t="array" aca="1" ref="Q2" ca="1">INDIRECT("'data'!$D$" &amp; $A$1)</f>
        <v>13556</v>
      </c>
      <c r="R2" s="17">
        <f ca="1">SUM(L2:P2)</f>
        <v>13556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2703.8805970149251</v>
      </c>
      <c r="G3" s="14">
        <f ca="1">Q3-O3-P3-F3</f>
        <v>316.33940298507468</v>
      </c>
      <c r="H3" s="14"/>
      <c r="I3" s="14"/>
      <c r="J3" s="14"/>
      <c r="K3" s="13"/>
      <c r="L3" s="16">
        <f t="shared" ca="1" si="0"/>
        <v>3020.22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26.459999999999997</v>
      </c>
      <c r="P3" s="13" cm="1">
        <f t="array" aca="1" ref="P3" ca="1">-INDIRECT("'data'!$I$" &amp; $A$1)*parameters!$B$13</f>
        <v>-74.655000000000001</v>
      </c>
      <c r="Q3" s="16" cm="1">
        <f t="array" aca="1" ref="Q3" ca="1">INDIRECT("'data'!$G$" &amp; $A$1)*parameters!$B$13</f>
        <v>2972.0249999999996</v>
      </c>
      <c r="R3" s="16">
        <f t="shared" ref="R3:R10" ca="1" si="2">SUM(L3:P3)</f>
        <v>2972.0249999999996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115</v>
      </c>
      <c r="H4" s="14"/>
      <c r="I4" s="14"/>
      <c r="J4" s="14"/>
      <c r="K4" s="13"/>
      <c r="L4" s="16">
        <f t="shared" ca="1" si="0"/>
        <v>115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115</v>
      </c>
      <c r="R4" s="16">
        <f t="shared" ca="1" si="2"/>
        <v>115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675.97014925373139</v>
      </c>
      <c r="G5" s="14">
        <f ca="1">Q7/parameters!$B$7-(G3+G4)</f>
        <v>1608.5352051653954</v>
      </c>
      <c r="H5" s="14"/>
      <c r="I5" s="14"/>
      <c r="J5" s="14"/>
      <c r="K5" s="13"/>
      <c r="L5" s="16">
        <f t="shared" ca="1" si="0"/>
        <v>2284.5053544191269</v>
      </c>
      <c r="M5" s="16"/>
      <c r="N5" s="16"/>
      <c r="O5" s="11" cm="1">
        <f t="array" aca="1" ref="O5" ca="1">INDIRECT("'data'!$M$" &amp; $A$1)*parameters!$B$15</f>
        <v>464.52</v>
      </c>
      <c r="P5" s="13" cm="1">
        <f t="array" aca="1" ref="P5" ca="1">-INDIRECT("'data'!$N$" &amp; $A$1)*parameters!$B$15</f>
        <v>-468.44</v>
      </c>
      <c r="Q5" s="16">
        <f ca="1">SUM(L5:P5)</f>
        <v>2280.5853544191268</v>
      </c>
      <c r="R5" s="16">
        <f t="shared" ca="1" si="2"/>
        <v>2280.5853544191268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3170.2999999999997</v>
      </c>
      <c r="I6" s="14"/>
      <c r="J6" s="14"/>
      <c r="K6" s="13"/>
      <c r="L6" s="16">
        <f t="shared" ca="1" si="0"/>
        <v>3170.2999999999997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3170.2999999999997</v>
      </c>
      <c r="R6" s="16">
        <f t="shared" ca="1" si="2"/>
        <v>3170.2999999999997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1952.1599999999999</v>
      </c>
      <c r="I7" s="14"/>
      <c r="J7" s="14"/>
      <c r="K7" s="13"/>
      <c r="L7" s="16">
        <f t="shared" ca="1" si="0"/>
        <v>1952.1599999999999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1952.1599999999999</v>
      </c>
      <c r="R7" s="16">
        <f t="shared" ca="1" si="2"/>
        <v>1952.1599999999999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1190.4852948841865</v>
      </c>
      <c r="J8" s="14">
        <f ca="1">Q10/J18</f>
        <v>4309.274705115813</v>
      </c>
      <c r="K8" s="13"/>
      <c r="L8" s="16">
        <f t="shared" ca="1" si="0"/>
        <v>5499.7599999999993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90.16</v>
      </c>
      <c r="P8" s="13" cm="1">
        <f t="array" aca="1" ref="P8" ca="1">-INDIRECT("'data'!$S$" &amp; $A$1)*parameters!$B$15</f>
        <v>-467.46</v>
      </c>
      <c r="Q8" s="16">
        <f ca="1">SUM(Q6:Q7)</f>
        <v>5122.4599999999991</v>
      </c>
      <c r="R8" s="16">
        <f t="shared" ca="1" si="2"/>
        <v>5122.4599999999991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979.01999999999987</v>
      </c>
      <c r="L9" s="16">
        <f t="shared" ca="1" si="0"/>
        <v>979.01999999999987</v>
      </c>
      <c r="M9" s="16"/>
      <c r="N9" s="16">
        <f t="shared" ca="1" si="3"/>
        <v>0</v>
      </c>
      <c r="O9" s="11" cm="1">
        <f t="array" aca="1" ref="O9" ca="1">INDIRECT("'data'!$U$" &amp; $A$1)*parameters!$B$15</f>
        <v>864.36</v>
      </c>
      <c r="P9" s="13" cm="1">
        <f t="array" aca="1" ref="P9" ca="1">-INDIRECT("'data'!$V$" &amp; $A$1)*parameters!$B$15</f>
        <v>-842.8</v>
      </c>
      <c r="Q9" s="16" cm="1">
        <f t="array" aca="1" ref="Q9" ca="1">INDIRECT("'data'!$T$" &amp; $A$1)*parameters!$B$15</f>
        <v>1000.5799999999999</v>
      </c>
      <c r="R9" s="16">
        <f t="shared" ca="1" si="2"/>
        <v>1000.5799999999999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2475.2625320056895</v>
      </c>
      <c r="L10" s="16">
        <f t="shared" ca="1" si="0"/>
        <v>2475.2625320056895</v>
      </c>
      <c r="M10" s="16"/>
      <c r="N10" s="16">
        <f t="shared" ca="1" si="3"/>
        <v>0</v>
      </c>
      <c r="O10" s="11" cm="1">
        <f t="array" aca="1" ref="O10" ca="1">INDIRECT("'data'!$X$" &amp; $A$1)*parameters!$B$15</f>
        <v>2651.88</v>
      </c>
      <c r="P10" s="13" cm="1">
        <f t="array" aca="1" ref="P10" ca="1">-INDIRECT("'data'!$Y$" &amp; $A$1)*parameters!$B$15</f>
        <v>-1505.28</v>
      </c>
      <c r="Q10" s="16" cm="1">
        <f t="array" aca="1" ref="Q10" ca="1">INDIRECT("'data'!$W$" &amp; $A$1)*parameters!$B$15</f>
        <v>3621.8625320056899</v>
      </c>
      <c r="R10" s="16">
        <f t="shared" ca="1" si="2"/>
        <v>3621.8625320056899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2985.3045775248929</v>
      </c>
      <c r="N11" s="19"/>
      <c r="O11" s="21" cm="1">
        <f t="array" aca="1" ref="O11" ca="1">INDIRECT("'data'!$Z$" &amp; $A$1)*parameters!$B$15</f>
        <v>2054.08</v>
      </c>
      <c r="P11" s="27" cm="1">
        <f t="array" aca="1" ref="P11" ca="1">-INDIRECT("'data'!$AA$" &amp; $A$1)*parameters!$B$15</f>
        <v>-1990.3799999999999</v>
      </c>
      <c r="Q11" s="16">
        <f ca="1">K9*parameters!$B$10+K10*parameters!$B$11</f>
        <v>3049.0045775248927</v>
      </c>
      <c r="R11" s="16">
        <f t="shared" ref="R11:R17" ca="1" si="4">SUM(L11:P11)</f>
        <v>3049.0045775248927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-18.842465029686991</v>
      </c>
      <c r="D12" s="9">
        <f ca="1">-(D17-Q4)</f>
        <v>-0.72909328771258686</v>
      </c>
      <c r="E12" s="9">
        <f ca="1">-(E17-Q5)</f>
        <v>-281.87009998438634</v>
      </c>
      <c r="F12" s="9">
        <f ca="1">-(F17-Q6)</f>
        <v>-209.55074626865689</v>
      </c>
      <c r="G12" s="9">
        <f ca="1">-(G17-Q7)</f>
        <v>-87.714608150470212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-598.7070127209131</v>
      </c>
      <c r="M12" s="17"/>
      <c r="N12" s="17"/>
      <c r="O12" s="10"/>
      <c r="P12" s="12"/>
      <c r="Q12" s="9">
        <f t="shared" ref="Q12:Q17" ca="1" si="6">SUM(L12:P12)</f>
        <v>-598.7070127209131</v>
      </c>
      <c r="R12" s="17">
        <f t="shared" ca="1" si="4"/>
        <v>-598.7070127209131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-189.90529488418656</v>
      </c>
      <c r="J13" s="14">
        <f ca="1">-(J17-Q10)</f>
        <v>-687.41217311012315</v>
      </c>
      <c r="K13" s="13">
        <f ca="1">-(K17-Q11)</f>
        <v>-405.27795448079678</v>
      </c>
      <c r="L13" s="14">
        <f t="shared" ca="1" si="5"/>
        <v>-1282.5954224751065</v>
      </c>
      <c r="M13" s="16">
        <f ca="1">-E15</f>
        <v>-1279.8600319284067</v>
      </c>
      <c r="N13" s="16"/>
      <c r="O13" s="11"/>
      <c r="P13" s="13"/>
      <c r="Q13" s="14">
        <f t="shared" ca="1" si="6"/>
        <v>-2562.4554544035132</v>
      </c>
      <c r="R13" s="16">
        <f t="shared" ca="1" si="4"/>
        <v>-2562.4554544035132</v>
      </c>
    </row>
    <row r="14" spans="1:20">
      <c r="A14" s="18" t="s">
        <v>78</v>
      </c>
      <c r="B14" s="11"/>
      <c r="C14" s="14"/>
      <c r="D14" s="14"/>
      <c r="E14" s="14">
        <f ca="1">-(I13+J13)-K13</f>
        <v>1282.5954224751065</v>
      </c>
      <c r="F14" s="14"/>
      <c r="G14" s="14"/>
      <c r="H14" s="14"/>
      <c r="I14" s="14"/>
      <c r="J14" s="14"/>
      <c r="K14" s="13"/>
      <c r="L14" s="14">
        <f t="shared" ca="1" si="5"/>
        <v>1282.5954224751065</v>
      </c>
      <c r="M14" s="16"/>
      <c r="N14" s="16"/>
      <c r="O14" s="11"/>
      <c r="P14" s="13"/>
      <c r="Q14" s="14">
        <f t="shared" ca="1" si="6"/>
        <v>1282.5954224751065</v>
      </c>
      <c r="R14" s="16">
        <f t="shared" ca="1" si="4"/>
        <v>1282.5954224751065</v>
      </c>
    </row>
    <row r="15" spans="1:20">
      <c r="A15" s="18" t="s">
        <v>79</v>
      </c>
      <c r="B15" s="11"/>
      <c r="C15" s="14"/>
      <c r="D15" s="14"/>
      <c r="E15" s="14">
        <f ca="1">E17-E14</f>
        <v>1279.8600319284067</v>
      </c>
      <c r="F15" s="14"/>
      <c r="G15" s="14"/>
      <c r="H15" s="14"/>
      <c r="I15" s="14"/>
      <c r="J15" s="14"/>
      <c r="K15" s="13"/>
      <c r="L15" s="14">
        <f t="shared" ca="1" si="5"/>
        <v>1279.8600319284067</v>
      </c>
      <c r="M15" s="16"/>
      <c r="N15" s="16"/>
      <c r="O15" s="11"/>
      <c r="P15" s="13"/>
      <c r="Q15" s="14">
        <f t="shared" ca="1" si="6"/>
        <v>1279.8600319284067</v>
      </c>
      <c r="R15" s="16">
        <f t="shared" ca="1" si="4"/>
        <v>1279.8600319284067</v>
      </c>
    </row>
    <row r="16" spans="1:20">
      <c r="A16" s="30" t="s">
        <v>89</v>
      </c>
      <c r="B16" s="21">
        <f ca="1">Q2</f>
        <v>13556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13556</v>
      </c>
      <c r="M16" s="19"/>
      <c r="N16" s="19"/>
      <c r="O16" s="21"/>
      <c r="P16" s="27"/>
      <c r="Q16" s="22">
        <f t="shared" ca="1" si="6"/>
        <v>13556</v>
      </c>
      <c r="R16" s="19">
        <f t="shared" ca="1" si="4"/>
        <v>13556</v>
      </c>
    </row>
    <row r="17" spans="1:18">
      <c r="A17" s="29" t="s">
        <v>88</v>
      </c>
      <c r="B17" s="9">
        <f ca="1">B16</f>
        <v>13556</v>
      </c>
      <c r="C17" s="9">
        <f ca="1">SUM(C$2:C$11)</f>
        <v>2990.8674650296866</v>
      </c>
      <c r="D17" s="9">
        <f ca="1">SUM(D$2:D$11)</f>
        <v>115.72909328771259</v>
      </c>
      <c r="E17" s="9">
        <f ca="1">$Q$5/parameters!$B$4</f>
        <v>2562.4554544035132</v>
      </c>
      <c r="F17" s="9">
        <f t="shared" ref="F17:K17" ca="1" si="7">SUM(F$2:F$11)</f>
        <v>3379.8507462686566</v>
      </c>
      <c r="G17" s="9">
        <f t="shared" ca="1" si="7"/>
        <v>2039.8746081504701</v>
      </c>
      <c r="H17" s="9">
        <f t="shared" ca="1" si="7"/>
        <v>5122.4599999999991</v>
      </c>
      <c r="I17" s="9">
        <f t="shared" ca="1" si="7"/>
        <v>1190.4852948841865</v>
      </c>
      <c r="J17" s="9">
        <f t="shared" ca="1" si="7"/>
        <v>4309.274705115813</v>
      </c>
      <c r="K17" s="9">
        <f t="shared" ca="1" si="7"/>
        <v>3454.2825320056895</v>
      </c>
      <c r="L17" s="17">
        <f t="shared" ca="1" si="5"/>
        <v>38721.279899145724</v>
      </c>
      <c r="M17" s="17"/>
      <c r="N17" s="17"/>
      <c r="O17" s="9"/>
      <c r="P17" s="14"/>
      <c r="Q17" s="11">
        <f t="shared" ca="1" si="6"/>
        <v>38721.279899145724</v>
      </c>
      <c r="R17" s="17">
        <f t="shared" ca="1" si="4"/>
        <v>38721.279899145724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0.84048077225291473</v>
      </c>
      <c r="J18" s="38">
        <f ca="1">I18</f>
        <v>0.84048077225291473</v>
      </c>
      <c r="K18" s="39">
        <f ca="1">1-(-K13)/K17</f>
        <v>0.88267376778659834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2024-08-12T15:46:01Z</dcterms:modified>
</cp:coreProperties>
</file>