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2CBA9EF3-82BF-8749-ACE0-E283429EF47F}" xr6:coauthVersionLast="47" xr6:coauthVersionMax="47" xr10:uidLastSave="{00000000-0000-0000-0000-000000000000}"/>
  <bookViews>
    <workbookView xWindow="0" yWindow="500" windowWidth="38400" windowHeight="21100" firstSheet="2" activeTab="2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8" l="1"/>
  <c r="J18" i="18" s="1"/>
  <c r="I18" i="41"/>
  <c r="J18" i="41" s="1"/>
  <c r="I18" i="16"/>
  <c r="J18" i="16" s="1"/>
  <c r="I18" i="35" l="1"/>
  <c r="J18" i="35" s="1"/>
  <c r="I18" i="34"/>
  <c r="J18" i="34" s="1"/>
  <c r="I18" i="27"/>
  <c r="J18" i="27"/>
  <c r="I18" i="15"/>
  <c r="J18" i="15" s="1"/>
  <c r="I18" i="21"/>
  <c r="J18" i="21"/>
  <c r="I18" i="20"/>
  <c r="J18" i="20"/>
  <c r="I18" i="19"/>
  <c r="J18" i="19" s="1"/>
  <c r="Q4" i="49" l="1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4" i="49"/>
  <c r="D4" i="49"/>
  <c r="C5" i="49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D3" i="49"/>
  <c r="C3" i="49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3" i="49"/>
  <c r="J24" i="49"/>
  <c r="J25" i="49"/>
  <c r="J26" i="49"/>
  <c r="J27" i="49"/>
  <c r="J28" i="49"/>
  <c r="J29" i="49"/>
  <c r="J30" i="49"/>
  <c r="J31" i="49"/>
  <c r="J32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3" i="49"/>
  <c r="G24" i="49"/>
  <c r="G25" i="49"/>
  <c r="G26" i="49"/>
  <c r="G27" i="49"/>
  <c r="G28" i="49"/>
  <c r="G29" i="49"/>
  <c r="G30" i="49"/>
  <c r="G31" i="49"/>
  <c r="G32" i="49"/>
  <c r="G3" i="49"/>
  <c r="J22" i="49" l="1"/>
  <c r="G22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P11" i="38" a="1"/>
  <c r="Q4" i="19" a="1"/>
  <c r="P3" i="33" a="1"/>
  <c r="P5" i="37" a="1"/>
  <c r="P9" i="38" a="1"/>
  <c r="Q10" i="22" a="1"/>
  <c r="O3" i="22" a="1"/>
  <c r="P4" i="20" a="1"/>
  <c r="Q3" i="32" a="1"/>
  <c r="P4" i="19" a="1"/>
  <c r="Q9" i="42" a="1"/>
  <c r="O8" i="32" a="1"/>
  <c r="P11" i="26" a="1"/>
  <c r="O3" i="17" a="1"/>
  <c r="Q3" i="38" a="1"/>
  <c r="P5" i="14" a="1"/>
  <c r="Q2" i="28" a="1"/>
  <c r="O5" i="42" a="1"/>
  <c r="Q7" i="31" a="1"/>
  <c r="Q4" i="36" a="1"/>
  <c r="O9" i="36" a="1"/>
  <c r="Q9" i="23" a="1"/>
  <c r="P9" i="43" a="1"/>
  <c r="Q4" i="18" a="1"/>
  <c r="P4" i="14" a="1"/>
  <c r="O4" i="28" a="1"/>
  <c r="P5" i="17" a="1"/>
  <c r="O3" i="21" a="1"/>
  <c r="Q9" i="27" a="1"/>
  <c r="P5" i="19" a="1"/>
  <c r="Q3" i="40" a="1"/>
  <c r="O9" i="38" a="1"/>
  <c r="O5" i="36" a="1"/>
  <c r="P8" i="34" a="1"/>
  <c r="Q9" i="29" a="1"/>
  <c r="O10" i="27" a="1"/>
  <c r="Q10" i="33" a="1"/>
  <c r="P4" i="26" a="1"/>
  <c r="O9" i="39" a="1"/>
  <c r="O5" i="16" a="1"/>
  <c r="O2" i="35" a="1"/>
  <c r="O9" i="11" a="1"/>
  <c r="Q7" i="36" a="1"/>
  <c r="O2" i="39" a="1"/>
  <c r="Q3" i="11" a="1"/>
  <c r="Q7" i="15" a="1"/>
  <c r="Q3" i="34" a="1"/>
  <c r="O8" i="34" a="1"/>
  <c r="O2" i="30" a="1"/>
  <c r="P5" i="43" a="1"/>
  <c r="P5" i="33" a="1"/>
  <c r="P11" i="18" a="1"/>
  <c r="P3" i="17" a="1"/>
  <c r="O2" i="41" a="1"/>
  <c r="Q6" i="40" a="1"/>
  <c r="Q2" i="31" a="1"/>
  <c r="P9" i="24" a="1"/>
  <c r="Q4" i="16" a="1"/>
  <c r="P9" i="16" a="1"/>
  <c r="O2" i="11" a="1"/>
  <c r="Q3" i="15" a="1"/>
  <c r="P8" i="38" a="1"/>
  <c r="Q10" i="35" a="1"/>
  <c r="O5" i="20" a="1"/>
  <c r="O4" i="22" a="1"/>
  <c r="Q3" i="41" a="1"/>
  <c r="Q3" i="24" a="1"/>
  <c r="O5" i="15" a="1"/>
  <c r="Q3" i="28" a="1"/>
  <c r="O4" i="41" a="1"/>
  <c r="O8" i="20" a="1"/>
  <c r="Q7" i="30" a="1"/>
  <c r="O3" i="33" a="1"/>
  <c r="Q3" i="26" a="1"/>
  <c r="Q3" i="31" a="1"/>
  <c r="P4" i="16" a="1"/>
  <c r="O3" i="32" a="1"/>
  <c r="P9" i="41" a="1"/>
  <c r="Q10" i="21" a="1"/>
  <c r="P10" i="34" a="1"/>
  <c r="O5" i="40" a="1"/>
  <c r="P4" i="30" a="1"/>
  <c r="Q4" i="22" a="1"/>
  <c r="P10" i="35" a="1"/>
  <c r="Q7" i="27" a="1"/>
  <c r="O4" i="17" a="1"/>
  <c r="P11" i="40" a="1"/>
  <c r="O2" i="40" a="1"/>
  <c r="O4" i="42" a="1"/>
  <c r="P4" i="38" a="1"/>
  <c r="O11" i="28" a="1"/>
  <c r="O10" i="18" a="1"/>
  <c r="Q2" i="40" a="1"/>
  <c r="Q9" i="28" a="1"/>
  <c r="O10" i="28" a="1"/>
  <c r="P3" i="39" a="1"/>
  <c r="O5" i="35" a="1"/>
  <c r="O3" i="37" a="1"/>
  <c r="P11" i="20" a="1"/>
  <c r="O10" i="41" a="1"/>
  <c r="Q6" i="22" a="1"/>
  <c r="Q9" i="15" a="1"/>
  <c r="O8" i="17" a="1"/>
  <c r="Q6" i="43" a="1"/>
  <c r="P3" i="26" a="1"/>
  <c r="P8" i="37" a="1"/>
  <c r="P8" i="17" a="1"/>
  <c r="P8" i="26" a="1"/>
  <c r="Q6" i="34" a="1"/>
  <c r="O8" i="26" a="1"/>
  <c r="O8" i="43" a="1"/>
  <c r="O2" i="26" a="1"/>
  <c r="O3" i="34" a="1"/>
  <c r="P3" i="14" a="1"/>
  <c r="P3" i="36" a="1"/>
  <c r="P8" i="18" a="1"/>
  <c r="P11" i="21" a="1"/>
  <c r="P10" i="28" a="1"/>
  <c r="Q4" i="35" a="1"/>
  <c r="P8" i="15" a="1"/>
  <c r="P9" i="39" a="1"/>
  <c r="P8" i="14" a="1"/>
  <c r="O2" i="14" a="1"/>
  <c r="O11" i="43" a="1"/>
  <c r="Q7" i="28" a="1"/>
  <c r="Q10" i="42" a="1"/>
  <c r="P9" i="31" a="1"/>
  <c r="Q7" i="40" a="1"/>
  <c r="P11" i="22" a="1"/>
  <c r="Q7" i="17" a="1"/>
  <c r="P8" i="43" a="1"/>
  <c r="Q10" i="11" a="1"/>
  <c r="Q6" i="30" a="1"/>
  <c r="P9" i="37" a="1"/>
  <c r="Q4" i="38" a="1"/>
  <c r="O3" i="14" a="1"/>
  <c r="Q10" i="27" a="1"/>
  <c r="Q2" i="29" a="1"/>
  <c r="Q2" i="39" a="1"/>
  <c r="P11" i="28" a="1"/>
  <c r="P5" i="42" a="1"/>
  <c r="Q7" i="23" a="1"/>
  <c r="P3" i="31" a="1"/>
  <c r="Q3" i="39" a="1"/>
  <c r="O10" i="31" a="1"/>
  <c r="P9" i="36" a="1"/>
  <c r="O8" i="29" a="1"/>
  <c r="Q9" i="40" a="1"/>
  <c r="O9" i="16" a="1"/>
  <c r="O4" i="18" a="1"/>
  <c r="O4" i="38" a="1"/>
  <c r="Q4" i="41" a="1"/>
  <c r="P5" i="21" a="1"/>
  <c r="Q7" i="38" a="1"/>
  <c r="P11" i="23" a="1"/>
  <c r="Q6" i="32" a="1"/>
  <c r="Q2" i="24" a="1"/>
  <c r="Q10" i="31" a="1"/>
  <c r="P4" i="22" a="1"/>
  <c r="O5" i="41" a="1"/>
  <c r="O11" i="19" a="1"/>
  <c r="Q2" i="15" a="1"/>
  <c r="Q3" i="27" a="1"/>
  <c r="Q10" i="20" a="1"/>
  <c r="O11" i="41" a="1"/>
  <c r="Q6" i="37" a="1"/>
  <c r="Q9" i="19" a="1"/>
  <c r="P5" i="29" a="1"/>
  <c r="O10" i="37" a="1"/>
  <c r="P3" i="34" a="1"/>
  <c r="Q4" i="31" a="1"/>
  <c r="Q7" i="20" a="1"/>
  <c r="Q7" i="24" a="1"/>
  <c r="P11" i="36" a="1"/>
  <c r="O5" i="14" a="1"/>
  <c r="Q3" i="23" a="1"/>
  <c r="Q2" i="27" a="1"/>
  <c r="Q10" i="30" a="1"/>
  <c r="Q10" i="14" a="1"/>
  <c r="Q9" i="34" a="1"/>
  <c r="P5" i="15" a="1"/>
  <c r="Q4" i="15" a="1"/>
  <c r="Q2" i="16" a="1"/>
  <c r="Q2" i="33" a="1"/>
  <c r="O11" i="27" a="1"/>
  <c r="Q7" i="34" a="1"/>
  <c r="Q2" i="22" a="1"/>
  <c r="Q10" i="34" a="1"/>
  <c r="Q7" i="18" a="1"/>
  <c r="Q4" i="39" a="1"/>
  <c r="O4" i="35" a="1"/>
  <c r="O9" i="30" a="1"/>
  <c r="O2" i="37" a="1"/>
  <c r="P3" i="15" a="1"/>
  <c r="Q3" i="19" a="1"/>
  <c r="P10" i="42" a="1"/>
  <c r="O2" i="34" a="1"/>
  <c r="Q10" i="26" a="1"/>
  <c r="P10" i="26" a="1"/>
  <c r="O11" i="21" a="1"/>
  <c r="O5" i="28" a="1"/>
  <c r="O2" i="31" a="1"/>
  <c r="O5" i="24" a="1"/>
  <c r="O4" i="33" a="1"/>
  <c r="O2" i="24" a="1"/>
  <c r="O2" i="32" a="1"/>
  <c r="O9" i="32" a="1"/>
  <c r="Q6" i="29" a="1"/>
  <c r="Q7" i="32" a="1"/>
  <c r="P3" i="19" a="1"/>
  <c r="Q9" i="17" a="1"/>
  <c r="O3" i="38" a="1"/>
  <c r="P10" i="33" a="1"/>
  <c r="P9" i="21" a="1"/>
  <c r="O5" i="34" a="1"/>
  <c r="O2" i="23" a="1"/>
  <c r="Q2" i="14" a="1"/>
  <c r="Q2" i="20" a="1"/>
  <c r="Q4" i="34" a="1"/>
  <c r="P10" i="11" a="1"/>
  <c r="P10" i="21" a="1"/>
  <c r="Q7" i="43" a="1"/>
  <c r="O8" i="33" a="1"/>
  <c r="O3" i="36" a="1"/>
  <c r="O9" i="27" a="1"/>
  <c r="P3" i="21" a="1"/>
  <c r="O3" i="43" a="1"/>
  <c r="O4" i="39" a="1"/>
  <c r="O11" i="39" a="1"/>
  <c r="O3" i="30" a="1"/>
  <c r="Q3" i="35" a="1"/>
  <c r="O8" i="18" a="1"/>
  <c r="O2" i="22" a="1"/>
  <c r="O2" i="28" a="1"/>
  <c r="Q4" i="33" a="1"/>
  <c r="O10" i="19" a="1"/>
  <c r="Q9" i="22" a="1"/>
  <c r="P5" i="24" a="1"/>
  <c r="Q3" i="30" a="1"/>
  <c r="P11" i="39" a="1"/>
  <c r="O2" i="42" a="1"/>
  <c r="P3" i="38" a="1"/>
  <c r="P5" i="30" a="1"/>
  <c r="O9" i="15" a="1"/>
  <c r="P5" i="18" a="1"/>
  <c r="O8" i="39" a="1"/>
  <c r="P11" i="14" a="1"/>
  <c r="Q4" i="23" a="1"/>
  <c r="O11" i="42" a="1"/>
  <c r="O11" i="29" a="1"/>
  <c r="Q6" i="23" a="1"/>
  <c r="P5" i="20" a="1"/>
  <c r="O10" i="22" a="1"/>
  <c r="Q2" i="35" a="1"/>
  <c r="O4" i="24" a="1"/>
  <c r="Q6" i="19" a="1"/>
  <c r="P5" i="27" a="1"/>
  <c r="O10" i="30" a="1"/>
  <c r="P10" i="32" a="1"/>
  <c r="P10" i="16" a="1"/>
  <c r="P8" i="24" a="1"/>
  <c r="Q3" i="33" a="1"/>
  <c r="O11" i="24" a="1"/>
  <c r="P5" i="22" a="1"/>
  <c r="P3" i="30" a="1"/>
  <c r="P4" i="32" a="1"/>
  <c r="P3" i="24" a="1"/>
  <c r="O9" i="43" a="1"/>
  <c r="O4" i="15" a="1"/>
  <c r="O5" i="39" a="1"/>
  <c r="O11" i="23" a="1"/>
  <c r="O2" i="33" a="1"/>
  <c r="Q9" i="24" a="1"/>
  <c r="Q4" i="24" a="1"/>
  <c r="O3" i="23" a="1"/>
  <c r="Q3" i="43" a="1"/>
  <c r="P9" i="30" a="1"/>
  <c r="O10" i="23" a="1"/>
  <c r="Q9" i="41" a="1"/>
  <c r="O3" i="11" a="1"/>
  <c r="O11" i="22" a="1"/>
  <c r="Q2" i="32" a="1"/>
  <c r="O8" i="41" a="1"/>
  <c r="O5" i="30" a="1"/>
  <c r="O4" i="23" a="1"/>
  <c r="Q4" i="26" a="1"/>
  <c r="O9" i="29" a="1"/>
  <c r="Q2" i="17" a="1"/>
  <c r="O3" i="20" a="1"/>
  <c r="Q2" i="37" a="1"/>
  <c r="O4" i="20" a="1"/>
  <c r="P4" i="18" a="1"/>
  <c r="Q2" i="21" a="1"/>
  <c r="P8" i="42" a="1"/>
  <c r="Q7" i="22" a="1"/>
  <c r="Q6" i="28" a="1"/>
  <c r="O5" i="38" a="1"/>
  <c r="P3" i="18" a="1"/>
  <c r="Q3" i="37" a="1"/>
  <c r="P9" i="35" a="1"/>
  <c r="Q7" i="35" a="1"/>
  <c r="Q7" i="39" a="1"/>
  <c r="Q2" i="42" a="1"/>
  <c r="Q6" i="38" a="1"/>
  <c r="O9" i="26" a="1"/>
  <c r="P4" i="21" a="1"/>
  <c r="P11" i="37" a="1"/>
  <c r="O11" i="37" a="1"/>
  <c r="O4" i="16" a="1"/>
  <c r="O10" i="36" a="1"/>
  <c r="O11" i="35" a="1"/>
  <c r="P4" i="17" a="1"/>
  <c r="O2" i="21" a="1"/>
  <c r="O5" i="26" a="1"/>
  <c r="O10" i="34" a="1"/>
  <c r="O11" i="15" a="1"/>
  <c r="O3" i="26" a="1"/>
  <c r="P4" i="37" a="1"/>
  <c r="Q6" i="42" a="1"/>
  <c r="Q7" i="19" a="1"/>
  <c r="Q10" i="41" a="1"/>
  <c r="O4" i="27" a="1"/>
  <c r="P11" i="11" a="1"/>
  <c r="P8" i="23" a="1"/>
  <c r="Q6" i="16" a="1"/>
  <c r="P9" i="19" a="1"/>
  <c r="O2" i="20" a="1"/>
  <c r="O9" i="21" a="1"/>
  <c r="P3" i="40" a="1"/>
  <c r="P11" i="34" a="1"/>
  <c r="O11" i="14" a="1"/>
  <c r="P4" i="23" a="1"/>
  <c r="O11" i="38" a="1"/>
  <c r="Q6" i="18" a="1"/>
  <c r="P3" i="41" a="1"/>
  <c r="Q9" i="32" a="1"/>
  <c r="P5" i="39" a="1"/>
  <c r="P5" i="38" a="1"/>
  <c r="O9" i="22" a="1"/>
  <c r="O4" i="21" a="1"/>
  <c r="P8" i="19" a="1"/>
  <c r="P8" i="29" a="1"/>
  <c r="O4" i="32" a="1"/>
  <c r="P8" i="32" a="1"/>
  <c r="O3" i="24" a="1"/>
  <c r="O8" i="27" a="1"/>
  <c r="O9" i="35" a="1"/>
  <c r="P10" i="29" a="1"/>
  <c r="P4" i="41" a="1"/>
  <c r="Q2" i="36" a="1"/>
  <c r="Q6" i="17" a="1"/>
  <c r="Q4" i="11" a="1"/>
  <c r="P9" i="28" a="1"/>
  <c r="P4" i="24" a="1"/>
  <c r="P11" i="24" a="1"/>
  <c r="O3" i="15" a="1"/>
  <c r="O2" i="17" a="1"/>
  <c r="O8" i="16" a="1"/>
  <c r="P11" i="15" a="1"/>
  <c r="P3" i="28" a="1"/>
  <c r="O3" i="19" a="1"/>
  <c r="O8" i="23" a="1"/>
  <c r="Q4" i="28" a="1"/>
  <c r="O5" i="17" a="1"/>
  <c r="O9" i="19" a="1"/>
  <c r="O3" i="28" a="1"/>
  <c r="Q4" i="21" a="1"/>
  <c r="P4" i="40" a="1"/>
  <c r="Q3" i="22" a="1"/>
  <c r="O9" i="34" a="1"/>
  <c r="O9" i="28" a="1"/>
  <c r="P5" i="36" a="1"/>
  <c r="Q10" i="23" a="1"/>
  <c r="P4" i="31" a="1"/>
  <c r="Q10" i="17" a="1"/>
  <c r="P10" i="20" a="1"/>
  <c r="P9" i="29" a="1"/>
  <c r="O9" i="42" a="1"/>
  <c r="O4" i="43" a="1"/>
  <c r="O8" i="24" a="1"/>
  <c r="O10" i="40" a="1"/>
  <c r="Q9" i="38" a="1"/>
  <c r="O9" i="14" a="1"/>
  <c r="P4" i="33" a="1"/>
  <c r="Q7" i="37" a="1"/>
  <c r="O11" i="32" a="1"/>
  <c r="P9" i="20" a="1"/>
  <c r="O5" i="22" a="1"/>
  <c r="O9" i="33" a="1"/>
  <c r="O11" i="40" a="1"/>
  <c r="P5" i="34" a="1"/>
  <c r="Q10" i="18" a="1"/>
  <c r="O4" i="36" a="1"/>
  <c r="P10" i="40" a="1"/>
  <c r="O10" i="32" a="1"/>
  <c r="Q9" i="14" a="1"/>
  <c r="P9" i="27" a="1"/>
  <c r="O10" i="20" a="1"/>
  <c r="P11" i="35" a="1"/>
  <c r="P8" i="30" a="1"/>
  <c r="O5" i="21" a="1"/>
  <c r="O4" i="34" a="1"/>
  <c r="O3" i="40" a="1"/>
  <c r="Q9" i="37" a="1"/>
  <c r="O8" i="19" a="1"/>
  <c r="O8" i="28" a="1"/>
  <c r="P11" i="43" a="1"/>
  <c r="P11" i="33" a="1"/>
  <c r="Q7" i="33" a="1"/>
  <c r="P10" i="38" a="1"/>
  <c r="Q6" i="39" a="1"/>
  <c r="P10" i="17" a="1"/>
  <c r="O5" i="33" a="1"/>
  <c r="P9" i="32" a="1"/>
  <c r="P11" i="30" a="1"/>
  <c r="Q4" i="29" a="1"/>
  <c r="P8" i="20" a="1"/>
  <c r="O11" i="31" a="1"/>
  <c r="Q10" i="43" a="1"/>
  <c r="Q4" i="27" a="1"/>
  <c r="O11" i="34" a="1"/>
  <c r="Q10" i="36" a="1"/>
  <c r="P9" i="33" a="1"/>
  <c r="O11" i="33" a="1"/>
  <c r="O11" i="17" a="1"/>
  <c r="Q10" i="37" a="1"/>
  <c r="O8" i="15" a="1"/>
  <c r="P10" i="36" a="1"/>
  <c r="O3" i="41" a="1"/>
  <c r="O8" i="35" a="1"/>
  <c r="Q2" i="18" a="1"/>
  <c r="Q9" i="20" a="1"/>
  <c r="Q6" i="21" a="1"/>
  <c r="O10" i="15" a="1"/>
  <c r="O10" i="21" a="1"/>
  <c r="P8" i="27" a="1"/>
  <c r="O2" i="36" a="1"/>
  <c r="O3" i="39" a="1"/>
  <c r="P8" i="31" a="1"/>
  <c r="O5" i="43" a="1"/>
  <c r="O9" i="40" a="1"/>
  <c r="Q2" i="26" a="1"/>
  <c r="Q4" i="30" a="1"/>
  <c r="P11" i="19" a="1"/>
  <c r="Q4" i="14" a="1"/>
  <c r="Q6" i="14" a="1"/>
  <c r="O10" i="33" a="1"/>
  <c r="P10" i="14" a="1"/>
  <c r="P3" i="43" a="1"/>
  <c r="O2" i="38" a="1"/>
  <c r="P3" i="23" a="1"/>
  <c r="O10" i="11" a="1"/>
  <c r="P8" i="36" a="1"/>
  <c r="O8" i="37" a="1"/>
  <c r="O9" i="17" a="1"/>
  <c r="Q10" i="16" a="1"/>
  <c r="Q9" i="21" a="1"/>
  <c r="Q6" i="24" a="1"/>
  <c r="P5" i="28" a="1"/>
  <c r="Q10" i="28" a="1"/>
  <c r="P8" i="11" a="1"/>
  <c r="O2" i="43" a="1"/>
  <c r="Q2" i="41" a="1"/>
  <c r="Q2" i="38" a="1"/>
  <c r="Q3" i="21" a="1"/>
  <c r="P3" i="29" a="1"/>
  <c r="Q2" i="30" a="1"/>
  <c r="O10" i="38" a="1"/>
  <c r="O9" i="24" a="1"/>
  <c r="O5" i="29" a="1"/>
  <c r="Q10" i="39" a="1"/>
  <c r="O11" i="11" a="1"/>
  <c r="O9" i="18" a="1"/>
  <c r="Q3" i="14" a="1"/>
  <c r="P11" i="17" a="1"/>
  <c r="P11" i="29" a="1"/>
  <c r="O3" i="35" a="1"/>
  <c r="O8" i="14" a="1"/>
  <c r="P8" i="21" a="1"/>
  <c r="O3" i="42" a="1"/>
  <c r="P3" i="22" a="1"/>
  <c r="Q9" i="16" a="1"/>
  <c r="O2" i="16" a="1"/>
  <c r="Q4" i="32" a="1"/>
  <c r="O8" i="11" a="1"/>
  <c r="P10" i="24" a="1"/>
  <c r="O2" i="19" a="1"/>
  <c r="O4" i="29" a="1"/>
  <c r="Q9" i="30" a="1"/>
  <c r="Q7" i="29" a="1"/>
  <c r="Q6" i="27" a="1"/>
  <c r="P9" i="26" a="1"/>
  <c r="P10" i="41" a="1"/>
  <c r="O5" i="19" a="1"/>
  <c r="P5" i="40" a="1"/>
  <c r="P11" i="41" a="1"/>
  <c r="O10" i="14" a="1"/>
  <c r="Q6" i="26" a="1"/>
  <c r="P3" i="11" a="1"/>
  <c r="O5" i="37" a="1"/>
  <c r="P4" i="36" a="1"/>
  <c r="P3" i="16" a="1"/>
  <c r="O4" i="37" a="1"/>
  <c r="P10" i="37" a="1"/>
  <c r="P11" i="16" a="1"/>
  <c r="Q3" i="17" a="1"/>
  <c r="Q6" i="33" a="1"/>
  <c r="O8" i="30" a="1"/>
  <c r="Q4" i="37" a="1"/>
  <c r="Q2" i="23" a="1"/>
  <c r="P5" i="32" a="1"/>
  <c r="P3" i="35" a="1"/>
  <c r="P10" i="30" a="1"/>
  <c r="O4" i="26" a="1"/>
  <c r="O5" i="32" a="1"/>
  <c r="P9" i="22" a="1"/>
  <c r="P4" i="28" a="1"/>
  <c r="O9" i="37" a="1"/>
  <c r="Q3" i="42" a="1"/>
  <c r="Q7" i="21" a="1"/>
  <c r="P4" i="43" a="1"/>
  <c r="P9" i="42" a="1"/>
  <c r="P9" i="18" a="1"/>
  <c r="Q7" i="14" a="1"/>
  <c r="O5" i="11" a="1"/>
  <c r="Q6" i="31" a="1"/>
  <c r="Q3" i="29" a="1"/>
  <c r="P9" i="11" a="1"/>
  <c r="P4" i="35" a="1"/>
  <c r="O3" i="27" a="1"/>
  <c r="Q9" i="33" a="1"/>
  <c r="Q9" i="36" a="1"/>
  <c r="P8" i="39" a="1"/>
  <c r="P5" i="31" a="1"/>
  <c r="P9" i="17" a="1"/>
  <c r="Q2" i="43" a="1"/>
  <c r="O11" i="30" a="1"/>
  <c r="P5" i="41" a="1"/>
  <c r="P10" i="19" a="1"/>
  <c r="O3" i="16" a="1"/>
  <c r="O10" i="26" a="1"/>
  <c r="P4" i="15" a="1"/>
  <c r="O3" i="31" a="1"/>
  <c r="Q4" i="42" a="1"/>
  <c r="P10" i="31" a="1"/>
  <c r="O4" i="11" a="1"/>
  <c r="O10" i="17" a="1"/>
  <c r="P4" i="27" a="1"/>
  <c r="P5" i="26" a="1"/>
  <c r="O3" i="18" a="1"/>
  <c r="O4" i="40" a="1"/>
  <c r="P8" i="33" a="1"/>
  <c r="P4" i="34" a="1"/>
  <c r="P4" i="29" a="1"/>
  <c r="Q9" i="31" a="1"/>
  <c r="O10" i="42" a="1"/>
  <c r="Q6" i="41" a="1"/>
  <c r="Q10" i="32" a="1"/>
  <c r="Q4" i="40" a="1"/>
  <c r="Q6" i="36" a="1"/>
  <c r="P8" i="41" a="1"/>
  <c r="P11" i="42" a="1"/>
  <c r="Q9" i="18" a="1"/>
  <c r="O11" i="26" a="1"/>
  <c r="Q9" i="26" a="1"/>
  <c r="P10" i="43" a="1"/>
  <c r="Q10" i="19" a="1"/>
  <c r="O8" i="42" a="1"/>
  <c r="O5" i="23" a="1"/>
  <c r="O8" i="21" a="1"/>
  <c r="P10" i="22" a="1"/>
  <c r="P8" i="40" a="1"/>
  <c r="P3" i="27" a="1"/>
  <c r="Q7" i="41" a="1"/>
  <c r="P10" i="15" a="1"/>
  <c r="Q9" i="43" a="1"/>
  <c r="P9" i="14" a="1"/>
  <c r="Q4" i="17" a="1"/>
  <c r="P4" i="42" a="1"/>
  <c r="O4" i="30" a="1"/>
  <c r="Q3" i="36" a="1"/>
  <c r="O10" i="43" a="1"/>
  <c r="P8" i="22" a="1"/>
  <c r="P9" i="15" a="1"/>
  <c r="P9" i="40" a="1"/>
  <c r="O11" i="18" a="1"/>
  <c r="O8" i="40" a="1"/>
  <c r="O11" i="36" a="1"/>
  <c r="P9" i="23" a="1"/>
  <c r="Q7" i="26" a="1"/>
  <c r="P5" i="35" a="1"/>
  <c r="P3" i="32" a="1"/>
  <c r="P11" i="31" a="1"/>
  <c r="P4" i="39" a="1"/>
  <c r="P8" i="35" a="1"/>
  <c r="P3" i="20" a="1"/>
  <c r="Q9" i="35" a="1"/>
  <c r="Q10" i="29" a="1"/>
  <c r="P4" i="11" a="1"/>
  <c r="Q7" i="42" a="1"/>
  <c r="P10" i="23" a="1"/>
  <c r="Q6" i="11" a="1"/>
  <c r="P8" i="28" a="1"/>
  <c r="O8" i="36" a="1"/>
  <c r="O8" i="22" a="1"/>
  <c r="P3" i="37" a="1"/>
  <c r="O3" i="29" a="1"/>
  <c r="O5" i="18" a="1"/>
  <c r="Q10" i="38" a="1"/>
  <c r="O2" i="27" a="1"/>
  <c r="Q2" i="19" a="1"/>
  <c r="O2" i="29" a="1"/>
  <c r="O4" i="14" a="1"/>
  <c r="Q7" i="16" a="1"/>
  <c r="Q2" i="11" a="1"/>
  <c r="Q6" i="35" a="1"/>
  <c r="O11" i="20" a="1"/>
  <c r="P5" i="11" a="1"/>
  <c r="Q2" i="34" a="1"/>
  <c r="O10" i="16" a="1"/>
  <c r="O10" i="39" a="1"/>
  <c r="P5" i="23" a="1"/>
  <c r="Q3" i="16" a="1"/>
  <c r="O5" i="27" a="1"/>
  <c r="O8" i="38" a="1"/>
  <c r="O4" i="19" a="1"/>
  <c r="Q10" i="24" a="1"/>
  <c r="Q3" i="18" a="1"/>
  <c r="Q3" i="20" a="1"/>
  <c r="O4" i="31" a="1"/>
  <c r="P11" i="32" a="1"/>
  <c r="P11" i="27" a="1"/>
  <c r="O9" i="20" a="1"/>
  <c r="P9" i="34" a="1"/>
  <c r="O8" i="31" a="1"/>
  <c r="Q10" i="15" a="1"/>
  <c r="O2" i="18" a="1"/>
  <c r="O9" i="31" a="1"/>
  <c r="O5" i="31" a="1"/>
  <c r="O11" i="16" a="1"/>
  <c r="P5" i="16" a="1"/>
  <c r="Q10" i="40" a="1"/>
  <c r="P8" i="16" a="1"/>
  <c r="O2" i="15" a="1"/>
  <c r="P3" i="42" a="1"/>
  <c r="Q9" i="39" a="1"/>
  <c r="Q6" i="15" a="1"/>
  <c r="O10" i="35" a="1"/>
  <c r="P10" i="27" a="1"/>
  <c r="O10" i="24" a="1"/>
  <c r="P10" i="18" a="1"/>
  <c r="Q7" i="11" a="1"/>
  <c r="O9" i="41" a="1"/>
  <c r="Q9" i="11" a="1"/>
  <c r="Q4" i="43" a="1"/>
  <c r="P10" i="39" a="1"/>
  <c r="O10" i="29" a="1"/>
  <c r="O9" i="23" a="1"/>
  <c r="Q4" i="20" a="1"/>
  <c r="Q6" i="19" l="1"/>
  <c r="Q6" i="35"/>
  <c r="F5" i="35" s="1"/>
  <c r="Q6" i="26"/>
  <c r="Q6" i="43"/>
  <c r="Q6" i="34"/>
  <c r="F5" i="34" s="1"/>
  <c r="Q6" i="15"/>
  <c r="F5" i="15" s="1"/>
  <c r="Q6" i="42"/>
  <c r="Q6" i="33"/>
  <c r="Q6" i="14"/>
  <c r="F5" i="14" s="1"/>
  <c r="Q6" i="41"/>
  <c r="Q6" i="18"/>
  <c r="Q6" i="24"/>
  <c r="Q6" i="40"/>
  <c r="Q6" i="32"/>
  <c r="Q6" i="23"/>
  <c r="Q6" i="16"/>
  <c r="F5" i="16" s="1"/>
  <c r="Q6" i="31"/>
  <c r="Q6" i="22"/>
  <c r="Q6" i="39"/>
  <c r="F5" i="39" s="1"/>
  <c r="Q6" i="30"/>
  <c r="Q6" i="21"/>
  <c r="F5" i="21" s="1"/>
  <c r="Q6" i="38"/>
  <c r="Q6" i="29"/>
  <c r="Q6" i="11"/>
  <c r="Q6" i="37"/>
  <c r="Q6" i="28"/>
  <c r="Q6" i="17"/>
  <c r="Q6" i="36"/>
  <c r="F5" i="36" s="1"/>
  <c r="Q6" i="27"/>
  <c r="F5" i="27" s="1"/>
  <c r="Q6" i="20"/>
  <c r="F5" i="20" s="1"/>
  <c r="P10" i="42"/>
  <c r="O4" i="41"/>
  <c r="P10" i="40"/>
  <c r="O4" i="16"/>
  <c r="O10" i="16"/>
  <c r="O3" i="38"/>
  <c r="O10" i="38"/>
  <c r="O2" i="35"/>
  <c r="P9" i="34"/>
  <c r="Q3" i="38"/>
  <c r="P10" i="38"/>
  <c r="O8" i="37"/>
  <c r="Q10" i="35"/>
  <c r="P10" i="34"/>
  <c r="Q2" i="43"/>
  <c r="O9" i="43"/>
  <c r="Q2" i="42"/>
  <c r="Q10" i="42"/>
  <c r="P4" i="41"/>
  <c r="O9" i="41"/>
  <c r="Q2" i="40"/>
  <c r="Q10" i="40"/>
  <c r="Q4" i="16"/>
  <c r="P10" i="16"/>
  <c r="O3" i="20"/>
  <c r="O11" i="20"/>
  <c r="Q4" i="43"/>
  <c r="P9" i="43"/>
  <c r="O3" i="42"/>
  <c r="O11" i="42"/>
  <c r="Q4" i="41"/>
  <c r="P9" i="41"/>
  <c r="O3" i="40"/>
  <c r="O11" i="40"/>
  <c r="P5" i="16"/>
  <c r="O11" i="16"/>
  <c r="O4" i="38"/>
  <c r="O11" i="38"/>
  <c r="O9" i="37"/>
  <c r="P11" i="35"/>
  <c r="Q10" i="33"/>
  <c r="P3" i="32"/>
  <c r="P5" i="43"/>
  <c r="O10" i="43"/>
  <c r="Q3" i="42"/>
  <c r="P5" i="41"/>
  <c r="O10" i="41"/>
  <c r="Q3" i="40"/>
  <c r="Q4" i="38"/>
  <c r="O2" i="37"/>
  <c r="P9" i="37"/>
  <c r="O4" i="35"/>
  <c r="P11" i="33"/>
  <c r="O4" i="20"/>
  <c r="Q10" i="43"/>
  <c r="P4" i="42"/>
  <c r="P10" i="20"/>
  <c r="O4" i="43"/>
  <c r="Q2" i="20"/>
  <c r="Q10" i="20"/>
  <c r="P4" i="43"/>
  <c r="Q3" i="20"/>
  <c r="P8" i="20"/>
  <c r="O2" i="43"/>
  <c r="P8" i="42"/>
  <c r="O2" i="41"/>
  <c r="P8" i="40"/>
  <c r="O2" i="16"/>
  <c r="P9" i="39"/>
  <c r="P5" i="38"/>
  <c r="P4" i="35"/>
  <c r="O3" i="33"/>
  <c r="P10" i="41"/>
  <c r="O4" i="40"/>
  <c r="O3" i="39"/>
  <c r="O10" i="39"/>
  <c r="P8" i="36"/>
  <c r="O5" i="35"/>
  <c r="P4" i="34"/>
  <c r="P3" i="33"/>
  <c r="O4" i="37"/>
  <c r="Q4" i="18"/>
  <c r="Q4" i="34"/>
  <c r="Q4" i="20"/>
  <c r="P9" i="20"/>
  <c r="O3" i="43"/>
  <c r="O11" i="43"/>
  <c r="Q4" i="42"/>
  <c r="P9" i="42"/>
  <c r="O3" i="41"/>
  <c r="O11" i="41"/>
  <c r="Q4" i="40"/>
  <c r="P9" i="40"/>
  <c r="O3" i="16"/>
  <c r="P8" i="16"/>
  <c r="O4" i="39"/>
  <c r="O11" i="39"/>
  <c r="P4" i="37"/>
  <c r="O9" i="20"/>
  <c r="Q10" i="41"/>
  <c r="P4" i="40"/>
  <c r="O9" i="40"/>
  <c r="Q2" i="16"/>
  <c r="Q3" i="39"/>
  <c r="P10" i="39"/>
  <c r="P5" i="20"/>
  <c r="O10" i="20"/>
  <c r="Q3" i="43"/>
  <c r="P5" i="42"/>
  <c r="O10" i="42"/>
  <c r="Q3" i="41"/>
  <c r="P5" i="40"/>
  <c r="O10" i="40"/>
  <c r="Q3" i="16"/>
  <c r="Q4" i="39"/>
  <c r="O5" i="37"/>
  <c r="O3" i="36"/>
  <c r="P10" i="36"/>
  <c r="O8" i="35"/>
  <c r="Q7" i="34"/>
  <c r="O8" i="18"/>
  <c r="Q4" i="31"/>
  <c r="P10" i="43"/>
  <c r="O4" i="42"/>
  <c r="P4" i="20"/>
  <c r="O9" i="42"/>
  <c r="Q2" i="41"/>
  <c r="O2" i="20"/>
  <c r="P8" i="43"/>
  <c r="O2" i="42"/>
  <c r="P8" i="41"/>
  <c r="O2" i="40"/>
  <c r="P9" i="16"/>
  <c r="P5" i="39"/>
  <c r="P9" i="38"/>
  <c r="P3" i="36"/>
  <c r="O11" i="36"/>
  <c r="O8" i="34"/>
  <c r="P9" i="18"/>
  <c r="O8" i="31"/>
  <c r="Q10" i="32"/>
  <c r="P9" i="31"/>
  <c r="Q7" i="20"/>
  <c r="O8" i="20"/>
  <c r="O8" i="43"/>
  <c r="O8" i="42"/>
  <c r="O8" i="41"/>
  <c r="O8" i="40"/>
  <c r="O8" i="16"/>
  <c r="O8" i="39"/>
  <c r="O8" i="38"/>
  <c r="Q10" i="37"/>
  <c r="Q4" i="36"/>
  <c r="Q7" i="36"/>
  <c r="Q9" i="36"/>
  <c r="O9" i="35"/>
  <c r="O4" i="34"/>
  <c r="O5" i="33"/>
  <c r="O9" i="33"/>
  <c r="O4" i="18"/>
  <c r="O5" i="32"/>
  <c r="O9" i="32"/>
  <c r="O4" i="31"/>
  <c r="O5" i="30"/>
  <c r="O9" i="30"/>
  <c r="P10" i="29"/>
  <c r="O4" i="28"/>
  <c r="Q2" i="27"/>
  <c r="Q7" i="27"/>
  <c r="P4" i="18"/>
  <c r="Q7" i="18"/>
  <c r="P10" i="18"/>
  <c r="O3" i="32"/>
  <c r="P11" i="32"/>
  <c r="P4" i="31"/>
  <c r="Q7" i="31"/>
  <c r="P10" i="31"/>
  <c r="O3" i="30"/>
  <c r="Q2" i="29"/>
  <c r="Q10" i="29"/>
  <c r="P4" i="28"/>
  <c r="O9" i="28"/>
  <c r="O4" i="26"/>
  <c r="O2" i="39"/>
  <c r="P8" i="39"/>
  <c r="O2" i="38"/>
  <c r="P8" i="38"/>
  <c r="O11" i="37"/>
  <c r="O5" i="36"/>
  <c r="O8" i="36"/>
  <c r="P9" i="35"/>
  <c r="Q10" i="34"/>
  <c r="P9" i="33"/>
  <c r="Q10" i="18"/>
  <c r="P9" i="32"/>
  <c r="Q10" i="31"/>
  <c r="P9" i="30"/>
  <c r="O9" i="27"/>
  <c r="P4" i="26"/>
  <c r="P3" i="30"/>
  <c r="O3" i="29"/>
  <c r="O11" i="29"/>
  <c r="Q4" i="28"/>
  <c r="P9" i="28"/>
  <c r="O4" i="27"/>
  <c r="Q2" i="37"/>
  <c r="P11" i="37"/>
  <c r="Q2" i="35"/>
  <c r="B16" i="35" s="1"/>
  <c r="B17" i="35" s="1"/>
  <c r="B12" i="35" s="1"/>
  <c r="B18" i="35" s="1"/>
  <c r="Q9" i="35"/>
  <c r="Q2" i="34"/>
  <c r="B16" i="34" s="1"/>
  <c r="B17" i="34" s="1"/>
  <c r="B12" i="34" s="1"/>
  <c r="B18" i="34" s="1"/>
  <c r="O11" i="34"/>
  <c r="Q9" i="33"/>
  <c r="Q2" i="18"/>
  <c r="O11" i="18"/>
  <c r="Q9" i="32"/>
  <c r="Q2" i="31"/>
  <c r="O11" i="31"/>
  <c r="Q7" i="29"/>
  <c r="P4" i="27"/>
  <c r="O9" i="38"/>
  <c r="Q10" i="36"/>
  <c r="Q4" i="35"/>
  <c r="Q7" i="35"/>
  <c r="O5" i="34"/>
  <c r="O9" i="34"/>
  <c r="O4" i="33"/>
  <c r="O5" i="18"/>
  <c r="O9" i="18"/>
  <c r="O4" i="32"/>
  <c r="O5" i="31"/>
  <c r="O9" i="31"/>
  <c r="O4" i="30"/>
  <c r="P10" i="30"/>
  <c r="O4" i="29"/>
  <c r="P10" i="28"/>
  <c r="P10" i="27"/>
  <c r="P4" i="16"/>
  <c r="O9" i="16"/>
  <c r="Q10" i="16"/>
  <c r="Q2" i="39"/>
  <c r="P4" i="39"/>
  <c r="O9" i="39"/>
  <c r="Q10" i="39"/>
  <c r="Q2" i="38"/>
  <c r="P4" i="38"/>
  <c r="Q10" i="38"/>
  <c r="Q4" i="37"/>
  <c r="Q7" i="37"/>
  <c r="Q9" i="37"/>
  <c r="O3" i="37"/>
  <c r="O2" i="36"/>
  <c r="O4" i="36"/>
  <c r="O9" i="36"/>
  <c r="O3" i="35"/>
  <c r="P10" i="35"/>
  <c r="O3" i="34"/>
  <c r="P11" i="34"/>
  <c r="P4" i="33"/>
  <c r="Q7" i="33"/>
  <c r="P10" i="33"/>
  <c r="O3" i="18"/>
  <c r="P11" i="18"/>
  <c r="P4" i="32"/>
  <c r="Q7" i="32"/>
  <c r="P10" i="32"/>
  <c r="O3" i="31"/>
  <c r="P11" i="31"/>
  <c r="P4" i="30"/>
  <c r="Q7" i="30"/>
  <c r="Q10" i="30"/>
  <c r="P4" i="29"/>
  <c r="O9" i="29"/>
  <c r="Q2" i="28"/>
  <c r="Q10" i="28"/>
  <c r="Q10" i="27"/>
  <c r="Q7" i="43"/>
  <c r="Q7" i="42"/>
  <c r="Q7" i="41"/>
  <c r="Q7" i="40"/>
  <c r="Q7" i="16"/>
  <c r="Q7" i="39"/>
  <c r="Q7" i="38"/>
  <c r="P3" i="37"/>
  <c r="P8" i="37"/>
  <c r="P10" i="37"/>
  <c r="P4" i="36"/>
  <c r="P9" i="36"/>
  <c r="P3" i="35"/>
  <c r="P3" i="34"/>
  <c r="Q4" i="33"/>
  <c r="O8" i="33"/>
  <c r="P3" i="18"/>
  <c r="Q4" i="32"/>
  <c r="O8" i="32"/>
  <c r="P3" i="31"/>
  <c r="Q4" i="30"/>
  <c r="O8" i="30"/>
  <c r="O11" i="30"/>
  <c r="Q4" i="29"/>
  <c r="P9" i="29"/>
  <c r="O3" i="28"/>
  <c r="O9" i="26"/>
  <c r="P3" i="20"/>
  <c r="O5" i="20"/>
  <c r="Q9" i="20"/>
  <c r="P11" i="20"/>
  <c r="P3" i="43"/>
  <c r="O5" i="43"/>
  <c r="Q9" i="43"/>
  <c r="P11" i="43"/>
  <c r="P3" i="42"/>
  <c r="O5" i="42"/>
  <c r="Q9" i="42"/>
  <c r="P11" i="42"/>
  <c r="P3" i="41"/>
  <c r="O5" i="41"/>
  <c r="Q9" i="41"/>
  <c r="P11" i="41"/>
  <c r="P3" i="40"/>
  <c r="O5" i="40"/>
  <c r="Q9" i="40"/>
  <c r="P11" i="40"/>
  <c r="P3" i="16"/>
  <c r="O5" i="16"/>
  <c r="Q9" i="16"/>
  <c r="P11" i="16"/>
  <c r="P3" i="39"/>
  <c r="O5" i="39"/>
  <c r="Q9" i="39"/>
  <c r="P11" i="39"/>
  <c r="P3" i="38"/>
  <c r="O5" i="38"/>
  <c r="Q9" i="38"/>
  <c r="P11" i="38"/>
  <c r="Q2" i="36"/>
  <c r="P11" i="36"/>
  <c r="O11" i="35"/>
  <c r="Q9" i="34"/>
  <c r="Q2" i="33"/>
  <c r="O11" i="33"/>
  <c r="Q9" i="18"/>
  <c r="Q2" i="32"/>
  <c r="O11" i="32"/>
  <c r="Q9" i="31"/>
  <c r="Q2" i="30"/>
  <c r="Q7" i="28"/>
  <c r="Q2" i="26"/>
  <c r="P8" i="35"/>
  <c r="O2" i="34"/>
  <c r="P8" i="34"/>
  <c r="O2" i="33"/>
  <c r="P8" i="33"/>
  <c r="O2" i="18"/>
  <c r="P8" i="18"/>
  <c r="O2" i="32"/>
  <c r="P8" i="32"/>
  <c r="O2" i="31"/>
  <c r="P8" i="31"/>
  <c r="O2" i="30"/>
  <c r="P8" i="30"/>
  <c r="O2" i="29"/>
  <c r="P8" i="29"/>
  <c r="O2" i="28"/>
  <c r="P8" i="28"/>
  <c r="O2" i="27"/>
  <c r="P8" i="27"/>
  <c r="O2" i="26"/>
  <c r="P8" i="26"/>
  <c r="O2" i="15"/>
  <c r="P8" i="15"/>
  <c r="O2" i="14"/>
  <c r="P8" i="14"/>
  <c r="O2" i="24"/>
  <c r="P8" i="24"/>
  <c r="O2" i="23"/>
  <c r="P8" i="23"/>
  <c r="O2" i="22"/>
  <c r="P8" i="22"/>
  <c r="O2" i="21"/>
  <c r="P8" i="21"/>
  <c r="O2" i="11"/>
  <c r="P8" i="11"/>
  <c r="O2" i="17"/>
  <c r="P8" i="17"/>
  <c r="P10" i="26"/>
  <c r="O4" i="15"/>
  <c r="P10" i="15"/>
  <c r="O4" i="14"/>
  <c r="P10" i="14"/>
  <c r="O4" i="24"/>
  <c r="P10" i="24"/>
  <c r="O4" i="23"/>
  <c r="P10" i="23"/>
  <c r="O4" i="22"/>
  <c r="P10" i="22"/>
  <c r="O4" i="21"/>
  <c r="P10" i="21"/>
  <c r="O4" i="11"/>
  <c r="P10" i="11"/>
  <c r="O4" i="17"/>
  <c r="P10" i="17"/>
  <c r="Q10" i="26"/>
  <c r="Q2" i="15"/>
  <c r="B16" i="15" s="1"/>
  <c r="B17" i="15" s="1"/>
  <c r="B12" i="15" s="1"/>
  <c r="B18" i="15" s="1"/>
  <c r="P4" i="15"/>
  <c r="O9" i="15"/>
  <c r="Q10" i="15"/>
  <c r="Q2" i="14"/>
  <c r="P4" i="14"/>
  <c r="O9" i="14"/>
  <c r="Q10" i="14"/>
  <c r="Q2" i="24"/>
  <c r="P4" i="24"/>
  <c r="O9" i="24"/>
  <c r="Q10" i="24"/>
  <c r="Q2" i="23"/>
  <c r="P4" i="23"/>
  <c r="O9" i="23"/>
  <c r="Q10" i="23"/>
  <c r="Q2" i="22"/>
  <c r="P4" i="22"/>
  <c r="O9" i="22"/>
  <c r="Q10" i="22"/>
  <c r="Q2" i="21"/>
  <c r="P4" i="21"/>
  <c r="O9" i="21"/>
  <c r="Q10" i="21"/>
  <c r="Q2" i="11"/>
  <c r="P4" i="11"/>
  <c r="O9" i="11"/>
  <c r="Q10" i="11"/>
  <c r="Q2" i="17"/>
  <c r="P4" i="17"/>
  <c r="O9" i="17"/>
  <c r="Q10" i="17"/>
  <c r="O11" i="28"/>
  <c r="O3" i="27"/>
  <c r="Q4" i="27"/>
  <c r="P9" i="27"/>
  <c r="O11" i="27"/>
  <c r="O3" i="26"/>
  <c r="Q4" i="26"/>
  <c r="P9" i="26"/>
  <c r="O11" i="26"/>
  <c r="O3" i="15"/>
  <c r="Q4" i="15"/>
  <c r="P9" i="15"/>
  <c r="O11" i="15"/>
  <c r="O3" i="14"/>
  <c r="Q4" i="14"/>
  <c r="P9" i="14"/>
  <c r="O11" i="14"/>
  <c r="O3" i="24"/>
  <c r="Q4" i="24"/>
  <c r="P9" i="24"/>
  <c r="O11" i="24"/>
  <c r="O3" i="23"/>
  <c r="Q4" i="23"/>
  <c r="P9" i="23"/>
  <c r="O11" i="23"/>
  <c r="O3" i="22"/>
  <c r="Q4" i="22"/>
  <c r="P9" i="22"/>
  <c r="O11" i="22"/>
  <c r="O3" i="21"/>
  <c r="Q4" i="21"/>
  <c r="P9" i="21"/>
  <c r="O11" i="21"/>
  <c r="O3" i="11"/>
  <c r="Q4" i="11"/>
  <c r="P9" i="11"/>
  <c r="O11" i="11"/>
  <c r="O3" i="17"/>
  <c r="Q4" i="17"/>
  <c r="P9" i="17"/>
  <c r="O11" i="17"/>
  <c r="Q7" i="26"/>
  <c r="Q7" i="15"/>
  <c r="Q7" i="14"/>
  <c r="Q7" i="24"/>
  <c r="Q7" i="23"/>
  <c r="Q7" i="22"/>
  <c r="Q7" i="21"/>
  <c r="Q7" i="11"/>
  <c r="Q7" i="17"/>
  <c r="Q9" i="30"/>
  <c r="P11" i="30"/>
  <c r="P3" i="29"/>
  <c r="O5" i="29"/>
  <c r="Q9" i="29"/>
  <c r="P11" i="29"/>
  <c r="P3" i="28"/>
  <c r="O5" i="28"/>
  <c r="Q9" i="28"/>
  <c r="P11" i="28"/>
  <c r="P3" i="27"/>
  <c r="O5" i="27"/>
  <c r="Q9" i="27"/>
  <c r="P11" i="27"/>
  <c r="P3" i="26"/>
  <c r="O5" i="26"/>
  <c r="Q9" i="26"/>
  <c r="P11" i="26"/>
  <c r="P3" i="15"/>
  <c r="O5" i="15"/>
  <c r="Q9" i="15"/>
  <c r="P11" i="15"/>
  <c r="P3" i="14"/>
  <c r="O5" i="14"/>
  <c r="Q9" i="14"/>
  <c r="P11" i="14"/>
  <c r="P3" i="24"/>
  <c r="O5" i="24"/>
  <c r="Q9" i="24"/>
  <c r="P11" i="24"/>
  <c r="P3" i="23"/>
  <c r="O5" i="23"/>
  <c r="Q9" i="23"/>
  <c r="P11" i="23"/>
  <c r="P3" i="22"/>
  <c r="O5" i="22"/>
  <c r="Q9" i="22"/>
  <c r="P11" i="22"/>
  <c r="P3" i="21"/>
  <c r="O5" i="21"/>
  <c r="Q9" i="21"/>
  <c r="P11" i="21"/>
  <c r="P3" i="11"/>
  <c r="O5" i="11"/>
  <c r="Q9" i="11"/>
  <c r="P11" i="11"/>
  <c r="P3" i="17"/>
  <c r="O5" i="17"/>
  <c r="Q9" i="17"/>
  <c r="P11" i="17"/>
  <c r="O8" i="29"/>
  <c r="O8" i="28"/>
  <c r="O8" i="27"/>
  <c r="O8" i="26"/>
  <c r="O8" i="15"/>
  <c r="O8" i="14"/>
  <c r="O8" i="24"/>
  <c r="O8" i="23"/>
  <c r="O8" i="22"/>
  <c r="O8" i="21"/>
  <c r="O8" i="11"/>
  <c r="O8" i="17"/>
  <c r="Q3" i="37"/>
  <c r="P5" i="37"/>
  <c r="O10" i="37"/>
  <c r="Q3" i="36"/>
  <c r="P5" i="36"/>
  <c r="O10" i="36"/>
  <c r="Q3" i="35"/>
  <c r="P5" i="35"/>
  <c r="O10" i="35"/>
  <c r="Q3" i="34"/>
  <c r="P5" i="34"/>
  <c r="O10" i="34"/>
  <c r="Q3" i="33"/>
  <c r="P5" i="33"/>
  <c r="O10" i="33"/>
  <c r="Q3" i="18"/>
  <c r="P5" i="18"/>
  <c r="O10" i="18"/>
  <c r="Q3" i="32"/>
  <c r="P5" i="32"/>
  <c r="O10" i="32"/>
  <c r="Q3" i="31"/>
  <c r="P5" i="31"/>
  <c r="O10" i="31"/>
  <c r="Q3" i="30"/>
  <c r="P5" i="30"/>
  <c r="O10" i="30"/>
  <c r="Q3" i="29"/>
  <c r="P5" i="29"/>
  <c r="O10" i="29"/>
  <c r="Q3" i="28"/>
  <c r="P5" i="28"/>
  <c r="O10" i="28"/>
  <c r="Q3" i="27"/>
  <c r="P5" i="27"/>
  <c r="O10" i="27"/>
  <c r="Q3" i="26"/>
  <c r="P5" i="26"/>
  <c r="O10" i="26"/>
  <c r="Q3" i="15"/>
  <c r="P5" i="15"/>
  <c r="O10" i="15"/>
  <c r="Q3" i="14"/>
  <c r="P5" i="14"/>
  <c r="O10" i="14"/>
  <c r="Q3" i="24"/>
  <c r="P5" i="24"/>
  <c r="O10" i="24"/>
  <c r="Q3" i="23"/>
  <c r="P5" i="23"/>
  <c r="O10" i="23"/>
  <c r="Q3" i="22"/>
  <c r="P5" i="22"/>
  <c r="O10" i="22"/>
  <c r="Q3" i="21"/>
  <c r="P5" i="21"/>
  <c r="O10" i="21"/>
  <c r="Q3" i="11"/>
  <c r="P5" i="11"/>
  <c r="O10" i="11"/>
  <c r="Q3" i="17"/>
  <c r="P5" i="17"/>
  <c r="O10" i="17"/>
  <c r="P11" i="19"/>
  <c r="O11" i="19"/>
  <c r="P10" i="19"/>
  <c r="O10" i="19"/>
  <c r="P9" i="19"/>
  <c r="O9" i="19"/>
  <c r="Q10" i="19"/>
  <c r="P8" i="19"/>
  <c r="O8" i="19"/>
  <c r="P5" i="19"/>
  <c r="O5" i="19"/>
  <c r="P4" i="19"/>
  <c r="O4" i="19"/>
  <c r="P3" i="19"/>
  <c r="O3" i="19"/>
  <c r="O2" i="19"/>
  <c r="Q9" i="19"/>
  <c r="Q7" i="19"/>
  <c r="Q4" i="19"/>
  <c r="Q3" i="19"/>
  <c r="Q2" i="19"/>
  <c r="F3" i="16" l="1"/>
  <c r="G3" i="16" s="1"/>
  <c r="G4" i="16"/>
  <c r="G4" i="41"/>
  <c r="G4" i="39"/>
  <c r="F3" i="39"/>
  <c r="G3" i="39" s="1"/>
  <c r="G4" i="18"/>
  <c r="F5" i="18"/>
  <c r="F3" i="18" s="1"/>
  <c r="G3" i="18" s="1"/>
  <c r="H7" i="34"/>
  <c r="K9" i="34"/>
  <c r="C2" i="34"/>
  <c r="C17" i="34" s="1"/>
  <c r="C12" i="34" s="1"/>
  <c r="C18" i="34" s="1"/>
  <c r="F3" i="34"/>
  <c r="H6" i="34"/>
  <c r="G4" i="34"/>
  <c r="D2" i="34"/>
  <c r="D17" i="34" s="1"/>
  <c r="D12" i="34" s="1"/>
  <c r="D18" i="34" s="1"/>
  <c r="K10" i="34"/>
  <c r="F3" i="20"/>
  <c r="G3" i="20" s="1"/>
  <c r="G4" i="20"/>
  <c r="H7" i="15"/>
  <c r="C2" i="15"/>
  <c r="C17" i="15" s="1"/>
  <c r="C12" i="15" s="1"/>
  <c r="C18" i="15" s="1"/>
  <c r="K10" i="15"/>
  <c r="F3" i="15"/>
  <c r="F17" i="15" s="1"/>
  <c r="F12" i="15" s="1"/>
  <c r="F18" i="15" s="1"/>
  <c r="H6" i="15"/>
  <c r="K9" i="15"/>
  <c r="G4" i="15"/>
  <c r="D2" i="15"/>
  <c r="D17" i="15" s="1"/>
  <c r="D12" i="15" s="1"/>
  <c r="D18" i="15" s="1"/>
  <c r="K9" i="35"/>
  <c r="C2" i="35"/>
  <c r="C17" i="35" s="1"/>
  <c r="C12" i="35" s="1"/>
  <c r="C18" i="35" s="1"/>
  <c r="H7" i="35"/>
  <c r="K10" i="35"/>
  <c r="D2" i="35"/>
  <c r="D17" i="35" s="1"/>
  <c r="D12" i="35" s="1"/>
  <c r="D18" i="35" s="1"/>
  <c r="G4" i="35"/>
  <c r="F3" i="35"/>
  <c r="F17" i="35" s="1"/>
  <c r="F12" i="35" s="1"/>
  <c r="F18" i="35" s="1"/>
  <c r="H6" i="35"/>
  <c r="F5" i="11"/>
  <c r="F5" i="26"/>
  <c r="F5" i="37"/>
  <c r="F5" i="29"/>
  <c r="F5" i="40"/>
  <c r="F5" i="19"/>
  <c r="F5" i="17"/>
  <c r="F5" i="28"/>
  <c r="F5" i="41"/>
  <c r="F5" i="42"/>
  <c r="F5" i="30"/>
  <c r="F5" i="43"/>
  <c r="F5" i="22"/>
  <c r="F5" i="31"/>
  <c r="F5" i="23"/>
  <c r="F5" i="32"/>
  <c r="F5" i="24"/>
  <c r="F5" i="33"/>
  <c r="F5" i="38"/>
  <c r="Q8" i="17"/>
  <c r="Q8" i="23"/>
  <c r="Q8" i="32"/>
  <c r="Q8" i="15"/>
  <c r="Q8" i="18"/>
  <c r="Q8" i="14"/>
  <c r="Q8" i="36"/>
  <c r="Q8" i="39"/>
  <c r="Q8" i="34"/>
  <c r="Q8" i="26"/>
  <c r="Q8" i="16"/>
  <c r="Q8" i="37"/>
  <c r="Q8" i="27"/>
  <c r="Q8" i="40"/>
  <c r="Q8" i="41"/>
  <c r="Q8" i="11"/>
  <c r="Q8" i="29"/>
  <c r="I18" i="29" s="1"/>
  <c r="J18" i="29" s="1"/>
  <c r="Q8" i="42"/>
  <c r="Q8" i="21"/>
  <c r="Q8" i="30"/>
  <c r="Q8" i="43"/>
  <c r="Q8" i="28"/>
  <c r="Q8" i="22"/>
  <c r="Q8" i="31"/>
  <c r="Q8" i="20"/>
  <c r="Q8" i="35"/>
  <c r="Q8" i="24"/>
  <c r="Q8" i="33"/>
  <c r="Q8" i="38"/>
  <c r="G5" i="16" l="1"/>
  <c r="G5" i="39"/>
  <c r="J8" i="34"/>
  <c r="J17" i="34" s="1"/>
  <c r="J13" i="34" s="1"/>
  <c r="I8" i="34"/>
  <c r="I17" i="34" s="1"/>
  <c r="I13" i="34" s="1"/>
  <c r="G5" i="18"/>
  <c r="K17" i="34"/>
  <c r="F17" i="34"/>
  <c r="F12" i="34" s="1"/>
  <c r="F18" i="34" s="1"/>
  <c r="G3" i="34"/>
  <c r="H17" i="34"/>
  <c r="H12" i="34" s="1"/>
  <c r="H18" i="34" s="1"/>
  <c r="J8" i="35"/>
  <c r="J17" i="35" s="1"/>
  <c r="J13" i="35" s="1"/>
  <c r="I8" i="35"/>
  <c r="I17" i="35" s="1"/>
  <c r="I13" i="35" s="1"/>
  <c r="J8" i="15"/>
  <c r="J17" i="15" s="1"/>
  <c r="J13" i="15" s="1"/>
  <c r="I8" i="15"/>
  <c r="I17" i="15" s="1"/>
  <c r="I13" i="15" s="1"/>
  <c r="G5" i="20"/>
  <c r="H17" i="15"/>
  <c r="H12" i="15" s="1"/>
  <c r="H18" i="15" s="1"/>
  <c r="K17" i="15"/>
  <c r="G3" i="15"/>
  <c r="G5" i="15" s="1"/>
  <c r="G17" i="15" s="1"/>
  <c r="G12" i="15" s="1"/>
  <c r="G18" i="15" s="1"/>
  <c r="H17" i="35"/>
  <c r="H12" i="35" s="1"/>
  <c r="H18" i="35" s="1"/>
  <c r="G3" i="35"/>
  <c r="K17" i="35"/>
  <c r="I18" i="37"/>
  <c r="I18" i="14"/>
  <c r="J18" i="14" s="1"/>
  <c r="L2" i="35"/>
  <c r="P2" i="35" s="1"/>
  <c r="G5" i="34" l="1"/>
  <c r="G17" i="34" s="1"/>
  <c r="G12" i="34" s="1"/>
  <c r="G18" i="34" s="1"/>
  <c r="G5" i="35"/>
  <c r="G17" i="35" s="1"/>
  <c r="G12" i="35" s="1"/>
  <c r="G18" i="35" s="1"/>
  <c r="N2" i="35"/>
  <c r="R2" i="35" s="1"/>
  <c r="L6" i="35" l="1"/>
  <c r="N6" i="35" s="1"/>
  <c r="R6" i="35" l="1"/>
  <c r="L7" i="35" l="1"/>
  <c r="L3" i="35" l="1"/>
  <c r="N7" i="35"/>
  <c r="R7" i="35" s="1"/>
  <c r="N3" i="35" l="1"/>
  <c r="R3" i="35" s="1"/>
  <c r="L9" i="35" l="1"/>
  <c r="N9" i="35" s="1"/>
  <c r="R9" i="35" l="1"/>
  <c r="L10" i="35" l="1"/>
  <c r="N10" i="35" s="1"/>
  <c r="R10" i="35" s="1"/>
  <c r="Q11" i="35"/>
  <c r="K13" i="35" s="1"/>
  <c r="L16" i="35"/>
  <c r="R16" i="35" s="1"/>
  <c r="K18" i="35" l="1"/>
  <c r="E14" i="35"/>
  <c r="Q16" i="35"/>
  <c r="M11" i="35"/>
  <c r="R11" i="35" l="1"/>
  <c r="L8" i="35"/>
  <c r="N8" i="35" s="1"/>
  <c r="R8" i="35" s="1"/>
  <c r="L13" i="35"/>
  <c r="L14" i="35" l="1"/>
  <c r="R14" i="35" l="1"/>
  <c r="Q14" i="35"/>
  <c r="L5" i="35"/>
  <c r="Q5" i="35" l="1"/>
  <c r="E17" i="35" s="1"/>
  <c r="L4" i="35"/>
  <c r="R5" i="35"/>
  <c r="E15" i="35" l="1"/>
  <c r="E12" i="35"/>
  <c r="E18" i="35" s="1"/>
  <c r="L17" i="35"/>
  <c r="N4" i="35"/>
  <c r="R4" i="35" s="1"/>
  <c r="M13" i="35" l="1"/>
  <c r="L15" i="35"/>
  <c r="L12" i="35"/>
  <c r="Q17" i="35"/>
  <c r="R17" i="35"/>
  <c r="Q12" i="35" l="1"/>
  <c r="R12" i="35"/>
  <c r="R15" i="35"/>
  <c r="Q15" i="35"/>
  <c r="Q13" i="35"/>
  <c r="R13" i="35"/>
  <c r="C2" i="20"/>
  <c r="D2" i="20" l="1"/>
  <c r="L2" i="20" s="1"/>
  <c r="P2" i="20" s="1"/>
  <c r="H6" i="20" l="1"/>
  <c r="L6" i="20" s="1"/>
  <c r="N6" i="20" s="1"/>
  <c r="R6" i="20" l="1"/>
  <c r="C17" i="20" l="1"/>
  <c r="C12" i="20" s="1"/>
  <c r="C18" i="20" s="1"/>
  <c r="D17" i="20"/>
  <c r="F17" i="20"/>
  <c r="F12" i="20" s="1"/>
  <c r="F18" i="20" s="1"/>
  <c r="D12" i="20" l="1"/>
  <c r="D18" i="20" l="1"/>
  <c r="K10" i="20" l="1"/>
  <c r="L10" i="20" s="1"/>
  <c r="N10" i="20" l="1"/>
  <c r="R10" i="20" s="1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D2" i="41"/>
  <c r="K10" i="41"/>
  <c r="L10" i="41" s="1"/>
  <c r="N10" i="41" s="1"/>
  <c r="C2" i="41"/>
  <c r="C17" i="41" s="1"/>
  <c r="G4" i="40"/>
  <c r="L4" i="40" s="1"/>
  <c r="D2" i="40"/>
  <c r="K10" i="40"/>
  <c r="L10" i="40" s="1"/>
  <c r="N10" i="40" s="1"/>
  <c r="C2" i="40"/>
  <c r="C17" i="40" s="1"/>
  <c r="L4" i="39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N4" i="39" l="1"/>
  <c r="R4" i="39" s="1"/>
  <c r="D17" i="39"/>
  <c r="D12" i="39" s="1"/>
  <c r="D17" i="38"/>
  <c r="D12" i="38" s="1"/>
  <c r="D17" i="40"/>
  <c r="D17" i="41"/>
  <c r="D12" i="41" s="1"/>
  <c r="D17" i="36"/>
  <c r="D12" i="36" s="1"/>
  <c r="D17" i="42"/>
  <c r="D17" i="43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C12" i="41"/>
  <c r="C18" i="41" s="1"/>
  <c r="L2" i="41"/>
  <c r="P2" i="41" s="1"/>
  <c r="R10" i="4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D18" i="36" l="1"/>
  <c r="D18" i="38"/>
  <c r="D18" i="41"/>
  <c r="D18" i="39"/>
  <c r="D12" i="43"/>
  <c r="D12" i="42"/>
  <c r="D12" i="40"/>
  <c r="D18" i="42" l="1"/>
  <c r="D18" i="43"/>
  <c r="D18" i="40"/>
  <c r="L2" i="34" l="1"/>
  <c r="P2" i="34" s="1"/>
  <c r="L10" i="34" l="1"/>
  <c r="N10" i="34" s="1"/>
  <c r="R10" i="34" l="1"/>
  <c r="D2" i="33" l="1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9"/>
  <c r="L10" i="29" s="1"/>
  <c r="N10" i="29" s="1"/>
  <c r="D2" i="29"/>
  <c r="C2" i="29"/>
  <c r="C17" i="29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G4" i="24"/>
  <c r="L4" i="24" s="1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C2" i="19"/>
  <c r="C17" i="19" s="1"/>
  <c r="G4" i="19"/>
  <c r="L4" i="19" s="1"/>
  <c r="D2" i="19"/>
  <c r="D2" i="18"/>
  <c r="C2" i="18"/>
  <c r="C17" i="18" s="1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9"/>
  <c r="D12" i="19" s="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R10" i="29"/>
  <c r="C12" i="29"/>
  <c r="C18" i="29" s="1"/>
  <c r="L2" i="29"/>
  <c r="P2" i="29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N4" i="19"/>
  <c r="R4" i="19" s="1"/>
  <c r="C12" i="19"/>
  <c r="C18" i="19" s="1"/>
  <c r="L2" i="19"/>
  <c r="C12" i="18"/>
  <c r="C18" i="18" s="1"/>
  <c r="L2" i="18"/>
  <c r="P2" i="18" s="1"/>
  <c r="C12" i="17"/>
  <c r="C18" i="17" s="1"/>
  <c r="L2" i="17"/>
  <c r="P2" i="17" s="1"/>
  <c r="D18" i="21" l="1"/>
  <c r="D18" i="23"/>
  <c r="D18" i="17"/>
  <c r="D18" i="18"/>
  <c r="D18" i="19"/>
  <c r="D18" i="29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D12" i="11"/>
  <c r="N4" i="11"/>
  <c r="R4" i="11" s="1"/>
  <c r="L2" i="11"/>
  <c r="P2" i="11" s="1"/>
  <c r="D18" i="11" l="1"/>
  <c r="D18" i="16"/>
  <c r="C12" i="16"/>
  <c r="C18" i="16" s="1"/>
  <c r="K9" i="37" l="1"/>
  <c r="K9" i="20"/>
  <c r="Q11" i="20" s="1"/>
  <c r="H7" i="20"/>
  <c r="N2" i="20"/>
  <c r="R2" i="20" s="1"/>
  <c r="B16" i="20"/>
  <c r="Q11" i="34"/>
  <c r="K13" i="34" s="1"/>
  <c r="G4" i="29"/>
  <c r="L4" i="29" s="1"/>
  <c r="F3" i="17"/>
  <c r="F3" i="22"/>
  <c r="F3" i="11"/>
  <c r="B16" i="37"/>
  <c r="B17" i="37" s="1"/>
  <c r="B12" i="37" s="1"/>
  <c r="B18" i="37" s="1"/>
  <c r="B16" i="39"/>
  <c r="L16" i="39" s="1"/>
  <c r="H6" i="39"/>
  <c r="L6" i="39" s="1"/>
  <c r="N6" i="39" s="1"/>
  <c r="R6" i="39" s="1"/>
  <c r="F3" i="33"/>
  <c r="G3" i="33" s="1"/>
  <c r="H6" i="33"/>
  <c r="L6" i="33" s="1"/>
  <c r="N6" i="33" s="1"/>
  <c r="R6" i="33" s="1"/>
  <c r="L6" i="34"/>
  <c r="N6" i="34" s="1"/>
  <c r="R6" i="34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F3" i="24"/>
  <c r="G3" i="24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1"/>
  <c r="G3" i="41" s="1"/>
  <c r="G5" i="41" s="1"/>
  <c r="H6" i="41"/>
  <c r="L6" i="41" s="1"/>
  <c r="N6" i="41" s="1"/>
  <c r="R6" i="41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H7" i="41"/>
  <c r="K9" i="30"/>
  <c r="Q11" i="30" s="1"/>
  <c r="B16" i="38"/>
  <c r="H7" i="30"/>
  <c r="H7" i="28"/>
  <c r="K9" i="41"/>
  <c r="Q11" i="41" s="1"/>
  <c r="K9" i="39"/>
  <c r="Q11" i="39" s="1"/>
  <c r="K9" i="40"/>
  <c r="Q11" i="40" s="1"/>
  <c r="K9" i="26"/>
  <c r="Q11" i="26" s="1"/>
  <c r="K9" i="23"/>
  <c r="Q11" i="23" s="1"/>
  <c r="B16" i="41"/>
  <c r="K9" i="29"/>
  <c r="Q11" i="29" s="1"/>
  <c r="H7" i="36"/>
  <c r="B16" i="28"/>
  <c r="H7" i="42"/>
  <c r="H7" i="26"/>
  <c r="K9" i="33"/>
  <c r="Q11" i="33" s="1"/>
  <c r="H7" i="23"/>
  <c r="H7" i="38"/>
  <c r="K9" i="42"/>
  <c r="Q11" i="42" s="1"/>
  <c r="K9" i="38"/>
  <c r="Q11" i="38" s="1"/>
  <c r="K9" i="28"/>
  <c r="Q11" i="28" s="1"/>
  <c r="B16" i="30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8"/>
  <c r="B16" i="14"/>
  <c r="B16" i="16"/>
  <c r="B16" i="17"/>
  <c r="B16" i="19"/>
  <c r="L10" i="15"/>
  <c r="N10" i="15" s="1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K10" i="18"/>
  <c r="L10" i="18" s="1"/>
  <c r="N10" i="18" s="1"/>
  <c r="R10" i="18" s="1"/>
  <c r="K10" i="16"/>
  <c r="L10" i="16" s="1"/>
  <c r="N10" i="16" s="1"/>
  <c r="R10" i="16" s="1"/>
  <c r="K9" i="11"/>
  <c r="K10" i="19"/>
  <c r="L10" i="19" s="1"/>
  <c r="N10" i="19" s="1"/>
  <c r="R10" i="19" s="1"/>
  <c r="L7" i="15"/>
  <c r="N7" i="15" s="1"/>
  <c r="R7" i="15" s="1"/>
  <c r="H7" i="22"/>
  <c r="L7" i="22" s="1"/>
  <c r="N7" i="22" s="1"/>
  <c r="R7" i="22" s="1"/>
  <c r="H7" i="18"/>
  <c r="L7" i="18" s="1"/>
  <c r="N7" i="18" s="1"/>
  <c r="R7" i="18" s="1"/>
  <c r="H7" i="21"/>
  <c r="L7" i="21" s="1"/>
  <c r="N7" i="21" s="1"/>
  <c r="R7" i="21" s="1"/>
  <c r="H7" i="19"/>
  <c r="L7" i="19" s="1"/>
  <c r="N7" i="19" s="1"/>
  <c r="R7" i="19" s="1"/>
  <c r="H6" i="17"/>
  <c r="H6" i="16"/>
  <c r="K9" i="18"/>
  <c r="H6" i="19"/>
  <c r="K9" i="21"/>
  <c r="H6" i="18"/>
  <c r="P2" i="19"/>
  <c r="K9" i="19"/>
  <c r="H6" i="11"/>
  <c r="H6" i="21"/>
  <c r="K9" i="22"/>
  <c r="H6" i="22"/>
  <c r="K9" i="17"/>
  <c r="H7" i="11"/>
  <c r="L7" i="11" s="1"/>
  <c r="N7" i="11" s="1"/>
  <c r="R7" i="11" s="1"/>
  <c r="H7" i="16"/>
  <c r="H7" i="17"/>
  <c r="L2" i="15"/>
  <c r="P2" i="15" s="1"/>
  <c r="G4" i="14"/>
  <c r="L4" i="14" s="1"/>
  <c r="D2" i="14"/>
  <c r="D17" i="14" s="1"/>
  <c r="H6" i="14"/>
  <c r="K10" i="14"/>
  <c r="L10" i="14" s="1"/>
  <c r="K9" i="14"/>
  <c r="H7" i="14"/>
  <c r="L7" i="14" s="1"/>
  <c r="C2" i="14"/>
  <c r="K18" i="34" l="1"/>
  <c r="E14" i="34"/>
  <c r="F17" i="22"/>
  <c r="F12" i="22" s="1"/>
  <c r="F18" i="22" s="1"/>
  <c r="G3" i="22"/>
  <c r="F17" i="16"/>
  <c r="F12" i="16" s="1"/>
  <c r="F18" i="16" s="1"/>
  <c r="F17" i="11"/>
  <c r="F12" i="11" s="1"/>
  <c r="F18" i="11" s="1"/>
  <c r="G3" i="11"/>
  <c r="F17" i="17"/>
  <c r="F12" i="17" s="1"/>
  <c r="F18" i="17" s="1"/>
  <c r="G3" i="17"/>
  <c r="F17" i="18"/>
  <c r="F12" i="18" s="1"/>
  <c r="F18" i="18" s="1"/>
  <c r="F17" i="39"/>
  <c r="F12" i="39" s="1"/>
  <c r="F18" i="39" s="1"/>
  <c r="Q11" i="15"/>
  <c r="K13" i="15" s="1"/>
  <c r="Q11" i="11"/>
  <c r="Q11" i="17"/>
  <c r="Q11" i="18"/>
  <c r="Q11" i="22"/>
  <c r="Q11" i="16"/>
  <c r="Q11" i="21"/>
  <c r="Q11" i="14"/>
  <c r="Q11" i="37"/>
  <c r="L9" i="20"/>
  <c r="M11" i="20"/>
  <c r="K17" i="20"/>
  <c r="B17" i="20"/>
  <c r="L16" i="20"/>
  <c r="I8" i="20"/>
  <c r="J8" i="20"/>
  <c r="J17" i="20" s="1"/>
  <c r="J13" i="20" s="1"/>
  <c r="L7" i="20"/>
  <c r="H17" i="20"/>
  <c r="H12" i="20" s="1"/>
  <c r="H18" i="20" s="1"/>
  <c r="Q11" i="19"/>
  <c r="L9" i="34"/>
  <c r="N9" i="34" s="1"/>
  <c r="R9" i="34" s="1"/>
  <c r="N4" i="29"/>
  <c r="R4" i="29" s="1"/>
  <c r="M11" i="34"/>
  <c r="H6" i="29"/>
  <c r="L6" i="29" s="1"/>
  <c r="N6" i="29" s="1"/>
  <c r="R6" i="29" s="1"/>
  <c r="H7" i="29"/>
  <c r="L7" i="29" s="1"/>
  <c r="N7" i="29" s="1"/>
  <c r="R7" i="29" s="1"/>
  <c r="Q8" i="19"/>
  <c r="N2" i="33"/>
  <c r="R2" i="33" s="1"/>
  <c r="N2" i="28"/>
  <c r="R2" i="28" s="1"/>
  <c r="N2" i="40"/>
  <c r="R2" i="40" s="1"/>
  <c r="N2" i="39"/>
  <c r="R2" i="39" s="1"/>
  <c r="N2" i="31"/>
  <c r="R2" i="31" s="1"/>
  <c r="N2" i="34"/>
  <c r="R2" i="34" s="1"/>
  <c r="N2" i="26"/>
  <c r="R2" i="26" s="1"/>
  <c r="N2" i="38"/>
  <c r="R2" i="38" s="1"/>
  <c r="N2" i="27"/>
  <c r="R2" i="27" s="1"/>
  <c r="N2" i="42"/>
  <c r="N2" i="41"/>
  <c r="R2" i="41" s="1"/>
  <c r="N2" i="32"/>
  <c r="R2" i="32" s="1"/>
  <c r="N2" i="24"/>
  <c r="R2" i="24" s="1"/>
  <c r="N2" i="29"/>
  <c r="R2" i="29" s="1"/>
  <c r="N2" i="43"/>
  <c r="N2" i="30"/>
  <c r="R2" i="30" s="1"/>
  <c r="L16" i="37"/>
  <c r="R16" i="37" s="1"/>
  <c r="B17" i="39"/>
  <c r="B12" i="39" s="1"/>
  <c r="B18" i="39" s="1"/>
  <c r="B16" i="36"/>
  <c r="L16" i="36" s="1"/>
  <c r="F3" i="29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41"/>
  <c r="F12" i="41" s="1"/>
  <c r="F18" i="4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L7" i="34"/>
  <c r="L9" i="29"/>
  <c r="N9" i="29" s="1"/>
  <c r="R9" i="29" s="1"/>
  <c r="K17" i="29"/>
  <c r="L7" i="41"/>
  <c r="N7" i="41" s="1"/>
  <c r="R7" i="41" s="1"/>
  <c r="K17" i="24"/>
  <c r="L9" i="24"/>
  <c r="N9" i="24" s="1"/>
  <c r="R9" i="24" s="1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K17" i="41"/>
  <c r="L9" i="41"/>
  <c r="N9" i="41" s="1"/>
  <c r="R9" i="41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B17" i="41"/>
  <c r="B12" i="41" s="1"/>
  <c r="B18" i="41" s="1"/>
  <c r="L16" i="41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K17" i="19"/>
  <c r="K17" i="18"/>
  <c r="K17" i="14"/>
  <c r="K17" i="21"/>
  <c r="K17" i="17"/>
  <c r="L9" i="16"/>
  <c r="N9" i="16" s="1"/>
  <c r="R9" i="16" s="1"/>
  <c r="K17" i="16"/>
  <c r="L9" i="15"/>
  <c r="N9" i="15" s="1"/>
  <c r="R9" i="15" s="1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R10" i="15"/>
  <c r="N2" i="16"/>
  <c r="N2" i="11"/>
  <c r="R2" i="11" s="1"/>
  <c r="N2" i="17"/>
  <c r="R2" i="17" s="1"/>
  <c r="N2" i="21"/>
  <c r="R2" i="21" s="1"/>
  <c r="N2" i="18"/>
  <c r="R2" i="18" s="1"/>
  <c r="N2" i="19"/>
  <c r="R2" i="19" s="1"/>
  <c r="L6" i="15"/>
  <c r="N6" i="15" s="1"/>
  <c r="R6" i="15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9"/>
  <c r="N9" i="19" s="1"/>
  <c r="R9" i="19" s="1"/>
  <c r="L6" i="19"/>
  <c r="N6" i="19" s="1"/>
  <c r="R6" i="19" s="1"/>
  <c r="L9" i="17"/>
  <c r="N9" i="17" s="1"/>
  <c r="R9" i="17" s="1"/>
  <c r="L7" i="17"/>
  <c r="L7" i="16"/>
  <c r="N7" i="16" s="1"/>
  <c r="R7" i="16" s="1"/>
  <c r="D12" i="14"/>
  <c r="N10" i="14"/>
  <c r="R10" i="14" s="1"/>
  <c r="L6" i="14"/>
  <c r="N7" i="14"/>
  <c r="R7" i="14" s="1"/>
  <c r="F3" i="14"/>
  <c r="L9" i="14"/>
  <c r="N4" i="14"/>
  <c r="R4" i="14" s="1"/>
  <c r="K18" i="15" l="1"/>
  <c r="E14" i="15"/>
  <c r="F17" i="29"/>
  <c r="F12" i="29" s="1"/>
  <c r="F18" i="29" s="1"/>
  <c r="G3" i="29"/>
  <c r="L3" i="29" s="1"/>
  <c r="F17" i="21"/>
  <c r="F12" i="21" s="1"/>
  <c r="F18" i="21" s="1"/>
  <c r="G3" i="21"/>
  <c r="F17" i="14"/>
  <c r="F12" i="14" s="1"/>
  <c r="F18" i="14" s="1"/>
  <c r="G3" i="14"/>
  <c r="R11" i="34"/>
  <c r="R11" i="20"/>
  <c r="L3" i="34"/>
  <c r="L3" i="15"/>
  <c r="D18" i="37"/>
  <c r="D18" i="14"/>
  <c r="K13" i="20"/>
  <c r="K18" i="20" s="1"/>
  <c r="N9" i="20"/>
  <c r="R9" i="20" s="1"/>
  <c r="N7" i="20"/>
  <c r="R7" i="20" s="1"/>
  <c r="I17" i="20"/>
  <c r="I13" i="20" s="1"/>
  <c r="L8" i="20"/>
  <c r="N8" i="20" s="1"/>
  <c r="R8" i="20" s="1"/>
  <c r="Q16" i="20"/>
  <c r="R16" i="20"/>
  <c r="B12" i="20"/>
  <c r="B18" i="20" s="1"/>
  <c r="G5" i="23"/>
  <c r="L5" i="23" s="1"/>
  <c r="I18" i="11"/>
  <c r="J18" i="11" s="1"/>
  <c r="J8" i="11" s="1"/>
  <c r="J17" i="11" s="1"/>
  <c r="J13" i="11" s="1"/>
  <c r="J8" i="18"/>
  <c r="I18" i="31"/>
  <c r="J18" i="31" s="1"/>
  <c r="J8" i="31" s="1"/>
  <c r="J17" i="31" s="1"/>
  <c r="J13" i="31" s="1"/>
  <c r="R2" i="42"/>
  <c r="I18" i="17"/>
  <c r="I8" i="17" s="1"/>
  <c r="I17" i="17" s="1"/>
  <c r="J8" i="21"/>
  <c r="J17" i="21" s="1"/>
  <c r="J13" i="21" s="1"/>
  <c r="I18" i="33"/>
  <c r="I8" i="33" s="1"/>
  <c r="I8" i="16"/>
  <c r="I17" i="16" s="1"/>
  <c r="I13" i="16" s="1"/>
  <c r="I18" i="22"/>
  <c r="J18" i="22" s="1"/>
  <c r="J8" i="22" s="1"/>
  <c r="I18" i="26"/>
  <c r="I8" i="26" s="1"/>
  <c r="R2" i="43"/>
  <c r="H17" i="14"/>
  <c r="H12" i="14" s="1"/>
  <c r="H18" i="14" s="1"/>
  <c r="N4" i="37"/>
  <c r="R4" i="37" s="1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G5" i="11"/>
  <c r="G17" i="11" s="1"/>
  <c r="H17" i="17"/>
  <c r="H12" i="17" s="1"/>
  <c r="H18" i="17" s="1"/>
  <c r="J8" i="29"/>
  <c r="J17" i="29" s="1"/>
  <c r="J13" i="29" s="1"/>
  <c r="I18" i="39"/>
  <c r="I18" i="30"/>
  <c r="I18" i="38"/>
  <c r="I18" i="36"/>
  <c r="I18" i="28"/>
  <c r="I18" i="32"/>
  <c r="I18" i="24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G5" i="22"/>
  <c r="L5" i="22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H17" i="18"/>
  <c r="H12" i="18" s="1"/>
  <c r="H18" i="18" s="1"/>
  <c r="H17" i="32"/>
  <c r="H12" i="32" s="1"/>
  <c r="H18" i="32" s="1"/>
  <c r="H17" i="27"/>
  <c r="H12" i="27" s="1"/>
  <c r="H18" i="27" s="1"/>
  <c r="G5" i="24"/>
  <c r="L5" i="24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G5" i="30"/>
  <c r="L5" i="30" s="1"/>
  <c r="H17" i="38"/>
  <c r="H12" i="38" s="1"/>
  <c r="H18" i="38" s="1"/>
  <c r="K13" i="30"/>
  <c r="K18" i="30" s="1"/>
  <c r="G5" i="31"/>
  <c r="L5" i="31" s="1"/>
  <c r="H17" i="41"/>
  <c r="H12" i="41" s="1"/>
  <c r="H18" i="4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L3" i="42"/>
  <c r="H17" i="29"/>
  <c r="H12" i="29" s="1"/>
  <c r="H18" i="29" s="1"/>
  <c r="K13" i="29"/>
  <c r="K18" i="29" s="1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N7" i="34"/>
  <c r="R7" i="34" s="1"/>
  <c r="R16" i="29"/>
  <c r="Q16" i="29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41"/>
  <c r="Q16" i="41"/>
  <c r="R16" i="27"/>
  <c r="Q16" i="27"/>
  <c r="Q16" i="43"/>
  <c r="R16" i="43"/>
  <c r="K13" i="27"/>
  <c r="K18" i="27" s="1"/>
  <c r="K13" i="41"/>
  <c r="K18" i="41" s="1"/>
  <c r="N7" i="23"/>
  <c r="R7" i="23" s="1"/>
  <c r="K9" i="43"/>
  <c r="Q11" i="43" s="1"/>
  <c r="I18" i="43"/>
  <c r="J18" i="43" s="1"/>
  <c r="J8" i="43" s="1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R16" i="34"/>
  <c r="Q16" i="34"/>
  <c r="K13" i="37"/>
  <c r="K18" i="37" s="1"/>
  <c r="B16" i="23"/>
  <c r="J8" i="41"/>
  <c r="J17" i="41" s="1"/>
  <c r="J13" i="41" s="1"/>
  <c r="I8" i="41"/>
  <c r="R16" i="21"/>
  <c r="Q16" i="21"/>
  <c r="R16" i="17"/>
  <c r="Q16" i="17"/>
  <c r="R16" i="18"/>
  <c r="Q16" i="18"/>
  <c r="R16" i="19"/>
  <c r="Q16" i="19"/>
  <c r="R16" i="14"/>
  <c r="Q16" i="14"/>
  <c r="R16" i="11"/>
  <c r="Q16" i="11"/>
  <c r="R16" i="16"/>
  <c r="Q16" i="16"/>
  <c r="R16" i="22"/>
  <c r="Q16" i="22"/>
  <c r="L16" i="15"/>
  <c r="C12" i="14"/>
  <c r="C18" i="14" s="1"/>
  <c r="R2" i="16"/>
  <c r="K13" i="11"/>
  <c r="K18" i="11" s="1"/>
  <c r="K13" i="16"/>
  <c r="K18" i="16" s="1"/>
  <c r="M11" i="17"/>
  <c r="M11" i="18"/>
  <c r="M11" i="16"/>
  <c r="M11" i="22"/>
  <c r="M11" i="15"/>
  <c r="M11" i="21"/>
  <c r="M11" i="14"/>
  <c r="M11" i="19"/>
  <c r="N2" i="15"/>
  <c r="N2" i="22"/>
  <c r="R2" i="22" s="1"/>
  <c r="K13" i="19"/>
  <c r="K18" i="19" s="1"/>
  <c r="K13" i="21"/>
  <c r="K18" i="21" s="1"/>
  <c r="K13" i="18"/>
  <c r="K18" i="18" s="1"/>
  <c r="K13" i="22"/>
  <c r="K18" i="22" s="1"/>
  <c r="K13" i="17"/>
  <c r="K18" i="17" s="1"/>
  <c r="N7" i="17"/>
  <c r="R7" i="17" s="1"/>
  <c r="K13" i="14"/>
  <c r="K18" i="14" s="1"/>
  <c r="N9" i="14"/>
  <c r="R9" i="14" s="1"/>
  <c r="N6" i="14"/>
  <c r="R6" i="14" s="1"/>
  <c r="I8" i="19" l="1"/>
  <c r="I17" i="19" s="1"/>
  <c r="I13" i="19" s="1"/>
  <c r="R11" i="21"/>
  <c r="R11" i="40"/>
  <c r="R11" i="26"/>
  <c r="R11" i="39"/>
  <c r="R11" i="11"/>
  <c r="R11" i="41"/>
  <c r="R11" i="29"/>
  <c r="R11" i="15"/>
  <c r="R11" i="42"/>
  <c r="R11" i="38"/>
  <c r="R11" i="18"/>
  <c r="R11" i="31"/>
  <c r="R11" i="24"/>
  <c r="R11" i="16"/>
  <c r="R11" i="17"/>
  <c r="R11" i="23"/>
  <c r="R11" i="36"/>
  <c r="R11" i="33"/>
  <c r="R11" i="37"/>
  <c r="R11" i="22"/>
  <c r="R11" i="28"/>
  <c r="R11" i="27"/>
  <c r="R11" i="14"/>
  <c r="R11" i="32"/>
  <c r="R11" i="30"/>
  <c r="R11" i="19"/>
  <c r="Q5" i="31"/>
  <c r="Q5" i="40"/>
  <c r="Q5" i="22"/>
  <c r="Q5" i="28"/>
  <c r="E17" i="28" s="1"/>
  <c r="E12" i="28" s="1"/>
  <c r="E18" i="28" s="1"/>
  <c r="Q5" i="30"/>
  <c r="E17" i="30" s="1"/>
  <c r="E12" i="30" s="1"/>
  <c r="E18" i="30" s="1"/>
  <c r="R5" i="23"/>
  <c r="Q5" i="23"/>
  <c r="E17" i="23" s="1"/>
  <c r="E12" i="23" s="1"/>
  <c r="E18" i="23" s="1"/>
  <c r="E14" i="20"/>
  <c r="L13" i="20"/>
  <c r="L8" i="15"/>
  <c r="N8" i="15" s="1"/>
  <c r="R8" i="15" s="1"/>
  <c r="J18" i="17"/>
  <c r="J8" i="17" s="1"/>
  <c r="L8" i="17" s="1"/>
  <c r="N8" i="17" s="1"/>
  <c r="R8" i="17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8" i="16"/>
  <c r="J17" i="16" s="1"/>
  <c r="J13" i="16" s="1"/>
  <c r="I8" i="22"/>
  <c r="I17" i="22" s="1"/>
  <c r="I13" i="22" s="1"/>
  <c r="I8" i="18"/>
  <c r="I17" i="18" s="1"/>
  <c r="I13" i="18" s="1"/>
  <c r="J8" i="19"/>
  <c r="J17" i="19" s="1"/>
  <c r="J13" i="19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N3" i="34"/>
  <c r="R3" i="34" s="1"/>
  <c r="R5" i="40"/>
  <c r="N3" i="29"/>
  <c r="R3" i="29" s="1"/>
  <c r="I8" i="29"/>
  <c r="I17" i="29" s="1"/>
  <c r="I13" i="29" s="1"/>
  <c r="E14" i="29" s="1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8" i="27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30"/>
  <c r="L3" i="16"/>
  <c r="R5" i="28"/>
  <c r="H17" i="37"/>
  <c r="H12" i="37" s="1"/>
  <c r="H18" i="37" s="1"/>
  <c r="L3" i="24"/>
  <c r="L3" i="40"/>
  <c r="L3" i="30"/>
  <c r="G17" i="24"/>
  <c r="G12" i="24" s="1"/>
  <c r="G18" i="24" s="1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L5" i="33" s="1"/>
  <c r="G5" i="42"/>
  <c r="L5" i="42" s="1"/>
  <c r="L3" i="41"/>
  <c r="G17" i="28"/>
  <c r="G12" i="28" s="1"/>
  <c r="G18" i="28" s="1"/>
  <c r="G5" i="32"/>
  <c r="L5" i="32" s="1"/>
  <c r="G5" i="27"/>
  <c r="L5" i="27" s="1"/>
  <c r="L3" i="27"/>
  <c r="L3" i="37"/>
  <c r="G5" i="29"/>
  <c r="L5" i="29" s="1"/>
  <c r="G5" i="38"/>
  <c r="L5" i="38" s="1"/>
  <c r="G5" i="36"/>
  <c r="L5" i="36" s="1"/>
  <c r="L5" i="39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I17" i="41"/>
  <c r="L8" i="41"/>
  <c r="R16" i="15"/>
  <c r="Q16" i="15"/>
  <c r="J17" i="22"/>
  <c r="J13" i="22" s="1"/>
  <c r="J17" i="18"/>
  <c r="J13" i="18" s="1"/>
  <c r="L3" i="21"/>
  <c r="G17" i="22"/>
  <c r="G12" i="22" s="1"/>
  <c r="G18" i="22" s="1"/>
  <c r="G12" i="11"/>
  <c r="G18" i="11" s="1"/>
  <c r="R2" i="15"/>
  <c r="N3" i="17"/>
  <c r="R3" i="17" s="1"/>
  <c r="R5" i="22"/>
  <c r="G5" i="21"/>
  <c r="L5" i="21" s="1"/>
  <c r="I13" i="17"/>
  <c r="N3" i="15"/>
  <c r="R3" i="15" s="1"/>
  <c r="G5" i="14"/>
  <c r="L5" i="14" s="1"/>
  <c r="L3" i="14"/>
  <c r="N5" i="29" l="1"/>
  <c r="Q5" i="29" s="1"/>
  <c r="L4" i="20"/>
  <c r="Q5" i="21"/>
  <c r="Q5" i="43"/>
  <c r="Q5" i="32"/>
  <c r="N3" i="23"/>
  <c r="R3" i="23" s="1"/>
  <c r="Q5" i="14"/>
  <c r="Q5" i="27"/>
  <c r="Q5" i="39"/>
  <c r="Q5" i="36"/>
  <c r="Q5" i="17"/>
  <c r="E17" i="17" s="1"/>
  <c r="E12" i="17" s="1"/>
  <c r="E18" i="17" s="1"/>
  <c r="Q5" i="38"/>
  <c r="Q5" i="33"/>
  <c r="Q5" i="26"/>
  <c r="L14" i="20"/>
  <c r="J17" i="17"/>
  <c r="J13" i="17" s="1"/>
  <c r="E14" i="17" s="1"/>
  <c r="L8" i="11"/>
  <c r="N8" i="11" s="1"/>
  <c r="R8" i="11" s="1"/>
  <c r="L8" i="34"/>
  <c r="N8" i="34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8" i="19"/>
  <c r="N8" i="19" s="1"/>
  <c r="R8" i="19" s="1"/>
  <c r="L13" i="26"/>
  <c r="L8" i="21"/>
  <c r="N8" i="21" s="1"/>
  <c r="R8" i="21" s="1"/>
  <c r="L8" i="26"/>
  <c r="N8" i="26" s="1"/>
  <c r="R8" i="26" s="1"/>
  <c r="L8" i="31"/>
  <c r="N8" i="31" s="1"/>
  <c r="R8" i="31" s="1"/>
  <c r="L14" i="29"/>
  <c r="R14" i="29" s="1"/>
  <c r="N3" i="27"/>
  <c r="R3" i="27" s="1"/>
  <c r="N3" i="28"/>
  <c r="R3" i="28" s="1"/>
  <c r="N3" i="31"/>
  <c r="R3" i="31" s="1"/>
  <c r="N3" i="24"/>
  <c r="R3" i="24" s="1"/>
  <c r="N3" i="16"/>
  <c r="R3" i="16" s="1"/>
  <c r="N3" i="41"/>
  <c r="R3" i="41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L8" i="29"/>
  <c r="N8" i="29" s="1"/>
  <c r="R8" i="29" s="1"/>
  <c r="L13" i="29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G17" i="29"/>
  <c r="G12" i="29" s="1"/>
  <c r="G18" i="29" s="1"/>
  <c r="R5" i="33"/>
  <c r="R5" i="26"/>
  <c r="G17" i="36"/>
  <c r="G12" i="36" s="1"/>
  <c r="G18" i="36" s="1"/>
  <c r="E14" i="33"/>
  <c r="R5" i="32"/>
  <c r="R5" i="38"/>
  <c r="L8" i="43"/>
  <c r="N8" i="43" s="1"/>
  <c r="R8" i="43" s="1"/>
  <c r="G17" i="39"/>
  <c r="G12" i="39" s="1"/>
  <c r="G18" i="39" s="1"/>
  <c r="G5" i="37"/>
  <c r="L5" i="37" s="1"/>
  <c r="R5" i="36"/>
  <c r="E14" i="26"/>
  <c r="R5" i="27"/>
  <c r="R5" i="43"/>
  <c r="R5" i="39"/>
  <c r="E14" i="31"/>
  <c r="L12" i="28"/>
  <c r="K13" i="43"/>
  <c r="K18" i="43" s="1"/>
  <c r="L12" i="30"/>
  <c r="R16" i="23"/>
  <c r="Q16" i="23"/>
  <c r="B12" i="23"/>
  <c r="B18" i="23" s="1"/>
  <c r="L13" i="34"/>
  <c r="N8" i="41"/>
  <c r="I13" i="41"/>
  <c r="E14" i="16"/>
  <c r="L13" i="16"/>
  <c r="L13" i="21"/>
  <c r="E14" i="21"/>
  <c r="G17" i="21"/>
  <c r="G12" i="21" s="1"/>
  <c r="G18" i="21" s="1"/>
  <c r="G17" i="14"/>
  <c r="G12" i="14" s="1"/>
  <c r="G18" i="14" s="1"/>
  <c r="E14" i="11"/>
  <c r="E17" i="22"/>
  <c r="L17" i="22" s="1"/>
  <c r="L13" i="19"/>
  <c r="E14" i="19"/>
  <c r="E14" i="22"/>
  <c r="L13" i="22"/>
  <c r="L13" i="18"/>
  <c r="E14" i="18"/>
  <c r="R5" i="21"/>
  <c r="N3" i="14"/>
  <c r="R3" i="14" s="1"/>
  <c r="R5" i="14"/>
  <c r="L5" i="16" l="1"/>
  <c r="R5" i="29"/>
  <c r="R11" i="43"/>
  <c r="N4" i="20"/>
  <c r="R4" i="20" s="1"/>
  <c r="Q5" i="37"/>
  <c r="L4" i="18"/>
  <c r="L12" i="40"/>
  <c r="Q12" i="40" s="1"/>
  <c r="E18" i="40"/>
  <c r="L5" i="20"/>
  <c r="Q14" i="20"/>
  <c r="R14" i="20"/>
  <c r="L13" i="15"/>
  <c r="L13" i="17"/>
  <c r="Q14" i="29"/>
  <c r="L14" i="11"/>
  <c r="Q14" i="11" s="1"/>
  <c r="L14" i="33"/>
  <c r="R14" i="33" s="1"/>
  <c r="L14" i="21"/>
  <c r="R14" i="21" s="1"/>
  <c r="L14" i="15"/>
  <c r="R14" i="15" s="1"/>
  <c r="L14" i="26"/>
  <c r="R14" i="26" s="1"/>
  <c r="L14" i="16"/>
  <c r="Q14" i="16" s="1"/>
  <c r="L14" i="31"/>
  <c r="R14" i="31" s="1"/>
  <c r="L17" i="28"/>
  <c r="Q17" i="28" s="1"/>
  <c r="R8" i="41"/>
  <c r="R8" i="34"/>
  <c r="L12" i="31"/>
  <c r="Q12" i="31" s="1"/>
  <c r="L17" i="31"/>
  <c r="R17" i="31" s="1"/>
  <c r="L12" i="17"/>
  <c r="Q12" i="17" s="1"/>
  <c r="L17" i="23"/>
  <c r="R17" i="23" s="1"/>
  <c r="L17" i="17"/>
  <c r="R17" i="17" s="1"/>
  <c r="L17" i="40"/>
  <c r="R17" i="40" s="1"/>
  <c r="E17" i="39"/>
  <c r="L17" i="39" s="1"/>
  <c r="E17" i="36"/>
  <c r="E12" i="36" s="1"/>
  <c r="E18" i="36" s="1"/>
  <c r="L17" i="30"/>
  <c r="Q17" i="30" s="1"/>
  <c r="E14" i="42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29"/>
  <c r="E15" i="29" s="1"/>
  <c r="E17" i="33"/>
  <c r="E12" i="33" s="1"/>
  <c r="E18" i="33" s="1"/>
  <c r="E17" i="27"/>
  <c r="L13" i="27"/>
  <c r="E14" i="27"/>
  <c r="L13" i="32"/>
  <c r="E14" i="32"/>
  <c r="E17" i="38"/>
  <c r="E12" i="38" s="1"/>
  <c r="E18" i="38" s="1"/>
  <c r="L13" i="38"/>
  <c r="E14" i="38"/>
  <c r="L13" i="24"/>
  <c r="E14" i="24"/>
  <c r="N5" i="24" s="1"/>
  <c r="G17" i="37"/>
  <c r="G12" i="37" s="1"/>
  <c r="G18" i="37" s="1"/>
  <c r="E15" i="31"/>
  <c r="R5" i="37"/>
  <c r="E14" i="43"/>
  <c r="R12" i="30"/>
  <c r="Q12" i="30"/>
  <c r="R12" i="28"/>
  <c r="Q12" i="28"/>
  <c r="L13" i="43"/>
  <c r="L12" i="23"/>
  <c r="L14" i="34"/>
  <c r="Q14" i="34" s="1"/>
  <c r="E14" i="41"/>
  <c r="L13" i="41"/>
  <c r="R17" i="22"/>
  <c r="Q17" i="22"/>
  <c r="E12" i="22"/>
  <c r="E18" i="22" s="1"/>
  <c r="E17" i="21"/>
  <c r="L17" i="21" s="1"/>
  <c r="L14" i="18"/>
  <c r="L14" i="22"/>
  <c r="L14" i="19"/>
  <c r="E15" i="22"/>
  <c r="L14" i="17"/>
  <c r="E15" i="17"/>
  <c r="E17" i="14"/>
  <c r="R5" i="42" l="1"/>
  <c r="Q5" i="42"/>
  <c r="E17" i="42" s="1"/>
  <c r="E12" i="42" s="1"/>
  <c r="E18" i="42" s="1"/>
  <c r="L5" i="41"/>
  <c r="N5" i="41" s="1"/>
  <c r="Q5" i="16"/>
  <c r="E17" i="16" s="1"/>
  <c r="E15" i="16" s="1"/>
  <c r="R5" i="16"/>
  <c r="L4" i="16"/>
  <c r="N4" i="16" s="1"/>
  <c r="R4" i="16" s="1"/>
  <c r="G17" i="16"/>
  <c r="G12" i="16" s="1"/>
  <c r="G18" i="16" s="1"/>
  <c r="Q5" i="24"/>
  <c r="E17" i="24" s="1"/>
  <c r="E15" i="24" s="1"/>
  <c r="R5" i="24"/>
  <c r="L5" i="34"/>
  <c r="Q5" i="34" s="1"/>
  <c r="E17" i="34" s="1"/>
  <c r="Q5" i="20"/>
  <c r="E17" i="20" s="1"/>
  <c r="N4" i="18"/>
  <c r="R4" i="18" s="1"/>
  <c r="L4" i="34"/>
  <c r="L5" i="18"/>
  <c r="N5" i="18" s="1"/>
  <c r="L3" i="18"/>
  <c r="G17" i="18"/>
  <c r="G12" i="18" s="1"/>
  <c r="G18" i="18" s="1"/>
  <c r="R12" i="40"/>
  <c r="L3" i="20"/>
  <c r="G17" i="20"/>
  <c r="G12" i="20" s="1"/>
  <c r="G18" i="20" s="1"/>
  <c r="R5" i="20"/>
  <c r="Q14" i="15"/>
  <c r="R14" i="11"/>
  <c r="Q14" i="31"/>
  <c r="R14" i="16"/>
  <c r="Q14" i="21"/>
  <c r="Q14" i="33"/>
  <c r="M13" i="31"/>
  <c r="Q13" i="31" s="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E12" i="29"/>
  <c r="E18" i="29" s="1"/>
  <c r="E15" i="26"/>
  <c r="L17" i="43"/>
  <c r="R17" i="43" s="1"/>
  <c r="L17" i="32"/>
  <c r="R17" i="32" s="1"/>
  <c r="E15" i="27"/>
  <c r="L17" i="29"/>
  <c r="R17" i="29" s="1"/>
  <c r="L12" i="43"/>
  <c r="R12" i="43" s="1"/>
  <c r="E15" i="39"/>
  <c r="E15" i="36"/>
  <c r="L17" i="36"/>
  <c r="Q17" i="36" s="1"/>
  <c r="L17" i="38"/>
  <c r="R17" i="38" s="1"/>
  <c r="L17" i="33"/>
  <c r="Q17" i="33" s="1"/>
  <c r="Q17" i="40"/>
  <c r="E12" i="39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26"/>
  <c r="Q17" i="26" s="1"/>
  <c r="L14" i="24"/>
  <c r="E15" i="40"/>
  <c r="L14" i="23"/>
  <c r="E15" i="23"/>
  <c r="L15" i="31"/>
  <c r="R15" i="31" s="1"/>
  <c r="L14" i="43"/>
  <c r="Q14" i="43" s="1"/>
  <c r="L12" i="32"/>
  <c r="L12" i="36"/>
  <c r="L15" i="29"/>
  <c r="M13" i="29"/>
  <c r="L12" i="38"/>
  <c r="R17" i="39"/>
  <c r="Q17" i="39"/>
  <c r="R12" i="23"/>
  <c r="Q12" i="23"/>
  <c r="R14" i="34"/>
  <c r="L14" i="41"/>
  <c r="R17" i="21"/>
  <c r="Q17" i="21"/>
  <c r="R14" i="19"/>
  <c r="Q14" i="19"/>
  <c r="R14" i="17"/>
  <c r="Q14" i="17"/>
  <c r="R14" i="22"/>
  <c r="Q14" i="22"/>
  <c r="R14" i="18"/>
  <c r="Q14" i="18"/>
  <c r="E12" i="21"/>
  <c r="E18" i="21" s="1"/>
  <c r="L12" i="22"/>
  <c r="E15" i="21"/>
  <c r="M13" i="22"/>
  <c r="L15" i="22"/>
  <c r="M13" i="17"/>
  <c r="L15" i="17"/>
  <c r="E12" i="14"/>
  <c r="L17" i="42" l="1"/>
  <c r="Q17" i="42" s="1"/>
  <c r="E15" i="42"/>
  <c r="L15" i="42" s="1"/>
  <c r="L12" i="42"/>
  <c r="Q12" i="42" s="1"/>
  <c r="E12" i="16"/>
  <c r="E18" i="16" s="1"/>
  <c r="Q5" i="41"/>
  <c r="E17" i="41" s="1"/>
  <c r="R5" i="41"/>
  <c r="L4" i="41"/>
  <c r="N4" i="41" s="1"/>
  <c r="R4" i="41" s="1"/>
  <c r="G17" i="41"/>
  <c r="G12" i="41" s="1"/>
  <c r="G18" i="41" s="1"/>
  <c r="L17" i="16"/>
  <c r="E12" i="24"/>
  <c r="L17" i="24"/>
  <c r="E15" i="34"/>
  <c r="E12" i="34"/>
  <c r="E18" i="34" s="1"/>
  <c r="R5" i="34"/>
  <c r="N4" i="34"/>
  <c r="R4" i="34" s="1"/>
  <c r="N3" i="20"/>
  <c r="R3" i="20" s="1"/>
  <c r="N3" i="18"/>
  <c r="R3" i="18" s="1"/>
  <c r="L17" i="34"/>
  <c r="Q17" i="34" s="1"/>
  <c r="L12" i="27"/>
  <c r="Q12" i="27" s="1"/>
  <c r="E18" i="27"/>
  <c r="L12" i="39"/>
  <c r="R12" i="39" s="1"/>
  <c r="E18" i="39"/>
  <c r="L12" i="14"/>
  <c r="R12" i="14" s="1"/>
  <c r="E18" i="14"/>
  <c r="E15" i="20"/>
  <c r="E12" i="20"/>
  <c r="E18" i="20" s="1"/>
  <c r="L17" i="20"/>
  <c r="R14" i="39"/>
  <c r="R14" i="40"/>
  <c r="R13" i="31"/>
  <c r="Q14" i="32"/>
  <c r="R14" i="27"/>
  <c r="R14" i="42"/>
  <c r="Q14" i="38"/>
  <c r="M13" i="27"/>
  <c r="Q13" i="27" s="1"/>
  <c r="L15" i="33"/>
  <c r="Q15" i="33" s="1"/>
  <c r="Q14" i="36"/>
  <c r="M13" i="32"/>
  <c r="R13" i="32" s="1"/>
  <c r="L15" i="21"/>
  <c r="Q15" i="21" s="1"/>
  <c r="M13" i="26"/>
  <c r="Q13" i="26" s="1"/>
  <c r="L15" i="36"/>
  <c r="R15" i="36" s="1"/>
  <c r="M13" i="43"/>
  <c r="R13" i="43" s="1"/>
  <c r="L15" i="16"/>
  <c r="R15" i="16" s="1"/>
  <c r="L14" i="37"/>
  <c r="Q14" i="37" s="1"/>
  <c r="L15" i="43"/>
  <c r="Q15" i="43" s="1"/>
  <c r="L15" i="26"/>
  <c r="R15" i="26" s="1"/>
  <c r="R17" i="36"/>
  <c r="Q17" i="32"/>
  <c r="Q17" i="29"/>
  <c r="M13" i="36"/>
  <c r="R13" i="36" s="1"/>
  <c r="R17" i="33"/>
  <c r="L12" i="29"/>
  <c r="R12" i="29" s="1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M13" i="39"/>
  <c r="L15" i="39"/>
  <c r="M13" i="33"/>
  <c r="R13" i="33" s="1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M13" i="24"/>
  <c r="L15" i="24"/>
  <c r="Q14" i="30"/>
  <c r="R14" i="30"/>
  <c r="R14" i="24"/>
  <c r="Q14" i="24"/>
  <c r="Q15" i="31"/>
  <c r="R14" i="43"/>
  <c r="R12" i="32"/>
  <c r="Q12" i="32"/>
  <c r="R13" i="29"/>
  <c r="Q13" i="29"/>
  <c r="L12" i="37"/>
  <c r="R15" i="29"/>
  <c r="Q15" i="29"/>
  <c r="Q12" i="36"/>
  <c r="R12" i="36"/>
  <c r="R12" i="38"/>
  <c r="Q12" i="38"/>
  <c r="Q14" i="41"/>
  <c r="R14" i="41"/>
  <c r="R15" i="17"/>
  <c r="Q15" i="17"/>
  <c r="R15" i="22"/>
  <c r="Q15" i="22"/>
  <c r="R13" i="17"/>
  <c r="Q13" i="17"/>
  <c r="R13" i="22"/>
  <c r="Q13" i="22"/>
  <c r="R12" i="22"/>
  <c r="Q12" i="22"/>
  <c r="L12" i="21"/>
  <c r="M13" i="16"/>
  <c r="Q13" i="16" s="1"/>
  <c r="M13" i="21"/>
  <c r="Q13" i="21" s="1"/>
  <c r="R17" i="42" l="1"/>
  <c r="M13" i="42"/>
  <c r="Q13" i="42" s="1"/>
  <c r="L12" i="16"/>
  <c r="Q12" i="16" s="1"/>
  <c r="R12" i="42"/>
  <c r="E12" i="41"/>
  <c r="L17" i="41"/>
  <c r="E15" i="41"/>
  <c r="R17" i="16"/>
  <c r="Q17" i="16"/>
  <c r="L12" i="34"/>
  <c r="Q12" i="34" s="1"/>
  <c r="R17" i="24"/>
  <c r="Q17" i="24"/>
  <c r="E18" i="24"/>
  <c r="L12" i="24"/>
  <c r="M13" i="34"/>
  <c r="R13" i="34" s="1"/>
  <c r="L15" i="34"/>
  <c r="Q15" i="34" s="1"/>
  <c r="R17" i="34"/>
  <c r="R12" i="27"/>
  <c r="Q12" i="14"/>
  <c r="Q12" i="39"/>
  <c r="R17" i="20"/>
  <c r="Q17" i="20"/>
  <c r="L12" i="20"/>
  <c r="M13" i="20"/>
  <c r="L15" i="20"/>
  <c r="Q13" i="32"/>
  <c r="R15" i="21"/>
  <c r="R15" i="33"/>
  <c r="R13" i="26"/>
  <c r="Q15" i="36"/>
  <c r="R14" i="37"/>
  <c r="Q13" i="43"/>
  <c r="R13" i="27"/>
  <c r="Q15" i="16"/>
  <c r="M13" i="37"/>
  <c r="Q13" i="37" s="1"/>
  <c r="Q15" i="26"/>
  <c r="R15" i="43"/>
  <c r="R15" i="32"/>
  <c r="Q12" i="29"/>
  <c r="Q13" i="36"/>
  <c r="R15" i="27"/>
  <c r="R17" i="37"/>
  <c r="L15" i="37"/>
  <c r="R15" i="37" s="1"/>
  <c r="Q15" i="39"/>
  <c r="R15" i="39"/>
  <c r="R13" i="39"/>
  <c r="Q13" i="39"/>
  <c r="Q13" i="33"/>
  <c r="R15" i="42"/>
  <c r="Q15" i="42"/>
  <c r="R13" i="23"/>
  <c r="Q13" i="23"/>
  <c r="R15" i="24"/>
  <c r="Q15" i="24"/>
  <c r="R15" i="23"/>
  <c r="Q15" i="23"/>
  <c r="R13" i="40"/>
  <c r="Q13" i="40"/>
  <c r="Q13" i="38"/>
  <c r="R13" i="38"/>
  <c r="Q13" i="24"/>
  <c r="R13" i="24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2" i="21"/>
  <c r="Q12" i="21"/>
  <c r="R13" i="21"/>
  <c r="R13" i="16"/>
  <c r="R12" i="16" l="1"/>
  <c r="R13" i="42"/>
  <c r="L15" i="41"/>
  <c r="M13" i="41"/>
  <c r="R17" i="41"/>
  <c r="Q17" i="41"/>
  <c r="L12" i="41"/>
  <c r="E18" i="41"/>
  <c r="R12" i="34"/>
  <c r="R12" i="24"/>
  <c r="Q12" i="24"/>
  <c r="Q13" i="34"/>
  <c r="R15" i="34"/>
  <c r="R15" i="20"/>
  <c r="Q15" i="20"/>
  <c r="Q13" i="20"/>
  <c r="R13" i="20"/>
  <c r="Q12" i="20"/>
  <c r="R12" i="20"/>
  <c r="R13" i="37"/>
  <c r="Q15" i="37"/>
  <c r="L2" i="14"/>
  <c r="P2" i="14" s="1"/>
  <c r="R12" i="41" l="1"/>
  <c r="Q12" i="41"/>
  <c r="Q13" i="41"/>
  <c r="R13" i="41"/>
  <c r="R15" i="41"/>
  <c r="Q15" i="41"/>
  <c r="N2" i="14"/>
  <c r="L3" i="11"/>
  <c r="C12" i="11"/>
  <c r="C18" i="11" s="1"/>
  <c r="R2" i="14" l="1"/>
  <c r="N3" i="11"/>
  <c r="R3" i="11" s="1"/>
  <c r="L5" i="15" l="1"/>
  <c r="Q5" i="15" l="1"/>
  <c r="E17" i="15" s="1"/>
  <c r="L4" i="15"/>
  <c r="R5" i="15"/>
  <c r="E15" i="15" l="1"/>
  <c r="E12" i="15"/>
  <c r="E18" i="15" s="1"/>
  <c r="N4" i="15"/>
  <c r="L17" i="15"/>
  <c r="R4" i="15" l="1"/>
  <c r="R17" i="15"/>
  <c r="Q17" i="15"/>
  <c r="L15" i="15" l="1"/>
  <c r="R15" i="15" s="1"/>
  <c r="M13" i="15"/>
  <c r="R13" i="15" s="1"/>
  <c r="L12" i="15"/>
  <c r="H12" i="11"/>
  <c r="H18" i="11" s="1"/>
  <c r="L5" i="11"/>
  <c r="Q5" i="11" l="1"/>
  <c r="Q15" i="15"/>
  <c r="Q13" i="15"/>
  <c r="R12" i="15"/>
  <c r="Q12" i="15"/>
  <c r="R5" i="11"/>
  <c r="E17" i="11" l="1"/>
  <c r="L17" i="11" s="1"/>
  <c r="R17" i="11" l="1"/>
  <c r="Q17" i="11"/>
  <c r="E15" i="11"/>
  <c r="E12" i="11"/>
  <c r="E18" i="11" s="1"/>
  <c r="M13" i="11" l="1"/>
  <c r="Q13" i="11" s="1"/>
  <c r="L12" i="11"/>
  <c r="L15" i="11"/>
  <c r="J8" i="14"/>
  <c r="J17" i="14" s="1"/>
  <c r="I8" i="14"/>
  <c r="I17" i="14" s="1"/>
  <c r="R13" i="11" l="1"/>
  <c r="R15" i="11"/>
  <c r="Q15" i="11"/>
  <c r="R12" i="11"/>
  <c r="Q12" i="11"/>
  <c r="L17" i="14"/>
  <c r="I13" i="14"/>
  <c r="J13" i="14"/>
  <c r="L8" i="14"/>
  <c r="N8" i="14" s="1"/>
  <c r="R17" i="14" l="1"/>
  <c r="Q17" i="14"/>
  <c r="R8" i="14"/>
  <c r="E14" i="14"/>
  <c r="L13" i="14"/>
  <c r="L14" i="14" l="1"/>
  <c r="E15" i="14"/>
  <c r="R14" i="14" l="1"/>
  <c r="Q14" i="14"/>
  <c r="M13" i="14"/>
  <c r="L15" i="14"/>
  <c r="R15" i="14" l="1"/>
  <c r="Q15" i="14"/>
  <c r="R13" i="14"/>
  <c r="Q13" i="14"/>
  <c r="F3" i="19" l="1"/>
  <c r="G3" i="19" s="1"/>
  <c r="F17" i="19" l="1"/>
  <c r="F12" i="19" s="1"/>
  <c r="F18" i="19" s="1"/>
  <c r="G5" i="19" l="1"/>
  <c r="L5" i="19" s="1"/>
  <c r="L3" i="19"/>
  <c r="R5" i="19" l="1"/>
  <c r="Q5" i="19"/>
  <c r="E17" i="19" s="1"/>
  <c r="G17" i="19"/>
  <c r="G12" i="19" s="1"/>
  <c r="G18" i="19" s="1"/>
  <c r="N3" i="19"/>
  <c r="R3" i="19" s="1"/>
  <c r="E12" i="19" l="1"/>
  <c r="E15" i="19"/>
  <c r="L17" i="19"/>
  <c r="Q17" i="19" s="1"/>
  <c r="L12" i="19" l="1"/>
  <c r="Q12" i="19" s="1"/>
  <c r="E18" i="19"/>
  <c r="L15" i="19"/>
  <c r="R15" i="19" s="1"/>
  <c r="R17" i="19"/>
  <c r="M13" i="19"/>
  <c r="Q13" i="19" s="1"/>
  <c r="R12" i="19" l="1"/>
  <c r="Q15" i="19"/>
  <c r="R13" i="19"/>
  <c r="Q5" i="18" l="1"/>
  <c r="E17" i="18" s="1"/>
  <c r="R5" i="18"/>
  <c r="E15" i="18" l="1"/>
  <c r="E12" i="18"/>
  <c r="L17" i="18"/>
  <c r="R17" i="18" l="1"/>
  <c r="Q17" i="18"/>
  <c r="E18" i="18"/>
  <c r="L12" i="18"/>
  <c r="L15" i="18"/>
  <c r="M13" i="18"/>
  <c r="Q13" i="18" l="1"/>
  <c r="R13" i="18"/>
  <c r="Q15" i="18"/>
  <c r="R15" i="18"/>
  <c r="Q12" i="18"/>
  <c r="R12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<sst xmlns="http://schemas.openxmlformats.org/spreadsheetml/2006/main" count="1164" uniqueCount="109">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</sst>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A9" sqref="A9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4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5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3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101627.59733987895</v>
      </c>
      <c r="D3" s="1">
        <f>VLOOKUP($B3, '[1]Pro of iron ore'!$B$2:$X$31, $A$1, FALSE)*(1-VLOOKUP($B3, '[1]Foundry share'!$B$2:$X$31, $A$1, FALSE))</f>
        <v>62964.427507864799</v>
      </c>
      <c r="E3" s="46">
        <f>VLOOKUP($B3, '[1]Iron content'!$B$2:$X$31, $A$1, FALSE)</f>
        <v>0.61956032766660107</v>
      </c>
      <c r="F3" s="1">
        <f>VLOOKUP($B3, '[1]Exp of usable iron ore'!$B$2:$X$31, $A$1, FALSE)*parameters!$B$12</f>
        <v>0</v>
      </c>
      <c r="G3" s="1">
        <f>VLOOKUP($B3, '[1]Pro of pig iron'!$B$2:$X$31, $A$1, FALSE)*(1-VLOOKUP($B3, '[1]Foundry share'!$B$2:$X$31, $A$1, FALSE))</f>
        <v>134899.11773906081</v>
      </c>
      <c r="H3" s="1">
        <f>VLOOKUP($B3, '[1]Exp of pig iron'!$B$2:$X$31, $A$1, FALSE)</f>
        <v>686</v>
      </c>
      <c r="I3" s="1">
        <f>VLOOKUP($B3, '[1]Imp of pig iron'!$B$2:$X$31, $A$1, FALSE)</f>
        <v>480</v>
      </c>
      <c r="J3" s="1">
        <f>VLOOKUP($B3, '[1]Pro of DRI'!$B$2:$X$31, $A$1, FALSE)*(1-VLOOKUP($B3, '[1]Foundry share'!$B$2:$X$31, $A$1, FALSE))</f>
        <v>95.400647739189083</v>
      </c>
      <c r="K3" s="1">
        <f>VLOOKUP($B3, '[1]Exp of DRI'!$B$2:$X$31, $A$1, FALSE)</f>
        <v>0</v>
      </c>
      <c r="L3" s="1">
        <f>VLOOKUP($B3, '[1]Imp of DRI'!$B$2:$X$31, $A$1, FALSE)</f>
        <v>0</v>
      </c>
      <c r="M3" s="1">
        <f>VLOOKUP($B3, '[1]Exp of scrap'!$B$2:$X$31, $A$1, FALSE)</f>
        <v>0</v>
      </c>
      <c r="N3" s="1">
        <f>VLOOKUP($B3, '[1]Imp of scrap'!$B$2:$X$31, $A$1, FALSE)</f>
        <v>9776</v>
      </c>
      <c r="O3" s="1">
        <f>VLOOKUP($B3, '[1]Pro of BOF steel'!$B$2:$X$31, $A$1, FALSE)</f>
        <v>126015</v>
      </c>
      <c r="P3" s="1">
        <f>VLOOKUP($B3, '[1]Pro of OHF steel'!$B$2:$X$31, $A$1, FALSE)</f>
        <v>833</v>
      </c>
      <c r="Q3" s="1">
        <f>VLOOKUP($B3, '[1]Pro of EAF steel'!$B$2:$X$31, $A$1, FALSE)</f>
        <v>24005</v>
      </c>
      <c r="R3" s="1">
        <f>VLOOKUP($B3, '[1]Exp of ingots and semis'!$B$2:$X$31, $A$1, FALSE)</f>
        <v>2729</v>
      </c>
      <c r="S3" s="1">
        <f>VLOOKUP($B3, '[1]Imp of ingots and semis'!$B$2:$X$31, $A$1, FALSE)</f>
        <v>8362</v>
      </c>
      <c r="T3" s="1">
        <f>VLOOKUP($B3, '[1]Pro of hr long'!$B$2:$X$31, $A$1, FALSE)+VLOOKUP($B3, '[1]Pro of seamless tubes'!$B$2:$X$31, $A$1, FALSE)</f>
        <v>98963</v>
      </c>
      <c r="U3" s="1">
        <f>VLOOKUP($B3, '[1]Exp of long'!$B$2:$X$31, $A$1, FALSE)</f>
        <v>1601</v>
      </c>
      <c r="V3" s="1">
        <f>VLOOKUP($B3, '[1]Imp of long'!$B$2:$X$31, $A$1, FALSE)</f>
        <v>1501</v>
      </c>
      <c r="W3" s="1">
        <f>VLOOKUP($B3, '[1]Pro of hr flat'!$B$2:$X$31, $A$1, FALSE)*parameters!$B$8</f>
        <v>59233.490753911807</v>
      </c>
      <c r="X3" s="1">
        <f>VLOOKUP($B3, '[1]Exp of flat'!$B$2:$X$31, $A$1, FALSE)</f>
        <v>1757</v>
      </c>
      <c r="Y3" s="1">
        <f>VLOOKUP($B3, '[1]Imp of flat'!$B$2:$X$31, $A$1, FALSE)</f>
        <v>14875</v>
      </c>
      <c r="Z3" s="1">
        <f>VLOOKUP($B3, '[1]Indirect exp'!$B$2:$X$31, $A$1, FALSE)</f>
        <v>13703.5</v>
      </c>
      <c r="AA3" s="1">
        <f>VLOOKUP($B3, '[1]Indirect imp'!$B$2:$X$31, $A$1, FALSE)</f>
        <v>5018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65983.849154297801</v>
      </c>
      <c r="D4" s="1">
        <f>VLOOKUP($B4, '[1]Pro of iron ore'!$B$2:$X$31, $A$1, FALSE)*(1-VLOOKUP($B4, '[1]Foundry share'!$B$2:$X$31, $A$1, FALSE))</f>
        <v>42239.661011652759</v>
      </c>
      <c r="E4" s="46">
        <f>VLOOKUP($B4, '[1]Iron content'!$B$2:$X$31, $A$1, FALSE)</f>
        <v>0.64015151515151514</v>
      </c>
      <c r="F4" s="1">
        <f>VLOOKUP($B4, '[1]Exp of usable iron ore'!$B$2:$X$31, $A$1, FALSE)*parameters!$B$12</f>
        <v>23794.55</v>
      </c>
      <c r="G4" s="1">
        <f>VLOOKUP($B4, '[1]Pro of pig iron'!$B$2:$X$31, $A$1, FALSE)*(1-VLOOKUP($B4, '[1]Foundry share'!$B$2:$X$31, $A$1, FALSE))</f>
        <v>18224.705811240714</v>
      </c>
      <c r="H4" s="1">
        <f>VLOOKUP($B4, '[1]Exp of pig iron'!$B$2:$X$31, $A$1, FALSE)</f>
        <v>264</v>
      </c>
      <c r="I4" s="1">
        <f>VLOOKUP($B4, '[1]Imp of pig iron'!$B$2:$X$31, $A$1, FALSE)</f>
        <v>1</v>
      </c>
      <c r="J4" s="1">
        <f>VLOOKUP($B4, '[1]Pro of DRI'!$B$2:$X$31, $A$1, FALSE)*(1-VLOOKUP($B4, '[1]Foundry share'!$B$2:$X$31, $A$1, FALSE))</f>
        <v>4765.5002166992863</v>
      </c>
      <c r="K4" s="1">
        <f>VLOOKUP($B4, '[1]Exp of DRI'!$B$2:$X$31, $A$1, FALSE)</f>
        <v>0</v>
      </c>
      <c r="L4" s="1">
        <f>VLOOKUP($B4, '[1]Imp of DRI'!$B$2:$X$31, $A$1, FALSE)</f>
        <v>0</v>
      </c>
      <c r="M4" s="1">
        <f>VLOOKUP($B4, '[1]Exp of scrap'!$B$2:$X$31, $A$1, FALSE)</f>
        <v>0</v>
      </c>
      <c r="N4" s="1">
        <f>VLOOKUP($B4, '[1]Imp of scrap'!$B$2:$X$31, $A$1, FALSE)</f>
        <v>1100</v>
      </c>
      <c r="O4" s="1">
        <f>VLOOKUP($B4, '[1]Pro of BOF steel'!$B$2:$X$31, $A$1, FALSE)</f>
        <v>15330</v>
      </c>
      <c r="P4" s="1">
        <f>VLOOKUP($B4, '[1]Pro of OHF steel'!$B$2:$X$31, $A$1, FALSE)</f>
        <v>2000</v>
      </c>
      <c r="Q4" s="1">
        <f>VLOOKUP($B4, '[1]Pro of EAF steel'!$B$2:$X$31, $A$1, FALSE)</f>
        <v>9960</v>
      </c>
      <c r="R4" s="1">
        <f>VLOOKUP($B4, '[1]Exp of ingots and semis'!$B$2:$X$31, $A$1, FALSE)</f>
        <v>244</v>
      </c>
      <c r="S4" s="1">
        <f>VLOOKUP($B4, '[1]Imp of ingots and semis'!$B$2:$X$31, $A$1, FALSE)</f>
        <v>285</v>
      </c>
      <c r="T4" s="1">
        <f>VLOOKUP($B4, '[1]Pro of hr long'!$B$2:$X$31, $A$1, FALSE)+VLOOKUP($B4, '[1]Pro of seamless tubes'!$B$2:$X$31, $A$1, FALSE)</f>
        <v>13148</v>
      </c>
      <c r="U4" s="1">
        <f>VLOOKUP($B4, '[1]Exp of long'!$B$2:$X$31, $A$1, FALSE)</f>
        <v>328</v>
      </c>
      <c r="V4" s="1">
        <f>VLOOKUP($B4, '[1]Imp of long'!$B$2:$X$31, $A$1, FALSE)</f>
        <v>95</v>
      </c>
      <c r="W4" s="1">
        <f>VLOOKUP($B4, '[1]Pro of hr flat'!$B$2:$X$31, $A$1, FALSE)*parameters!$B$8</f>
        <v>16336.621621621622</v>
      </c>
      <c r="X4" s="1">
        <f>VLOOKUP($B4, '[1]Exp of flat'!$B$2:$X$31, $A$1, FALSE)</f>
        <v>2544</v>
      </c>
      <c r="Y4" s="1">
        <f>VLOOKUP($B4, '[1]Imp of flat'!$B$2:$X$31, $A$1, FALSE)</f>
        <v>1024</v>
      </c>
      <c r="Z4" s="1">
        <f>VLOOKUP($B4, '[1]Indirect exp'!$B$2:$X$31, $A$1, FALSE)</f>
        <v>1232</v>
      </c>
      <c r="AA4" s="1">
        <f>VLOOKUP($B4, '[1]Indirect imp'!$B$2:$X$31, $A$1, FALSE)</f>
        <v>811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0.75</v>
      </c>
      <c r="D5" s="1">
        <f>VLOOKUP($B5, '[1]Pro of iron ore'!$B$2:$X$31, $A$1, FALSE)*(1-VLOOKUP($B5, '[1]Foundry share'!$B$2:$X$31, $A$1, FALSE))</f>
        <v>0</v>
      </c>
      <c r="E5" s="46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78836</v>
      </c>
      <c r="H5" s="1">
        <f>VLOOKUP($B5, '[1]Exp of pig iron'!$B$2:$X$31, $A$1, FALSE)</f>
        <v>532</v>
      </c>
      <c r="I5" s="1">
        <f>VLOOKUP($B5, '[1]Imp of pig iron'!$B$2:$X$31, $A$1, FALSE)</f>
        <v>181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0</v>
      </c>
      <c r="L5" s="1">
        <f>VLOOKUP($B5, '[1]Imp of DRI'!$B$2:$X$31, $A$1, FALSE)</f>
        <v>0</v>
      </c>
      <c r="M5" s="1">
        <f>VLOOKUP($B5, '[1]Exp of scrap'!$B$2:$X$31, $A$1, FALSE)</f>
        <v>6151</v>
      </c>
      <c r="N5" s="1">
        <f>VLOOKUP($B5, '[1]Imp of scrap'!$B$2:$X$31, $A$1, FALSE)</f>
        <v>151</v>
      </c>
      <c r="O5" s="1">
        <f>VLOOKUP($B5, '[1]Pro of BOF steel'!$B$2:$X$31, $A$1, FALSE)</f>
        <v>74442</v>
      </c>
      <c r="P5" s="1">
        <f>VLOOKUP($B5, '[1]Pro of OHF steel'!$B$2:$X$31, $A$1, FALSE)</f>
        <v>0</v>
      </c>
      <c r="Q5" s="1">
        <f>VLOOKUP($B5, '[1]Pro of EAF steel'!$B$2:$X$31, $A$1, FALSE)</f>
        <v>28424</v>
      </c>
      <c r="R5" s="1">
        <f>VLOOKUP($B5, '[1]Exp of ingots and semis'!$B$2:$X$31, $A$1, FALSE)</f>
        <v>3086</v>
      </c>
      <c r="S5" s="1">
        <f>VLOOKUP($B5, '[1]Imp of ingots and semis'!$B$2:$X$31, $A$1, FALSE)</f>
        <v>28</v>
      </c>
      <c r="T5" s="1">
        <f>VLOOKUP($B5, '[1]Pro of hr long'!$B$2:$X$31, $A$1, FALSE)+VLOOKUP($B5, '[1]Pro of seamless tubes'!$B$2:$X$31, $A$1, FALSE)</f>
        <v>35773</v>
      </c>
      <c r="U5" s="1">
        <f>VLOOKUP($B5, '[1]Exp of long'!$B$2:$X$31, $A$1, FALSE)</f>
        <v>3796</v>
      </c>
      <c r="V5" s="1">
        <f>VLOOKUP($B5, '[1]Imp of long'!$B$2:$X$31, $A$1, FALSE)</f>
        <v>321</v>
      </c>
      <c r="W5" s="1">
        <f>VLOOKUP($B5, '[1]Pro of hr flat'!$B$2:$X$31, $A$1, FALSE)*parameters!$B$8</f>
        <v>57001.839260312947</v>
      </c>
      <c r="X5" s="1">
        <f>VLOOKUP($B5, '[1]Exp of flat'!$B$2:$X$31, $A$1, FALSE)</f>
        <v>19644</v>
      </c>
      <c r="Y5" s="1">
        <f>VLOOKUP($B5, '[1]Imp of flat'!$B$2:$X$31, $A$1, FALSE)</f>
        <v>3481</v>
      </c>
      <c r="Z5" s="1">
        <f>VLOOKUP($B5, '[1]Indirect exp'!$B$2:$X$31, $A$1, FALSE)</f>
        <v>20175</v>
      </c>
      <c r="AA5" s="1">
        <f>VLOOKUP($B5, '[1]Indirect imp'!$B$2:$X$31, $A$1, FALSE)</f>
        <v>3482.5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46192</v>
      </c>
      <c r="D6" s="1">
        <f>VLOOKUP($B6, '[1]Pro of iron ore'!$B$2:$X$31, $A$1, FALSE)*(1-VLOOKUP($B6, '[1]Foundry share'!$B$2:$X$31, $A$1, FALSE))</f>
        <v>29263</v>
      </c>
      <c r="E6" s="46">
        <f>VLOOKUP($B6, '[1]Iron content'!$B$2:$X$31, $A$1, FALSE)</f>
        <v>0.63350796674748877</v>
      </c>
      <c r="F6" s="1">
        <f>VLOOKUP($B6, '[1]Exp of usable iron ore'!$B$2:$X$31, $A$1, FALSE)*parameters!$B$12</f>
        <v>3643.25</v>
      </c>
      <c r="G6" s="1">
        <f>VLOOKUP($B6, '[1]Pro of pig iron'!$B$2:$X$31, $A$1, FALSE)*(1-VLOOKUP($B6, '[1]Foundry share'!$B$2:$X$31, $A$1, FALSE))</f>
        <v>42107</v>
      </c>
      <c r="H6" s="1">
        <f>VLOOKUP($B6, '[1]Exp of pig iron'!$B$2:$X$31, $A$1, FALSE)</f>
        <v>44</v>
      </c>
      <c r="I6" s="1">
        <f>VLOOKUP($B6, '[1]Imp of pig iron'!$B$2:$X$31, $A$1, FALSE)</f>
        <v>4373</v>
      </c>
      <c r="J6" s="1">
        <f>VLOOKUP($B6, '[1]Pro of DRI'!$B$2:$X$31, $A$1, FALSE)*(1-VLOOKUP($B6, '[1]Foundry share'!$B$2:$X$31, $A$1, FALSE))</f>
        <v>120</v>
      </c>
      <c r="K6" s="1">
        <f>VLOOKUP($B6, '[1]Exp of DRI'!$B$2:$X$31, $A$1, FALSE)</f>
        <v>0</v>
      </c>
      <c r="L6" s="1">
        <f>VLOOKUP($B6, '[1]Imp of DRI'!$B$2:$X$31, $A$1, FALSE)</f>
        <v>0</v>
      </c>
      <c r="M6" s="1">
        <f>VLOOKUP($B6, '[1]Exp of scrap'!$B$2:$X$31, $A$1, FALSE)</f>
        <v>7444</v>
      </c>
      <c r="N6" s="1">
        <f>VLOOKUP($B6, '[1]Imp of scrap'!$B$2:$X$31, $A$1, FALSE)</f>
        <v>2630</v>
      </c>
      <c r="O6" s="1">
        <f>VLOOKUP($B6, '[1]Pro of BOF steel'!$B$2:$X$31, $A$1, FALSE)</f>
        <v>47359</v>
      </c>
      <c r="P6" s="1">
        <f>VLOOKUP($B6, '[1]Pro of OHF steel'!$B$2:$X$31, $A$1, FALSE)</f>
        <v>0</v>
      </c>
      <c r="Q6" s="1">
        <f>VLOOKUP($B6, '[1]Pro of EAF steel'!$B$2:$X$31, $A$1, FALSE)</f>
        <v>42745</v>
      </c>
      <c r="R6" s="1">
        <f>VLOOKUP($B6, '[1]Exp of ingots and semis'!$B$2:$X$31, $A$1, FALSE)</f>
        <v>127</v>
      </c>
      <c r="S6" s="1">
        <f>VLOOKUP($B6, '[1]Imp of ingots and semis'!$B$2:$X$31, $A$1, FALSE)</f>
        <v>5844</v>
      </c>
      <c r="T6" s="1">
        <f>VLOOKUP($B6, '[1]Pro of hr long'!$B$2:$X$31, $A$1, FALSE)+VLOOKUP($B6, '[1]Pro of seamless tubes'!$B$2:$X$31, $A$1, FALSE)</f>
        <v>27177</v>
      </c>
      <c r="U6" s="1">
        <f>VLOOKUP($B6, '[1]Exp of long'!$B$2:$X$31, $A$1, FALSE)</f>
        <v>1425</v>
      </c>
      <c r="V6" s="1">
        <f>VLOOKUP($B6, '[1]Imp of long'!$B$2:$X$31, $A$1, FALSE)</f>
        <v>8419</v>
      </c>
      <c r="W6" s="1">
        <f>VLOOKUP($B6, '[1]Pro of hr flat'!$B$2:$X$31, $A$1, FALSE)*parameters!$B$8</f>
        <v>61808.099573257467</v>
      </c>
      <c r="X6" s="1">
        <f>VLOOKUP($B6, '[1]Exp of flat'!$B$2:$X$31, $A$1, FALSE)</f>
        <v>3207</v>
      </c>
      <c r="Y6" s="1">
        <f>VLOOKUP($B6, '[1]Imp of flat'!$B$2:$X$31, $A$1, FALSE)</f>
        <v>9157</v>
      </c>
      <c r="Z6" s="1">
        <f>VLOOKUP($B6, '[1]Indirect exp'!$B$2:$X$31, $A$1, FALSE)</f>
        <v>15744</v>
      </c>
      <c r="AA6" s="1">
        <f>VLOOKUP($B6, '[1]Indirect imp'!$B$2:$X$31, $A$1, FALSE)</f>
        <v>30821.5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82500</v>
      </c>
      <c r="D7" s="1">
        <f>VLOOKUP($B7, '[1]Pro of iron ore'!$B$2:$X$31, $A$1, FALSE)*(1-VLOOKUP($B7, '[1]Foundry share'!$B$2:$X$31, $A$1, FALSE))</f>
        <v>48000</v>
      </c>
      <c r="E7" s="46">
        <f>VLOOKUP($B7, '[1]Iron content'!$B$2:$X$31, $A$1, FALSE)</f>
        <v>0.58181818181818179</v>
      </c>
      <c r="F7" s="1">
        <f>VLOOKUP($B7, '[1]Exp of usable iron ore'!$B$2:$X$31, $A$1, FALSE)*parameters!$B$12</f>
        <v>15147.6</v>
      </c>
      <c r="G7" s="1">
        <f>VLOOKUP($B7, '[1]Pro of pig iron'!$B$2:$X$31, $A$1, FALSE)*(1-VLOOKUP($B7, '[1]Foundry share'!$B$2:$X$31, $A$1, FALSE))</f>
        <v>44947</v>
      </c>
      <c r="H7" s="1">
        <f>VLOOKUP($B7, '[1]Exp of pig iron'!$B$2:$X$31, $A$1, FALSE)</f>
        <v>5780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2510</v>
      </c>
      <c r="K7" s="1">
        <f>VLOOKUP($B7, '[1]Exp of DRI'!$B$2:$X$31, $A$1, FALSE)</f>
        <v>0</v>
      </c>
      <c r="L7" s="1">
        <f>VLOOKUP($B7, '[1]Imp of DRI'!$B$2:$X$31, $A$1, FALSE)</f>
        <v>0</v>
      </c>
      <c r="M7" s="1">
        <f>VLOOKUP($B7, '[1]Exp of scrap'!$B$2:$X$31, $A$1, FALSE)</f>
        <v>6083</v>
      </c>
      <c r="N7" s="1">
        <f>VLOOKUP($B7, '[1]Imp of scrap'!$B$2:$X$31, $A$1, FALSE)</f>
        <v>112</v>
      </c>
      <c r="O7" s="1">
        <f>VLOOKUP($B7, '[1]Pro of BOF steel'!$B$2:$X$31, $A$1, FALSE)</f>
        <v>34589</v>
      </c>
      <c r="P7" s="1">
        <f>VLOOKUP($B7, '[1]Pro of OHF steel'!$B$2:$X$31, $A$1, FALSE)</f>
        <v>15534</v>
      </c>
      <c r="Q7" s="1">
        <f>VLOOKUP($B7, '[1]Pro of EAF steel'!$B$2:$X$31, $A$1, FALSE)</f>
        <v>8847</v>
      </c>
      <c r="R7" s="1">
        <f>VLOOKUP($B7, '[1]Exp of ingots and semis'!$B$2:$X$31, $A$1, FALSE)</f>
        <v>12000</v>
      </c>
      <c r="S7" s="1">
        <f>VLOOKUP($B7, '[1]Imp of ingots and semis'!$B$2:$X$31, $A$1, FALSE)</f>
        <v>14</v>
      </c>
      <c r="T7" s="1">
        <f>VLOOKUP($B7, '[1]Pro of hr long'!$B$2:$X$31, $A$1, FALSE)+VLOOKUP($B7, '[1]Pro of seamless tubes'!$B$2:$X$31, $A$1, FALSE)</f>
        <v>21081</v>
      </c>
      <c r="U7" s="1">
        <f>VLOOKUP($B7, '[1]Exp of long'!$B$2:$X$31, $A$1, FALSE)</f>
        <v>3914</v>
      </c>
      <c r="V7" s="1">
        <f>VLOOKUP($B7, '[1]Imp of long'!$B$2:$X$31, $A$1, FALSE)</f>
        <v>720</v>
      </c>
      <c r="W7" s="1">
        <f>VLOOKUP($B7, '[1]Pro of hr flat'!$B$2:$X$31, $A$1, FALSE)*parameters!$B$8</f>
        <v>27463.78947368421</v>
      </c>
      <c r="X7" s="1">
        <f>VLOOKUP($B7, '[1]Exp of flat'!$B$2:$X$31, $A$1, FALSE)</f>
        <v>8836</v>
      </c>
      <c r="Y7" s="1">
        <f>VLOOKUP($B7, '[1]Imp of flat'!$B$2:$X$31, $A$1, FALSE)</f>
        <v>1425</v>
      </c>
      <c r="Z7" s="1">
        <f>VLOOKUP($B7, '[1]Indirect exp'!$B$2:$X$31, $A$1, FALSE)</f>
        <v>2123.5</v>
      </c>
      <c r="AA7" s="1">
        <f>VLOOKUP($B7, '[1]Indirect imp'!$B$2:$X$31, $A$1, FALSE)</f>
        <v>2191.5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6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25898</v>
      </c>
      <c r="H8" s="1">
        <f>VLOOKUP($B8, '[1]Exp of pig iron'!$B$2:$X$31, $A$1, FALSE)</f>
        <v>0</v>
      </c>
      <c r="I8" s="1">
        <f>VLOOKUP($B8, '[1]Imp of pig iron'!$B$2:$X$31, $A$1, FALSE)</f>
        <v>1446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0</v>
      </c>
      <c r="L8" s="1">
        <f>VLOOKUP($B8, '[1]Imp of DRI'!$B$2:$X$31, $A$1, FALSE)</f>
        <v>0</v>
      </c>
      <c r="M8" s="1">
        <f>VLOOKUP($B8, '[1]Exp of scrap'!$B$2:$X$31, $A$1, FALSE)</f>
        <v>63</v>
      </c>
      <c r="N8" s="1">
        <f>VLOOKUP($B8, '[1]Imp of scrap'!$B$2:$X$31, $A$1, FALSE)</f>
        <v>6069</v>
      </c>
      <c r="O8" s="1">
        <f>VLOOKUP($B8, '[1]Pro of BOF steel'!$B$2:$X$31, $A$1, FALSE)</f>
        <v>24741</v>
      </c>
      <c r="P8" s="1">
        <f>VLOOKUP($B8, '[1]Pro of OHF steel'!$B$2:$X$31, $A$1, FALSE)</f>
        <v>0</v>
      </c>
      <c r="Q8" s="1">
        <f>VLOOKUP($B8, '[1]Pro of EAF steel'!$B$2:$X$31, $A$1, FALSE)</f>
        <v>19111</v>
      </c>
      <c r="R8" s="1">
        <f>VLOOKUP($B8, '[1]Exp of ingots and semis'!$B$2:$X$31, $A$1, FALSE)</f>
        <v>415</v>
      </c>
      <c r="S8" s="1">
        <f>VLOOKUP($B8, '[1]Imp of ingots and semis'!$B$2:$X$31, $A$1, FALSE)</f>
        <v>3102</v>
      </c>
      <c r="T8" s="1">
        <f>VLOOKUP($B8, '[1]Pro of hr long'!$B$2:$X$31, $A$1, FALSE)+VLOOKUP($B8, '[1]Pro of seamless tubes'!$B$2:$X$31, $A$1, FALSE)</f>
        <v>18025</v>
      </c>
      <c r="U8" s="1">
        <f>VLOOKUP($B8, '[1]Exp of long'!$B$2:$X$31, $A$1, FALSE)</f>
        <v>2378</v>
      </c>
      <c r="V8" s="1">
        <f>VLOOKUP($B8, '[1]Imp of long'!$B$2:$X$31, $A$1, FALSE)</f>
        <v>1381</v>
      </c>
      <c r="W8" s="1">
        <f>VLOOKUP($B8, '[1]Pro of hr flat'!$B$2:$X$31, $A$1, FALSE)*parameters!$B$8</f>
        <v>25537.204836415363</v>
      </c>
      <c r="X8" s="1">
        <f>VLOOKUP($B8, '[1]Exp of flat'!$B$2:$X$31, $A$1, FALSE)</f>
        <v>10022</v>
      </c>
      <c r="Y8" s="1">
        <f>VLOOKUP($B8, '[1]Imp of flat'!$B$2:$X$31, $A$1, FALSE)</f>
        <v>5963</v>
      </c>
      <c r="Z8" s="1">
        <f>VLOOKUP($B8, '[1]Indirect exp'!$B$2:$X$31, $A$1, FALSE)</f>
        <v>12155.5</v>
      </c>
      <c r="AA8" s="1">
        <f>VLOOKUP($B8, '[1]Indirect imp'!$B$2:$X$31, $A$1, FALSE)</f>
        <v>1778.5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407</v>
      </c>
      <c r="D9" s="1">
        <f>VLOOKUP($B9, '[1]Pro of iron ore'!$B$2:$X$31, $A$1, FALSE)*(1-VLOOKUP($B9, '[1]Foundry share'!$B$2:$X$31, $A$1, FALSE))</f>
        <v>232</v>
      </c>
      <c r="E9" s="46">
        <f>VLOOKUP($B9, '[1]Iron content'!$B$2:$X$31, $A$1, FALSE)</f>
        <v>0.57002457002457008</v>
      </c>
      <c r="F9" s="1">
        <f>VLOOKUP($B9, '[1]Exp of usable iron ore'!$B$2:$X$31, $A$1, FALSE)*parameters!$B$12</f>
        <v>10.4</v>
      </c>
      <c r="G9" s="1">
        <f>VLOOKUP($B9, '[1]Pro of pig iron'!$B$2:$X$31, $A$1, FALSE)*(1-VLOOKUP($B9, '[1]Foundry share'!$B$2:$X$31, $A$1, FALSE))</f>
        <v>29184</v>
      </c>
      <c r="H9" s="1">
        <f>VLOOKUP($B9, '[1]Exp of pig iron'!$B$2:$X$31, $A$1, FALSE)</f>
        <v>75</v>
      </c>
      <c r="I9" s="1">
        <f>VLOOKUP($B9, '[1]Imp of pig iron'!$B$2:$X$31, $A$1, FALSE)</f>
        <v>281</v>
      </c>
      <c r="J9" s="1">
        <f>VLOOKUP($B9, '[1]Pro of DRI'!$B$2:$X$31, $A$1, FALSE)*(1-VLOOKUP($B9, '[1]Foundry share'!$B$2:$X$31, $A$1, FALSE))</f>
        <v>210</v>
      </c>
      <c r="K9" s="1">
        <f>VLOOKUP($B9, '[1]Exp of DRI'!$B$2:$X$31, $A$1, FALSE)</f>
        <v>0</v>
      </c>
      <c r="L9" s="1">
        <f>VLOOKUP($B9, '[1]Imp of DRI'!$B$2:$X$31, $A$1, FALSE)</f>
        <v>0</v>
      </c>
      <c r="M9" s="1">
        <f>VLOOKUP($B9, '[1]Exp of scrap'!$B$2:$X$31, $A$1, FALSE)</f>
        <v>6599</v>
      </c>
      <c r="N9" s="1">
        <f>VLOOKUP($B9, '[1]Imp of scrap'!$B$2:$X$31, $A$1, FALSE)</f>
        <v>3560</v>
      </c>
      <c r="O9" s="1">
        <f>VLOOKUP($B9, '[1]Pro of BOF steel'!$B$2:$X$31, $A$1, FALSE)</f>
        <v>31654</v>
      </c>
      <c r="P9" s="1">
        <f>VLOOKUP($B9, '[1]Pro of OHF steel'!$B$2:$X$31, $A$1, FALSE)</f>
        <v>0</v>
      </c>
      <c r="Q9" s="1">
        <f>VLOOKUP($B9, '[1]Pro of EAF steel'!$B$2:$X$31, $A$1, FALSE)</f>
        <v>13149</v>
      </c>
      <c r="R9" s="1">
        <f>VLOOKUP($B9, '[1]Exp of ingots and semis'!$B$2:$X$31, $A$1, FALSE)</f>
        <v>2032</v>
      </c>
      <c r="S9" s="1">
        <f>VLOOKUP($B9, '[1]Imp of ingots and semis'!$B$2:$X$31, $A$1, FALSE)</f>
        <v>1310</v>
      </c>
      <c r="T9" s="1">
        <f>VLOOKUP($B9, '[1]Pro of hr long'!$B$2:$X$31, $A$1, FALSE)+VLOOKUP($B9, '[1]Pro of seamless tubes'!$B$2:$X$31, $A$1, FALSE)</f>
        <v>13967</v>
      </c>
      <c r="U9" s="1">
        <f>VLOOKUP($B9, '[1]Exp of long'!$B$2:$X$31, $A$1, FALSE)</f>
        <v>6281</v>
      </c>
      <c r="V9" s="1">
        <f>VLOOKUP($B9, '[1]Imp of long'!$B$2:$X$31, $A$1, FALSE)</f>
        <v>6059</v>
      </c>
      <c r="W9" s="1">
        <f>VLOOKUP($B9, '[1]Pro of hr flat'!$B$2:$X$31, $A$1, FALSE)*parameters!$B$8</f>
        <v>23786.470839260313</v>
      </c>
      <c r="X9" s="1">
        <f>VLOOKUP($B9, '[1]Exp of flat'!$B$2:$X$31, $A$1, FALSE)</f>
        <v>12429</v>
      </c>
      <c r="Y9" s="1">
        <f>VLOOKUP($B9, '[1]Imp of flat'!$B$2:$X$31, $A$1, FALSE)</f>
        <v>9621</v>
      </c>
      <c r="Z9" s="1">
        <f>VLOOKUP($B9, '[1]Indirect exp'!$B$2:$X$31, $A$1, FALSE)</f>
        <v>19313</v>
      </c>
      <c r="AA9" s="1">
        <f>VLOOKUP($B9, '[1]Indirect imp'!$B$2:$X$31, $A$1, FALSE)</f>
        <v>13592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3932</v>
      </c>
      <c r="D10" s="1">
        <f>VLOOKUP($B10, '[1]Pro of iron ore'!$B$2:$X$31, $A$1, FALSE)*(1-VLOOKUP($B10, '[1]Foundry share'!$B$2:$X$31, $A$1, FALSE))</f>
        <v>2100</v>
      </c>
      <c r="E10" s="46">
        <f>VLOOKUP($B10, '[1]Iron content'!$B$2:$X$31, $A$1, FALSE)</f>
        <v>0.53407934893184128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5289</v>
      </c>
      <c r="H10" s="1">
        <f>VLOOKUP($B10, '[1]Exp of pig iron'!$B$2:$X$31, $A$1, FALSE)</f>
        <v>109</v>
      </c>
      <c r="I10" s="1">
        <f>VLOOKUP($B10, '[1]Imp of pig iron'!$B$2:$X$31, $A$1, FALSE)</f>
        <v>208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0</v>
      </c>
      <c r="M10" s="1">
        <f>VLOOKUP($B10, '[1]Exp of scrap'!$B$2:$X$31, $A$1, FALSE)</f>
        <v>0</v>
      </c>
      <c r="N10" s="1">
        <f>VLOOKUP($B10, '[1]Imp of scrap'!$B$2:$X$31, $A$1, FALSE)</f>
        <v>9850</v>
      </c>
      <c r="O10" s="1">
        <f>VLOOKUP($B10, '[1]Pro of BOF steel'!$B$2:$X$31, $A$1, FALSE)</f>
        <v>5277</v>
      </c>
      <c r="P10" s="1">
        <f>VLOOKUP($B10, '[1]Pro of OHF steel'!$B$2:$X$31, $A$1, FALSE)</f>
        <v>0</v>
      </c>
      <c r="Q10" s="1">
        <f>VLOOKUP($B10, '[1]Pro of EAF steel'!$B$2:$X$31, $A$1, FALSE)</f>
        <v>9703</v>
      </c>
      <c r="R10" s="1">
        <f>VLOOKUP($B10, '[1]Exp of ingots and semis'!$B$2:$X$31, $A$1, FALSE)</f>
        <v>2266</v>
      </c>
      <c r="S10" s="1">
        <f>VLOOKUP($B10, '[1]Imp of ingots and semis'!$B$2:$X$31, $A$1, FALSE)</f>
        <v>2583</v>
      </c>
      <c r="T10" s="1">
        <f>VLOOKUP($B10, '[1]Pro of hr long'!$B$2:$X$31, $A$1, FALSE)+VLOOKUP($B10, '[1]Pro of seamless tubes'!$B$2:$X$31, $A$1, FALSE)</f>
        <v>10200</v>
      </c>
      <c r="U10" s="1">
        <f>VLOOKUP($B10, '[1]Exp of long'!$B$2:$X$31, $A$1, FALSE)</f>
        <v>6032</v>
      </c>
      <c r="V10" s="1">
        <f>VLOOKUP($B10, '[1]Imp of long'!$B$2:$X$31, $A$1, FALSE)</f>
        <v>321</v>
      </c>
      <c r="W10" s="1">
        <f>VLOOKUP($B10, '[1]Pro of hr flat'!$B$2:$X$31, $A$1, FALSE)*parameters!$B$8</f>
        <v>4142.5262228172451</v>
      </c>
      <c r="X10" s="1">
        <f>VLOOKUP($B10, '[1]Exp of flat'!$B$2:$X$31, $A$1, FALSE)</f>
        <v>1379</v>
      </c>
      <c r="Y10" s="1">
        <f>VLOOKUP($B10, '[1]Imp of flat'!$B$2:$X$31, $A$1, FALSE)</f>
        <v>2558</v>
      </c>
      <c r="Z10" s="1">
        <f>VLOOKUP($B10, '[1]Indirect exp'!$B$2:$X$31, $A$1, FALSE)</f>
        <v>1446</v>
      </c>
      <c r="AA10" s="1">
        <f>VLOOKUP($B10, '[1]Indirect imp'!$B$2:$X$31, $A$1, FALSE)</f>
        <v>1337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201430</v>
      </c>
      <c r="D11" s="1">
        <f>VLOOKUP($B11, '[1]Pro of iron ore'!$B$2:$X$31, $A$1, FALSE)*(1-VLOOKUP($B11, '[1]Foundry share'!$B$2:$X$31, $A$1, FALSE))</f>
        <v>133713</v>
      </c>
      <c r="E11" s="46">
        <f>VLOOKUP($B11, '[1]Iron content'!$B$2:$X$31, $A$1, FALSE)</f>
        <v>0.66381869632130264</v>
      </c>
      <c r="F11" s="1">
        <f>VLOOKUP($B11, '[1]Exp of usable iron ore'!$B$2:$X$31, $A$1, FALSE)*parameters!$B$12</f>
        <v>101231.65000000001</v>
      </c>
      <c r="G11" s="1">
        <f>VLOOKUP($B11, '[1]Pro of pig iron'!$B$2:$X$31, $A$1, FALSE)*(1-VLOOKUP($B11, '[1]Foundry share'!$B$2:$X$31, $A$1, FALSE))</f>
        <v>27391</v>
      </c>
      <c r="H11" s="1">
        <f>VLOOKUP($B11, '[1]Exp of pig iron'!$B$2:$X$31, $A$1, FALSE)</f>
        <v>4135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340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13</v>
      </c>
      <c r="N11" s="1">
        <f>VLOOKUP($B11, '[1]Imp of scrap'!$B$2:$X$31, $A$1, FALSE)</f>
        <v>11</v>
      </c>
      <c r="O11" s="1">
        <f>VLOOKUP($B11, '[1]Pro of BOF steel'!$B$2:$X$31, $A$1, FALSE)</f>
        <v>20830</v>
      </c>
      <c r="P11" s="1">
        <f>VLOOKUP($B11, '[1]Pro of OHF steel'!$B$2:$X$31, $A$1, FALSE)</f>
        <v>0</v>
      </c>
      <c r="Q11" s="1">
        <f>VLOOKUP($B11, '[1]Pro of EAF steel'!$B$2:$X$31, $A$1, FALSE)</f>
        <v>5403</v>
      </c>
      <c r="R11" s="1">
        <f>VLOOKUP($B11, '[1]Exp of ingots and semis'!$B$2:$X$31, $A$1, FALSE)</f>
        <v>6365</v>
      </c>
      <c r="S11" s="1">
        <f>VLOOKUP($B11, '[1]Imp of ingots and semis'!$B$2:$X$31, $A$1, FALSE)</f>
        <v>74</v>
      </c>
      <c r="T11" s="1">
        <f>VLOOKUP($B11, '[1]Pro of hr long'!$B$2:$X$31, $A$1, FALSE)+VLOOKUP($B11, '[1]Pro of seamless tubes'!$B$2:$X$31, $A$1, FALSE)</f>
        <v>7425</v>
      </c>
      <c r="U11" s="1">
        <f>VLOOKUP($B11, '[1]Exp of long'!$B$2:$X$31, $A$1, FALSE)</f>
        <v>934</v>
      </c>
      <c r="V11" s="1">
        <f>VLOOKUP($B11, '[1]Imp of long'!$B$2:$X$31, $A$1, FALSE)</f>
        <v>295</v>
      </c>
      <c r="W11" s="1">
        <f>VLOOKUP($B11, '[1]Pro of hr flat'!$B$2:$X$31, $A$1, FALSE)*parameters!$B$8</f>
        <v>10345.069701280228</v>
      </c>
      <c r="X11" s="1">
        <f>VLOOKUP($B11, '[1]Exp of flat'!$B$2:$X$31, $A$1, FALSE)</f>
        <v>1550</v>
      </c>
      <c r="Y11" s="1">
        <f>VLOOKUP($B11, '[1]Imp of flat'!$B$2:$X$31, $A$1, FALSE)</f>
        <v>645</v>
      </c>
      <c r="Z11" s="1">
        <f>VLOOKUP($B11, '[1]Indirect exp'!$B$2:$X$31, $A$1, FALSE)</f>
        <v>1717.5</v>
      </c>
      <c r="AA11" s="1">
        <f>VLOOKUP($B11, '[1]Indirect imp'!$B$2:$X$31, $A$1, FALSE)</f>
        <v>1043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8191.4700726627689</v>
      </c>
      <c r="D12" s="1">
        <f>VLOOKUP($B12, '[1]Pro of iron ore'!$B$2:$X$31, $A$1, FALSE)*(1-VLOOKUP($B12, '[1]Foundry share'!$B$2:$X$31, $A$1, FALSE))</f>
        <v>4055.970618502924</v>
      </c>
      <c r="E12" s="46">
        <f>VLOOKUP($B12, '[1]Iron content'!$B$2:$X$31, $A$1, FALSE)</f>
        <v>0.49514563106796117</v>
      </c>
      <c r="F12" s="1">
        <f>VLOOKUP($B12, '[1]Exp of usable iron ore'!$B$2:$X$31, $A$1, FALSE)*parameters!$B$12</f>
        <v>8.4500000000000011</v>
      </c>
      <c r="G12" s="1">
        <f>VLOOKUP($B12, '[1]Pro of pig iron'!$B$2:$X$31, $A$1, FALSE)*(1-VLOOKUP($B12, '[1]Foundry share'!$B$2:$X$31, $A$1, FALSE))</f>
        <v>1736.1144823905654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3975.6464944894351</v>
      </c>
      <c r="K12" s="1">
        <f>VLOOKUP($B12, '[1]Exp of DRI'!$B$2:$X$31, $A$1, FALSE)</f>
        <v>0</v>
      </c>
      <c r="L12" s="1">
        <f>VLOOKUP($B12, '[1]Imp of DRI'!$B$2:$X$31, $A$1, FALSE)</f>
        <v>0</v>
      </c>
      <c r="M12" s="1">
        <f>VLOOKUP($B12, '[1]Exp of scrap'!$B$2:$X$31, $A$1, FALSE)</f>
        <v>0</v>
      </c>
      <c r="N12" s="1">
        <f>VLOOKUP($B12, '[1]Imp of scrap'!$B$2:$X$31, $A$1, FALSE)</f>
        <v>14</v>
      </c>
      <c r="O12" s="1">
        <f>VLOOKUP($B12, '[1]Pro of BOF steel'!$B$2:$X$31, $A$1, FALSE)</f>
        <v>2172</v>
      </c>
      <c r="P12" s="1">
        <f>VLOOKUP($B12, '[1]Pro of OHF steel'!$B$2:$X$31, $A$1, FALSE)</f>
        <v>0</v>
      </c>
      <c r="Q12" s="1">
        <f>VLOOKUP($B12, '[1]Pro of EAF steel'!$B$2:$X$31, $A$1, FALSE)</f>
        <v>4768</v>
      </c>
      <c r="R12" s="1">
        <f>VLOOKUP($B12, '[1]Exp of ingots and semis'!$B$2:$X$31, $A$1, FALSE)</f>
        <v>0</v>
      </c>
      <c r="S12" s="1">
        <f>VLOOKUP($B12, '[1]Imp of ingots and semis'!$B$2:$X$31, $A$1, FALSE)</f>
        <v>836</v>
      </c>
      <c r="T12" s="1">
        <f>VLOOKUP($B12, '[1]Pro of hr long'!$B$2:$X$31, $A$1, FALSE)+VLOOKUP($B12, '[1]Pro of seamless tubes'!$B$2:$X$31, $A$1, FALSE)</f>
        <v>3151</v>
      </c>
      <c r="U12" s="1">
        <f>VLOOKUP($B12, '[1]Exp of long'!$B$2:$X$31, $A$1, FALSE)</f>
        <v>0</v>
      </c>
      <c r="V12" s="1">
        <f>VLOOKUP($B12, '[1]Imp of long'!$B$2:$X$31, $A$1, FALSE)</f>
        <v>1434</v>
      </c>
      <c r="W12" s="1">
        <f>VLOOKUP($B12, '[1]Pro of hr flat'!$B$2:$X$31, $A$1, FALSE)*parameters!$B$8</f>
        <v>2716.4551920341396</v>
      </c>
      <c r="X12" s="1">
        <f>VLOOKUP($B12, '[1]Exp of flat'!$B$2:$X$31, $A$1, FALSE)</f>
        <v>0</v>
      </c>
      <c r="Y12" s="1">
        <f>VLOOKUP($B12, '[1]Imp of flat'!$B$2:$X$31, $A$1, FALSE)</f>
        <v>2094</v>
      </c>
      <c r="Z12" s="1">
        <f>VLOOKUP($B12, '[1]Indirect exp'!$B$2:$X$31, $A$1, FALSE)</f>
        <v>59</v>
      </c>
      <c r="AA12" s="1">
        <f>VLOOKUP($B12, '[1]Indirect imp'!$B$2:$X$31, $A$1, FALSE)</f>
        <v>868.5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6">
        <f>VLOOKUP($B13, '[1]Iron content'!$B$2:$X$31, $A$1, FALSE)</f>
        <v>0</v>
      </c>
      <c r="F13" s="1">
        <f>VLOOKUP($B13, '[1]Exp of usable iron ore'!$B$2:$X$31, $A$1, FALSE)*parameters!$B$12</f>
        <v>0.65</v>
      </c>
      <c r="G13" s="1">
        <f>VLOOKUP($B13, '[1]Pro of pig iron'!$B$2:$X$31, $A$1, FALSE)*(1-VLOOKUP($B13, '[1]Foundry share'!$B$2:$X$31, $A$1, FALSE))</f>
        <v>11220</v>
      </c>
      <c r="H13" s="1">
        <f>VLOOKUP($B13, '[1]Exp of pig iron'!$B$2:$X$31, $A$1, FALSE)</f>
        <v>47</v>
      </c>
      <c r="I13" s="1">
        <f>VLOOKUP($B13, '[1]Imp of pig iron'!$B$2:$X$31, $A$1, FALSE)</f>
        <v>1308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0</v>
      </c>
      <c r="M13" s="1">
        <f>VLOOKUP($B13, '[1]Exp of scrap'!$B$2:$X$31, $A$1, FALSE)</f>
        <v>151</v>
      </c>
      <c r="N13" s="1">
        <f>VLOOKUP($B13, '[1]Imp of scrap'!$B$2:$X$31, $A$1, FALSE)</f>
        <v>4349</v>
      </c>
      <c r="O13" s="1">
        <f>VLOOKUP($B13, '[1]Pro of BOF steel'!$B$2:$X$31, $A$1, FALSE)</f>
        <v>10010</v>
      </c>
      <c r="P13" s="1">
        <f>VLOOKUP($B13, '[1]Pro of OHF steel'!$B$2:$X$31, $A$1, FALSE)</f>
        <v>0</v>
      </c>
      <c r="Q13" s="1">
        <f>VLOOKUP($B13, '[1]Pro of EAF steel'!$B$2:$X$31, $A$1, FALSE)</f>
        <v>16535</v>
      </c>
      <c r="R13" s="1">
        <f>VLOOKUP($B13, '[1]Exp of ingots and semis'!$B$2:$X$31, $A$1, FALSE)</f>
        <v>770</v>
      </c>
      <c r="S13" s="1">
        <f>VLOOKUP($B13, '[1]Imp of ingots and semis'!$B$2:$X$31, $A$1, FALSE)</f>
        <v>2271</v>
      </c>
      <c r="T13" s="1">
        <f>VLOOKUP($B13, '[1]Pro of hr long'!$B$2:$X$31, $A$1, FALSE)+VLOOKUP($B13, '[1]Pro of seamless tubes'!$B$2:$X$31, $A$1, FALSE)</f>
        <v>14351</v>
      </c>
      <c r="U13" s="1">
        <f>VLOOKUP($B13, '[1]Exp of long'!$B$2:$X$31, $A$1, FALSE)</f>
        <v>4485</v>
      </c>
      <c r="V13" s="1">
        <f>VLOOKUP($B13, '[1]Imp of long'!$B$2:$X$31, $A$1, FALSE)</f>
        <v>2426</v>
      </c>
      <c r="W13" s="1">
        <f>VLOOKUP($B13, '[1]Pro of hr flat'!$B$2:$X$31, $A$1, FALSE)*parameters!$B$8</f>
        <v>9372.5476529160733</v>
      </c>
      <c r="X13" s="1">
        <f>VLOOKUP($B13, '[1]Exp of flat'!$B$2:$X$31, $A$1, FALSE)</f>
        <v>3962</v>
      </c>
      <c r="Y13" s="1">
        <f>VLOOKUP($B13, '[1]Imp of flat'!$B$2:$X$31, $A$1, FALSE)</f>
        <v>11673</v>
      </c>
      <c r="Z13" s="1">
        <f>VLOOKUP($B13, '[1]Indirect exp'!$B$2:$X$31, $A$1, FALSE)</f>
        <v>10880.5</v>
      </c>
      <c r="AA13" s="1">
        <f>VLOOKUP($B13, '[1]Indirect imp'!$B$2:$X$31, $A$1, FALSE)</f>
        <v>6331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54650</v>
      </c>
      <c r="D14" s="1">
        <f>VLOOKUP($B14, '[1]Pro of iron ore'!$B$2:$X$31, $A$1, FALSE)*(1-VLOOKUP($B14, '[1]Foundry share'!$B$2:$X$31, $A$1, FALSE))</f>
        <v>30000</v>
      </c>
      <c r="E14" s="46">
        <f>VLOOKUP($B14, '[1]Iron content'!$B$2:$X$31, $A$1, FALSE)</f>
        <v>0.54894784995425439</v>
      </c>
      <c r="F14" s="1">
        <f>VLOOKUP($B14, '[1]Exp of usable iron ore'!$B$2:$X$31, $A$1, FALSE)*parameters!$B$12</f>
        <v>11783.85</v>
      </c>
      <c r="G14" s="1">
        <f>VLOOKUP($B14, '[1]Pro of pig iron'!$B$2:$X$31, $A$1, FALSE)*(1-VLOOKUP($B14, '[1]Foundry share'!$B$2:$X$31, $A$1, FALSE))</f>
        <v>26364</v>
      </c>
      <c r="H14" s="1">
        <f>VLOOKUP($B14, '[1]Exp of pig iron'!$B$2:$X$31, $A$1, FALSE)</f>
        <v>0</v>
      </c>
      <c r="I14" s="1">
        <f>VLOOKUP($B14, '[1]Imp of pig iron'!$B$2:$X$31, $A$1, FALSE)</f>
        <v>0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0</v>
      </c>
      <c r="M14" s="1">
        <f>VLOOKUP($B14, '[1]Exp of scrap'!$B$2:$X$31, $A$1, FALSE)</f>
        <v>4510</v>
      </c>
      <c r="N14" s="1">
        <f>VLOOKUP($B14, '[1]Imp of scrap'!$B$2:$X$31, $A$1, FALSE)</f>
        <v>0</v>
      </c>
      <c r="O14" s="1">
        <f>VLOOKUP($B14, '[1]Pro of BOF steel'!$B$2:$X$31, $A$1, FALSE)</f>
        <v>16223</v>
      </c>
      <c r="P14" s="1">
        <f>VLOOKUP($B14, '[1]Pro of OHF steel'!$B$2:$X$31, $A$1, FALSE)</f>
        <v>15958</v>
      </c>
      <c r="Q14" s="1">
        <f>VLOOKUP($B14, '[1]Pro of EAF steel'!$B$2:$X$31, $A$1, FALSE)</f>
        <v>927</v>
      </c>
      <c r="R14" s="1">
        <f>VLOOKUP($B14, '[1]Exp of ingots and semis'!$B$2:$X$31, $A$1, FALSE)</f>
        <v>9182</v>
      </c>
      <c r="S14" s="1">
        <f>VLOOKUP($B14, '[1]Imp of ingots and semis'!$B$2:$X$31, $A$1, FALSE)</f>
        <v>25</v>
      </c>
      <c r="T14" s="1">
        <f>VLOOKUP($B14, '[1]Pro of hr long'!$B$2:$X$31, $A$1, FALSE)+VLOOKUP($B14, '[1]Pro of seamless tubes'!$B$2:$X$31, $A$1, FALSE)</f>
        <v>15650</v>
      </c>
      <c r="U14" s="1">
        <f>VLOOKUP($B14, '[1]Exp of long'!$B$2:$X$31, $A$1, FALSE)</f>
        <v>6786</v>
      </c>
      <c r="V14" s="1">
        <f>VLOOKUP($B14, '[1]Imp of long'!$B$2:$X$31, $A$1, FALSE)</f>
        <v>0</v>
      </c>
      <c r="W14" s="1">
        <f>VLOOKUP($B14, '[1]Pro of hr flat'!$B$2:$X$31, $A$1, FALSE)*parameters!$B$8</f>
        <v>9344.3726884779517</v>
      </c>
      <c r="X14" s="1">
        <f>VLOOKUP($B14, '[1]Exp of flat'!$B$2:$X$31, $A$1, FALSE)</f>
        <v>7255</v>
      </c>
      <c r="Y14" s="1">
        <f>VLOOKUP($B14, '[1]Imp of flat'!$B$2:$X$31, $A$1, FALSE)</f>
        <v>0</v>
      </c>
      <c r="Z14" s="1">
        <f>VLOOKUP($B14, '[1]Indirect exp'!$B$2:$X$31, $A$1, FALSE)</f>
        <v>999</v>
      </c>
      <c r="AA14" s="1">
        <f>VLOOKUP($B14, '[1]Indirect imp'!$B$2:$X$31, $A$1, FALSE)</f>
        <v>484.5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8783</v>
      </c>
      <c r="D15" s="1">
        <f>VLOOKUP($B15, '[1]Pro of iron ore'!$B$2:$X$31, $A$1, FALSE)*(1-VLOOKUP($B15, '[1]Foundry share'!$B$2:$X$31, $A$1, FALSE))</f>
        <v>5270</v>
      </c>
      <c r="E15" s="46">
        <f>VLOOKUP($B15, '[1]Iron content'!$B$2:$X$31, $A$1, FALSE)</f>
        <v>0.60002277126266657</v>
      </c>
      <c r="F15" s="1">
        <f>VLOOKUP($B15, '[1]Exp of usable iron ore'!$B$2:$X$31, $A$1, FALSE)*parameters!$B$12</f>
        <v>334.75</v>
      </c>
      <c r="G15" s="1">
        <f>VLOOKUP($B15, '[1]Pro of pig iron'!$B$2:$X$31, $A$1, FALSE)*(1-VLOOKUP($B15, '[1]Foundry share'!$B$2:$X$31, $A$1, FALSE))</f>
        <v>4373</v>
      </c>
      <c r="H15" s="1">
        <f>VLOOKUP($B15, '[1]Exp of pig iron'!$B$2:$X$31, $A$1, FALSE)</f>
        <v>131</v>
      </c>
      <c r="I15" s="1">
        <f>VLOOKUP($B15, '[1]Imp of pig iron'!$B$2:$X$31, $A$1, FALSE)</f>
        <v>965</v>
      </c>
      <c r="J15" s="1">
        <f>VLOOKUP($B15, '[1]Pro of DRI'!$B$2:$X$31, $A$1, FALSE)*(1-VLOOKUP($B15, '[1]Foundry share'!$B$2:$X$31, $A$1, FALSE))</f>
        <v>3672</v>
      </c>
      <c r="K15" s="1">
        <f>VLOOKUP($B15, '[1]Exp of DRI'!$B$2:$X$31, $A$1, FALSE)</f>
        <v>0</v>
      </c>
      <c r="L15" s="1">
        <f>VLOOKUP($B15, '[1]Imp of DRI'!$B$2:$X$31, $A$1, FALSE)</f>
        <v>0</v>
      </c>
      <c r="M15" s="1">
        <f>VLOOKUP($B15, '[1]Exp of scrap'!$B$2:$X$31, $A$1, FALSE)</f>
        <v>183</v>
      </c>
      <c r="N15" s="1">
        <f>VLOOKUP($B15, '[1]Imp of scrap'!$B$2:$X$31, $A$1, FALSE)</f>
        <v>1547</v>
      </c>
      <c r="O15" s="1">
        <f>VLOOKUP($B15, '[1]Pro of BOF steel'!$B$2:$X$31, $A$1, FALSE)</f>
        <v>4771</v>
      </c>
      <c r="P15" s="1">
        <f>VLOOKUP($B15, '[1]Pro of OHF steel'!$B$2:$X$31, $A$1, FALSE)</f>
        <v>0</v>
      </c>
      <c r="Q15" s="1">
        <f>VLOOKUP($B15, '[1]Pro of EAF steel'!$B$2:$X$31, $A$1, FALSE)</f>
        <v>8529</v>
      </c>
      <c r="R15" s="1">
        <f>VLOOKUP($B15, '[1]Exp of ingots and semis'!$B$2:$X$31, $A$1, FALSE)</f>
        <v>1446</v>
      </c>
      <c r="S15" s="1">
        <f>VLOOKUP($B15, '[1]Imp of ingots and semis'!$B$2:$X$31, $A$1, FALSE)</f>
        <v>507</v>
      </c>
      <c r="T15" s="1">
        <f>VLOOKUP($B15, '[1]Pro of hr long'!$B$2:$X$31, $A$1, FALSE)+VLOOKUP($B15, '[1]Pro of seamless tubes'!$B$2:$X$31, $A$1, FALSE)</f>
        <v>6153</v>
      </c>
      <c r="U15" s="1">
        <f>VLOOKUP($B15, '[1]Exp of long'!$B$2:$X$31, $A$1, FALSE)</f>
        <v>829</v>
      </c>
      <c r="V15" s="1">
        <f>VLOOKUP($B15, '[1]Imp of long'!$B$2:$X$31, $A$1, FALSE)</f>
        <v>1314</v>
      </c>
      <c r="W15" s="1">
        <f>VLOOKUP($B15, '[1]Pro of hr flat'!$B$2:$X$31, $A$1, FALSE)*parameters!$B$8</f>
        <v>4888.8421052631575</v>
      </c>
      <c r="X15" s="1">
        <f>VLOOKUP($B15, '[1]Exp of flat'!$B$2:$X$31, $A$1, FALSE)</f>
        <v>842</v>
      </c>
      <c r="Y15" s="1">
        <f>VLOOKUP($B15, '[1]Imp of flat'!$B$2:$X$31, $A$1, FALSE)</f>
        <v>3104</v>
      </c>
      <c r="Z15" s="1">
        <f>VLOOKUP($B15, '[1]Indirect exp'!$B$2:$X$31, $A$1, FALSE)</f>
        <v>6363.5</v>
      </c>
      <c r="AA15" s="1">
        <f>VLOOKUP($B15, '[1]Indirect imp'!$B$2:$X$31, $A$1, FALSE)</f>
        <v>6910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75.969927644999999</v>
      </c>
      <c r="D16" s="1">
        <f>VLOOKUP($B16, '[1]Pro of iron ore'!$B$2:$X$31, $A$1, FALSE)*(1-VLOOKUP($B16, '[1]Foundry share'!$B$2:$X$31, $A$1, FALSE))</f>
        <v>41.78346020475</v>
      </c>
      <c r="E16" s="46">
        <f>VLOOKUP($B16, '[1]Iron content'!$B$2:$X$31, $A$1, FALSE)</f>
        <v>0.55000000000000004</v>
      </c>
      <c r="F16" s="1">
        <f>VLOOKUP($B16, '[1]Exp of usable iron ore'!$B$2:$X$31, $A$1, FALSE)*parameters!$B$12</f>
        <v>97.5</v>
      </c>
      <c r="G16" s="1">
        <f>VLOOKUP($B16, '[1]Pro of pig iron'!$B$2:$X$31, $A$1, FALSE)*(1-VLOOKUP($B16, '[1]Foundry share'!$B$2:$X$31, $A$1, FALSE))</f>
        <v>12.1551884232</v>
      </c>
      <c r="H16" s="1">
        <f>VLOOKUP($B16, '[1]Exp of pig iron'!$B$2:$X$31, $A$1, FALSE)</f>
        <v>0</v>
      </c>
      <c r="I16" s="1">
        <f>VLOOKUP($B16, '[1]Imp of pig iron'!$B$2:$X$31, $A$1, FALSE)</f>
        <v>0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0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319</v>
      </c>
      <c r="R16" s="1">
        <f>VLOOKUP($B16, '[1]Exp of ingots and semis'!$B$2:$X$31, $A$1, FALSE)</f>
        <v>0</v>
      </c>
      <c r="S16" s="1">
        <f>VLOOKUP($B16, '[1]Imp of ingots and semis'!$B$2:$X$31, $A$1, FALSE)</f>
        <v>1669</v>
      </c>
      <c r="T16" s="1">
        <f>VLOOKUP($B16, '[1]Pro of hr long'!$B$2:$X$31, $A$1, FALSE)+VLOOKUP($B16, '[1]Pro of seamless tubes'!$B$2:$X$31, $A$1, FALSE)</f>
        <v>1900</v>
      </c>
      <c r="U16" s="1">
        <f>VLOOKUP($B16, '[1]Exp of long'!$B$2:$X$31, $A$1, FALSE)</f>
        <v>0</v>
      </c>
      <c r="V16" s="1">
        <f>VLOOKUP($B16, '[1]Imp of long'!$B$2:$X$31, $A$1, FALSE)</f>
        <v>209</v>
      </c>
      <c r="W16" s="1">
        <f>VLOOKUP($B16, '[1]Pro of hr flat'!$B$2:$X$31, $A$1, FALSE)*parameters!$B$8</f>
        <v>0</v>
      </c>
      <c r="X16" s="1">
        <f>VLOOKUP($B16, '[1]Exp of flat'!$B$2:$X$31, $A$1, FALSE)</f>
        <v>0</v>
      </c>
      <c r="Y16" s="1">
        <f>VLOOKUP($B16, '[1]Imp of flat'!$B$2:$X$31, $A$1, FALSE)</f>
        <v>1591</v>
      </c>
      <c r="Z16" s="1">
        <f>VLOOKUP($B16, '[1]Indirect exp'!$B$2:$X$31, $A$1, FALSE)</f>
        <v>49</v>
      </c>
      <c r="AA16" s="1">
        <f>VLOOKUP($B16, '[1]Indirect imp'!$B$2:$X$31, $A$1, FALSE)</f>
        <v>374.5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6">
        <f>VLOOKUP($B17, '[1]Iron content'!$B$2:$X$31, $A$1, FALSE)</f>
        <v>0</v>
      </c>
      <c r="F17" s="1">
        <f>VLOOKUP($B17, '[1]Exp of usable iron ore'!$B$2:$X$31, $A$1, FALSE)*parameters!$B$12</f>
        <v>24.7</v>
      </c>
      <c r="G17" s="1">
        <f>VLOOKUP($B17, '[1]Pro of pig iron'!$B$2:$X$31, $A$1, FALSE)*(1-VLOOKUP($B17, '[1]Foundry share'!$B$2:$X$31, $A$1, FALSE))</f>
        <v>12298</v>
      </c>
      <c r="H17" s="1">
        <f>VLOOKUP($B17, '[1]Exp of pig iron'!$B$2:$X$31, $A$1, FALSE)</f>
        <v>4</v>
      </c>
      <c r="I17" s="1">
        <f>VLOOKUP($B17, '[1]Imp of pig iron'!$B$2:$X$31, $A$1, FALSE)</f>
        <v>236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0</v>
      </c>
      <c r="L17" s="1">
        <f>VLOOKUP($B17, '[1]Imp of DRI'!$B$2:$X$31, $A$1, FALSE)</f>
        <v>0</v>
      </c>
      <c r="M17" s="1">
        <f>VLOOKUP($B17, '[1]Exp of scrap'!$B$2:$X$31, $A$1, FALSE)</f>
        <v>4329</v>
      </c>
      <c r="N17" s="1">
        <f>VLOOKUP($B17, '[1]Imp of scrap'!$B$2:$X$31, $A$1, FALSE)</f>
        <v>2977</v>
      </c>
      <c r="O17" s="1">
        <f>VLOOKUP($B17, '[1]Pro of BOF steel'!$B$2:$X$31, $A$1, FALSE)</f>
        <v>11112</v>
      </c>
      <c r="P17" s="1">
        <f>VLOOKUP($B17, '[1]Pro of OHF steel'!$B$2:$X$31, $A$1, FALSE)</f>
        <v>0</v>
      </c>
      <c r="Q17" s="1">
        <f>VLOOKUP($B17, '[1]Pro of EAF steel'!$B$2:$X$31, $A$1, FALSE)</f>
        <v>8231</v>
      </c>
      <c r="R17" s="1">
        <f>VLOOKUP($B17, '[1]Exp of ingots and semis'!$B$2:$X$31, $A$1, FALSE)</f>
        <v>2627</v>
      </c>
      <c r="S17" s="1">
        <f>VLOOKUP($B17, '[1]Imp of ingots and semis'!$B$2:$X$31, $A$1, FALSE)</f>
        <v>2122</v>
      </c>
      <c r="T17" s="1">
        <f>VLOOKUP($B17, '[1]Pro of hr long'!$B$2:$X$31, $A$1, FALSE)+VLOOKUP($B17, '[1]Pro of seamless tubes'!$B$2:$X$31, $A$1, FALSE)</f>
        <v>5434</v>
      </c>
      <c r="U17" s="1">
        <f>VLOOKUP($B17, '[1]Exp of long'!$B$2:$X$31, $A$1, FALSE)</f>
        <v>3170</v>
      </c>
      <c r="V17" s="1">
        <f>VLOOKUP($B17, '[1]Imp of long'!$B$2:$X$31, $A$1, FALSE)</f>
        <v>3965</v>
      </c>
      <c r="W17" s="1">
        <f>VLOOKUP($B17, '[1]Pro of hr flat'!$B$2:$X$31, $A$1, FALSE)*parameters!$B$8</f>
        <v>11502.186344238975</v>
      </c>
      <c r="X17" s="1">
        <f>VLOOKUP($B17, '[1]Exp of flat'!$B$2:$X$31, $A$1, FALSE)</f>
        <v>9661</v>
      </c>
      <c r="Y17" s="1">
        <f>VLOOKUP($B17, '[1]Imp of flat'!$B$2:$X$31, $A$1, FALSE)</f>
        <v>8799</v>
      </c>
      <c r="Z17" s="1">
        <f>VLOOKUP($B17, '[1]Indirect exp'!$B$2:$X$31, $A$1, FALSE)</f>
        <v>9613</v>
      </c>
      <c r="AA17" s="1">
        <f>VLOOKUP($B17, '[1]Indirect imp'!$B$2:$X$31, $A$1, FALSE)</f>
        <v>9128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6">
        <f>VLOOKUP($B18, '[1]Iron content'!$B$2:$X$31, $A$1, FALSE)</f>
        <v>0</v>
      </c>
      <c r="F18" s="1">
        <f>VLOOKUP($B18, '[1]Exp of usable iron ore'!$B$2:$X$31, $A$1, FALSE)*parameters!$B$12</f>
        <v>1.3</v>
      </c>
      <c r="G18" s="1">
        <f>VLOOKUP($B18, '[1]Pro of pig iron'!$B$2:$X$31, $A$1, FALSE)*(1-VLOOKUP($B18, '[1]Foundry share'!$B$2:$X$31, $A$1, FALSE))</f>
        <v>4219</v>
      </c>
      <c r="H18" s="1">
        <f>VLOOKUP($B18, '[1]Exp of pig iron'!$B$2:$X$31, $A$1, FALSE)</f>
        <v>3</v>
      </c>
      <c r="I18" s="1">
        <f>VLOOKUP($B18, '[1]Imp of pig iron'!$B$2:$X$31, $A$1, FALSE)</f>
        <v>322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0</v>
      </c>
      <c r="L18" s="1">
        <f>VLOOKUP($B18, '[1]Imp of DRI'!$B$2:$X$31, $A$1, FALSE)</f>
        <v>0</v>
      </c>
      <c r="M18" s="1">
        <f>VLOOKUP($B18, '[1]Exp of scrap'!$B$2:$X$31, $A$1, FALSE)</f>
        <v>45</v>
      </c>
      <c r="N18" s="1">
        <f>VLOOKUP($B18, '[1]Imp of scrap'!$B$2:$X$31, $A$1, FALSE)</f>
        <v>6291</v>
      </c>
      <c r="O18" s="1">
        <f>VLOOKUP($B18, '[1]Pro of BOF steel'!$B$2:$X$31, $A$1, FALSE)</f>
        <v>4221</v>
      </c>
      <c r="P18" s="1">
        <f>VLOOKUP($B18, '[1]Pro of OHF steel'!$B$2:$X$31, $A$1, FALSE)</f>
        <v>0</v>
      </c>
      <c r="Q18" s="1">
        <f>VLOOKUP($B18, '[1]Pro of EAF steel'!$B$2:$X$31, $A$1, FALSE)</f>
        <v>12283</v>
      </c>
      <c r="R18" s="1">
        <f>VLOOKUP($B18, '[1]Exp of ingots and semis'!$B$2:$X$31, $A$1, FALSE)</f>
        <v>264</v>
      </c>
      <c r="S18" s="1">
        <f>VLOOKUP($B18, '[1]Imp of ingots and semis'!$B$2:$X$31, $A$1, FALSE)</f>
        <v>856</v>
      </c>
      <c r="T18" s="1">
        <f>VLOOKUP($B18, '[1]Pro of hr long'!$B$2:$X$31, $A$1, FALSE)+VLOOKUP($B18, '[1]Pro of seamless tubes'!$B$2:$X$31, $A$1, FALSE)</f>
        <v>9818</v>
      </c>
      <c r="U18" s="1">
        <f>VLOOKUP($B18, '[1]Exp of long'!$B$2:$X$31, $A$1, FALSE)</f>
        <v>2884</v>
      </c>
      <c r="V18" s="1">
        <f>VLOOKUP($B18, '[1]Imp of long'!$B$2:$X$31, $A$1, FALSE)</f>
        <v>2175</v>
      </c>
      <c r="W18" s="1">
        <f>VLOOKUP($B18, '[1]Pro of hr flat'!$B$2:$X$31, $A$1, FALSE)*parameters!$B$8</f>
        <v>5133.6728307254625</v>
      </c>
      <c r="X18" s="1">
        <f>VLOOKUP($B18, '[1]Exp of flat'!$B$2:$X$31, $A$1, FALSE)</f>
        <v>2115</v>
      </c>
      <c r="Y18" s="1">
        <f>VLOOKUP($B18, '[1]Imp of flat'!$B$2:$X$31, $A$1, FALSE)</f>
        <v>6497</v>
      </c>
      <c r="Z18" s="1">
        <f>VLOOKUP($B18, '[1]Indirect exp'!$B$2:$X$31, $A$1, FALSE)</f>
        <v>6367.5</v>
      </c>
      <c r="AA18" s="1">
        <f>VLOOKUP($B18, '[1]Indirect imp'!$B$2:$X$31, $A$1, FALSE)</f>
        <v>5971.5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27119</v>
      </c>
      <c r="D19" s="1">
        <f>VLOOKUP($B19, '[1]Pro of iron ore'!$B$2:$X$31, $A$1, FALSE)*(1-VLOOKUP($B19, '[1]Foundry share'!$B$2:$X$31, $A$1, FALSE))</f>
        <v>17274</v>
      </c>
      <c r="E19" s="46">
        <f>VLOOKUP($B19, '[1]Iron content'!$B$2:$X$31, $A$1, FALSE)</f>
        <v>0.6369703897636344</v>
      </c>
      <c r="F19" s="1">
        <f>VLOOKUP($B19, '[1]Exp of usable iron ore'!$B$2:$X$31, $A$1, FALSE)*parameters!$B$12</f>
        <v>14287.65</v>
      </c>
      <c r="G19" s="1">
        <f>VLOOKUP($B19, '[1]Pro of pig iron'!$B$2:$X$31, $A$1, FALSE)*(1-VLOOKUP($B19, '[1]Foundry share'!$B$2:$X$31, $A$1, FALSE))</f>
        <v>8302</v>
      </c>
      <c r="H19" s="1">
        <f>VLOOKUP($B19, '[1]Exp of pig iron'!$B$2:$X$31, $A$1, FALSE)</f>
        <v>125</v>
      </c>
      <c r="I19" s="1">
        <f>VLOOKUP($B19, '[1]Imp of pig iron'!$B$2:$X$31, $A$1, FALSE)</f>
        <v>98</v>
      </c>
      <c r="J19" s="1">
        <f>VLOOKUP($B19, '[1]Pro of DRI'!$B$2:$X$31, $A$1, FALSE)*(1-VLOOKUP($B19, '[1]Foundry share'!$B$2:$X$31, $A$1, FALSE))</f>
        <v>0</v>
      </c>
      <c r="K19" s="1">
        <f>VLOOKUP($B19, '[1]Exp of DRI'!$B$2:$X$31, $A$1, FALSE)</f>
        <v>0</v>
      </c>
      <c r="L19" s="1">
        <f>VLOOKUP($B19, '[1]Imp of DRI'!$B$2:$X$31, $A$1, FALSE)</f>
        <v>0</v>
      </c>
      <c r="M19" s="1">
        <f>VLOOKUP($B19, '[1]Exp of scrap'!$B$2:$X$31, $A$1, FALSE)</f>
        <v>1933</v>
      </c>
      <c r="N19" s="1">
        <f>VLOOKUP($B19, '[1]Imp of scrap'!$B$2:$X$31, $A$1, FALSE)</f>
        <v>1097</v>
      </c>
      <c r="O19" s="1">
        <f>VLOOKUP($B19, '[1]Pro of BOF steel'!$B$2:$X$31, $A$1, FALSE)</f>
        <v>8836</v>
      </c>
      <c r="P19" s="1">
        <f>VLOOKUP($B19, '[1]Pro of OHF steel'!$B$2:$X$31, $A$1, FALSE)</f>
        <v>0</v>
      </c>
      <c r="Q19" s="1">
        <f>VLOOKUP($B19, '[1]Pro of EAF steel'!$B$2:$X$31, $A$1, FALSE)</f>
        <v>6440</v>
      </c>
      <c r="R19" s="1">
        <f>VLOOKUP($B19, '[1]Exp of ingots and semis'!$B$2:$X$31, $A$1, FALSE)</f>
        <v>233</v>
      </c>
      <c r="S19" s="1">
        <f>VLOOKUP($B19, '[1]Imp of ingots and semis'!$B$2:$X$31, $A$1, FALSE)</f>
        <v>421</v>
      </c>
      <c r="T19" s="1">
        <f>VLOOKUP($B19, '[1]Pro of hr long'!$B$2:$X$31, $A$1, FALSE)+VLOOKUP($B19, '[1]Pro of seamless tubes'!$B$2:$X$31, $A$1, FALSE)</f>
        <v>3771</v>
      </c>
      <c r="U19" s="1">
        <f>VLOOKUP($B19, '[1]Exp of long'!$B$2:$X$31, $A$1, FALSE)</f>
        <v>1907</v>
      </c>
      <c r="V19" s="1">
        <f>VLOOKUP($B19, '[1]Imp of long'!$B$2:$X$31, $A$1, FALSE)</f>
        <v>2185</v>
      </c>
      <c r="W19" s="1">
        <f>VLOOKUP($B19, '[1]Pro of hr flat'!$B$2:$X$31, $A$1, FALSE)*parameters!$B$8</f>
        <v>9772.8264580369851</v>
      </c>
      <c r="X19" s="1">
        <f>VLOOKUP($B19, '[1]Exp of flat'!$B$2:$X$31, $A$1, FALSE)</f>
        <v>1542</v>
      </c>
      <c r="Y19" s="1">
        <f>VLOOKUP($B19, '[1]Imp of flat'!$B$2:$X$31, $A$1, FALSE)</f>
        <v>2730</v>
      </c>
      <c r="Z19" s="1">
        <f>VLOOKUP($B19, '[1]Indirect exp'!$B$2:$X$31, $A$1, FALSE)</f>
        <v>7756</v>
      </c>
      <c r="AA19" s="1">
        <f>VLOOKUP($B19, '[1]Indirect imp'!$B$2:$X$31, $A$1, FALSE)</f>
        <v>8508.5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353.44959185025965</v>
      </c>
      <c r="D20" s="1">
        <f>VLOOKUP($B20, '[1]Pro of iron ore'!$B$2:$X$31, $A$1, FALSE)*(1-VLOOKUP($B20, '[1]Foundry share'!$B$2:$X$31, $A$1, FALSE))</f>
        <v>194.27920195614391</v>
      </c>
      <c r="E20" s="46">
        <f>VLOOKUP($B20, '[1]Iron content'!$B$2:$X$31, $A$1, FALSE)</f>
        <v>0.54966593946004916</v>
      </c>
      <c r="F20" s="1">
        <f>VLOOKUP($B20, '[1]Exp of usable iron ore'!$B$2:$X$31, $A$1, FALSE)*parameters!$B$12</f>
        <v>91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0</v>
      </c>
      <c r="I20" s="1">
        <f>VLOOKUP($B20, '[1]Imp of pig iron'!$B$2:$X$31, $A$1, FALSE)</f>
        <v>63</v>
      </c>
      <c r="J20" s="1">
        <f>VLOOKUP($B20, '[1]Pro of DRI'!$B$2:$X$31, $A$1, FALSE)*(1-VLOOKUP($B20, '[1]Foundry share'!$B$2:$X$31, $A$1, FALSE))</f>
        <v>1119.7409818169999</v>
      </c>
      <c r="K20" s="1">
        <f>VLOOKUP($B20, '[1]Exp of DRI'!$B$2:$X$31, $A$1, FALSE)</f>
        <v>0</v>
      </c>
      <c r="L20" s="1">
        <f>VLOOKUP($B20, '[1]Imp of DRI'!$B$2:$X$31, $A$1, FALSE)</f>
        <v>0</v>
      </c>
      <c r="M20" s="1">
        <f>VLOOKUP($B20, '[1]Exp of scrap'!$B$2:$X$31, $A$1, FALSE)</f>
        <v>0</v>
      </c>
      <c r="N20" s="1">
        <f>VLOOKUP($B20, '[1]Imp of scrap'!$B$2:$X$31, $A$1, FALSE)</f>
        <v>1438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2781</v>
      </c>
      <c r="R20" s="1">
        <f>VLOOKUP($B20, '[1]Exp of ingots and semis'!$B$2:$X$31, $A$1, FALSE)</f>
        <v>4</v>
      </c>
      <c r="S20" s="1">
        <f>VLOOKUP($B20, '[1]Imp of ingots and semis'!$B$2:$X$31, $A$1, FALSE)</f>
        <v>1089</v>
      </c>
      <c r="T20" s="1">
        <f>VLOOKUP($B20, '[1]Pro of hr long'!$B$2:$X$31, $A$1, FALSE)+VLOOKUP($B20, '[1]Pro of seamless tubes'!$B$2:$X$31, $A$1, FALSE)</f>
        <v>2020</v>
      </c>
      <c r="U20" s="1">
        <f>VLOOKUP($B20, '[1]Exp of long'!$B$2:$X$31, $A$1, FALSE)</f>
        <v>351</v>
      </c>
      <c r="V20" s="1">
        <f>VLOOKUP($B20, '[1]Imp of long'!$B$2:$X$31, $A$1, FALSE)</f>
        <v>325</v>
      </c>
      <c r="W20" s="1">
        <f>VLOOKUP($B20, '[1]Pro of hr flat'!$B$2:$X$31, $A$1, FALSE)*parameters!$B$8</f>
        <v>1997.5078236130867</v>
      </c>
      <c r="X20" s="1">
        <f>VLOOKUP($B20, '[1]Exp of flat'!$B$2:$X$31, $A$1, FALSE)</f>
        <v>406</v>
      </c>
      <c r="Y20" s="1">
        <f>VLOOKUP($B20, '[1]Imp of flat'!$B$2:$X$31, $A$1, FALSE)</f>
        <v>1265</v>
      </c>
      <c r="Z20" s="1">
        <f>VLOOKUP($B20, '[1]Indirect exp'!$B$2:$X$31, $A$1, FALSE)</f>
        <v>638.5</v>
      </c>
      <c r="AA20" s="1">
        <f>VLOOKUP($B20, '[1]Indirect imp'!$B$2:$X$31, $A$1, FALSE)</f>
        <v>1509.5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6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5440</v>
      </c>
      <c r="H21" s="1">
        <f>VLOOKUP($B21, '[1]Exp of pig iron'!$B$2:$X$31, $A$1, FALSE)</f>
        <v>45</v>
      </c>
      <c r="I21" s="1">
        <f>VLOOKUP($B21, '[1]Imp of pig iron'!$B$2:$X$31, $A$1, FALSE)</f>
        <v>0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0</v>
      </c>
      <c r="N21" s="1">
        <f>VLOOKUP($B21, '[1]Imp of scrap'!$B$2:$X$31, $A$1, FALSE)</f>
        <v>114</v>
      </c>
      <c r="O21" s="1">
        <f>VLOOKUP($B21, '[1]Pro of BOF steel'!$B$2:$X$31, $A$1, FALSE)</f>
        <v>5823</v>
      </c>
      <c r="P21" s="1">
        <f>VLOOKUP($B21, '[1]Pro of OHF steel'!$B$2:$X$31, $A$1, FALSE)</f>
        <v>0</v>
      </c>
      <c r="Q21" s="1">
        <f>VLOOKUP($B21, '[1]Pro of EAF steel'!$B$2:$X$31, $A$1, FALSE)</f>
        <v>2814</v>
      </c>
      <c r="R21" s="1">
        <f>VLOOKUP($B21, '[1]Exp of ingots and semis'!$B$2:$X$31, $A$1, FALSE)</f>
        <v>949</v>
      </c>
      <c r="S21" s="1">
        <f>VLOOKUP($B21, '[1]Imp of ingots and semis'!$B$2:$X$31, $A$1, FALSE)</f>
        <v>42</v>
      </c>
      <c r="T21" s="1">
        <f>VLOOKUP($B21, '[1]Pro of hr long'!$B$2:$X$31, $A$1, FALSE)+VLOOKUP($B21, '[1]Pro of seamless tubes'!$B$2:$X$31, $A$1, FALSE)</f>
        <v>4118.3333333333339</v>
      </c>
      <c r="U21" s="1">
        <f>VLOOKUP($B21, '[1]Exp of long'!$B$2:$X$31, $A$1, FALSE)</f>
        <v>1998</v>
      </c>
      <c r="V21" s="1">
        <f>VLOOKUP($B21, '[1]Imp of long'!$B$2:$X$31, $A$1, FALSE)</f>
        <v>664</v>
      </c>
      <c r="W21" s="1">
        <f>VLOOKUP($B21, '[1]Pro of hr flat'!$B$2:$X$31, $A$1, FALSE)*parameters!$B$8</f>
        <v>3316.225699383594</v>
      </c>
      <c r="X21" s="1">
        <f>VLOOKUP($B21, '[1]Exp of flat'!$B$2:$X$31, $A$1, FALSE)</f>
        <v>572</v>
      </c>
      <c r="Y21" s="1">
        <f>VLOOKUP($B21, '[1]Imp of flat'!$B$2:$X$31, $A$1, FALSE)</f>
        <v>1557</v>
      </c>
      <c r="Z21" s="1">
        <f>VLOOKUP($B21, '[1]Indirect exp'!$B$2:$X$31, $A$1, FALSE)</f>
        <v>3405.5</v>
      </c>
      <c r="AA21" s="1">
        <f>VLOOKUP($B21, '[1]Indirect imp'!$B$2:$X$31, $A$1, FALSE)</f>
        <v>3036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2181.987735003343</v>
      </c>
      <c r="D22" s="1">
        <f>VLOOKUP($B22, '[1]Pro of iron ore'!$B$2:$X$31, $A$1, FALSE)*(1-VLOOKUP($B22, '[1]Foundry share'!$B$2:$X$31, $A$1, FALSE))</f>
        <v>1090.9938675016715</v>
      </c>
      <c r="E22" s="46">
        <f>VLOOKUP($B22, '[1]Iron content'!$B$2:$X$31, $A$1, FALSE)</f>
        <v>0.5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973.50222023226058</v>
      </c>
      <c r="H22" s="1">
        <f>VLOOKUP($B22, '[1]Exp of pig iron'!$B$2:$X$31, $A$1, FALSE)</f>
        <v>0</v>
      </c>
      <c r="I22" s="1">
        <f>VLOOKUP($B22, '[1]Imp of pig iron'!$B$2:$X$31, $A$1, FALSE)</f>
        <v>0</v>
      </c>
      <c r="J22" s="1">
        <f>VLOOKUP($B22, '[1]Pro of DRI'!$B$2:$X$31, $A$1, FALSE)*(1-VLOOKUP($B22, '[1]Foundry share'!$B$2:$X$31, $A$1, FALSE))</f>
        <v>1988.9657430607394</v>
      </c>
      <c r="K22" s="1">
        <f>VLOOKUP($B22, '[1]Exp of DRI'!$B$2:$X$31, $A$1, FALSE)</f>
        <v>0</v>
      </c>
      <c r="L22" s="1">
        <f>VLOOKUP($B22, '[1]Imp of DRI'!$B$2:$X$31, $A$1, FALSE)</f>
        <v>0</v>
      </c>
      <c r="M22" s="1">
        <f>VLOOKUP($B22, '[1]Exp of scrap'!$B$2:$X$31, $A$1, FALSE)</f>
        <v>0</v>
      </c>
      <c r="N22" s="1">
        <f>VLOOKUP($B22, '[1]Imp of scrap'!$B$2:$X$31, $A$1, FALSE)</f>
        <v>478</v>
      </c>
      <c r="O22" s="1">
        <f>VLOOKUP($B22, '[1]Pro of BOF steel'!$B$2:$X$31, $A$1, FALSE)</f>
        <v>1150</v>
      </c>
      <c r="P22" s="1">
        <f>VLOOKUP($B22, '[1]Pro of OHF steel'!$B$2:$X$31, $A$1, FALSE)</f>
        <v>0</v>
      </c>
      <c r="Q22" s="1">
        <f>VLOOKUP($B22, '[1]Pro of EAF steel'!$B$2:$X$31, $A$1, FALSE)</f>
        <v>2650</v>
      </c>
      <c r="R22" s="1">
        <f>VLOOKUP($B22, '[1]Exp of ingots and semis'!$B$2:$X$31, $A$1, FALSE)</f>
        <v>0</v>
      </c>
      <c r="S22" s="1">
        <f>VLOOKUP($B22, '[1]Imp of ingots and semis'!$B$2:$X$31, $A$1, FALSE)</f>
        <v>2082</v>
      </c>
      <c r="T22" s="1">
        <f>VLOOKUP($B22, '[1]Pro of hr long'!$B$2:$X$31, $A$1, FALSE)+VLOOKUP($B22, '[1]Pro of seamless tubes'!$B$2:$X$31, $A$1, FALSE)</f>
        <v>3550.7071403932391</v>
      </c>
      <c r="U22" s="1">
        <f>VLOOKUP($B22, '[1]Exp of long'!$B$2:$X$31, $A$1, FALSE)</f>
        <v>0</v>
      </c>
      <c r="V22" s="1">
        <f>VLOOKUP($B22, '[1]Imp of long'!$B$2:$X$31, $A$1, FALSE)</f>
        <v>82</v>
      </c>
      <c r="W22" s="1">
        <f>VLOOKUP($B22, '[1]Pro of hr flat'!$B$2:$X$31, $A$1, FALSE)*parameters!$B$8</f>
        <v>1207.9343774416134</v>
      </c>
      <c r="X22" s="1">
        <f>VLOOKUP($B22, '[1]Exp of flat'!$B$2:$X$31, $A$1, FALSE)</f>
        <v>0</v>
      </c>
      <c r="Y22" s="1">
        <f>VLOOKUP($B22, '[1]Imp of flat'!$B$2:$X$31, $A$1, FALSE)</f>
        <v>298</v>
      </c>
      <c r="Z22" s="1">
        <f>VLOOKUP($B22, '[1]Indirect exp'!$B$2:$X$31, $A$1, FALSE)</f>
        <v>34</v>
      </c>
      <c r="AA22" s="1">
        <f>VLOOKUP($B22, '[1]Indirect imp'!$B$2:$X$31, $A$1, FALSE)</f>
        <v>361.5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6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0</v>
      </c>
      <c r="J23" s="1">
        <f>VLOOKUP($B23, '[1]Pro of DRI'!$B$2:$X$31, $A$1, FALSE)*(1-VLOOKUP($B23, '[1]Foundry share'!$B$2:$X$31, $A$1, FALSE))</f>
        <v>2604.1758895379999</v>
      </c>
      <c r="K23" s="1">
        <f>VLOOKUP($B23, '[1]Exp of DRI'!$B$2:$X$31, $A$1, FALSE)</f>
        <v>0</v>
      </c>
      <c r="L23" s="1">
        <f>VLOOKUP($B23, '[1]Imp of DRI'!$B$2:$X$31, $A$1, FALSE)</f>
        <v>0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3413</v>
      </c>
      <c r="R23" s="1">
        <f>VLOOKUP($B23, '[1]Exp of ingots and semis'!$B$2:$X$31, $A$1, FALSE)</f>
        <v>0</v>
      </c>
      <c r="S23" s="1">
        <f>VLOOKUP($B23, '[1]Imp of ingots and semis'!$B$2:$X$31, $A$1, FALSE)</f>
        <v>482</v>
      </c>
      <c r="T23" s="1">
        <f>VLOOKUP($B23, '[1]Pro of hr long'!$B$2:$X$31, $A$1, FALSE)+VLOOKUP($B23, '[1]Pro of seamless tubes'!$B$2:$X$31, $A$1, FALSE)</f>
        <v>2078.0880215902016</v>
      </c>
      <c r="U23" s="1">
        <f>VLOOKUP($B23, '[1]Exp of long'!$B$2:$X$31, $A$1, FALSE)</f>
        <v>0</v>
      </c>
      <c r="V23" s="1">
        <f>VLOOKUP($B23, '[1]Imp of long'!$B$2:$X$31, $A$1, FALSE)</f>
        <v>320</v>
      </c>
      <c r="W23" s="1">
        <f>VLOOKUP($B23, '[1]Pro of hr flat'!$B$2:$X$31, $A$1, FALSE)*parameters!$B$8</f>
        <v>976.75831978929693</v>
      </c>
      <c r="X23" s="1">
        <f>VLOOKUP($B23, '[1]Exp of flat'!$B$2:$X$31, $A$1, FALSE)</f>
        <v>0</v>
      </c>
      <c r="Y23" s="1">
        <f>VLOOKUP($B23, '[1]Imp of flat'!$B$2:$X$31, $A$1, FALSE)</f>
        <v>1334</v>
      </c>
      <c r="Z23" s="1">
        <f>VLOOKUP($B23, '[1]Indirect exp'!$B$2:$X$31, $A$1, FALSE)</f>
        <v>38</v>
      </c>
      <c r="AA23" s="1">
        <f>VLOOKUP($B23, '[1]Indirect imp'!$B$2:$X$31, $A$1, FALSE)</f>
        <v>1039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1800</v>
      </c>
      <c r="D24" s="1">
        <f>VLOOKUP($B24, '[1]Pro of iron ore'!$B$2:$X$31, $A$1, FALSE)*(1-VLOOKUP($B24, '[1]Foundry share'!$B$2:$X$31, $A$1, FALSE))</f>
        <v>575</v>
      </c>
      <c r="E24" s="46">
        <f>VLOOKUP($B24, '[1]Iron content'!$B$2:$X$31, $A$1, FALSE)</f>
        <v>0.31944444444444442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4375</v>
      </c>
      <c r="H24" s="1">
        <f>VLOOKUP($B24, '[1]Exp of pig iron'!$B$2:$X$31, $A$1, FALSE)</f>
        <v>2</v>
      </c>
      <c r="I24" s="1">
        <f>VLOOKUP($B24, '[1]Imp of pig iron'!$B$2:$X$31, $A$1, FALSE)</f>
        <v>34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0</v>
      </c>
      <c r="M24" s="1">
        <f>VLOOKUP($B24, '[1]Exp of scrap'!$B$2:$X$31, $A$1, FALSE)</f>
        <v>760</v>
      </c>
      <c r="N24" s="1">
        <f>VLOOKUP($B24, '[1]Imp of scrap'!$B$2:$X$31, $A$1, FALSE)</f>
        <v>827</v>
      </c>
      <c r="O24" s="1">
        <f>VLOOKUP($B24, '[1]Pro of BOF steel'!$B$2:$X$31, $A$1, FALSE)</f>
        <v>5323</v>
      </c>
      <c r="P24" s="1">
        <f>VLOOKUP($B24, '[1]Pro of OHF steel'!$B$2:$X$31, $A$1, FALSE)</f>
        <v>0</v>
      </c>
      <c r="Q24" s="1">
        <f>VLOOKUP($B24, '[1]Pro of EAF steel'!$B$2:$X$31, $A$1, FALSE)</f>
        <v>546</v>
      </c>
      <c r="R24" s="1">
        <f>VLOOKUP($B24, '[1]Exp of ingots and semis'!$B$2:$X$31, $A$1, FALSE)</f>
        <v>177</v>
      </c>
      <c r="S24" s="1">
        <f>VLOOKUP($B24, '[1]Imp of ingots and semis'!$B$2:$X$31, $A$1, FALSE)</f>
        <v>165</v>
      </c>
      <c r="T24" s="1">
        <f>VLOOKUP($B24, '[1]Pro of hr long'!$B$2:$X$31, $A$1, FALSE)+VLOOKUP($B24, '[1]Pro of seamless tubes'!$B$2:$X$31, $A$1, FALSE)</f>
        <v>1536</v>
      </c>
      <c r="U24" s="1">
        <f>VLOOKUP($B24, '[1]Exp of long'!$B$2:$X$31, $A$1, FALSE)</f>
        <v>1126</v>
      </c>
      <c r="V24" s="1">
        <f>VLOOKUP($B24, '[1]Imp of long'!$B$2:$X$31, $A$1, FALSE)</f>
        <v>957</v>
      </c>
      <c r="W24" s="1">
        <f>VLOOKUP($B24, '[1]Pro of hr flat'!$B$2:$X$31, $A$1, FALSE)*parameters!$B$8</f>
        <v>3839.5675675675675</v>
      </c>
      <c r="X24" s="1">
        <f>VLOOKUP($B24, '[1]Exp of flat'!$B$2:$X$31, $A$1, FALSE)</f>
        <v>3048</v>
      </c>
      <c r="Y24" s="1">
        <f>VLOOKUP($B24, '[1]Imp of flat'!$B$2:$X$31, $A$1, FALSE)</f>
        <v>1176</v>
      </c>
      <c r="Z24" s="1">
        <f>VLOOKUP($B24, '[1]Indirect exp'!$B$2:$X$31, $A$1, FALSE)</f>
        <v>2369.5</v>
      </c>
      <c r="AA24" s="1">
        <f>VLOOKUP($B24, '[1]Indirect imp'!$B$2:$X$31, $A$1, FALSE)</f>
        <v>2649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6">
        <f>VLOOKUP($B25, '[1]Iron content'!$B$2:$X$31, $A$1, FALSE)</f>
        <v>0</v>
      </c>
      <c r="F25" s="1">
        <f>VLOOKUP($B25, '[1]Exp of usable iron ore'!$B$2:$X$31, $A$1, FALSE)*parameters!$B$12</f>
        <v>28.6</v>
      </c>
      <c r="G25" s="1">
        <f>VLOOKUP($B25, '[1]Pro of pig iron'!$B$2:$X$31, $A$1, FALSE)*(1-VLOOKUP($B25, '[1]Foundry share'!$B$2:$X$31, $A$1, FALSE))</f>
        <v>7732</v>
      </c>
      <c r="H25" s="1">
        <f>VLOOKUP($B25, '[1]Exp of pig iron'!$B$2:$X$31, $A$1, FALSE)</f>
        <v>116</v>
      </c>
      <c r="I25" s="1">
        <f>VLOOKUP($B25, '[1]Imp of pig iron'!$B$2:$X$31, $A$1, FALSE)</f>
        <v>234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0</v>
      </c>
      <c r="L25" s="1">
        <f>VLOOKUP($B25, '[1]Imp of DRI'!$B$2:$X$31, $A$1, FALSE)</f>
        <v>0</v>
      </c>
      <c r="M25" s="1">
        <f>VLOOKUP($B25, '[1]Exp of scrap'!$B$2:$X$31, $A$1, FALSE)</f>
        <v>1592.3755535872453</v>
      </c>
      <c r="N25" s="1">
        <f>VLOOKUP($B25, '[1]Imp of scrap'!$B$2:$X$31, $A$1, FALSE)</f>
        <v>3069.4469000119461</v>
      </c>
      <c r="O25" s="1">
        <f>VLOOKUP($B25, '[1]Pro of BOF steel'!$B$2:$X$31, $A$1, FALSE)</f>
        <v>8020</v>
      </c>
      <c r="P25" s="1">
        <f>VLOOKUP($B25, '[1]Pro of OHF steel'!$B$2:$X$31, $A$1, FALSE)</f>
        <v>0</v>
      </c>
      <c r="Q25" s="1">
        <f>VLOOKUP($B25, '[1]Pro of EAF steel'!$B$2:$X$31, $A$1, FALSE)</f>
        <v>2740</v>
      </c>
      <c r="R25" s="1">
        <f>VLOOKUP($B25, '[1]Exp of ingots and semis'!$B$2:$X$31, $A$1, FALSE)</f>
        <v>1023</v>
      </c>
      <c r="S25" s="1">
        <f>VLOOKUP($B25, '[1]Imp of ingots and semis'!$B$2:$X$31, $A$1, FALSE)</f>
        <v>3489</v>
      </c>
      <c r="T25" s="1">
        <f>VLOOKUP($B25, '[1]Pro of hr long'!$B$2:$X$31, $A$1, FALSE)+VLOOKUP($B25, '[1]Pro of seamless tubes'!$B$2:$X$31, $A$1, FALSE)</f>
        <v>1223</v>
      </c>
      <c r="U25" s="1">
        <f>VLOOKUP($B25, '[1]Exp of long'!$B$2:$X$31, $A$1, FALSE)</f>
        <v>1767.3921606864274</v>
      </c>
      <c r="V25" s="1">
        <f>VLOOKUP($B25, '[1]Imp of long'!$B$2:$X$31, $A$1, FALSE)</f>
        <v>2100.9392744479496</v>
      </c>
      <c r="W25" s="1">
        <f>VLOOKUP($B25, '[1]Pro of hr flat'!$B$2:$X$31, $A$1, FALSE)*parameters!$B$8</f>
        <v>11218.49359886202</v>
      </c>
      <c r="X25" s="1">
        <f>VLOOKUP($B25, '[1]Exp of flat'!$B$2:$X$31, $A$1, FALSE)</f>
        <v>13112.281921953809</v>
      </c>
      <c r="Y25" s="1">
        <f>VLOOKUP($B25, '[1]Imp of flat'!$B$2:$X$31, $A$1, FALSE)</f>
        <v>4416.3896961690889</v>
      </c>
      <c r="Z25" s="1">
        <f>VLOOKUP($B25, '[1]Indirect exp'!$B$2:$X$31, $A$1, FALSE)</f>
        <v>5697</v>
      </c>
      <c r="AA25" s="1">
        <f>VLOOKUP($B25, '[1]Indirect imp'!$B$2:$X$31, $A$1, FALSE)</f>
        <v>5563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1</v>
      </c>
      <c r="D26" s="1">
        <f>VLOOKUP($B26, '[1]Pro of iron ore'!$B$2:$X$31, $A$1, FALSE)*(1-VLOOKUP($B26, '[1]Foundry share'!$B$2:$X$31, $A$1, FALSE))</f>
        <v>0.5</v>
      </c>
      <c r="E26" s="46">
        <f>VLOOKUP($B26, '[1]Iron content'!$B$2:$X$31, $A$1, FALSE)</f>
        <v>0.5</v>
      </c>
      <c r="F26" s="1">
        <f>VLOOKUP($B26, '[1]Exp of usable iron ore'!$B$2:$X$31, $A$1, FALSE)*parameters!$B$12</f>
        <v>3.25</v>
      </c>
      <c r="G26" s="1">
        <f>VLOOKUP($B26, '[1]Pro of pig iron'!$B$2:$X$31, $A$1, FALSE)*(1-VLOOKUP($B26, '[1]Foundry share'!$B$2:$X$31, $A$1, FALSE))</f>
        <v>9870</v>
      </c>
      <c r="H26" s="1">
        <f>VLOOKUP($B26, '[1]Exp of pig iron'!$B$2:$X$31, $A$1, FALSE)</f>
        <v>7</v>
      </c>
      <c r="I26" s="1">
        <f>VLOOKUP($B26, '[1]Imp of pig iron'!$B$2:$X$31, $A$1, FALSE)</f>
        <v>160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0</v>
      </c>
      <c r="M26" s="1">
        <f>VLOOKUP($B26, '[1]Exp of scrap'!$B$2:$X$31, $A$1, FALSE)</f>
        <v>4817</v>
      </c>
      <c r="N26" s="1">
        <f>VLOOKUP($B26, '[1]Imp of scrap'!$B$2:$X$31, $A$1, FALSE)</f>
        <v>164</v>
      </c>
      <c r="O26" s="1">
        <f>VLOOKUP($B26, '[1]Pro of BOF steel'!$B$2:$X$31, $A$1, FALSE)</f>
        <v>10271</v>
      </c>
      <c r="P26" s="1">
        <f>VLOOKUP($B26, '[1]Pro of OHF steel'!$B$2:$X$31, $A$1, FALSE)</f>
        <v>0</v>
      </c>
      <c r="Q26" s="1">
        <f>VLOOKUP($B26, '[1]Pro of EAF steel'!$B$2:$X$31, $A$1, FALSE)</f>
        <v>3272</v>
      </c>
      <c r="R26" s="1">
        <f>VLOOKUP($B26, '[1]Exp of ingots and semis'!$B$2:$X$31, $A$1, FALSE)</f>
        <v>751</v>
      </c>
      <c r="S26" s="1">
        <f>VLOOKUP($B26, '[1]Imp of ingots and semis'!$B$2:$X$31, $A$1, FALSE)</f>
        <v>393</v>
      </c>
      <c r="T26" s="1">
        <f>VLOOKUP($B26, '[1]Pro of hr long'!$B$2:$X$31, $A$1, FALSE)+VLOOKUP($B26, '[1]Pro of seamless tubes'!$B$2:$X$31, $A$1, FALSE)</f>
        <v>5739</v>
      </c>
      <c r="U26" s="1">
        <f>VLOOKUP($B26, '[1]Exp of long'!$B$2:$X$31, $A$1, FALSE)</f>
        <v>2993</v>
      </c>
      <c r="V26" s="1">
        <f>VLOOKUP($B26, '[1]Imp of long'!$B$2:$X$31, $A$1, FALSE)</f>
        <v>2069</v>
      </c>
      <c r="W26" s="1">
        <f>VLOOKUP($B26, '[1]Pro of hr flat'!$B$2:$X$31, $A$1, FALSE)*parameters!$B$8</f>
        <v>5699.1152204836417</v>
      </c>
      <c r="X26" s="1">
        <f>VLOOKUP($B26, '[1]Exp of flat'!$B$2:$X$31, $A$1, FALSE)</f>
        <v>2310</v>
      </c>
      <c r="Y26" s="1">
        <f>VLOOKUP($B26, '[1]Imp of flat'!$B$2:$X$31, $A$1, FALSE)</f>
        <v>4539</v>
      </c>
      <c r="Z26" s="1">
        <f>VLOOKUP($B26, '[1]Indirect exp'!$B$2:$X$31, $A$1, FALSE)</f>
        <v>5803.5</v>
      </c>
      <c r="AA26" s="1">
        <f>VLOOKUP($B26, '[1]Indirect imp'!$B$2:$X$31, $A$1, FALSE)</f>
        <v>8803.5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6">
        <f>VLOOKUP($B27, '[1]Iron content'!$B$2:$X$31, $A$1, FALSE)</f>
        <v>0</v>
      </c>
      <c r="F27" s="1">
        <f>VLOOKUP($B27, '[1]Exp of usable iron ore'!$B$2:$X$31, $A$1, FALSE)*parameters!$B$12</f>
        <v>19.5</v>
      </c>
      <c r="G27" s="1">
        <f>VLOOKUP($B27, '[1]Pro of pig iron'!$B$2:$X$31, $A$1, FALSE)*(1-VLOOKUP($B27, '[1]Foundry share'!$B$2:$X$31, $A$1, FALSE))</f>
        <v>5305</v>
      </c>
      <c r="H27" s="1">
        <f>VLOOKUP($B27, '[1]Exp of pig iron'!$B$2:$X$31, $A$1, FALSE)</f>
        <v>84</v>
      </c>
      <c r="I27" s="1">
        <f>VLOOKUP($B27, '[1]Imp of pig iron'!$B$2:$X$31, $A$1, FALSE)</f>
        <v>135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0</v>
      </c>
      <c r="L27" s="1">
        <f>VLOOKUP($B27, '[1]Imp of DRI'!$B$2:$X$31, $A$1, FALSE)</f>
        <v>0</v>
      </c>
      <c r="M27" s="1">
        <f>VLOOKUP($B27, '[1]Exp of scrap'!$B$2:$X$31, $A$1, FALSE)</f>
        <v>3213</v>
      </c>
      <c r="N27" s="1">
        <f>VLOOKUP($B27, '[1]Imp of scrap'!$B$2:$X$31, $A$1, FALSE)</f>
        <v>1307</v>
      </c>
      <c r="O27" s="1">
        <f>VLOOKUP($B27, '[1]Pro of BOF steel'!$B$2:$X$31, $A$1, FALSE)</f>
        <v>5902</v>
      </c>
      <c r="P27" s="1">
        <f>VLOOKUP($B27, '[1]Pro of OHF steel'!$B$2:$X$31, $A$1, FALSE)</f>
        <v>0</v>
      </c>
      <c r="Q27" s="1">
        <f>VLOOKUP($B27, '[1]Pro of EAF steel'!$B$2:$X$31, $A$1, FALSE)</f>
        <v>135</v>
      </c>
      <c r="R27" s="1">
        <f>VLOOKUP($B27, '[1]Exp of ingots and semis'!$B$2:$X$31, $A$1, FALSE)</f>
        <v>312</v>
      </c>
      <c r="S27" s="1">
        <f>VLOOKUP($B27, '[1]Imp of ingots and semis'!$B$2:$X$31, $A$1, FALSE)</f>
        <v>145</v>
      </c>
      <c r="T27" s="1">
        <f>VLOOKUP($B27, '[1]Pro of hr long'!$B$2:$X$31, $A$1, FALSE)+VLOOKUP($B27, '[1]Pro of seamless tubes'!$B$2:$X$31, $A$1, FALSE)</f>
        <v>263</v>
      </c>
      <c r="U27" s="1">
        <f>VLOOKUP($B27, '[1]Exp of long'!$B$2:$X$31, $A$1, FALSE)</f>
        <v>637</v>
      </c>
      <c r="V27" s="1">
        <f>VLOOKUP($B27, '[1]Imp of long'!$B$2:$X$31, $A$1, FALSE)</f>
        <v>2367</v>
      </c>
      <c r="W27" s="1">
        <f>VLOOKUP($B27, '[1]Pro of hr flat'!$B$2:$X$31, $A$1, FALSE)*parameters!$B$8</f>
        <v>4941.3058321479375</v>
      </c>
      <c r="X27" s="1">
        <f>VLOOKUP($B27, '[1]Exp of flat'!$B$2:$X$31, $A$1, FALSE)</f>
        <v>4746</v>
      </c>
      <c r="Y27" s="1">
        <f>VLOOKUP($B27, '[1]Imp of flat'!$B$2:$X$31, $A$1, FALSE)</f>
        <v>2502</v>
      </c>
      <c r="Z27" s="1">
        <f>VLOOKUP($B27, '[1]Indirect exp'!$B$2:$X$31, $A$1, FALSE)</f>
        <v>3569</v>
      </c>
      <c r="AA27" s="1">
        <f>VLOOKUP($B27, '[1]Indirect imp'!$B$2:$X$31, $A$1, FALSE)</f>
        <v>3969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181553</v>
      </c>
      <c r="D28" s="1">
        <f>VLOOKUP($B28, '[1]Pro of iron ore'!$B$2:$X$31, $A$1, FALSE)*(1-VLOOKUP($B28, '[1]Foundry share'!$B$2:$X$31, $A$1, FALSE))</f>
        <v>112592</v>
      </c>
      <c r="E28" s="46">
        <f>VLOOKUP($B28, '[1]Iron content'!$B$2:$X$31, $A$1, FALSE)</f>
        <v>0.62016050409522283</v>
      </c>
      <c r="F28" s="1">
        <f>VLOOKUP($B28, '[1]Exp of usable iron ore'!$B$2:$X$31, $A$1, FALSE)*parameters!$B$12</f>
        <v>102101.35</v>
      </c>
      <c r="G28" s="1">
        <f>VLOOKUP($B28, '[1]Pro of pig iron'!$B$2:$X$31, $A$1, FALSE)*(1-VLOOKUP($B28, '[1]Foundry share'!$B$2:$X$31, $A$1, FALSE))</f>
        <v>6017</v>
      </c>
      <c r="H28" s="1">
        <f>VLOOKUP($B28, '[1]Exp of pig iron'!$B$2:$X$31, $A$1, FALSE)</f>
        <v>0</v>
      </c>
      <c r="I28" s="1">
        <f>VLOOKUP($B28, '[1]Imp of pig iron'!$B$2:$X$31, $A$1, FALSE)</f>
        <v>6</v>
      </c>
      <c r="J28" s="1">
        <f>VLOOKUP($B28, '[1]Pro of DRI'!$B$2:$X$31, $A$1, FALSE)*(1-VLOOKUP($B28, '[1]Foundry share'!$B$2:$X$31, $A$1, FALSE))</f>
        <v>1370</v>
      </c>
      <c r="K28" s="1">
        <f>VLOOKUP($B28, '[1]Exp of DRI'!$B$2:$X$31, $A$1, FALSE)</f>
        <v>0</v>
      </c>
      <c r="L28" s="1">
        <f>VLOOKUP($B28, '[1]Imp of DRI'!$B$2:$X$31, $A$1, FALSE)</f>
        <v>0</v>
      </c>
      <c r="M28" s="1">
        <f>VLOOKUP($B28, '[1]Exp of scrap'!$B$2:$X$31, $A$1, FALSE)</f>
        <v>1034</v>
      </c>
      <c r="N28" s="1">
        <f>VLOOKUP($B28, '[1]Imp of scrap'!$B$2:$X$31, $A$1, FALSE)</f>
        <v>6</v>
      </c>
      <c r="O28" s="1">
        <f>VLOOKUP($B28, '[1]Pro of BOF steel'!$B$2:$X$31, $A$1, FALSE)</f>
        <v>5774</v>
      </c>
      <c r="P28" s="1">
        <f>VLOOKUP($B28, '[1]Pro of OHF steel'!$B$2:$X$31, $A$1, FALSE)</f>
        <v>0</v>
      </c>
      <c r="Q28" s="1">
        <f>VLOOKUP($B28, '[1]Pro of EAF steel'!$B$2:$X$31, $A$1, FALSE)</f>
        <v>1259</v>
      </c>
      <c r="R28" s="1">
        <f>VLOOKUP($B28, '[1]Exp of ingots and semis'!$B$2:$X$31, $A$1, FALSE)</f>
        <v>20</v>
      </c>
      <c r="S28" s="1">
        <f>VLOOKUP($B28, '[1]Imp of ingots and semis'!$B$2:$X$31, $A$1, FALSE)</f>
        <v>6</v>
      </c>
      <c r="T28" s="1">
        <f>VLOOKUP($B28, '[1]Pro of hr long'!$B$2:$X$31, $A$1, FALSE)+VLOOKUP($B28, '[1]Pro of seamless tubes'!$B$2:$X$31, $A$1, FALSE)</f>
        <v>1890</v>
      </c>
      <c r="U28" s="1">
        <f>VLOOKUP($B28, '[1]Exp of long'!$B$2:$X$31, $A$1, FALSE)</f>
        <v>294</v>
      </c>
      <c r="V28" s="1">
        <f>VLOOKUP($B28, '[1]Imp of long'!$B$2:$X$31, $A$1, FALSE)</f>
        <v>328</v>
      </c>
      <c r="W28" s="1">
        <f>VLOOKUP($B28, '[1]Pro of hr flat'!$B$2:$X$31, $A$1, FALSE)*parameters!$B$8</f>
        <v>2331.7211948790896</v>
      </c>
      <c r="X28" s="1">
        <f>VLOOKUP($B28, '[1]Exp of flat'!$B$2:$X$31, $A$1, FALSE)</f>
        <v>285</v>
      </c>
      <c r="Y28" s="1">
        <f>VLOOKUP($B28, '[1]Imp of flat'!$B$2:$X$31, $A$1, FALSE)</f>
        <v>763</v>
      </c>
      <c r="Z28" s="1">
        <f>VLOOKUP($B28, '[1]Indirect exp'!$B$2:$X$31, $A$1, FALSE)</f>
        <v>577</v>
      </c>
      <c r="AA28" s="1">
        <f>VLOOKUP($B28, '[1]Indirect imp'!$B$2:$X$31, $A$1, FALSE)</f>
        <v>2027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34757.159</v>
      </c>
      <c r="D29" s="1">
        <f>VLOOKUP($B29, '[1]Pro of iron ore'!$B$2:$X$31, $A$1, FALSE)*(1-VLOOKUP($B29, '[1]Foundry share'!$B$2:$X$31, $A$1, FALSE))</f>
        <v>22240</v>
      </c>
      <c r="E29" s="46">
        <f>VLOOKUP($B29, '[1]Iron content'!$B$2:$X$31, $A$1, FALSE)</f>
        <v>0.63986817794860618</v>
      </c>
      <c r="F29" s="1">
        <f>VLOOKUP($B29, '[1]Exp of usable iron ore'!$B$2:$X$31, $A$1, FALSE)*parameters!$B$12</f>
        <v>15288</v>
      </c>
      <c r="G29" s="1">
        <f>VLOOKUP($B29, '[1]Pro of pig iron'!$B$2:$X$31, $A$1, FALSE)*(1-VLOOKUP($B29, '[1]Foundry share'!$B$2:$X$31, $A$1, FALSE))</f>
        <v>5820</v>
      </c>
      <c r="H29" s="1">
        <f>VLOOKUP($B29, '[1]Exp of pig iron'!$B$2:$X$31, $A$1, FALSE)</f>
        <v>378</v>
      </c>
      <c r="I29" s="1">
        <f>VLOOKUP($B29, '[1]Imp of pig iron'!$B$2:$X$31, $A$1, FALSE)</f>
        <v>5</v>
      </c>
      <c r="J29" s="1">
        <f>VLOOKUP($B29, '[1]Pro of DRI'!$B$2:$X$31, $A$1, FALSE)*(1-VLOOKUP($B29, '[1]Foundry share'!$B$2:$X$31, $A$1, FALSE))</f>
        <v>1556</v>
      </c>
      <c r="K29" s="1">
        <f>VLOOKUP($B29, '[1]Exp of DRI'!$B$2:$X$31, $A$1, FALSE)</f>
        <v>0</v>
      </c>
      <c r="L29" s="1">
        <f>VLOOKUP($B29, '[1]Imp of DRI'!$B$2:$X$31, $A$1, FALSE)</f>
        <v>0</v>
      </c>
      <c r="M29" s="1">
        <f>VLOOKUP($B29, '[1]Exp of scrap'!$B$2:$X$31, $A$1, FALSE)</f>
        <v>0</v>
      </c>
      <c r="N29" s="1">
        <f>VLOOKUP($B29, '[1]Imp of scrap'!$B$2:$X$31, $A$1, FALSE)</f>
        <v>2</v>
      </c>
      <c r="O29" s="1">
        <f>VLOOKUP($B29, '[1]Pro of BOF steel'!$B$2:$X$31, $A$1, FALSE)</f>
        <v>4907</v>
      </c>
      <c r="P29" s="1">
        <f>VLOOKUP($B29, '[1]Pro of OHF steel'!$B$2:$X$31, $A$1, FALSE)</f>
        <v>0</v>
      </c>
      <c r="Q29" s="1">
        <f>VLOOKUP($B29, '[1]Pro of EAF steel'!$B$2:$X$31, $A$1, FALSE)</f>
        <v>3914</v>
      </c>
      <c r="R29" s="1">
        <f>VLOOKUP($B29, '[1]Exp of ingots and semis'!$B$2:$X$31, $A$1, FALSE)</f>
        <v>741</v>
      </c>
      <c r="S29" s="1">
        <f>VLOOKUP($B29, '[1]Imp of ingots and semis'!$B$2:$X$31, $A$1, FALSE)</f>
        <v>6</v>
      </c>
      <c r="T29" s="1">
        <f>VLOOKUP($B29, '[1]Pro of hr long'!$B$2:$X$31, $A$1, FALSE)+VLOOKUP($B29, '[1]Pro of seamless tubes'!$B$2:$X$31, $A$1, FALSE)</f>
        <v>2613</v>
      </c>
      <c r="U29" s="1">
        <f>VLOOKUP($B29, '[1]Exp of long'!$B$2:$X$31, $A$1, FALSE)</f>
        <v>1143</v>
      </c>
      <c r="V29" s="1">
        <f>VLOOKUP($B29, '[1]Imp of long'!$B$2:$X$31, $A$1, FALSE)</f>
        <v>53</v>
      </c>
      <c r="W29" s="1">
        <f>VLOOKUP($B29, '[1]Pro of hr flat'!$B$2:$X$31, $A$1, FALSE)*parameters!$B$8</f>
        <v>3705.49359886202</v>
      </c>
      <c r="X29" s="1">
        <f>VLOOKUP($B29, '[1]Exp of flat'!$B$2:$X$31, $A$1, FALSE)</f>
        <v>2182</v>
      </c>
      <c r="Y29" s="1">
        <f>VLOOKUP($B29, '[1]Imp of flat'!$B$2:$X$31, $A$1, FALSE)</f>
        <v>145</v>
      </c>
      <c r="Z29" s="1">
        <f>VLOOKUP($B29, '[1]Indirect exp'!$B$2:$X$31, $A$1, FALSE)</f>
        <v>806</v>
      </c>
      <c r="AA29" s="1">
        <f>VLOOKUP($B29, '[1]Indirect imp'!$B$2:$X$31, $A$1, FALSE)</f>
        <v>681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363.4636292396018</v>
      </c>
      <c r="D30" s="1">
        <f>VLOOKUP($B30, '[1]Pro of iron ore'!$B$2:$X$31, $A$1, FALSE)*(1-VLOOKUP($B30, '[1]Foundry share'!$B$2:$X$31, $A$1, FALSE))</f>
        <v>232.67016927173054</v>
      </c>
      <c r="E30" s="46">
        <f>VLOOKUP($B30, '[1]Iron content'!$B$2:$X$31, $A$1, FALSE)</f>
        <v>0.64014704788618659</v>
      </c>
      <c r="F30" s="1">
        <f>VLOOKUP($B30, '[1]Exp of usable iron ore'!$B$2:$X$31, $A$1, FALSE)*parameters!$B$12</f>
        <v>42.9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0</v>
      </c>
      <c r="I30" s="1">
        <f>VLOOKUP($B30, '[1]Imp of pig iron'!$B$2:$X$31, $A$1, FALSE)</f>
        <v>186</v>
      </c>
      <c r="J30" s="1">
        <f>VLOOKUP($B30, '[1]Pro of DRI'!$B$2:$X$31, $A$1, FALSE)*(1-VLOOKUP($B30, '[1]Foundry share'!$B$2:$X$31, $A$1, FALSE))</f>
        <v>988.60686030809995</v>
      </c>
      <c r="K30" s="1">
        <f>VLOOKUP($B30, '[1]Exp of DRI'!$B$2:$X$31, $A$1, FALSE)</f>
        <v>0</v>
      </c>
      <c r="L30" s="1">
        <f>VLOOKUP($B30, '[1]Imp of DRI'!$B$2:$X$31, $A$1, FALSE)</f>
        <v>0</v>
      </c>
      <c r="M30" s="1">
        <f>VLOOKUP($B30, '[1]Exp of scrap'!$B$2:$X$31, $A$1, FALSE)</f>
        <v>1088</v>
      </c>
      <c r="N30" s="1">
        <f>VLOOKUP($B30, '[1]Imp of scrap'!$B$2:$X$31, $A$1, FALSE)</f>
        <v>3804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4100</v>
      </c>
      <c r="R30" s="1">
        <f>VLOOKUP($B30, '[1]Exp of ingots and semis'!$B$2:$X$31, $A$1, FALSE)</f>
        <v>14</v>
      </c>
      <c r="S30" s="1">
        <f>VLOOKUP($B30, '[1]Imp of ingots and semis'!$B$2:$X$31, $A$1, FALSE)</f>
        <v>56</v>
      </c>
      <c r="T30" s="1">
        <f>VLOOKUP($B30, '[1]Pro of hr long'!$B$2:$X$31, $A$1, FALSE)+VLOOKUP($B30, '[1]Pro of seamless tubes'!$B$2:$X$31, $A$1, FALSE)</f>
        <v>3241</v>
      </c>
      <c r="U30" s="1">
        <f>VLOOKUP($B30, '[1]Exp of long'!$B$2:$X$31, $A$1, FALSE)</f>
        <v>385</v>
      </c>
      <c r="V30" s="1">
        <f>VLOOKUP($B30, '[1]Imp of long'!$B$2:$X$31, $A$1, FALSE)</f>
        <v>951</v>
      </c>
      <c r="W30" s="1">
        <f>VLOOKUP($B30, '[1]Pro of hr flat'!$B$2:$X$31, $A$1, FALSE)*parameters!$B$8</f>
        <v>961.83499288762448</v>
      </c>
      <c r="X30" s="1">
        <f>VLOOKUP($B30, '[1]Exp of flat'!$B$2:$X$31, $A$1, FALSE)</f>
        <v>318</v>
      </c>
      <c r="Y30" s="1">
        <f>VLOOKUP($B30, '[1]Imp of flat'!$B$2:$X$31, $A$1, FALSE)</f>
        <v>2698</v>
      </c>
      <c r="Z30" s="1">
        <f>VLOOKUP($B30, '[1]Indirect exp'!$B$2:$X$31, $A$1, FALSE)</f>
        <v>777</v>
      </c>
      <c r="AA30" s="1">
        <f>VLOOKUP($B30, '[1]Indirect imp'!$B$2:$X$31, $A$1, FALSE)</f>
        <v>1147.5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0</v>
      </c>
      <c r="D31" s="1">
        <f>VLOOKUP($B31, '[1]Pro of iron ore'!$B$2:$X$31, $A$1, FALSE)*(1-VLOOKUP($B31, '[1]Foundry share'!$B$2:$X$31, $A$1, FALSE))</f>
        <v>0</v>
      </c>
      <c r="E31" s="46">
        <f>VLOOKUP($B31, '[1]Iron content'!$B$2:$X$31, $A$1, FALSE)</f>
        <v>0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13</v>
      </c>
      <c r="I31" s="1">
        <f>VLOOKUP($B31, '[1]Imp of pig iron'!$B$2:$X$31, $A$1, FALSE)</f>
        <v>113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102</v>
      </c>
      <c r="N31" s="1">
        <f>VLOOKUP($B31, '[1]Imp of scrap'!$B$2:$X$31, $A$1, FALSE)</f>
        <v>694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2127</v>
      </c>
      <c r="R31" s="1">
        <f>VLOOKUP($B31, '[1]Exp of ingots and semis'!$B$2:$X$31, $A$1, FALSE)</f>
        <v>10</v>
      </c>
      <c r="S31" s="1">
        <f>VLOOKUP($B31, '[1]Imp of ingots and semis'!$B$2:$X$31, $A$1, FALSE)</f>
        <v>2791</v>
      </c>
      <c r="T31" s="1">
        <f>VLOOKUP($B31, '[1]Pro of hr long'!$B$2:$X$31, $A$1, FALSE)+VLOOKUP($B31, '[1]Pro of seamless tubes'!$B$2:$X$31, $A$1, FALSE)</f>
        <v>2765</v>
      </c>
      <c r="U31" s="1">
        <f>VLOOKUP($B31, '[1]Exp of long'!$B$2:$X$31, $A$1, FALSE)</f>
        <v>688</v>
      </c>
      <c r="V31" s="1">
        <f>VLOOKUP($B31, '[1]Imp of long'!$B$2:$X$31, $A$1, FALSE)</f>
        <v>642</v>
      </c>
      <c r="W31" s="1">
        <f>VLOOKUP($B31, '[1]Pro of hr flat'!$B$2:$X$31, $A$1, FALSE)*parameters!$B$8</f>
        <v>1833.3157894736842</v>
      </c>
      <c r="X31" s="1">
        <f>VLOOKUP($B31, '[1]Exp of flat'!$B$2:$X$31, $A$1, FALSE)</f>
        <v>696</v>
      </c>
      <c r="Y31" s="1">
        <f>VLOOKUP($B31, '[1]Imp of flat'!$B$2:$X$31, $A$1, FALSE)</f>
        <v>3645</v>
      </c>
      <c r="Z31" s="1">
        <f>VLOOKUP($B31, '[1]Indirect exp'!$B$2:$X$31, $A$1, FALSE)</f>
        <v>1317.5</v>
      </c>
      <c r="AA31" s="1">
        <f>VLOOKUP($B31, '[1]Indirect imp'!$B$2:$X$31, $A$1, FALSE)</f>
        <v>1040.5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19486</v>
      </c>
      <c r="D32" s="1">
        <f>VLOOKUP($B32, '[1]Pro of iron ore'!$B$2:$X$31, $A$1, FALSE)*(1-VLOOKUP($B32, '[1]Foundry share'!$B$2:$X$31, $A$1, FALSE))</f>
        <v>12811</v>
      </c>
      <c r="E32" s="46">
        <f>VLOOKUP($B32, '[1]Iron content'!$B$2:$X$31, $A$1, FALSE)</f>
        <v>0.65744637175407983</v>
      </c>
      <c r="F32" s="1">
        <f>VLOOKUP($B32, '[1]Exp of usable iron ore'!$B$2:$X$31, $A$1, FALSE)*parameters!$B$12</f>
        <v>8852.35</v>
      </c>
      <c r="G32" s="1">
        <f>VLOOKUP($B32, '[1]Pro of pig iron'!$B$2:$X$31, $A$1, FALSE)*(1-VLOOKUP($B32, '[1]Foundry share'!$B$2:$X$31, $A$1, FALSE))</f>
        <v>3614</v>
      </c>
      <c r="H32" s="1">
        <f>VLOOKUP($B32, '[1]Exp of pig iron'!$B$2:$X$31, $A$1, FALSE)</f>
        <v>35</v>
      </c>
      <c r="I32" s="1">
        <f>VLOOKUP($B32, '[1]Imp of pig iron'!$B$2:$X$31, $A$1, FALSE)</f>
        <v>17</v>
      </c>
      <c r="J32" s="1">
        <f>VLOOKUP($B32, '[1]Pro of DRI'!$B$2:$X$31, $A$1, FALSE)*(1-VLOOKUP($B32, '[1]Foundry share'!$B$2:$X$31, $A$1, FALSE))</f>
        <v>111</v>
      </c>
      <c r="K32" s="1">
        <f>VLOOKUP($B32, '[1]Exp of DRI'!$B$2:$X$31, $A$1, FALSE)</f>
        <v>0</v>
      </c>
      <c r="L32" s="1">
        <f>VLOOKUP($B32, '[1]Imp of DRI'!$B$2:$X$31, $A$1, FALSE)</f>
        <v>0</v>
      </c>
      <c r="M32" s="1">
        <f>VLOOKUP($B32, '[1]Exp of scrap'!$B$2:$X$31, $A$1, FALSE)</f>
        <v>560</v>
      </c>
      <c r="N32" s="1">
        <f>VLOOKUP($B32, '[1]Imp of scrap'!$B$2:$X$31, $A$1, FALSE)</f>
        <v>376</v>
      </c>
      <c r="O32" s="1">
        <f>VLOOKUP($B32, '[1]Pro of BOF steel'!$B$2:$X$31, $A$1, FALSE)</f>
        <v>3648</v>
      </c>
      <c r="P32" s="1">
        <f>VLOOKUP($B32, '[1]Pro of OHF steel'!$B$2:$X$31, $A$1, FALSE)</f>
        <v>0</v>
      </c>
      <c r="Q32" s="1">
        <f>VLOOKUP($B32, '[1]Pro of EAF steel'!$B$2:$X$31, $A$1, FALSE)</f>
        <v>1870</v>
      </c>
      <c r="R32" s="1">
        <f>VLOOKUP($B32, '[1]Exp of ingots and semis'!$B$2:$X$31, $A$1, FALSE)</f>
        <v>198</v>
      </c>
      <c r="S32" s="1">
        <f>VLOOKUP($B32, '[1]Imp of ingots and semis'!$B$2:$X$31, $A$1, FALSE)</f>
        <v>366</v>
      </c>
      <c r="T32" s="1">
        <f>VLOOKUP($B32, '[1]Pro of hr long'!$B$2:$X$31, $A$1, FALSE)+VLOOKUP($B32, '[1]Pro of seamless tubes'!$B$2:$X$31, $A$1, FALSE)</f>
        <v>872</v>
      </c>
      <c r="U32" s="1">
        <f>VLOOKUP($B32, '[1]Exp of long'!$B$2:$X$31, $A$1, FALSE)</f>
        <v>853</v>
      </c>
      <c r="V32" s="1">
        <f>VLOOKUP($B32, '[1]Imp of long'!$B$2:$X$31, $A$1, FALSE)</f>
        <v>814</v>
      </c>
      <c r="W32" s="1">
        <f>VLOOKUP($B32, '[1]Pro of hr flat'!$B$2:$X$31, $A$1, FALSE)*parameters!$B$8</f>
        <v>3813.3357041251779</v>
      </c>
      <c r="X32" s="1">
        <f>VLOOKUP($B32, '[1]Exp of flat'!$B$2:$X$31, $A$1, FALSE)</f>
        <v>2847</v>
      </c>
      <c r="Y32" s="1">
        <f>VLOOKUP($B32, '[1]Imp of flat'!$B$2:$X$31, $A$1, FALSE)</f>
        <v>1381</v>
      </c>
      <c r="Z32" s="1">
        <f>VLOOKUP($B32, '[1]Indirect exp'!$B$2:$X$31, $A$1, FALSE)</f>
        <v>2129.5</v>
      </c>
      <c r="AA32" s="1">
        <f>VLOOKUP($B32, '[1]Indirect imp'!$B$2:$X$31, $A$1, FALSE)</f>
        <v>2036.5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128287.87990682544</v>
      </c>
      <c r="D2" s="9">
        <f ca="1">Q4/parameters!$B$3</f>
        <v>88.325043695334557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128376.20495052078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-65411.777442655984</v>
      </c>
      <c r="Q2" s="17" cm="1">
        <f t="array" aca="1" ref="Q2" ca="1">INDIRECT("'data'!$D$" &amp; $A$1)</f>
        <v>62964.427507864799</v>
      </c>
      <c r="R2" s="17">
        <f ca="1">SUM(L2:P2)</f>
        <v>62964.427507864799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112648.59701492537</v>
      </c>
      <c r="G3" s="14">
        <f ca="1">Q3-O3-P3-F3</f>
        <v>14636.399248487083</v>
      </c>
      <c r="H3" s="14"/>
      <c r="I3" s="14"/>
      <c r="J3" s="14"/>
      <c r="K3" s="13"/>
      <c r="L3" s="16">
        <f t="shared" ca="1" si="0"/>
        <v>127284.99626341245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648.27</v>
      </c>
      <c r="P3" s="13" cm="1">
        <f t="array" aca="1" ref="P3" ca="1">-INDIRECT("'data'!$I$" &amp; $A$1)*parameters!$B$13</f>
        <v>-453.59999999999997</v>
      </c>
      <c r="Q3" s="16" cm="1">
        <f t="array" aca="1" ref="Q3" ca="1">INDIRECT("'data'!$G$" &amp; $A$1)*parameters!$B$13</f>
        <v>127479.66626341245</v>
      </c>
      <c r="R3" s="16">
        <f t="shared" ref="R3:R10" ca="1" si="2">SUM(L3:P3)</f>
        <v>127479.66626341245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87.768595920053954</v>
      </c>
      <c r="H4" s="14"/>
      <c r="I4" s="14"/>
      <c r="J4" s="14"/>
      <c r="K4" s="13"/>
      <c r="L4" s="16">
        <f t="shared" ca="1" si="0"/>
        <v>87.768595920053954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87.768595920053954</v>
      </c>
      <c r="R4" s="16">
        <f t="shared" ca="1" si="2"/>
        <v>87.768595920053954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Q6/parameters!$B$5*15%</f>
        <v>19879.164179104479</v>
      </c>
      <c r="G5" s="14">
        <f ca="1">Q7/parameters!$B$7-(G3+G4)</f>
        <v>9857.7548306189856</v>
      </c>
      <c r="H5" s="14"/>
      <c r="I5" s="14"/>
      <c r="J5" s="14"/>
      <c r="K5" s="13"/>
      <c r="L5" s="16">
        <f t="shared" ca="1" si="0"/>
        <v>29736.919009723464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-9580.48</v>
      </c>
      <c r="Q5" s="16">
        <f ca="1">SUM(L5:P5)</f>
        <v>20156.439009723465</v>
      </c>
      <c r="R5" s="16">
        <f t="shared" ca="1" si="2"/>
        <v>20156.439009723465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124311.03999999999</v>
      </c>
      <c r="I6" s="14"/>
      <c r="J6" s="14"/>
      <c r="K6" s="13"/>
      <c r="L6" s="16">
        <f t="shared" ca="1" si="0"/>
        <v>124311.03999999999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124311.03999999999</v>
      </c>
      <c r="R6" s="16">
        <f t="shared" ca="1" si="2"/>
        <v>124311.03999999999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23524.899999999998</v>
      </c>
      <c r="I7" s="14"/>
      <c r="J7" s="14"/>
      <c r="K7" s="13"/>
      <c r="L7" s="16">
        <f t="shared" ca="1" si="0"/>
        <v>23524.899999999998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23524.899999999998</v>
      </c>
      <c r="R7" s="16">
        <f t="shared" ca="1" si="2"/>
        <v>23524.899999999998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98963</v>
      </c>
      <c r="J8" s="14">
        <f ca="1">Q10/J18</f>
        <v>59233.490753911807</v>
      </c>
      <c r="K8" s="13"/>
      <c r="L8" s="16">
        <f t="shared" ca="1" si="0"/>
        <v>158196.49075391181</v>
      </c>
      <c r="M8" s="16"/>
      <c r="N8" s="16">
        <f t="shared" ca="1" si="3"/>
        <v>-4840.2107539118151</v>
      </c>
      <c r="O8" s="11" cm="1">
        <f t="array" aca="1" ref="O8" ca="1">INDIRECT("'data'!$R$" &amp; $A$1)*parameters!$B$15</f>
        <v>2674.42</v>
      </c>
      <c r="P8" s="13" cm="1">
        <f t="array" aca="1" ref="P8" ca="1">-INDIRECT("'data'!$S$" &amp; $A$1)*parameters!$B$15</f>
        <v>-8194.76</v>
      </c>
      <c r="Q8" s="16">
        <f ca="1">SUM(Q6:Q7)</f>
        <v>147835.94</v>
      </c>
      <c r="R8" s="16">
        <f t="shared" ca="1" si="2"/>
        <v>147835.94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96885.74</v>
      </c>
      <c r="L9" s="16">
        <f t="shared" ca="1" si="0"/>
        <v>96885.74</v>
      </c>
      <c r="M9" s="16"/>
      <c r="N9" s="16">
        <f t="shared" ca="1" si="3"/>
        <v>0</v>
      </c>
      <c r="O9" s="11" cm="1">
        <f t="array" aca="1" ref="O9" ca="1">INDIRECT("'data'!$U$" &amp; $A$1)*parameters!$B$15</f>
        <v>1568.98</v>
      </c>
      <c r="P9" s="13" cm="1">
        <f t="array" aca="1" ref="P9" ca="1">-INDIRECT("'data'!$V$" &amp; $A$1)*parameters!$B$15</f>
        <v>-1470.98</v>
      </c>
      <c r="Q9" s="16" cm="1">
        <f t="array" aca="1" ref="Q9" ca="1">INDIRECT("'data'!$T$" &amp; $A$1)*parameters!$B$15</f>
        <v>96983.74</v>
      </c>
      <c r="R9" s="16">
        <f t="shared" ca="1" si="2"/>
        <v>96983.74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70904.460938833567</v>
      </c>
      <c r="L10" s="16">
        <f t="shared" ca="1" si="0"/>
        <v>70904.460938833567</v>
      </c>
      <c r="M10" s="16"/>
      <c r="N10" s="16">
        <f t="shared" ca="1" si="3"/>
        <v>0</v>
      </c>
      <c r="O10" s="11" cm="1">
        <f t="array" aca="1" ref="O10" ca="1">INDIRECT("'data'!$X$" &amp; $A$1)*parameters!$B$15</f>
        <v>1721.86</v>
      </c>
      <c r="P10" s="13" cm="1">
        <f t="array" aca="1" ref="P10" ca="1">-INDIRECT("'data'!$Y$" &amp; $A$1)*parameters!$B$15</f>
        <v>-14577.5</v>
      </c>
      <c r="Q10" s="16" cm="1">
        <f t="array" aca="1" ref="Q10" ca="1">INDIRECT("'data'!$W$" &amp; $A$1)*parameters!$B$15</f>
        <v>58048.820938833567</v>
      </c>
      <c r="R10" s="16">
        <f t="shared" ca="1" si="2"/>
        <v>58048.820938833567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143538.64200739691</v>
      </c>
      <c r="N11" s="19"/>
      <c r="O11" s="21" cm="1">
        <f t="array" aca="1" ref="O11" ca="1">INDIRECT("'data'!$Z$" &amp; $A$1)*parameters!$B$15</f>
        <v>13429.43</v>
      </c>
      <c r="P11" s="27" cm="1">
        <f t="array" aca="1" ref="P11" ca="1">-INDIRECT("'data'!$AA$" &amp; $A$1)*parameters!$B$15</f>
        <v>-4917.6400000000003</v>
      </c>
      <c r="Q11" s="16">
        <f ca="1">K9*parameters!$B$10+K10*parameters!$B$11</f>
        <v>152050.43200739688</v>
      </c>
      <c r="R11" s="16">
        <f t="shared" ref="R11:R17" ca="1" si="4">SUM(L11:P11)</f>
        <v>152050.43200739688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-808.21364341299341</v>
      </c>
      <c r="D12" s="9">
        <f ca="1">-(D17-Q4)</f>
        <v>-0.55644777528060274</v>
      </c>
      <c r="E12" s="9">
        <f ca="1">-(E17-Q5)</f>
        <v>-2491.2452708646961</v>
      </c>
      <c r="F12" s="9">
        <f ca="1">-(F17-Q6)</f>
        <v>-8216.7211940298585</v>
      </c>
      <c r="G12" s="9">
        <f ca="1">-(G17-Q7)</f>
        <v>-1057.0226750261245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-12573.759231108954</v>
      </c>
      <c r="M12" s="17"/>
      <c r="N12" s="17"/>
      <c r="O12" s="10"/>
      <c r="P12" s="12"/>
      <c r="Q12" s="9">
        <f t="shared" ref="Q12:Q17" ca="1" si="6">SUM(L12:P12)</f>
        <v>-12573.759231108954</v>
      </c>
      <c r="R12" s="17">
        <f t="shared" ca="1" si="4"/>
        <v>-12573.759231108954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-1979.2599999999948</v>
      </c>
      <c r="J13" s="14">
        <f ca="1">-(J17-Q10)</f>
        <v>-1184.6698150782395</v>
      </c>
      <c r="K13" s="13">
        <f ca="1">-(K17-Q11)</f>
        <v>-15739.768931436702</v>
      </c>
      <c r="L13" s="14">
        <f t="shared" ca="1" si="5"/>
        <v>-18903.698746514936</v>
      </c>
      <c r="M13" s="16">
        <f ca="1">-E15</f>
        <v>-3743.9855340732247</v>
      </c>
      <c r="N13" s="16"/>
      <c r="O13" s="11"/>
      <c r="P13" s="13"/>
      <c r="Q13" s="14">
        <f t="shared" ca="1" si="6"/>
        <v>-22647.684280588161</v>
      </c>
      <c r="R13" s="16">
        <f t="shared" ca="1" si="4"/>
        <v>-22647.684280588161</v>
      </c>
    </row>
    <row r="14" spans="1:20">
      <c r="A14" s="18" t="s">
        <v>78</v>
      </c>
      <c r="B14" s="11"/>
      <c r="C14" s="14"/>
      <c r="D14" s="14"/>
      <c r="E14" s="14">
        <f ca="1">-(I13+J13)-K13</f>
        <v>18903.698746514936</v>
      </c>
      <c r="F14" s="14"/>
      <c r="G14" s="14"/>
      <c r="H14" s="14"/>
      <c r="I14" s="14"/>
      <c r="J14" s="14"/>
      <c r="K14" s="13"/>
      <c r="L14" s="14">
        <f t="shared" ca="1" si="5"/>
        <v>18903.698746514936</v>
      </c>
      <c r="M14" s="16"/>
      <c r="N14" s="16"/>
      <c r="O14" s="11"/>
      <c r="P14" s="13"/>
      <c r="Q14" s="14">
        <f t="shared" ca="1" si="6"/>
        <v>18903.698746514936</v>
      </c>
      <c r="R14" s="16">
        <f t="shared" ca="1" si="4"/>
        <v>18903.698746514936</v>
      </c>
    </row>
    <row r="15" spans="1:20">
      <c r="A15" s="18" t="s">
        <v>79</v>
      </c>
      <c r="B15" s="11"/>
      <c r="C15" s="14"/>
      <c r="D15" s="14"/>
      <c r="E15" s="14">
        <f ca="1">E17-E14</f>
        <v>3743.9855340732247</v>
      </c>
      <c r="F15" s="14"/>
      <c r="G15" s="14"/>
      <c r="H15" s="14"/>
      <c r="I15" s="14"/>
      <c r="J15" s="14"/>
      <c r="K15" s="13"/>
      <c r="L15" s="14">
        <f t="shared" ca="1" si="5"/>
        <v>3743.9855340732247</v>
      </c>
      <c r="M15" s="16"/>
      <c r="N15" s="16"/>
      <c r="O15" s="11"/>
      <c r="P15" s="13"/>
      <c r="Q15" s="14">
        <f t="shared" ca="1" si="6"/>
        <v>3743.9855340732247</v>
      </c>
      <c r="R15" s="16">
        <f t="shared" ca="1" si="4"/>
        <v>3743.9855340732247</v>
      </c>
    </row>
    <row r="16" spans="1:20">
      <c r="A16" s="30" t="s">
        <v>89</v>
      </c>
      <c r="B16" s="21">
        <f ca="1">Q2</f>
        <v>62964.427507864799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62964.427507864799</v>
      </c>
      <c r="M16" s="19"/>
      <c r="N16" s="19"/>
      <c r="O16" s="21"/>
      <c r="P16" s="27"/>
      <c r="Q16" s="22">
        <f t="shared" ca="1" si="6"/>
        <v>62964.427507864799</v>
      </c>
      <c r="R16" s="19">
        <f t="shared" ca="1" si="4"/>
        <v>62964.427507864799</v>
      </c>
    </row>
    <row r="17" spans="1:18">
      <c r="A17" s="29" t="s">
        <v>88</v>
      </c>
      <c r="B17" s="9">
        <f ca="1">B16</f>
        <v>62964.427507864799</v>
      </c>
      <c r="C17" s="9">
        <f ca="1">SUM(C$2:C$11)</f>
        <v>128287.87990682544</v>
      </c>
      <c r="D17" s="9">
        <f ca="1">SUM(D$2:D$11)</f>
        <v>88.325043695334557</v>
      </c>
      <c r="E17" s="9">
        <f ca="1">$Q$5/parameters!$B$4</f>
        <v>22647.684280588161</v>
      </c>
      <c r="F17" s="9">
        <f t="shared" ref="F17:K17" ca="1" si="7">SUM(F$2:F$11)</f>
        <v>132527.76119402985</v>
      </c>
      <c r="G17" s="9">
        <f t="shared" ca="1" si="7"/>
        <v>24581.922675026122</v>
      </c>
      <c r="H17" s="9">
        <f t="shared" ca="1" si="7"/>
        <v>147835.94</v>
      </c>
      <c r="I17" s="9">
        <f t="shared" ca="1" si="7"/>
        <v>98963</v>
      </c>
      <c r="J17" s="9">
        <f t="shared" ca="1" si="7"/>
        <v>59233.490753911807</v>
      </c>
      <c r="K17" s="9">
        <f t="shared" ca="1" si="7"/>
        <v>167790.20093883359</v>
      </c>
      <c r="L17" s="17">
        <f t="shared" ca="1" si="5"/>
        <v>844920.63230077503</v>
      </c>
      <c r="M17" s="17"/>
      <c r="N17" s="17"/>
      <c r="O17" s="9"/>
      <c r="P17" s="14"/>
      <c r="Q17" s="11">
        <f t="shared" ca="1" si="6"/>
        <v>844920.63230077503</v>
      </c>
      <c r="R17" s="17">
        <f t="shared" ca="1" si="4"/>
        <v>844920.63230077503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0.89000000000000012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0.9061937536079685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17331.535666320291</v>
      </c>
      <c r="D2" s="9">
        <f ca="1">Q4/parameters!$B$3</f>
        <v>4412.05615312805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21743.591819448342</v>
      </c>
      <c r="M2" s="17"/>
      <c r="N2" s="17">
        <f ca="1">Q2-(L2+O2+P2)</f>
        <v>0</v>
      </c>
      <c r="O2" s="11" cm="1">
        <f t="array" aca="1" ref="O2" ca="1">INDIRECT("'data'!$F$" &amp; $A$1)</f>
        <v>23794.55</v>
      </c>
      <c r="P2" s="13">
        <f ca="1">IF(-(L2-Q2+O2)&lt;0, -(L2-Q2+O2), 0)</f>
        <v>-3298.4808077955822</v>
      </c>
      <c r="Q2" s="17" cm="1">
        <f t="array" aca="1" ref="Q2" ca="1">INDIRECT("'data'!$D$" &amp; $A$1)</f>
        <v>42239.661011652759</v>
      </c>
      <c r="R2" s="17">
        <f ca="1">SUM(L2:P2)</f>
        <v>42239.661011652759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14484.776119402988</v>
      </c>
      <c r="G3" s="14">
        <f ca="1">Q3-O3-P3-F3</f>
        <v>2489.0358722194869</v>
      </c>
      <c r="H3" s="14"/>
      <c r="I3" s="14"/>
      <c r="J3" s="14"/>
      <c r="K3" s="13"/>
      <c r="L3" s="16">
        <f t="shared" ca="1" si="0"/>
        <v>16973.811991622475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249.48</v>
      </c>
      <c r="P3" s="13" cm="1">
        <f t="array" aca="1" ref="P3" ca="1">-INDIRECT("'data'!$I$" &amp; $A$1)*parameters!$B$13</f>
        <v>-0.94499999999999995</v>
      </c>
      <c r="Q3" s="16" cm="1">
        <f t="array" aca="1" ref="Q3" ca="1">INDIRECT("'data'!$G$" &amp; $A$1)*parameters!$B$13</f>
        <v>17222.346991622475</v>
      </c>
      <c r="R3" s="16">
        <f t="shared" ref="R3:R10" ca="1" si="2">SUM(L3:P3)</f>
        <v>17222.346991622475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4384.2601993633434</v>
      </c>
      <c r="H4" s="14"/>
      <c r="I4" s="14"/>
      <c r="J4" s="14"/>
      <c r="K4" s="13"/>
      <c r="L4" s="16">
        <f t="shared" ca="1" si="0"/>
        <v>4384.2601993633434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4384.2601993633434</v>
      </c>
      <c r="R4" s="16">
        <f t="shared" ca="1" si="2"/>
        <v>4384.2601993633434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3621.194029850747</v>
      </c>
      <c r="G5" s="14">
        <f ca="1">Q7/parameters!$B$7-(G3+G4)</f>
        <v>3326.0769691695205</v>
      </c>
      <c r="H5" s="14"/>
      <c r="I5" s="14"/>
      <c r="J5" s="14"/>
      <c r="K5" s="13"/>
      <c r="L5" s="16">
        <f t="shared" ca="1" si="0"/>
        <v>6947.2709990202675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-1078</v>
      </c>
      <c r="Q5" s="16">
        <f ca="1">SUM(L5:P5)</f>
        <v>5869.2709990202675</v>
      </c>
      <c r="R5" s="16">
        <f t="shared" ca="1" si="2"/>
        <v>5869.2709990202675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16983.400000000001</v>
      </c>
      <c r="I6" s="14"/>
      <c r="J6" s="14"/>
      <c r="K6" s="13"/>
      <c r="L6" s="16">
        <f t="shared" ca="1" si="0"/>
        <v>16983.400000000001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16983.400000000001</v>
      </c>
      <c r="R6" s="16">
        <f t="shared" ca="1" si="2"/>
        <v>16983.400000000001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9760.7999999999993</v>
      </c>
      <c r="I7" s="14"/>
      <c r="J7" s="14"/>
      <c r="K7" s="13"/>
      <c r="L7" s="16">
        <f t="shared" ca="1" si="0"/>
        <v>9760.7999999999993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9760.7999999999993</v>
      </c>
      <c r="R7" s="16">
        <f t="shared" ca="1" si="2"/>
        <v>9760.7999999999993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13148</v>
      </c>
      <c r="J8" s="14">
        <f ca="1">Q10/J18</f>
        <v>16336.621621621622</v>
      </c>
      <c r="K8" s="13"/>
      <c r="L8" s="16">
        <f t="shared" ca="1" si="0"/>
        <v>29484.62162162162</v>
      </c>
      <c r="M8" s="16"/>
      <c r="N8" s="16">
        <f t="shared" ca="1" si="3"/>
        <v>-2700.2416216216188</v>
      </c>
      <c r="O8" s="11" cm="1">
        <f t="array" aca="1" ref="O8" ca="1">INDIRECT("'data'!$R$" &amp; $A$1)*parameters!$B$15</f>
        <v>239.12</v>
      </c>
      <c r="P8" s="13" cm="1">
        <f t="array" aca="1" ref="P8" ca="1">-INDIRECT("'data'!$S$" &amp; $A$1)*parameters!$B$15</f>
        <v>-279.3</v>
      </c>
      <c r="Q8" s="16">
        <f ca="1">SUM(Q6:Q7)</f>
        <v>26744.2</v>
      </c>
      <c r="R8" s="16">
        <f t="shared" ca="1" si="2"/>
        <v>26744.2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12656.699999999999</v>
      </c>
      <c r="L9" s="16">
        <f t="shared" ca="1" si="0"/>
        <v>12656.699999999999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321.44</v>
      </c>
      <c r="P9" s="13" cm="1">
        <f t="array" aca="1" ref="P9" ca="1">-INDIRECT("'data'!$V$" &amp; $A$1)*parameters!$B$15</f>
        <v>-93.1</v>
      </c>
      <c r="Q9" s="16" cm="1">
        <f t="array" aca="1" ref="Q9" ca="1">INDIRECT("'data'!$T$" &amp; $A$1)*parameters!$B$15</f>
        <v>12885.039999999999</v>
      </c>
      <c r="R9" s="16">
        <f t="shared" ca="1" si="2"/>
        <v>12885.039999999999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14520.289189189189</v>
      </c>
      <c r="L10" s="16">
        <f t="shared" ca="1" si="0"/>
        <v>14520.289189189189</v>
      </c>
      <c r="M10" s="16"/>
      <c r="N10" s="16">
        <f t="shared" ca="1" si="3"/>
        <v>0</v>
      </c>
      <c r="O10" s="11" cm="1">
        <f t="array" aca="1" ref="O10" ca="1">INDIRECT("'data'!$X$" &amp; $A$1)*parameters!$B$15</f>
        <v>2493.12</v>
      </c>
      <c r="P10" s="13" cm="1">
        <f t="array" aca="1" ref="P10" ca="1">-INDIRECT("'data'!$Y$" &amp; $A$1)*parameters!$B$15</f>
        <v>-1003.52</v>
      </c>
      <c r="Q10" s="16" cm="1">
        <f t="array" aca="1" ref="Q10" ca="1">INDIRECT("'data'!$W$" &amp; $A$1)*parameters!$B$15</f>
        <v>16009.889189189189</v>
      </c>
      <c r="R10" s="16">
        <f t="shared" ca="1" si="2"/>
        <v>16009.889189189187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23972.1667027027</v>
      </c>
      <c r="N11" s="19"/>
      <c r="O11" s="21" cm="1">
        <f t="array" aca="1" ref="O11" ca="1">INDIRECT("'data'!$Z$" &amp; $A$1)*parameters!$B$15</f>
        <v>1207.3599999999999</v>
      </c>
      <c r="P11" s="27" cm="1">
        <f t="array" aca="1" ref="P11" ca="1">-INDIRECT("'data'!$AA$" &amp; $A$1)*parameters!$B$15</f>
        <v>-794.78</v>
      </c>
      <c r="Q11" s="16">
        <f ca="1">K9*parameters!$B$10+K10*parameters!$B$11</f>
        <v>24384.746702702701</v>
      </c>
      <c r="R11" s="16">
        <f t="shared" ref="R11:R17" ca="1" si="4">SUM(L11:P11)</f>
        <v>24384.746702702701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-109.18867469781617</v>
      </c>
      <c r="D12" s="9">
        <f ca="1">-(D17-Q4)</f>
        <v>-27.79595376470661</v>
      </c>
      <c r="E12" s="9">
        <f ca="1">-(E17-Q5)</f>
        <v>-725.41551673284175</v>
      </c>
      <c r="F12" s="9">
        <f ca="1">-(F17-Q6)</f>
        <v>-1122.5701492537337</v>
      </c>
      <c r="G12" s="9">
        <f ca="1">-(G17-Q7)</f>
        <v>-438.57304075235152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-2423.5433352014497</v>
      </c>
      <c r="M12" s="17"/>
      <c r="N12" s="17"/>
      <c r="O12" s="10"/>
      <c r="P12" s="12"/>
      <c r="Q12" s="9">
        <f t="shared" ref="Q12:Q17" ca="1" si="6">SUM(L12:P12)</f>
        <v>-2423.5433352014497</v>
      </c>
      <c r="R12" s="17">
        <f t="shared" ca="1" si="4"/>
        <v>-2423.5433352014497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-262.96000000000095</v>
      </c>
      <c r="J13" s="14">
        <f ca="1">-(J17-Q10)</f>
        <v>-326.73243243243269</v>
      </c>
      <c r="K13" s="13">
        <f ca="1">-(K17-Q11)</f>
        <v>-2792.2424864864879</v>
      </c>
      <c r="L13" s="14">
        <f t="shared" ca="1" si="5"/>
        <v>-3381.9349189189215</v>
      </c>
      <c r="M13" s="16">
        <f ca="1">-E15</f>
        <v>-3212.7515968341877</v>
      </c>
      <c r="N13" s="16"/>
      <c r="O13" s="11"/>
      <c r="P13" s="13"/>
      <c r="Q13" s="14">
        <f t="shared" ca="1" si="6"/>
        <v>-6594.6865157531092</v>
      </c>
      <c r="R13" s="16">
        <f t="shared" ca="1" si="4"/>
        <v>-6594.6865157531092</v>
      </c>
    </row>
    <row r="14" spans="1:22">
      <c r="A14" s="18" t="s">
        <v>78</v>
      </c>
      <c r="B14" s="11"/>
      <c r="C14" s="14"/>
      <c r="D14" s="14"/>
      <c r="E14" s="14">
        <f ca="1">-(I13+J13)-K13</f>
        <v>3381.9349189189215</v>
      </c>
      <c r="F14" s="14"/>
      <c r="G14" s="14"/>
      <c r="H14" s="14"/>
      <c r="I14" s="14"/>
      <c r="J14" s="14"/>
      <c r="K14" s="13"/>
      <c r="L14" s="14">
        <f t="shared" ca="1" si="5"/>
        <v>3381.9349189189215</v>
      </c>
      <c r="M14" s="16"/>
      <c r="N14" s="16"/>
      <c r="O14" s="11"/>
      <c r="P14" s="13"/>
      <c r="Q14" s="14">
        <f t="shared" ca="1" si="6"/>
        <v>3381.9349189189215</v>
      </c>
      <c r="R14" s="16">
        <f t="shared" ca="1" si="4"/>
        <v>3381.9349189189215</v>
      </c>
    </row>
    <row r="15" spans="1:22">
      <c r="A15" s="18" t="s">
        <v>79</v>
      </c>
      <c r="B15" s="11"/>
      <c r="C15" s="14"/>
      <c r="D15" s="14"/>
      <c r="E15" s="14">
        <f ca="1">E17-E14</f>
        <v>3212.7515968341877</v>
      </c>
      <c r="F15" s="14"/>
      <c r="G15" s="14"/>
      <c r="H15" s="14"/>
      <c r="I15" s="14"/>
      <c r="J15" s="14"/>
      <c r="K15" s="13"/>
      <c r="L15" s="14">
        <f t="shared" ca="1" si="5"/>
        <v>3212.7515968341877</v>
      </c>
      <c r="M15" s="16"/>
      <c r="N15" s="16"/>
      <c r="O15" s="11"/>
      <c r="P15" s="13"/>
      <c r="Q15" s="14">
        <f t="shared" ca="1" si="6"/>
        <v>3212.7515968341877</v>
      </c>
      <c r="R15" s="16">
        <f t="shared" ca="1" si="4"/>
        <v>3212.7515968341877</v>
      </c>
    </row>
    <row r="16" spans="1:22">
      <c r="A16" s="30" t="s">
        <v>89</v>
      </c>
      <c r="B16" s="21">
        <f ca="1">Q2</f>
        <v>42239.661011652759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42239.661011652759</v>
      </c>
      <c r="M16" s="19"/>
      <c r="N16" s="19"/>
      <c r="O16" s="21"/>
      <c r="P16" s="27"/>
      <c r="Q16" s="22">
        <f t="shared" ca="1" si="6"/>
        <v>42239.661011652759</v>
      </c>
      <c r="R16" s="19">
        <f t="shared" ca="1" si="4"/>
        <v>42239.661011652759</v>
      </c>
    </row>
    <row r="17" spans="1:18">
      <c r="A17" s="29" t="s">
        <v>88</v>
      </c>
      <c r="B17" s="9">
        <f ca="1">B16</f>
        <v>42239.661011652759</v>
      </c>
      <c r="C17" s="9">
        <f ca="1">SUM(C$2:C$11)</f>
        <v>17331.535666320291</v>
      </c>
      <c r="D17" s="9">
        <f ca="1">SUM(D$2:D$11)</f>
        <v>4412.05615312805</v>
      </c>
      <c r="E17" s="9">
        <f ca="1">$Q$5/parameters!$B$4</f>
        <v>6594.6865157531092</v>
      </c>
      <c r="F17" s="9">
        <f t="shared" ref="F17:K17" ca="1" si="7">SUM(F$2:F$11)</f>
        <v>18105.970149253735</v>
      </c>
      <c r="G17" s="9">
        <f t="shared" ca="1" si="7"/>
        <v>10199.373040752351</v>
      </c>
      <c r="H17" s="9">
        <f t="shared" ca="1" si="7"/>
        <v>26744.2</v>
      </c>
      <c r="I17" s="9">
        <f t="shared" ca="1" si="7"/>
        <v>13148</v>
      </c>
      <c r="J17" s="9">
        <f t="shared" ca="1" si="7"/>
        <v>16336.621621621622</v>
      </c>
      <c r="K17" s="9">
        <f t="shared" ca="1" si="7"/>
        <v>27176.989189189189</v>
      </c>
      <c r="L17" s="17">
        <f t="shared" ca="1" si="5"/>
        <v>182289.09334767112</v>
      </c>
      <c r="M17" s="17"/>
      <c r="N17" s="17"/>
      <c r="O17" s="9"/>
      <c r="P17" s="14"/>
      <c r="Q17" s="11">
        <f t="shared" ca="1" si="6"/>
        <v>182289.09334767112</v>
      </c>
      <c r="R17" s="17">
        <f t="shared" ca="1" si="4"/>
        <v>182289.09334767112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0.99370000000000014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0.93799999999999983</v>
      </c>
      <c r="G18" s="38">
        <f t="shared" ca="1" si="8"/>
        <v>0.95699999999999996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0.89725710721490737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74972.345778403935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74972.345778403935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-74972.345778403935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69219.949253731349</v>
      </c>
      <c r="G3" s="14">
        <f ca="1">Q3-O3-P3-F3</f>
        <v>4948.3757462686335</v>
      </c>
      <c r="H3" s="14"/>
      <c r="I3" s="14"/>
      <c r="J3" s="14"/>
      <c r="K3" s="13"/>
      <c r="L3" s="16">
        <f t="shared" ca="1" si="0"/>
        <v>74168.324999999983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502.73999999999995</v>
      </c>
      <c r="P3" s="13" cm="1">
        <f t="array" aca="1" ref="P3" ca="1">-INDIRECT("'data'!$I$" &amp; $A$1)*parameters!$B$13</f>
        <v>-171.04499999999999</v>
      </c>
      <c r="Q3" s="16" cm="1">
        <f t="array" aca="1" ref="Q3" ca="1">INDIRECT("'data'!$G$" &amp; $A$1)*parameters!$B$13</f>
        <v>74500.01999999999</v>
      </c>
      <c r="R3" s="16">
        <f t="shared" ref="R3:R10" ca="1" si="2">SUM(L3:P3)</f>
        <v>74500.01999999999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Q6/parameters!$B$5*11%</f>
        <v>8555.2746268656738</v>
      </c>
      <c r="G5" s="14">
        <f ca="1">Q7/parameters!$B$7-(G3+G4)</f>
        <v>24158.750690512978</v>
      </c>
      <c r="H5" s="14"/>
      <c r="I5" s="14"/>
      <c r="J5" s="14"/>
      <c r="K5" s="13"/>
      <c r="L5" s="16">
        <f t="shared" ca="1" si="0"/>
        <v>32714.025317378651</v>
      </c>
      <c r="M5" s="16"/>
      <c r="N5" s="16"/>
      <c r="O5" s="11" cm="1">
        <f t="array" aca="1" ref="O5" ca="1">INDIRECT("'data'!$M$" &amp; $A$1)*parameters!$B$15</f>
        <v>6027.98</v>
      </c>
      <c r="P5" s="13" cm="1">
        <f t="array" aca="1" ref="P5" ca="1">-INDIRECT("'data'!$N$" &amp; $A$1)*parameters!$B$15</f>
        <v>-147.97999999999999</v>
      </c>
      <c r="Q5" s="16">
        <f ca="1">SUM(L5:P5)</f>
        <v>38594.025317378648</v>
      </c>
      <c r="R5" s="16">
        <f t="shared" ca="1" si="2"/>
        <v>38594.025317378648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72953.16</v>
      </c>
      <c r="I6" s="14"/>
      <c r="J6" s="14"/>
      <c r="K6" s="13"/>
      <c r="L6" s="16">
        <f t="shared" ca="1" si="0"/>
        <v>72953.16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72953.16</v>
      </c>
      <c r="R6" s="16">
        <f t="shared" ca="1" si="2"/>
        <v>72953.16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27855.52</v>
      </c>
      <c r="I7" s="14"/>
      <c r="J7" s="14"/>
      <c r="K7" s="13"/>
      <c r="L7" s="16">
        <f t="shared" ca="1" si="0"/>
        <v>27855.52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27855.52</v>
      </c>
      <c r="R7" s="16">
        <f t="shared" ca="1" si="2"/>
        <v>27855.52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37715.214385898769</v>
      </c>
      <c r="J8" s="14">
        <f ca="1">Q10/J18</f>
        <v>60096.625614101249</v>
      </c>
      <c r="K8" s="13"/>
      <c r="L8" s="16">
        <f t="shared" ca="1" si="0"/>
        <v>97811.840000000026</v>
      </c>
      <c r="M8" s="16"/>
      <c r="N8" s="16">
        <f t="shared" ca="1" si="3"/>
        <v>0</v>
      </c>
      <c r="O8" s="11" cm="1">
        <f t="array" aca="1" ref="O8" ca="1">INDIRECT("'data'!$R$" &amp; $A$1)*parameters!$B$15</f>
        <v>3024.2799999999997</v>
      </c>
      <c r="P8" s="13" cm="1">
        <f t="array" aca="1" ref="P8" ca="1">-INDIRECT("'data'!$S$" &amp; $A$1)*parameters!$B$15</f>
        <v>-27.439999999999998</v>
      </c>
      <c r="Q8" s="16">
        <f ca="1">SUM(Q6:Q7)</f>
        <v>100808.68000000001</v>
      </c>
      <c r="R8" s="16">
        <f t="shared" ca="1" si="2"/>
        <v>100808.68000000002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31652.04</v>
      </c>
      <c r="L9" s="16">
        <f t="shared" ca="1" si="0"/>
        <v>31652.04</v>
      </c>
      <c r="M9" s="16"/>
      <c r="N9" s="16">
        <f t="shared" ca="1" si="3"/>
        <v>0</v>
      </c>
      <c r="O9" s="11" cm="1">
        <f t="array" aca="1" ref="O9" ca="1">INDIRECT("'data'!$U$" &amp; $A$1)*parameters!$B$15</f>
        <v>3720.08</v>
      </c>
      <c r="P9" s="13" cm="1">
        <f t="array" aca="1" ref="P9" ca="1">-INDIRECT("'data'!$V$" &amp; $A$1)*parameters!$B$15</f>
        <v>-314.58</v>
      </c>
      <c r="Q9" s="16" cm="1">
        <f t="array" aca="1" ref="Q9" ca="1">INDIRECT("'data'!$T$" &amp; $A$1)*parameters!$B$15</f>
        <v>35057.54</v>
      </c>
      <c r="R9" s="16">
        <f t="shared" ca="1" si="2"/>
        <v>35057.54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40022.062475106686</v>
      </c>
      <c r="L10" s="16">
        <f t="shared" ca="1" si="0"/>
        <v>40022.062475106686</v>
      </c>
      <c r="M10" s="16"/>
      <c r="N10" s="16">
        <f t="shared" ca="1" si="3"/>
        <v>0</v>
      </c>
      <c r="O10" s="11" cm="1">
        <f t="array" aca="1" ref="O10" ca="1">INDIRECT("'data'!$X$" &amp; $A$1)*parameters!$B$15</f>
        <v>19251.12</v>
      </c>
      <c r="P10" s="13" cm="1">
        <f t="array" aca="1" ref="P10" ca="1">-INDIRECT("'data'!$Y$" &amp; $A$1)*parameters!$B$15</f>
        <v>-3411.38</v>
      </c>
      <c r="Q10" s="16" cm="1">
        <f t="array" aca="1" ref="Q10" ca="1">INDIRECT("'data'!$W$" &amp; $A$1)*parameters!$B$15</f>
        <v>55861.802475106684</v>
      </c>
      <c r="R10" s="16">
        <f t="shared" ca="1" si="2"/>
        <v>55861.802475106691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47813.24132859175</v>
      </c>
      <c r="N11" s="19"/>
      <c r="O11" s="21" cm="1">
        <f t="array" aca="1" ref="O11" ca="1">INDIRECT("'data'!$Z$" &amp; $A$1)*parameters!$B$15</f>
        <v>19771.5</v>
      </c>
      <c r="P11" s="27" cm="1">
        <f t="array" aca="1" ref="P11" ca="1">-INDIRECT("'data'!$AA$" &amp; $A$1)*parameters!$B$15</f>
        <v>-3412.85</v>
      </c>
      <c r="Q11" s="16">
        <f ca="1">K9*parameters!$B$10+K10*parameters!$B$11</f>
        <v>64171.891328591752</v>
      </c>
      <c r="R11" s="16">
        <f t="shared" ref="R11:R17" ca="1" si="4">SUM(L11:P11)</f>
        <v>64171.891328591744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-472.32577840394515</v>
      </c>
      <c r="D12" s="9">
        <f ca="1">-(D17-Q4)</f>
        <v>0</v>
      </c>
      <c r="E12" s="9">
        <f ca="1">-(E17-Q5)</f>
        <v>-4770.0480729344417</v>
      </c>
      <c r="F12" s="9">
        <f ca="1">-(F17-Q6)</f>
        <v>-4822.0638805970229</v>
      </c>
      <c r="G12" s="9">
        <f ca="1">-(G17-Q7)</f>
        <v>-1251.6064367816107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-11316.044168717021</v>
      </c>
      <c r="M12" s="17"/>
      <c r="N12" s="17"/>
      <c r="O12" s="10"/>
      <c r="P12" s="12"/>
      <c r="Q12" s="9">
        <f t="shared" ref="Q12:Q17" ca="1" si="6">SUM(L12:P12)</f>
        <v>-11316.044168717021</v>
      </c>
      <c r="R12" s="17">
        <f t="shared" ca="1" si="4"/>
        <v>-11316.044168717021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-2657.6743858987684</v>
      </c>
      <c r="J13" s="14">
        <f ca="1">-(J17-Q10)</f>
        <v>-4234.8231389945649</v>
      </c>
      <c r="K13" s="13">
        <f ca="1">-(K17-Q11)</f>
        <v>-7502.2111465149355</v>
      </c>
      <c r="L13" s="14">
        <f t="shared" ca="1" si="5"/>
        <v>-14394.708671408269</v>
      </c>
      <c r="M13" s="16">
        <f ca="1">-E15</f>
        <v>-28969.364718904821</v>
      </c>
      <c r="N13" s="16"/>
      <c r="O13" s="11"/>
      <c r="P13" s="13"/>
      <c r="Q13" s="14">
        <f t="shared" ca="1" si="6"/>
        <v>-43364.073390313089</v>
      </c>
      <c r="R13" s="16">
        <f t="shared" ca="1" si="4"/>
        <v>-43364.073390313089</v>
      </c>
    </row>
    <row r="14" spans="1:20">
      <c r="A14" s="18" t="s">
        <v>78</v>
      </c>
      <c r="B14" s="11"/>
      <c r="C14" s="14"/>
      <c r="D14" s="14"/>
      <c r="E14" s="14">
        <f ca="1">-(I13+J13)-K13</f>
        <v>14394.708671408269</v>
      </c>
      <c r="F14" s="14"/>
      <c r="G14" s="14"/>
      <c r="H14" s="14"/>
      <c r="I14" s="14"/>
      <c r="J14" s="14"/>
      <c r="K14" s="13"/>
      <c r="L14" s="14">
        <f t="shared" ca="1" si="5"/>
        <v>14394.708671408269</v>
      </c>
      <c r="M14" s="16"/>
      <c r="N14" s="16"/>
      <c r="O14" s="11"/>
      <c r="P14" s="13"/>
      <c r="Q14" s="14">
        <f t="shared" ca="1" si="6"/>
        <v>14394.708671408269</v>
      </c>
      <c r="R14" s="16">
        <f t="shared" ca="1" si="4"/>
        <v>14394.708671408269</v>
      </c>
    </row>
    <row r="15" spans="1:20">
      <c r="A15" s="18" t="s">
        <v>79</v>
      </c>
      <c r="B15" s="11"/>
      <c r="C15" s="14"/>
      <c r="D15" s="14"/>
      <c r="E15" s="14">
        <f ca="1">E17-E14</f>
        <v>28969.364718904821</v>
      </c>
      <c r="F15" s="14"/>
      <c r="G15" s="14"/>
      <c r="H15" s="14"/>
      <c r="I15" s="14"/>
      <c r="J15" s="14"/>
      <c r="K15" s="13"/>
      <c r="L15" s="14">
        <f t="shared" ca="1" si="5"/>
        <v>28969.364718904821</v>
      </c>
      <c r="M15" s="16"/>
      <c r="N15" s="16"/>
      <c r="O15" s="11"/>
      <c r="P15" s="13"/>
      <c r="Q15" s="14">
        <f t="shared" ca="1" si="6"/>
        <v>28969.364718904821</v>
      </c>
      <c r="R15" s="16">
        <f t="shared" ca="1" si="4"/>
        <v>28969.364718904821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74972.345778403935</v>
      </c>
      <c r="D17" s="9">
        <f ca="1">SUM(D$2:D$11)</f>
        <v>0</v>
      </c>
      <c r="E17" s="9">
        <f ca="1">$Q$5/parameters!$B$4</f>
        <v>43364.073390313089</v>
      </c>
      <c r="F17" s="9">
        <f t="shared" ref="F17:K17" ca="1" si="7">SUM(F$2:F$11)</f>
        <v>77775.223880597026</v>
      </c>
      <c r="G17" s="9">
        <f t="shared" ca="1" si="7"/>
        <v>29107.126436781611</v>
      </c>
      <c r="H17" s="9">
        <f t="shared" ca="1" si="7"/>
        <v>100808.68000000001</v>
      </c>
      <c r="I17" s="9">
        <f t="shared" ca="1" si="7"/>
        <v>37715.214385898769</v>
      </c>
      <c r="J17" s="9">
        <f t="shared" ca="1" si="7"/>
        <v>60096.625614101249</v>
      </c>
      <c r="K17" s="9">
        <f t="shared" ca="1" si="7"/>
        <v>71674.102475106687</v>
      </c>
      <c r="L17" s="17">
        <f t="shared" ca="1" si="5"/>
        <v>495513.39196120237</v>
      </c>
      <c r="M17" s="17"/>
      <c r="N17" s="17"/>
      <c r="O17" s="9"/>
      <c r="P17" s="14"/>
      <c r="Q17" s="11">
        <f t="shared" ca="1" si="6"/>
        <v>495513.39196120237</v>
      </c>
      <c r="R17" s="17">
        <f t="shared" ca="1" si="4"/>
        <v>495513.39196120237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0.8899999999999999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0.92953309614773294</v>
      </c>
      <c r="J18" s="38">
        <f ca="1">I18</f>
        <v>0.92953309614773294</v>
      </c>
      <c r="K18" s="39">
        <f ca="1">1-(-K13)/K17</f>
        <v>0.89532884420672665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40043.388346583473</v>
      </c>
      <c r="D2" s="9">
        <f ca="1">Q4/parameters!$B$3</f>
        <v>111.09992955620409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40154.48827613968</v>
      </c>
      <c r="M2" s="17"/>
      <c r="N2" s="17">
        <f ca="1">Q2-(L2+O2+P2)</f>
        <v>0</v>
      </c>
      <c r="O2" s="11" cm="1">
        <f t="array" aca="1" ref="O2" ca="1">INDIRECT("'data'!$F$" &amp; $A$1)</f>
        <v>3643.25</v>
      </c>
      <c r="P2" s="13">
        <f ca="1">IF(-(L2-Q2+O2)&lt;0, -(L2-Q2+O2), 0)</f>
        <v>-14534.73827613968</v>
      </c>
      <c r="Q2" s="17" cm="1">
        <f t="array" aca="1" ref="Q2" ca="1">INDIRECT("'data'!$D$" &amp; $A$1)</f>
        <v>29263</v>
      </c>
      <c r="R2" s="17">
        <f ca="1">SUM(L2:P2)</f>
        <v>29263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40573.232835820905</v>
      </c>
      <c r="G3" s="14">
        <f ca="1">Q3-O3-P3-F3</f>
        <v>3308.7871641790916</v>
      </c>
      <c r="H3" s="14"/>
      <c r="I3" s="14"/>
      <c r="J3" s="14"/>
      <c r="K3" s="13"/>
      <c r="L3" s="16">
        <f t="shared" ca="1" si="0"/>
        <v>43882.02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41.58</v>
      </c>
      <c r="P3" s="13" cm="1">
        <f t="array" aca="1" ref="P3" ca="1">-INDIRECT("'data'!$I$" &amp; $A$1)*parameters!$B$13</f>
        <v>-4132.4849999999997</v>
      </c>
      <c r="Q3" s="16" cm="1">
        <f t="array" aca="1" ref="Q3" ca="1">INDIRECT("'data'!$G$" &amp; $A$1)*parameters!$B$13</f>
        <v>39791.114999999998</v>
      </c>
      <c r="R3" s="16">
        <f t="shared" ref="R3:R10" ca="1" si="2">SUM(L3:P3)</f>
        <v>39791.114999999998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110.4</v>
      </c>
      <c r="H4" s="14"/>
      <c r="I4" s="14"/>
      <c r="J4" s="14"/>
      <c r="K4" s="13"/>
      <c r="L4" s="16">
        <f t="shared" ca="1" si="0"/>
        <v>110.4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110.4</v>
      </c>
      <c r="R4" s="16">
        <f t="shared" ca="1" si="2"/>
        <v>110.4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Q6/parameters!$B$5*18%</f>
        <v>8906.3194029850747</v>
      </c>
      <c r="G5" s="14">
        <f ca="1">Q7/parameters!$B$7-(G3+G4)</f>
        <v>40353.12213571641</v>
      </c>
      <c r="H5" s="14"/>
      <c r="I5" s="14"/>
      <c r="J5" s="14"/>
      <c r="K5" s="13"/>
      <c r="L5" s="16">
        <f t="shared" ca="1" si="0"/>
        <v>49259.441538701489</v>
      </c>
      <c r="M5" s="16"/>
      <c r="N5" s="16"/>
      <c r="O5" s="11" cm="1">
        <f t="array" aca="1" ref="O5" ca="1">INDIRECT("'data'!$M$" &amp; $A$1)*parameters!$B$15</f>
        <v>7295.12</v>
      </c>
      <c r="P5" s="13" cm="1">
        <f t="array" aca="1" ref="P5" ca="1">-INDIRECT("'data'!$N$" &amp; $A$1)*parameters!$B$15</f>
        <v>-2577.4</v>
      </c>
      <c r="Q5" s="16">
        <f ca="1">SUM(L5:P5)</f>
        <v>53977.16153870149</v>
      </c>
      <c r="R5" s="16">
        <f t="shared" ca="1" si="2"/>
        <v>53977.16153870149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46411.82</v>
      </c>
      <c r="I6" s="14"/>
      <c r="J6" s="14"/>
      <c r="K6" s="13"/>
      <c r="L6" s="16">
        <f t="shared" ca="1" si="0"/>
        <v>46411.82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46411.82</v>
      </c>
      <c r="R6" s="16">
        <f t="shared" ca="1" si="2"/>
        <v>46411.82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41890.1</v>
      </c>
      <c r="I7" s="14"/>
      <c r="J7" s="14"/>
      <c r="K7" s="13"/>
      <c r="L7" s="16">
        <f t="shared" ca="1" si="0"/>
        <v>41890.1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41890.1</v>
      </c>
      <c r="R7" s="16">
        <f t="shared" ca="1" si="2"/>
        <v>41890.1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28679.461875063869</v>
      </c>
      <c r="J8" s="14">
        <f ca="1">Q10/J18</f>
        <v>65225.118124936118</v>
      </c>
      <c r="K8" s="13"/>
      <c r="L8" s="16">
        <f t="shared" ca="1" si="0"/>
        <v>93904.579999999987</v>
      </c>
      <c r="M8" s="16"/>
      <c r="N8" s="16">
        <f t="shared" ca="1" si="3"/>
        <v>0</v>
      </c>
      <c r="O8" s="11" cm="1">
        <f t="array" aca="1" ref="O8" ca="1">INDIRECT("'data'!$R$" &amp; $A$1)*parameters!$B$15</f>
        <v>124.46</v>
      </c>
      <c r="P8" s="13" cm="1">
        <f t="array" aca="1" ref="P8" ca="1">-INDIRECT("'data'!$S$" &amp; $A$1)*parameters!$B$15</f>
        <v>-5727.12</v>
      </c>
      <c r="Q8" s="16">
        <f ca="1">SUM(Q6:Q7)</f>
        <v>88301.92</v>
      </c>
      <c r="R8" s="16">
        <f t="shared" ca="1" si="2"/>
        <v>88301.92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33487.58</v>
      </c>
      <c r="L9" s="16">
        <f t="shared" ca="1" si="0"/>
        <v>33487.58</v>
      </c>
      <c r="M9" s="16"/>
      <c r="N9" s="16">
        <f t="shared" ca="1" si="3"/>
        <v>0</v>
      </c>
      <c r="O9" s="11" cm="1">
        <f t="array" aca="1" ref="O9" ca="1">INDIRECT("'data'!$U$" &amp; $A$1)*parameters!$B$15</f>
        <v>1396.5</v>
      </c>
      <c r="P9" s="13" cm="1">
        <f t="array" aca="1" ref="P9" ca="1">-INDIRECT("'data'!$V$" &amp; $A$1)*parameters!$B$15</f>
        <v>-8250.619999999999</v>
      </c>
      <c r="Q9" s="16" cm="1">
        <f t="array" aca="1" ref="Q9" ca="1">INDIRECT("'data'!$T$" &amp; $A$1)*parameters!$B$15</f>
        <v>26633.46</v>
      </c>
      <c r="R9" s="16">
        <f t="shared" ca="1" si="2"/>
        <v>26633.460000000003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66402.937581792314</v>
      </c>
      <c r="L10" s="16">
        <f t="shared" ca="1" si="0"/>
        <v>66402.937581792314</v>
      </c>
      <c r="M10" s="16"/>
      <c r="N10" s="16">
        <f t="shared" ca="1" si="3"/>
        <v>0</v>
      </c>
      <c r="O10" s="11" cm="1">
        <f t="array" aca="1" ref="O10" ca="1">INDIRECT("'data'!$X$" &amp; $A$1)*parameters!$B$15</f>
        <v>3142.86</v>
      </c>
      <c r="P10" s="13" cm="1">
        <f t="array" aca="1" ref="P10" ca="1">-INDIRECT("'data'!$Y$" &amp; $A$1)*parameters!$B$15</f>
        <v>-8973.86</v>
      </c>
      <c r="Q10" s="16" cm="1">
        <f t="array" aca="1" ref="Q10" ca="1">INDIRECT("'data'!$W$" &amp; $A$1)*parameters!$B$15</f>
        <v>60571.937581792314</v>
      </c>
      <c r="R10" s="16">
        <f t="shared" ca="1" si="2"/>
        <v>60571.937581792314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103360.8015203414</v>
      </c>
      <c r="N11" s="19"/>
      <c r="O11" s="21" cm="1">
        <f t="array" aca="1" ref="O11" ca="1">INDIRECT("'data'!$Z$" &amp; $A$1)*parameters!$B$15</f>
        <v>15429.119999999999</v>
      </c>
      <c r="P11" s="27" cm="1">
        <f t="array" aca="1" ref="P11" ca="1">-INDIRECT("'data'!$AA$" &amp; $A$1)*parameters!$B$15</f>
        <v>-30205.07</v>
      </c>
      <c r="Q11" s="16">
        <f ca="1">K9*parameters!$B$10+K10*parameters!$B$11</f>
        <v>88584.851520341384</v>
      </c>
      <c r="R11" s="16">
        <f t="shared" ref="R11:R17" ca="1" si="4">SUM(L11:P11)</f>
        <v>88584.851520341384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-252.27334658347536</v>
      </c>
      <c r="D12" s="9">
        <f ca="1">-(D17-Q4)</f>
        <v>-0.69992955620408281</v>
      </c>
      <c r="E12" s="9">
        <f ca="1">-(E17-Q5)</f>
        <v>-6671.3345721990627</v>
      </c>
      <c r="F12" s="9">
        <f ca="1">-(F17-Q6)</f>
        <v>-3067.7322388059765</v>
      </c>
      <c r="G12" s="9">
        <f ca="1">-(G17-Q7)</f>
        <v>-1882.209299895505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-11874.249387040223</v>
      </c>
      <c r="M12" s="17"/>
      <c r="N12" s="17"/>
      <c r="O12" s="10"/>
      <c r="P12" s="12"/>
      <c r="Q12" s="9">
        <f t="shared" ref="Q12:Q17" ca="1" si="6">SUM(L12:P12)</f>
        <v>-11874.249387040223</v>
      </c>
      <c r="R12" s="17">
        <f t="shared" ca="1" si="4"/>
        <v>-11874.249387040223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-2046.0018750638701</v>
      </c>
      <c r="J13" s="14">
        <f ca="1">-(J17-Q10)</f>
        <v>-4653.1805431438042</v>
      </c>
      <c r="K13" s="13">
        <f ca="1">-(K17-Q11)</f>
        <v>-11305.666061450931</v>
      </c>
      <c r="L13" s="14">
        <f t="shared" ca="1" si="5"/>
        <v>-18004.848479658605</v>
      </c>
      <c r="M13" s="16">
        <f ca="1">-E15</f>
        <v>-42643.647631241947</v>
      </c>
      <c r="N13" s="16"/>
      <c r="O13" s="11"/>
      <c r="P13" s="13"/>
      <c r="Q13" s="14">
        <f t="shared" ca="1" si="6"/>
        <v>-60648.496110900553</v>
      </c>
      <c r="R13" s="16">
        <f t="shared" ca="1" si="4"/>
        <v>-60648.496110900553</v>
      </c>
    </row>
    <row r="14" spans="1:20">
      <c r="A14" s="18" t="s">
        <v>78</v>
      </c>
      <c r="B14" s="11"/>
      <c r="C14" s="14"/>
      <c r="D14" s="14"/>
      <c r="E14" s="14">
        <f ca="1">-(I13+J13)-K13</f>
        <v>18004.848479658605</v>
      </c>
      <c r="F14" s="14"/>
      <c r="G14" s="14"/>
      <c r="H14" s="14"/>
      <c r="I14" s="14"/>
      <c r="J14" s="14"/>
      <c r="K14" s="13"/>
      <c r="L14" s="14">
        <f t="shared" ca="1" si="5"/>
        <v>18004.848479658605</v>
      </c>
      <c r="M14" s="16"/>
      <c r="N14" s="16"/>
      <c r="O14" s="11"/>
      <c r="P14" s="13"/>
      <c r="Q14" s="14">
        <f t="shared" ca="1" si="6"/>
        <v>18004.848479658605</v>
      </c>
      <c r="R14" s="16">
        <f t="shared" ca="1" si="4"/>
        <v>18004.848479658605</v>
      </c>
    </row>
    <row r="15" spans="1:20">
      <c r="A15" s="18" t="s">
        <v>79</v>
      </c>
      <c r="B15" s="11"/>
      <c r="C15" s="14"/>
      <c r="D15" s="14"/>
      <c r="E15" s="14">
        <f ca="1">E17-E14</f>
        <v>42643.647631241947</v>
      </c>
      <c r="F15" s="14"/>
      <c r="G15" s="14"/>
      <c r="H15" s="14"/>
      <c r="I15" s="14"/>
      <c r="J15" s="14"/>
      <c r="K15" s="13"/>
      <c r="L15" s="14">
        <f t="shared" ca="1" si="5"/>
        <v>42643.647631241947</v>
      </c>
      <c r="M15" s="16"/>
      <c r="N15" s="16"/>
      <c r="O15" s="11"/>
      <c r="P15" s="13"/>
      <c r="Q15" s="14">
        <f t="shared" ca="1" si="6"/>
        <v>42643.647631241947</v>
      </c>
      <c r="R15" s="16">
        <f t="shared" ca="1" si="4"/>
        <v>42643.647631241947</v>
      </c>
    </row>
    <row r="16" spans="1:20">
      <c r="A16" s="30" t="s">
        <v>89</v>
      </c>
      <c r="B16" s="21">
        <f ca="1">Q2</f>
        <v>29263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29263</v>
      </c>
      <c r="M16" s="19"/>
      <c r="N16" s="19"/>
      <c r="O16" s="21"/>
      <c r="P16" s="27"/>
      <c r="Q16" s="22">
        <f t="shared" ca="1" si="6"/>
        <v>29263</v>
      </c>
      <c r="R16" s="19">
        <f t="shared" ca="1" si="4"/>
        <v>29263</v>
      </c>
    </row>
    <row r="17" spans="1:18">
      <c r="A17" s="29" t="s">
        <v>88</v>
      </c>
      <c r="B17" s="9">
        <f ca="1">B16</f>
        <v>29263</v>
      </c>
      <c r="C17" s="9">
        <f ca="1">SUM(C$2:C$11)</f>
        <v>40043.388346583473</v>
      </c>
      <c r="D17" s="9">
        <f ca="1">SUM(D$2:D$11)</f>
        <v>111.09992955620409</v>
      </c>
      <c r="E17" s="9">
        <f ca="1">$Q$5/parameters!$B$4</f>
        <v>60648.496110900553</v>
      </c>
      <c r="F17" s="9">
        <f t="shared" ref="F17:K17" ca="1" si="7">SUM(F$2:F$11)</f>
        <v>49479.552238805976</v>
      </c>
      <c r="G17" s="9">
        <f t="shared" ca="1" si="7"/>
        <v>43772.309299895504</v>
      </c>
      <c r="H17" s="9">
        <f t="shared" ca="1" si="7"/>
        <v>88301.92</v>
      </c>
      <c r="I17" s="9">
        <f t="shared" ca="1" si="7"/>
        <v>28679.461875063869</v>
      </c>
      <c r="J17" s="9">
        <f t="shared" ca="1" si="7"/>
        <v>65225.118124936118</v>
      </c>
      <c r="K17" s="9">
        <f t="shared" ca="1" si="7"/>
        <v>99890.517581792315</v>
      </c>
      <c r="L17" s="17">
        <f t="shared" ca="1" si="5"/>
        <v>505414.86350753403</v>
      </c>
      <c r="M17" s="17"/>
      <c r="N17" s="17"/>
      <c r="O17" s="9"/>
      <c r="P17" s="14"/>
      <c r="Q17" s="11">
        <f t="shared" ca="1" si="6"/>
        <v>505414.86350753403</v>
      </c>
      <c r="R17" s="17">
        <f t="shared" ca="1" si="4"/>
        <v>505414.86350753403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0.93799999999999983</v>
      </c>
      <c r="G18" s="38">
        <f t="shared" ca="1" si="8"/>
        <v>0.95700000000000007</v>
      </c>
      <c r="H18" s="38">
        <f t="shared" ref="H18" ca="1" si="9">1-(-H12)/H17</f>
        <v>1</v>
      </c>
      <c r="I18" s="38">
        <f ca="1">(Q9+Q10)/(Q8-O8-P8)</f>
        <v>0.9286596839237482</v>
      </c>
      <c r="J18" s="38">
        <f ca="1">I18</f>
        <v>0.9286596839237482</v>
      </c>
      <c r="K18" s="39">
        <f ca="1">1-(-K13)/K17</f>
        <v>0.88681942655674373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42744.203481936194</v>
      </c>
      <c r="D2" s="9">
        <f ca="1">Q4/parameters!$B$3</f>
        <v>2323.8401932172692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45068.043675153465</v>
      </c>
      <c r="M2" s="17"/>
      <c r="N2" s="17">
        <f ca="1">Q2-(L2+O2+P2)</f>
        <v>0</v>
      </c>
      <c r="O2" s="11" cm="1">
        <f t="array" aca="1" ref="O2" ca="1">INDIRECT("'data'!$F$" &amp; $A$1)</f>
        <v>15147.6</v>
      </c>
      <c r="P2" s="13">
        <f ca="1">IF(-(L2-Q2+O2)&lt;0, -(L2-Q2+O2), 0)</f>
        <v>-12215.643675153466</v>
      </c>
      <c r="Q2" s="17" cm="1">
        <f t="array" aca="1" ref="Q2" ca="1">INDIRECT("'data'!$D$" &amp; $A$1)</f>
        <v>48000</v>
      </c>
      <c r="R2" s="17">
        <f ca="1">SUM(L2:P2)</f>
        <v>48000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36657.119402985081</v>
      </c>
      <c r="G3" s="14">
        <f ca="1">Q3-O3-P3-F3</f>
        <v>355.69559701492108</v>
      </c>
      <c r="H3" s="14"/>
      <c r="I3" s="14"/>
      <c r="J3" s="14"/>
      <c r="K3" s="13"/>
      <c r="L3" s="16">
        <f t="shared" ca="1" si="0"/>
        <v>37012.815000000002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5462.0999999999995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42474.915000000001</v>
      </c>
      <c r="R3" s="16">
        <f t="shared" ref="R3:R10" ca="1" si="2">SUM(L3:P3)</f>
        <v>42474.915000000001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2309.2000000000003</v>
      </c>
      <c r="H4" s="14"/>
      <c r="I4" s="14"/>
      <c r="J4" s="14"/>
      <c r="K4" s="13"/>
      <c r="L4" s="16">
        <f t="shared" ca="1" si="0"/>
        <v>2309.2000000000003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2309.2000000000003</v>
      </c>
      <c r="R4" s="16">
        <f t="shared" ca="1" si="2"/>
        <v>2309.2000000000003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Q6/parameters!$B$5*30%</f>
        <v>15710.194029850747</v>
      </c>
      <c r="G5" s="14">
        <f ca="1">Q7/parameters!$B$7-(G3+G4)</f>
        <v>6394.7282274364879</v>
      </c>
      <c r="H5" s="14"/>
      <c r="I5" s="14"/>
      <c r="J5" s="14"/>
      <c r="K5" s="13"/>
      <c r="L5" s="16">
        <f t="shared" ca="1" si="0"/>
        <v>22104.922257287235</v>
      </c>
      <c r="M5" s="16"/>
      <c r="N5" s="16"/>
      <c r="O5" s="11" cm="1">
        <f t="array" aca="1" ref="O5" ca="1">INDIRECT("'data'!$M$" &amp; $A$1)*parameters!$B$15</f>
        <v>5961.34</v>
      </c>
      <c r="P5" s="13" cm="1">
        <f t="array" aca="1" ref="P5" ca="1">-INDIRECT("'data'!$N$" &amp; $A$1)*parameters!$B$15</f>
        <v>-109.75999999999999</v>
      </c>
      <c r="Q5" s="16">
        <f ca="1">SUM(L5:P5)</f>
        <v>27956.502257287237</v>
      </c>
      <c r="R5" s="16">
        <f t="shared" ca="1" si="2"/>
        <v>27956.502257287237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49120.54</v>
      </c>
      <c r="I6" s="14"/>
      <c r="J6" s="14"/>
      <c r="K6" s="13"/>
      <c r="L6" s="16">
        <f t="shared" ca="1" si="0"/>
        <v>49120.54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49120.54</v>
      </c>
      <c r="R6" s="16">
        <f t="shared" ca="1" si="2"/>
        <v>49120.54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8670.06</v>
      </c>
      <c r="I7" s="14"/>
      <c r="J7" s="14"/>
      <c r="K7" s="13"/>
      <c r="L7" s="16">
        <f t="shared" ca="1" si="0"/>
        <v>8670.06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8670.06</v>
      </c>
      <c r="R7" s="16">
        <f t="shared" ca="1" si="2"/>
        <v>8670.06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21081</v>
      </c>
      <c r="J8" s="14">
        <f ca="1">Q10/J18</f>
        <v>27463.78947368421</v>
      </c>
      <c r="K8" s="13"/>
      <c r="L8" s="16">
        <f t="shared" ca="1" si="0"/>
        <v>48544.789473684214</v>
      </c>
      <c r="M8" s="16"/>
      <c r="N8" s="16">
        <f t="shared" ca="1" si="3"/>
        <v>-2500.4694736842139</v>
      </c>
      <c r="O8" s="11" cm="1">
        <f t="array" aca="1" ref="O8" ca="1">INDIRECT("'data'!$R$" &amp; $A$1)*parameters!$B$15</f>
        <v>11760</v>
      </c>
      <c r="P8" s="13" cm="1">
        <f t="array" aca="1" ref="P8" ca="1">-INDIRECT("'data'!$S$" &amp; $A$1)*parameters!$B$15</f>
        <v>-13.719999999999999</v>
      </c>
      <c r="Q8" s="16">
        <f ca="1">SUM(Q6:Q7)</f>
        <v>57790.6</v>
      </c>
      <c r="R8" s="16">
        <f t="shared" ca="1" si="2"/>
        <v>57790.6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17529.259999999998</v>
      </c>
      <c r="L9" s="16">
        <f t="shared" ca="1" si="0"/>
        <v>17529.259999999998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3835.72</v>
      </c>
      <c r="P9" s="13" cm="1">
        <f t="array" aca="1" ref="P9" ca="1">-INDIRECT("'data'!$V$" &amp; $A$1)*parameters!$B$15</f>
        <v>-705.6</v>
      </c>
      <c r="Q9" s="16" cm="1">
        <f t="array" aca="1" ref="Q9" ca="1">INDIRECT("'data'!$T$" &amp; $A$1)*parameters!$B$15</f>
        <v>20659.38</v>
      </c>
      <c r="R9" s="16">
        <f t="shared" ca="1" si="2"/>
        <v>20659.38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19651.733684210521</v>
      </c>
      <c r="L10" s="16">
        <f t="shared" ca="1" si="0"/>
        <v>19651.733684210521</v>
      </c>
      <c r="M10" s="16"/>
      <c r="N10" s="16">
        <f t="shared" ca="1" si="3"/>
        <v>0</v>
      </c>
      <c r="O10" s="11" cm="1">
        <f t="array" aca="1" ref="O10" ca="1">INDIRECT("'data'!$X$" &amp; $A$1)*parameters!$B$15</f>
        <v>8659.2800000000007</v>
      </c>
      <c r="P10" s="13" cm="1">
        <f t="array" aca="1" ref="P10" ca="1">-INDIRECT("'data'!$Y$" &amp; $A$1)*parameters!$B$15</f>
        <v>-1396.5</v>
      </c>
      <c r="Q10" s="16" cm="1">
        <f t="array" aca="1" ref="Q10" ca="1">INDIRECT("'data'!$W$" &amp; $A$1)*parameters!$B$15</f>
        <v>26914.513684210524</v>
      </c>
      <c r="R10" s="16">
        <f t="shared" ca="1" si="2"/>
        <v>26914.51368421052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33444.635368421048</v>
      </c>
      <c r="N11" s="19"/>
      <c r="O11" s="21" cm="1">
        <f t="array" aca="1" ref="O11" ca="1">INDIRECT("'data'!$Z$" &amp; $A$1)*parameters!$B$15</f>
        <v>2081.0299999999997</v>
      </c>
      <c r="P11" s="27" cm="1">
        <f t="array" aca="1" ref="P11" ca="1">-INDIRECT("'data'!$AA$" &amp; $A$1)*parameters!$B$15</f>
        <v>-2147.67</v>
      </c>
      <c r="Q11" s="16">
        <f ca="1">K9*parameters!$B$10+K10*parameters!$B$11</f>
        <v>33377.995368421049</v>
      </c>
      <c r="R11" s="16">
        <f t="shared" ref="R11:R17" ca="1" si="4">SUM(L11:P11)</f>
        <v>33377.995368421049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-269.28848193619342</v>
      </c>
      <c r="D12" s="9">
        <f ca="1">-(D17-Q4)</f>
        <v>-14.640193217268916</v>
      </c>
      <c r="E12" s="9">
        <f ca="1">-(E17-Q5)</f>
        <v>-3455.2980317995462</v>
      </c>
      <c r="F12" s="9">
        <f ca="1">-(F17-Q6)</f>
        <v>-3246.7734328358274</v>
      </c>
      <c r="G12" s="9">
        <f ca="1">-(G17-Q7)</f>
        <v>-389.56382445141026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-7375.5639642402457</v>
      </c>
      <c r="M12" s="17"/>
      <c r="N12" s="17"/>
      <c r="O12" s="10"/>
      <c r="P12" s="12"/>
      <c r="Q12" s="9">
        <f t="shared" ref="Q12:Q17" ca="1" si="6">SUM(L12:P12)</f>
        <v>-7375.5639642402457</v>
      </c>
      <c r="R12" s="17">
        <f t="shared" ca="1" si="4"/>
        <v>-7375.5639642402457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-421.61999999999898</v>
      </c>
      <c r="J13" s="14">
        <f ca="1">-(J17-Q10)</f>
        <v>-549.27578947368602</v>
      </c>
      <c r="K13" s="13">
        <f ca="1">-(K17-Q11)</f>
        <v>-3802.9983157894749</v>
      </c>
      <c r="L13" s="14">
        <f t="shared" ca="1" si="5"/>
        <v>-4773.8941052631599</v>
      </c>
      <c r="M13" s="16">
        <f ca="1">-E15</f>
        <v>-26637.906183823623</v>
      </c>
      <c r="N13" s="16"/>
      <c r="O13" s="11"/>
      <c r="P13" s="13"/>
      <c r="Q13" s="14">
        <f t="shared" ca="1" si="6"/>
        <v>-31411.800289086783</v>
      </c>
      <c r="R13" s="16">
        <f t="shared" ca="1" si="4"/>
        <v>-31411.800289086783</v>
      </c>
    </row>
    <row r="14" spans="1:20">
      <c r="A14" s="18" t="s">
        <v>78</v>
      </c>
      <c r="B14" s="11"/>
      <c r="C14" s="14"/>
      <c r="D14" s="14"/>
      <c r="E14" s="14">
        <f ca="1">-(I13+J13)-K13</f>
        <v>4773.8941052631599</v>
      </c>
      <c r="F14" s="14"/>
      <c r="G14" s="14"/>
      <c r="H14" s="14"/>
      <c r="I14" s="14"/>
      <c r="J14" s="14"/>
      <c r="K14" s="13"/>
      <c r="L14" s="14">
        <f t="shared" ca="1" si="5"/>
        <v>4773.8941052631599</v>
      </c>
      <c r="M14" s="16"/>
      <c r="N14" s="16"/>
      <c r="O14" s="11"/>
      <c r="P14" s="13"/>
      <c r="Q14" s="14">
        <f t="shared" ca="1" si="6"/>
        <v>4773.8941052631599</v>
      </c>
      <c r="R14" s="16">
        <f t="shared" ca="1" si="4"/>
        <v>4773.8941052631599</v>
      </c>
    </row>
    <row r="15" spans="1:20">
      <c r="A15" s="18" t="s">
        <v>79</v>
      </c>
      <c r="B15" s="11"/>
      <c r="C15" s="14"/>
      <c r="D15" s="14"/>
      <c r="E15" s="14">
        <f ca="1">E17-E14</f>
        <v>26637.906183823623</v>
      </c>
      <c r="F15" s="14"/>
      <c r="G15" s="14"/>
      <c r="H15" s="14"/>
      <c r="I15" s="14"/>
      <c r="J15" s="14"/>
      <c r="K15" s="13"/>
      <c r="L15" s="14">
        <f t="shared" ca="1" si="5"/>
        <v>26637.906183823623</v>
      </c>
      <c r="M15" s="16"/>
      <c r="N15" s="16"/>
      <c r="O15" s="11"/>
      <c r="P15" s="13"/>
      <c r="Q15" s="14">
        <f t="shared" ca="1" si="6"/>
        <v>26637.906183823623</v>
      </c>
      <c r="R15" s="16">
        <f t="shared" ca="1" si="4"/>
        <v>26637.906183823623</v>
      </c>
    </row>
    <row r="16" spans="1:20">
      <c r="A16" s="30" t="s">
        <v>89</v>
      </c>
      <c r="B16" s="21">
        <f ca="1">Q2</f>
        <v>48000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48000</v>
      </c>
      <c r="M16" s="19"/>
      <c r="N16" s="19"/>
      <c r="O16" s="21"/>
      <c r="P16" s="27"/>
      <c r="Q16" s="22">
        <f t="shared" ca="1" si="6"/>
        <v>48000</v>
      </c>
      <c r="R16" s="19">
        <f t="shared" ca="1" si="4"/>
        <v>48000</v>
      </c>
    </row>
    <row r="17" spans="1:18">
      <c r="A17" s="29" t="s">
        <v>88</v>
      </c>
      <c r="B17" s="9">
        <f ca="1">B16</f>
        <v>48000</v>
      </c>
      <c r="C17" s="9">
        <f ca="1">SUM(C$2:C$11)</f>
        <v>42744.203481936194</v>
      </c>
      <c r="D17" s="9">
        <f ca="1">SUM(D$2:D$11)</f>
        <v>2323.8401932172692</v>
      </c>
      <c r="E17" s="9">
        <f ca="1">$Q$5/parameters!$B$4</f>
        <v>31411.800289086783</v>
      </c>
      <c r="F17" s="9">
        <f t="shared" ref="F17:K17" ca="1" si="7">SUM(F$2:F$11)</f>
        <v>52367.313432835828</v>
      </c>
      <c r="G17" s="9">
        <f t="shared" ca="1" si="7"/>
        <v>9059.6238244514097</v>
      </c>
      <c r="H17" s="9">
        <f t="shared" ca="1" si="7"/>
        <v>57790.6</v>
      </c>
      <c r="I17" s="9">
        <f t="shared" ca="1" si="7"/>
        <v>21081</v>
      </c>
      <c r="J17" s="9">
        <f t="shared" ca="1" si="7"/>
        <v>27463.78947368421</v>
      </c>
      <c r="K17" s="9">
        <f t="shared" ca="1" si="7"/>
        <v>37180.993684210523</v>
      </c>
      <c r="L17" s="17">
        <f t="shared" ca="1" si="5"/>
        <v>329423.1643794222</v>
      </c>
      <c r="M17" s="17"/>
      <c r="N17" s="17"/>
      <c r="O17" s="9"/>
      <c r="P17" s="14"/>
      <c r="Q17" s="11">
        <f t="shared" ca="1" si="6"/>
        <v>329423.1643794222</v>
      </c>
      <c r="R17" s="17">
        <f t="shared" ca="1" si="4"/>
        <v>329423.1643794222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0.99370000000000014</v>
      </c>
      <c r="D18" s="38">
        <f ca="1">IFERROR(1-(-D12)/D17, "")</f>
        <v>0.99369999999999992</v>
      </c>
      <c r="E18" s="38">
        <f t="shared" ref="E18:G18" ca="1" si="8">IFERROR(1-(-E12)/E17, "")</f>
        <v>0.89</v>
      </c>
      <c r="F18" s="38">
        <f t="shared" ca="1" si="8"/>
        <v>0.93799999999999983</v>
      </c>
      <c r="G18" s="38">
        <f t="shared" ca="1" si="8"/>
        <v>0.95700000000000007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0.89771660359350547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24628.771258931265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24628.771258931265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-24628.771258931265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20679.044776119405</v>
      </c>
      <c r="G3" s="14">
        <f ca="1">Q3-O3-P3-F3</f>
        <v>5161.0352238805935</v>
      </c>
      <c r="H3" s="14"/>
      <c r="I3" s="14"/>
      <c r="J3" s="14"/>
      <c r="K3" s="13"/>
      <c r="L3" s="16">
        <f t="shared" ca="1" si="0"/>
        <v>25840.079999999998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-1366.47</v>
      </c>
      <c r="Q3" s="16" cm="1">
        <f t="array" aca="1" ref="Q3" ca="1">INDIRECT("'data'!$G$" &amp; $A$1)*parameters!$B$13</f>
        <v>24473.609999999997</v>
      </c>
      <c r="R3" s="16">
        <f t="shared" ref="R3:R10" ca="1" si="2">SUM(L3:P3)</f>
        <v>24473.609999999997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5169.761194029852</v>
      </c>
      <c r="G5" s="14">
        <f ca="1">Q7/parameters!$B$7-(G3+G4)</f>
        <v>14409.267806422435</v>
      </c>
      <c r="H5" s="14"/>
      <c r="I5" s="14"/>
      <c r="J5" s="14"/>
      <c r="K5" s="13"/>
      <c r="L5" s="16">
        <f t="shared" ca="1" si="0"/>
        <v>19579.029000452287</v>
      </c>
      <c r="M5" s="16"/>
      <c r="N5" s="16"/>
      <c r="O5" s="11" cm="1">
        <f t="array" aca="1" ref="O5" ca="1">INDIRECT("'data'!$M$" &amp; $A$1)*parameters!$B$15</f>
        <v>61.74</v>
      </c>
      <c r="P5" s="13" cm="1">
        <f t="array" aca="1" ref="P5" ca="1">-INDIRECT("'data'!$N$" &amp; $A$1)*parameters!$B$15</f>
        <v>-5947.62</v>
      </c>
      <c r="Q5" s="16">
        <f ca="1">SUM(L5:P5)</f>
        <v>13693.149000452289</v>
      </c>
      <c r="R5" s="16">
        <f t="shared" ca="1" si="2"/>
        <v>13693.149000452289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24246.18</v>
      </c>
      <c r="I6" s="14"/>
      <c r="J6" s="14"/>
      <c r="K6" s="13"/>
      <c r="L6" s="16">
        <f t="shared" ca="1" si="0"/>
        <v>24246.18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24246.18</v>
      </c>
      <c r="R6" s="16">
        <f t="shared" ca="1" si="2"/>
        <v>24246.18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18728.78</v>
      </c>
      <c r="I7" s="14"/>
      <c r="J7" s="14"/>
      <c r="K7" s="13"/>
      <c r="L7" s="16">
        <f t="shared" ca="1" si="0"/>
        <v>18728.78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18728.78</v>
      </c>
      <c r="R7" s="16">
        <f t="shared" ca="1" si="2"/>
        <v>18728.78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18871.59221134703</v>
      </c>
      <c r="J8" s="14">
        <f ca="1">Q10/J18</f>
        <v>26736.627788652975</v>
      </c>
      <c r="K8" s="13"/>
      <c r="L8" s="16">
        <f t="shared" ca="1" si="0"/>
        <v>45608.22</v>
      </c>
      <c r="M8" s="16"/>
      <c r="N8" s="16">
        <f t="shared" ca="1" si="3"/>
        <v>0</v>
      </c>
      <c r="O8" s="11" cm="1">
        <f t="array" aca="1" ref="O8" ca="1">INDIRECT("'data'!$R$" &amp; $A$1)*parameters!$B$15</f>
        <v>406.7</v>
      </c>
      <c r="P8" s="13" cm="1">
        <f t="array" aca="1" ref="P8" ca="1">-INDIRECT("'data'!$S$" &amp; $A$1)*parameters!$B$15</f>
        <v>-3039.96</v>
      </c>
      <c r="Q8" s="16">
        <f ca="1">SUM(Q6:Q7)</f>
        <v>42974.96</v>
      </c>
      <c r="R8" s="16">
        <f t="shared" ca="1" si="2"/>
        <v>42974.96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16687.439999999999</v>
      </c>
      <c r="L9" s="16">
        <f t="shared" ca="1" si="0"/>
        <v>16687.439999999999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2330.44</v>
      </c>
      <c r="P9" s="13" cm="1">
        <f t="array" aca="1" ref="P9" ca="1">-INDIRECT("'data'!$V$" &amp; $A$1)*parameters!$B$15</f>
        <v>-1353.3799999999999</v>
      </c>
      <c r="Q9" s="16" cm="1">
        <f t="array" aca="1" ref="Q9" ca="1">INDIRECT("'data'!$T$" &amp; $A$1)*parameters!$B$15</f>
        <v>17664.5</v>
      </c>
      <c r="R9" s="16">
        <f t="shared" ca="1" si="2"/>
        <v>17664.499999999996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21048.640739687056</v>
      </c>
      <c r="L10" s="16">
        <f t="shared" ca="1" si="0"/>
        <v>21048.640739687056</v>
      </c>
      <c r="M10" s="16"/>
      <c r="N10" s="16">
        <f t="shared" ca="1" si="3"/>
        <v>0</v>
      </c>
      <c r="O10" s="11" cm="1">
        <f t="array" aca="1" ref="O10" ca="1">INDIRECT("'data'!$X$" &amp; $A$1)*parameters!$B$15</f>
        <v>9821.56</v>
      </c>
      <c r="P10" s="13" cm="1">
        <f t="array" aca="1" ref="P10" ca="1">-INDIRECT("'data'!$Y$" &amp; $A$1)*parameters!$B$15</f>
        <v>-5843.74</v>
      </c>
      <c r="Q10" s="16" cm="1">
        <f t="array" aca="1" ref="Q10" ca="1">INDIRECT("'data'!$W$" &amp; $A$1)*parameters!$B$15</f>
        <v>25026.460739687056</v>
      </c>
      <c r="R10" s="16">
        <f t="shared" ca="1" si="2"/>
        <v>25026.460739687056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23618.564636130868</v>
      </c>
      <c r="N11" s="19"/>
      <c r="O11" s="21" cm="1">
        <f t="array" aca="1" ref="O11" ca="1">INDIRECT("'data'!$Z$" &amp; $A$1)*parameters!$B$15</f>
        <v>11912.39</v>
      </c>
      <c r="P11" s="27" cm="1">
        <f t="array" aca="1" ref="P11" ca="1">-INDIRECT("'data'!$AA$" &amp; $A$1)*parameters!$B$15</f>
        <v>-1742.93</v>
      </c>
      <c r="Q11" s="16">
        <f ca="1">K9*parameters!$B$10+K10*parameters!$B$11</f>
        <v>33788.024636130867</v>
      </c>
      <c r="R11" s="16">
        <f t="shared" ref="R11:R17" ca="1" si="4">SUM(L11:P11)</f>
        <v>33788.024636130867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-155.16125893126809</v>
      </c>
      <c r="D12" s="9">
        <f ca="1">-(D17-Q4)</f>
        <v>0</v>
      </c>
      <c r="E12" s="9">
        <f ca="1">-(E17-Q5)</f>
        <v>-1692.4116742132046</v>
      </c>
      <c r="F12" s="9">
        <f ca="1">-(F17-Q6)</f>
        <v>-1602.6259701492563</v>
      </c>
      <c r="G12" s="9">
        <f ca="1">-(G17-Q7)</f>
        <v>-841.52303030302937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-4291.7219335967584</v>
      </c>
      <c r="M12" s="17"/>
      <c r="N12" s="17"/>
      <c r="O12" s="10"/>
      <c r="P12" s="12"/>
      <c r="Q12" s="9">
        <f t="shared" ref="Q12:Q17" ca="1" si="6">SUM(L12:P12)</f>
        <v>-4291.7219335967584</v>
      </c>
      <c r="R12" s="17">
        <f t="shared" ca="1" si="4"/>
        <v>-4291.7219335967584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-1207.0922113470297</v>
      </c>
      <c r="J13" s="14">
        <f ca="1">-(J17-Q10)</f>
        <v>-1710.1670489659191</v>
      </c>
      <c r="K13" s="13">
        <f ca="1">-(K17-Q11)</f>
        <v>-3948.0561035561841</v>
      </c>
      <c r="L13" s="14">
        <f t="shared" ca="1" si="5"/>
        <v>-6865.3153638691329</v>
      </c>
      <c r="M13" s="16">
        <f ca="1">-E15</f>
        <v>-8520.2453107963611</v>
      </c>
      <c r="N13" s="16"/>
      <c r="O13" s="11"/>
      <c r="P13" s="13"/>
      <c r="Q13" s="14">
        <f t="shared" ca="1" si="6"/>
        <v>-15385.560674665494</v>
      </c>
      <c r="R13" s="16">
        <f t="shared" ca="1" si="4"/>
        <v>-15385.560674665494</v>
      </c>
    </row>
    <row r="14" spans="1:20">
      <c r="A14" s="18" t="s">
        <v>78</v>
      </c>
      <c r="B14" s="11"/>
      <c r="C14" s="14"/>
      <c r="D14" s="14"/>
      <c r="E14" s="14">
        <f ca="1">-(I13+J13)-K13</f>
        <v>6865.3153638691329</v>
      </c>
      <c r="F14" s="14"/>
      <c r="G14" s="14"/>
      <c r="H14" s="14"/>
      <c r="I14" s="14"/>
      <c r="J14" s="14"/>
      <c r="K14" s="13"/>
      <c r="L14" s="14">
        <f t="shared" ca="1" si="5"/>
        <v>6865.3153638691329</v>
      </c>
      <c r="M14" s="16"/>
      <c r="N14" s="16"/>
      <c r="O14" s="11"/>
      <c r="P14" s="13"/>
      <c r="Q14" s="14">
        <f t="shared" ca="1" si="6"/>
        <v>6865.3153638691329</v>
      </c>
      <c r="R14" s="16">
        <f t="shared" ca="1" si="4"/>
        <v>6865.3153638691329</v>
      </c>
    </row>
    <row r="15" spans="1:20">
      <c r="A15" s="18" t="s">
        <v>79</v>
      </c>
      <c r="B15" s="11"/>
      <c r="C15" s="14"/>
      <c r="D15" s="14"/>
      <c r="E15" s="14">
        <f ca="1">E17-E14</f>
        <v>8520.2453107963611</v>
      </c>
      <c r="F15" s="14"/>
      <c r="G15" s="14"/>
      <c r="H15" s="14"/>
      <c r="I15" s="14"/>
      <c r="J15" s="14"/>
      <c r="K15" s="13"/>
      <c r="L15" s="14">
        <f t="shared" ca="1" si="5"/>
        <v>8520.2453107963611</v>
      </c>
      <c r="M15" s="16"/>
      <c r="N15" s="16"/>
      <c r="O15" s="11"/>
      <c r="P15" s="13"/>
      <c r="Q15" s="14">
        <f t="shared" ca="1" si="6"/>
        <v>8520.2453107963611</v>
      </c>
      <c r="R15" s="16">
        <f t="shared" ca="1" si="4"/>
        <v>8520.2453107963611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24628.771258931265</v>
      </c>
      <c r="D17" s="9">
        <f ca="1">SUM(D$2:D$11)</f>
        <v>0</v>
      </c>
      <c r="E17" s="9">
        <f ca="1">$Q$5/parameters!$B$4</f>
        <v>15385.560674665494</v>
      </c>
      <c r="F17" s="9">
        <f t="shared" ref="F17:K17" ca="1" si="7">SUM(F$2:F$11)</f>
        <v>25848.805970149257</v>
      </c>
      <c r="G17" s="9">
        <f t="shared" ca="1" si="7"/>
        <v>19570.303030303028</v>
      </c>
      <c r="H17" s="9">
        <f t="shared" ca="1" si="7"/>
        <v>42974.96</v>
      </c>
      <c r="I17" s="9">
        <f t="shared" ca="1" si="7"/>
        <v>18871.59221134703</v>
      </c>
      <c r="J17" s="9">
        <f t="shared" ca="1" si="7"/>
        <v>26736.627788652975</v>
      </c>
      <c r="K17" s="9">
        <f t="shared" ca="1" si="7"/>
        <v>37736.080739687051</v>
      </c>
      <c r="L17" s="17">
        <f t="shared" ca="1" si="5"/>
        <v>211752.7016737361</v>
      </c>
      <c r="M17" s="17"/>
      <c r="N17" s="17"/>
      <c r="O17" s="9"/>
      <c r="P17" s="14"/>
      <c r="Q17" s="11">
        <f t="shared" ca="1" si="6"/>
        <v>211752.7016737361</v>
      </c>
      <c r="R17" s="17">
        <f t="shared" ca="1" si="4"/>
        <v>211752.7016737361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0.99369999999999992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0.95700000000000007</v>
      </c>
      <c r="H18" s="38">
        <f t="shared" ref="H18" ca="1" si="9">1-(-H12)/H17</f>
        <v>1</v>
      </c>
      <c r="I18" s="38">
        <f ca="1">(Q9+Q10)/(Q8-O8-P8)</f>
        <v>0.93603654647532952</v>
      </c>
      <c r="J18" s="38">
        <f ca="1">I18</f>
        <v>0.93603654647532952</v>
      </c>
      <c r="K18" s="39">
        <f ca="1">1-(-K13)/K17</f>
        <v>0.89537715559835518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27753.728489483743</v>
      </c>
      <c r="D2" s="9">
        <f ca="1">Q4/parameters!$B$3</f>
        <v>194.42487672335716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27948.153366207101</v>
      </c>
      <c r="M2" s="17"/>
      <c r="N2" s="16">
        <v>0</v>
      </c>
      <c r="O2" s="11" cm="1">
        <f t="array" aca="1" ref="O2" ca="1">INDIRECT("'data'!$F$" &amp; $A$1)</f>
        <v>10.4</v>
      </c>
      <c r="P2" s="13">
        <f ca="1">IF(-(L2-Q2+O2)&lt;0, -(L2-Q2+O2), 0)</f>
        <v>-27726.553366207103</v>
      </c>
      <c r="Q2" s="17" cm="1">
        <f t="array" aca="1" ref="Q2" ca="1">INDIRECT("'data'!$D$" &amp; $A$1)</f>
        <v>232</v>
      </c>
      <c r="R2" s="17">
        <f ca="1">SUM(L2:P2)</f>
        <v>232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26457.074626865673</v>
      </c>
      <c r="G3" s="14">
        <f ca="1">Q3-O3-P3-F3</f>
        <v>1316.4753731343226</v>
      </c>
      <c r="H3" s="14"/>
      <c r="I3" s="14"/>
      <c r="J3" s="14"/>
      <c r="K3" s="13"/>
      <c r="L3" s="16">
        <f t="shared" ca="1" si="0"/>
        <v>27773.549999999996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70.875</v>
      </c>
      <c r="P3" s="13" cm="1">
        <f t="array" aca="1" ref="P3" ca="1">-INDIRECT("'data'!$I$" &amp; $A$1)*parameters!$B$13</f>
        <v>-265.54499999999996</v>
      </c>
      <c r="Q3" s="16" cm="1">
        <f t="array" aca="1" ref="Q3" ca="1">INDIRECT("'data'!$G$" &amp; $A$1)*parameters!$B$13</f>
        <v>27578.879999999997</v>
      </c>
      <c r="R3" s="16">
        <f t="shared" ref="R3:R10" ca="1" si="2">SUM(L3:P3)</f>
        <v>27578.879999999997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193.20000000000002</v>
      </c>
      <c r="H4" s="14"/>
      <c r="I4" s="14"/>
      <c r="J4" s="14"/>
      <c r="K4" s="13"/>
      <c r="L4" s="16">
        <f t="shared" ca="1" si="0"/>
        <v>193.20000000000002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193.20000000000002</v>
      </c>
      <c r="R4" s="16">
        <f t="shared" ca="1" si="2"/>
        <v>193.20000000000002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6614.2686567164192</v>
      </c>
      <c r="G5" s="14">
        <f ca="1">Q7/parameters!$B$7-(G3+G4)</f>
        <v>11955.340300846869</v>
      </c>
      <c r="H5" s="14"/>
      <c r="I5" s="14"/>
      <c r="J5" s="14"/>
      <c r="K5" s="13"/>
      <c r="L5" s="16">
        <f t="shared" ca="1" si="0"/>
        <v>18569.608957563287</v>
      </c>
      <c r="M5" s="16"/>
      <c r="N5" s="16"/>
      <c r="O5" s="11" cm="1">
        <f t="array" aca="1" ref="O5" ca="1">INDIRECT("'data'!$M$" &amp; $A$1)*parameters!$B$15</f>
        <v>6467.0199999999995</v>
      </c>
      <c r="P5" s="13" cm="1">
        <f t="array" aca="1" ref="P5" ca="1">-INDIRECT("'data'!$N$" &amp; $A$1)*parameters!$B$15</f>
        <v>-3488.7999999999997</v>
      </c>
      <c r="Q5" s="16">
        <f ca="1">SUM(L5:P5)</f>
        <v>21547.828957563288</v>
      </c>
      <c r="R5" s="16">
        <f t="shared" ca="1" si="2"/>
        <v>21547.828957563288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31020.92</v>
      </c>
      <c r="I6" s="14"/>
      <c r="J6" s="14"/>
      <c r="K6" s="13"/>
      <c r="L6" s="16">
        <f t="shared" ca="1" si="0"/>
        <v>31020.92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31020.92</v>
      </c>
      <c r="R6" s="16">
        <f t="shared" ca="1" si="2"/>
        <v>31020.92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12886.02</v>
      </c>
      <c r="I7" s="14"/>
      <c r="J7" s="14"/>
      <c r="K7" s="13"/>
      <c r="L7" s="16">
        <f t="shared" ca="1" si="0"/>
        <v>12886.02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12886.02</v>
      </c>
      <c r="R7" s="16">
        <f t="shared" ca="1" si="2"/>
        <v>12886.02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15981.72901847616</v>
      </c>
      <c r="J8" s="14">
        <f ca="1">Q10/J18</f>
        <v>27217.650981523846</v>
      </c>
      <c r="K8" s="13"/>
      <c r="L8" s="16">
        <f t="shared" ca="1" si="0"/>
        <v>43199.380000000005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1991.36</v>
      </c>
      <c r="P8" s="13" cm="1">
        <f t="array" aca="1" ref="P8" ca="1">-INDIRECT("'data'!$S$" &amp; $A$1)*parameters!$B$15</f>
        <v>-1283.8</v>
      </c>
      <c r="Q8" s="16">
        <f ca="1">SUM(Q6:Q7)</f>
        <v>43906.94</v>
      </c>
      <c r="R8" s="16">
        <f t="shared" ca="1" si="2"/>
        <v>43906.94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13470.099999999999</v>
      </c>
      <c r="L9" s="16">
        <f t="shared" ca="1" si="0"/>
        <v>13470.099999999999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6155.38</v>
      </c>
      <c r="P9" s="13" cm="1">
        <f t="array" aca="1" ref="P9" ca="1">-INDIRECT("'data'!$V$" &amp; $A$1)*parameters!$B$15</f>
        <v>-5937.82</v>
      </c>
      <c r="Q9" s="16" cm="1">
        <f t="array" aca="1" ref="Q9" ca="1">INDIRECT("'data'!$T$" &amp; $A$1)*parameters!$B$15</f>
        <v>13687.66</v>
      </c>
      <c r="R9" s="16">
        <f t="shared" ca="1" si="2"/>
        <v>13687.66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20558.901422475108</v>
      </c>
      <c r="L10" s="16">
        <f t="shared" ca="1" si="0"/>
        <v>20558.901422475108</v>
      </c>
      <c r="M10" s="16"/>
      <c r="N10" s="16">
        <f t="shared" ca="1" si="3"/>
        <v>0</v>
      </c>
      <c r="O10" s="11" cm="1">
        <f t="array" aca="1" ref="O10" ca="1">INDIRECT("'data'!$X$" &amp; $A$1)*parameters!$B$15</f>
        <v>12180.42</v>
      </c>
      <c r="P10" s="13" cm="1">
        <f t="array" aca="1" ref="P10" ca="1">-INDIRECT("'data'!$Y$" &amp; $A$1)*parameters!$B$15</f>
        <v>-9428.58</v>
      </c>
      <c r="Q10" s="16" cm="1">
        <f t="array" aca="1" ref="Q10" ca="1">INDIRECT("'data'!$W$" &amp; $A$1)*parameters!$B$15</f>
        <v>23310.741422475108</v>
      </c>
      <c r="R10" s="16">
        <f t="shared" ca="1" si="2"/>
        <v>23310.741422475105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24735.969223328593</v>
      </c>
      <c r="N11" s="19"/>
      <c r="O11" s="21" cm="1">
        <f t="array" aca="1" ref="O11" ca="1">INDIRECT("'data'!$Z$" &amp; $A$1)*parameters!$B$15</f>
        <v>18926.739999999998</v>
      </c>
      <c r="P11" s="27" cm="1">
        <f t="array" aca="1" ref="P11" ca="1">-INDIRECT("'data'!$AA$" &amp; $A$1)*parameters!$B$15</f>
        <v>-13320.16</v>
      </c>
      <c r="Q11" s="16">
        <f ca="1">K9*parameters!$B$10+K10*parameters!$B$11</f>
        <v>30342.549223328591</v>
      </c>
      <c r="R11" s="16">
        <f t="shared" ref="R11:R17" ca="1" si="4">SUM(L11:P11)</f>
        <v>30342.549223328595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-174.84848948374565</v>
      </c>
      <c r="D12" s="9">
        <f ca="1">-(D17-Q4)</f>
        <v>-1.2248767233571414</v>
      </c>
      <c r="E12" s="9">
        <f ca="1">-(E17-Q5)</f>
        <v>-2663.2148149797322</v>
      </c>
      <c r="F12" s="9">
        <f ca="1">-(F17-Q6)</f>
        <v>-2050.4232835820949</v>
      </c>
      <c r="G12" s="9">
        <f ca="1">-(G17-Q7)</f>
        <v>-578.99567398119143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-5468.7071387501219</v>
      </c>
      <c r="M12" s="17"/>
      <c r="N12" s="17"/>
      <c r="O12" s="10"/>
      <c r="P12" s="12"/>
      <c r="Q12" s="9">
        <f t="shared" ref="Q12:Q17" ca="1" si="6">SUM(L12:P12)</f>
        <v>-5468.7071387501219</v>
      </c>
      <c r="R12" s="17">
        <f t="shared" ca="1" si="4"/>
        <v>-5468.7071387501219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-2294.0690184761606</v>
      </c>
      <c r="J13" s="14">
        <f ca="1">-(J17-Q10)</f>
        <v>-3906.9095590487377</v>
      </c>
      <c r="K13" s="13">
        <f ca="1">-(K17-Q11)</f>
        <v>-3686.4521991465153</v>
      </c>
      <c r="L13" s="14">
        <f t="shared" ca="1" si="5"/>
        <v>-9887.4307766714137</v>
      </c>
      <c r="M13" s="16">
        <f ca="1">-E15</f>
        <v>-14323.612995871606</v>
      </c>
      <c r="N13" s="16"/>
      <c r="O13" s="11"/>
      <c r="P13" s="13"/>
      <c r="Q13" s="14">
        <f t="shared" ca="1" si="6"/>
        <v>-24211.04377254302</v>
      </c>
      <c r="R13" s="16">
        <f t="shared" ca="1" si="4"/>
        <v>-24211.04377254302</v>
      </c>
    </row>
    <row r="14" spans="1:20">
      <c r="A14" s="18" t="s">
        <v>78</v>
      </c>
      <c r="B14" s="11"/>
      <c r="C14" s="14"/>
      <c r="D14" s="14"/>
      <c r="E14" s="14">
        <f ca="1">-(I13+J13)-K13</f>
        <v>9887.4307766714137</v>
      </c>
      <c r="F14" s="14"/>
      <c r="G14" s="14"/>
      <c r="H14" s="14"/>
      <c r="I14" s="14"/>
      <c r="J14" s="14"/>
      <c r="K14" s="13"/>
      <c r="L14" s="14">
        <f t="shared" ca="1" si="5"/>
        <v>9887.4307766714137</v>
      </c>
      <c r="M14" s="16"/>
      <c r="N14" s="16"/>
      <c r="O14" s="11"/>
      <c r="P14" s="13"/>
      <c r="Q14" s="14">
        <f t="shared" ca="1" si="6"/>
        <v>9887.4307766714137</v>
      </c>
      <c r="R14" s="16">
        <f t="shared" ca="1" si="4"/>
        <v>9887.4307766714137</v>
      </c>
    </row>
    <row r="15" spans="1:20">
      <c r="A15" s="18" t="s">
        <v>79</v>
      </c>
      <c r="B15" s="11"/>
      <c r="C15" s="14"/>
      <c r="D15" s="14"/>
      <c r="E15" s="14">
        <f ca="1">E17-E14</f>
        <v>14323.612995871606</v>
      </c>
      <c r="F15" s="14"/>
      <c r="G15" s="14"/>
      <c r="H15" s="14"/>
      <c r="I15" s="14"/>
      <c r="J15" s="14"/>
      <c r="K15" s="13"/>
      <c r="L15" s="14">
        <f t="shared" ca="1" si="5"/>
        <v>14323.612995871606</v>
      </c>
      <c r="M15" s="16"/>
      <c r="N15" s="16"/>
      <c r="O15" s="11"/>
      <c r="P15" s="13"/>
      <c r="Q15" s="14">
        <f t="shared" ca="1" si="6"/>
        <v>14323.612995871606</v>
      </c>
      <c r="R15" s="16">
        <f t="shared" ca="1" si="4"/>
        <v>14323.612995871606</v>
      </c>
    </row>
    <row r="16" spans="1:20">
      <c r="A16" s="30" t="s">
        <v>89</v>
      </c>
      <c r="B16" s="21">
        <f ca="1">Q2</f>
        <v>232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232</v>
      </c>
      <c r="M16" s="19"/>
      <c r="N16" s="19"/>
      <c r="O16" s="21"/>
      <c r="P16" s="27"/>
      <c r="Q16" s="22">
        <f t="shared" ca="1" si="6"/>
        <v>232</v>
      </c>
      <c r="R16" s="19">
        <f t="shared" ca="1" si="4"/>
        <v>232</v>
      </c>
    </row>
    <row r="17" spans="1:18">
      <c r="A17" s="29" t="s">
        <v>88</v>
      </c>
      <c r="B17" s="9">
        <f ca="1">B16</f>
        <v>232</v>
      </c>
      <c r="C17" s="9">
        <f ca="1">SUM(C$2:C$11)</f>
        <v>27753.728489483743</v>
      </c>
      <c r="D17" s="9">
        <f ca="1">SUM(D$2:D$11)</f>
        <v>194.42487672335716</v>
      </c>
      <c r="E17" s="9">
        <f ca="1">$Q$5/parameters!$B$4</f>
        <v>24211.04377254302</v>
      </c>
      <c r="F17" s="9">
        <f t="shared" ref="F17:K17" ca="1" si="7">SUM(F$2:F$11)</f>
        <v>33071.343283582093</v>
      </c>
      <c r="G17" s="9">
        <f t="shared" ca="1" si="7"/>
        <v>13465.015673981192</v>
      </c>
      <c r="H17" s="9">
        <f t="shared" ca="1" si="7"/>
        <v>43906.94</v>
      </c>
      <c r="I17" s="9">
        <f t="shared" ca="1" si="7"/>
        <v>15981.72901847616</v>
      </c>
      <c r="J17" s="9">
        <f t="shared" ca="1" si="7"/>
        <v>27217.650981523846</v>
      </c>
      <c r="K17" s="9">
        <f t="shared" ca="1" si="7"/>
        <v>34029.001422475107</v>
      </c>
      <c r="L17" s="17">
        <f t="shared" ca="1" si="5"/>
        <v>220062.8775187885</v>
      </c>
      <c r="M17" s="17"/>
      <c r="N17" s="17"/>
      <c r="O17" s="9"/>
      <c r="P17" s="14"/>
      <c r="Q17" s="11">
        <f t="shared" ca="1" si="6"/>
        <v>220062.8775187885</v>
      </c>
      <c r="R17" s="17">
        <f t="shared" ca="1" si="4"/>
        <v>220062.8775187885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0.93799999999999983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0.85645676911277668</v>
      </c>
      <c r="J18" s="38">
        <f ca="1">I18</f>
        <v>0.85645676911277668</v>
      </c>
      <c r="K18" s="39">
        <f ca="1">1-(-K13)/K17</f>
        <v>0.89166734123700353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5029.7926939720228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5029.7926939720228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-2929.7926939720228</v>
      </c>
      <c r="Q2" s="17" cm="1">
        <f t="array" aca="1" ref="Q2" ca="1">INDIRECT("'data'!$D$" &amp; $A$1)</f>
        <v>2100</v>
      </c>
      <c r="R2" s="17">
        <f ca="1">SUM(L2:P2)</f>
        <v>2100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4410.626865671642</v>
      </c>
      <c r="G3" s="14">
        <f ca="1">Q3-O3-P3-F3</f>
        <v>681.03313432835785</v>
      </c>
      <c r="H3" s="14"/>
      <c r="I3" s="14"/>
      <c r="J3" s="14"/>
      <c r="K3" s="13"/>
      <c r="L3" s="16">
        <f t="shared" ca="1" si="0"/>
        <v>5091.66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103.005</v>
      </c>
      <c r="P3" s="13" cm="1">
        <f t="array" aca="1" ref="P3" ca="1">-INDIRECT("'data'!$I$" &amp; $A$1)*parameters!$B$13</f>
        <v>-196.56</v>
      </c>
      <c r="Q3" s="16" cm="1">
        <f t="array" aca="1" ref="Q3" ca="1">INDIRECT("'data'!$G$" &amp; $A$1)*parameters!$B$13</f>
        <v>4998.1049999999996</v>
      </c>
      <c r="R3" s="16">
        <f t="shared" ref="R3:R10" ca="1" si="2">SUM(L3:P3)</f>
        <v>4998.1049999999996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1102.6567164179105</v>
      </c>
      <c r="G5" s="14">
        <f ca="1">Q7/parameters!$B$7-(G3+G4)</f>
        <v>9255.1633129025722</v>
      </c>
      <c r="H5" s="14"/>
      <c r="I5" s="14"/>
      <c r="J5" s="14"/>
      <c r="K5" s="13"/>
      <c r="L5" s="16">
        <f t="shared" ca="1" si="0"/>
        <v>10357.820029320483</v>
      </c>
      <c r="M5" s="16"/>
      <c r="N5" s="47">
        <f ca="1">$E$14*parameters!$B$4-$P$5-$L$5-$O$5</f>
        <v>1012.3912711540834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-9653</v>
      </c>
      <c r="Q5" s="16">
        <f ca="1">SUM(L5:P5)</f>
        <v>1717.2113004745661</v>
      </c>
      <c r="R5" s="16">
        <f t="shared" ca="1" si="2"/>
        <v>1717.2113004745661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5171.46</v>
      </c>
      <c r="I6" s="14"/>
      <c r="J6" s="14"/>
      <c r="K6" s="13"/>
      <c r="L6" s="16">
        <f t="shared" ca="1" si="0"/>
        <v>5171.46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5171.46</v>
      </c>
      <c r="R6" s="16">
        <f t="shared" ca="1" si="2"/>
        <v>5171.46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9508.94</v>
      </c>
      <c r="I7" s="14"/>
      <c r="J7" s="14"/>
      <c r="K7" s="13"/>
      <c r="L7" s="16">
        <f t="shared" ca="1" si="0"/>
        <v>9508.94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9508.94</v>
      </c>
      <c r="R7" s="16">
        <f t="shared" ca="1" si="2"/>
        <v>9508.94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10661.218925069166</v>
      </c>
      <c r="J8" s="14">
        <f ca="1">Q10/J18</f>
        <v>4329.8410749308332</v>
      </c>
      <c r="K8" s="13"/>
      <c r="L8" s="16">
        <f t="shared" ca="1" si="0"/>
        <v>14991.06</v>
      </c>
      <c r="M8" s="16"/>
      <c r="N8" s="16">
        <f t="shared" ca="1" si="3"/>
        <v>0</v>
      </c>
      <c r="O8" s="11" cm="1">
        <f t="array" aca="1" ref="O8" ca="1">INDIRECT("'data'!$R$" &amp; $A$1)*parameters!$B$15</f>
        <v>2220.6799999999998</v>
      </c>
      <c r="P8" s="13" cm="1">
        <f t="array" aca="1" ref="P8" ca="1">-INDIRECT("'data'!$S$" &amp; $A$1)*parameters!$B$15</f>
        <v>-2531.34</v>
      </c>
      <c r="Q8" s="16">
        <f ca="1">SUM(Q6:Q7)</f>
        <v>14680.400000000001</v>
      </c>
      <c r="R8" s="16">
        <f t="shared" ca="1" si="2"/>
        <v>14680.399999999998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4399.22</v>
      </c>
      <c r="L9" s="16">
        <f t="shared" ca="1" si="0"/>
        <v>4399.22</v>
      </c>
      <c r="M9" s="16"/>
      <c r="N9" s="16">
        <f t="shared" ca="1" si="3"/>
        <v>0</v>
      </c>
      <c r="O9" s="11" cm="1">
        <f t="array" aca="1" ref="O9" ca="1">INDIRECT("'data'!$U$" &amp; $A$1)*parameters!$B$15</f>
        <v>5911.36</v>
      </c>
      <c r="P9" s="13" cm="1">
        <f t="array" aca="1" ref="P9" ca="1">-INDIRECT("'data'!$V$" &amp; $A$1)*parameters!$B$15</f>
        <v>-314.58</v>
      </c>
      <c r="Q9" s="16" cm="1">
        <f t="array" aca="1" ref="Q9" ca="1">INDIRECT("'data'!$T$" &amp; $A$1)*parameters!$B$15</f>
        <v>9996</v>
      </c>
      <c r="R9" s="16">
        <f t="shared" ca="1" si="2"/>
        <v>9996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5215.0956983609003</v>
      </c>
      <c r="L10" s="16">
        <f t="shared" ca="1" si="0"/>
        <v>5215.0956983609003</v>
      </c>
      <c r="M10" s="16"/>
      <c r="N10" s="16">
        <f t="shared" ca="1" si="3"/>
        <v>0</v>
      </c>
      <c r="O10" s="11" cm="1">
        <f t="array" aca="1" ref="O10" ca="1">INDIRECT("'data'!$X$" &amp; $A$1)*parameters!$B$15</f>
        <v>1351.42</v>
      </c>
      <c r="P10" s="13" cm="1">
        <f t="array" aca="1" ref="P10" ca="1">-INDIRECT("'data'!$Y$" &amp; $A$1)*parameters!$B$15</f>
        <v>-2506.84</v>
      </c>
      <c r="Q10" s="16" cm="1">
        <f t="array" aca="1" ref="Q10" ca="1">INDIRECT("'data'!$W$" &amp; $A$1)*parameters!$B$15</f>
        <v>4059.6756983609002</v>
      </c>
      <c r="R10" s="16">
        <f t="shared" ca="1" si="2"/>
        <v>4059.6756983609002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8513.429100590376</v>
      </c>
      <c r="N11" s="19"/>
      <c r="O11" s="21" cm="1">
        <f t="array" aca="1" ref="O11" ca="1">INDIRECT("'data'!$Z$" &amp; $A$1)*parameters!$B$15</f>
        <v>1417.08</v>
      </c>
      <c r="P11" s="27" cm="1">
        <f t="array" aca="1" ref="P11" ca="1">-INDIRECT("'data'!$AA$" &amp; $A$1)*parameters!$B$15</f>
        <v>-1310.26</v>
      </c>
      <c r="Q11" s="16">
        <f ca="1">K9*parameters!$B$10+K10*parameters!$B$11</f>
        <v>8620.2491005903757</v>
      </c>
      <c r="R11" s="16">
        <f t="shared" ref="R11:R17" ca="1" si="4">SUM(L11:P11)</f>
        <v>8620.2491005903757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-31.687693972023226</v>
      </c>
      <c r="D12" s="9">
        <f ca="1">-(D17-Q4)</f>
        <v>0</v>
      </c>
      <c r="E12" s="9">
        <f ca="1">-(E17-Q5)</f>
        <v>-212.23959893505867</v>
      </c>
      <c r="F12" s="9">
        <f ca="1">-(F17-Q6)</f>
        <v>-341.82358208955247</v>
      </c>
      <c r="G12" s="9">
        <f ca="1">-(G17-Q7)</f>
        <v>-427.25644723092955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-1013.0073222275639</v>
      </c>
      <c r="M12" s="17"/>
      <c r="N12" s="17"/>
      <c r="O12" s="10"/>
      <c r="P12" s="12"/>
      <c r="Q12" s="9">
        <f t="shared" ref="Q12:Q17" ca="1" si="6">SUM(L12:P12)</f>
        <v>-1013.0073222275639</v>
      </c>
      <c r="R12" s="17">
        <f t="shared" ca="1" si="4"/>
        <v>-1013.0073222275639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-665.21892506916629</v>
      </c>
      <c r="J13" s="14">
        <f ca="1">-(J17-Q10)</f>
        <v>-270.16537656993296</v>
      </c>
      <c r="K13" s="13">
        <f ca="1">-(K17-Q11)</f>
        <v>-994.06659777052482</v>
      </c>
      <c r="L13" s="14">
        <f t="shared" ca="1" si="5"/>
        <v>-1929.4508994096241</v>
      </c>
      <c r="M13" s="16">
        <f ca="1">-E15</f>
        <v>0</v>
      </c>
      <c r="N13" s="16"/>
      <c r="O13" s="11"/>
      <c r="P13" s="13"/>
      <c r="Q13" s="14">
        <f t="shared" ca="1" si="6"/>
        <v>-1929.4508994096241</v>
      </c>
      <c r="R13" s="16">
        <f t="shared" ca="1" si="4"/>
        <v>-1929.4508994096241</v>
      </c>
    </row>
    <row r="14" spans="1:20">
      <c r="A14" s="18" t="s">
        <v>78</v>
      </c>
      <c r="B14" s="11"/>
      <c r="C14" s="14"/>
      <c r="D14" s="14"/>
      <c r="E14" s="14">
        <f ca="1">-(I13+J13)-K13</f>
        <v>1929.4508994096241</v>
      </c>
      <c r="F14" s="14"/>
      <c r="G14" s="14"/>
      <c r="H14" s="14"/>
      <c r="I14" s="14"/>
      <c r="J14" s="14"/>
      <c r="K14" s="13"/>
      <c r="L14" s="14">
        <f t="shared" ca="1" si="5"/>
        <v>1929.4508994096241</v>
      </c>
      <c r="M14" s="16"/>
      <c r="N14" s="16"/>
      <c r="O14" s="11"/>
      <c r="P14" s="13"/>
      <c r="Q14" s="14">
        <f t="shared" ca="1" si="6"/>
        <v>1929.4508994096241</v>
      </c>
      <c r="R14" s="16">
        <f t="shared" ca="1" si="4"/>
        <v>1929.4508994096241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2100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2100</v>
      </c>
      <c r="M16" s="19"/>
      <c r="N16" s="19"/>
      <c r="O16" s="21"/>
      <c r="P16" s="27"/>
      <c r="Q16" s="22">
        <f t="shared" ca="1" si="6"/>
        <v>2100</v>
      </c>
      <c r="R16" s="19">
        <f t="shared" ca="1" si="4"/>
        <v>2100</v>
      </c>
    </row>
    <row r="17" spans="1:18">
      <c r="A17" s="29" t="s">
        <v>88</v>
      </c>
      <c r="B17" s="9">
        <f ca="1">B16</f>
        <v>2100</v>
      </c>
      <c r="C17" s="9">
        <f ca="1">SUM(C$2:C$11)</f>
        <v>5029.7926939720228</v>
      </c>
      <c r="D17" s="9">
        <f ca="1">SUM(D$2:D$11)</f>
        <v>0</v>
      </c>
      <c r="E17" s="9">
        <f ca="1">$Q$5/parameters!$B$4</f>
        <v>1929.4508994096248</v>
      </c>
      <c r="F17" s="9">
        <f t="shared" ref="F17:K17" ca="1" si="7">SUM(F$2:F$11)</f>
        <v>5513.2835820895525</v>
      </c>
      <c r="G17" s="9">
        <f t="shared" ca="1" si="7"/>
        <v>9936.1964472309301</v>
      </c>
      <c r="H17" s="9">
        <f t="shared" ca="1" si="7"/>
        <v>14680.400000000001</v>
      </c>
      <c r="I17" s="9">
        <f t="shared" ca="1" si="7"/>
        <v>10661.218925069166</v>
      </c>
      <c r="J17" s="9">
        <f t="shared" ca="1" si="7"/>
        <v>4329.8410749308332</v>
      </c>
      <c r="K17" s="9">
        <f t="shared" ca="1" si="7"/>
        <v>9614.3156983609006</v>
      </c>
      <c r="L17" s="17">
        <f t="shared" ca="1" si="5"/>
        <v>63794.499321063027</v>
      </c>
      <c r="M17" s="17"/>
      <c r="N17" s="17"/>
      <c r="O17" s="9"/>
      <c r="P17" s="14"/>
      <c r="Q17" s="11">
        <f t="shared" ca="1" si="6"/>
        <v>63794.499321063027</v>
      </c>
      <c r="R17" s="17">
        <f t="shared" ca="1" si="4"/>
        <v>63794.499321063027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0.99370000000000014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0.95700000000000007</v>
      </c>
      <c r="H18" s="38">
        <f t="shared" ref="H18" ca="1" si="9">1-(-H12)/H17</f>
        <v>1</v>
      </c>
      <c r="I18" s="38">
        <f ca="1">(Q9+Q10)/(Q8-O8-P8)</f>
        <v>0.93760385845703376</v>
      </c>
      <c r="J18" s="38">
        <f ca="1">I18</f>
        <v>0.93760385845703376</v>
      </c>
      <c r="K18" s="39">
        <f ca="1">1-(-K13)/K17</f>
        <v>0.89660557974604493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26048.60118748113</v>
      </c>
      <c r="D2" s="9">
        <f ca="1">Q4/parameters!$B$3</f>
        <v>314.78313374257823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26363.384321223708</v>
      </c>
      <c r="M2" s="17"/>
      <c r="N2" s="17">
        <f ca="1">Q2-(L2+O2+P2)</f>
        <v>6117.9656787762797</v>
      </c>
      <c r="O2" s="11" cm="1">
        <f t="array" aca="1" ref="O2" ca="1">INDIRECT("'data'!$F$" &amp; $A$1)</f>
        <v>101231.65000000001</v>
      </c>
      <c r="P2" s="13">
        <f ca="1">IF(-(L2-Q2+O2)&lt;0, -(L2-Q2+O2), 0)</f>
        <v>0</v>
      </c>
      <c r="Q2" s="17" cm="1">
        <f t="array" aca="1" ref="Q2" ca="1">INDIRECT("'data'!$D$" &amp; $A$1)</f>
        <v>133713</v>
      </c>
      <c r="R2" s="17">
        <f ca="1">SUM(L2:P2)</f>
        <v>133713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17410.149253731342</v>
      </c>
      <c r="G3" s="14">
        <f ca="1">Q3-O3-P3-F3</f>
        <v>4566.7707462686558</v>
      </c>
      <c r="H3" s="14"/>
      <c r="I3" s="14"/>
      <c r="J3" s="14"/>
      <c r="K3" s="13"/>
      <c r="L3" s="16">
        <f t="shared" ca="1" si="0"/>
        <v>21976.92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3907.5749999999998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25884.494999999999</v>
      </c>
      <c r="R3" s="16">
        <f t="shared" ref="R3:R10" ca="1" si="2">SUM(L3:P3)</f>
        <v>25884.494999999999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312.8</v>
      </c>
      <c r="H4" s="14"/>
      <c r="I4" s="14"/>
      <c r="J4" s="14"/>
      <c r="K4" s="13"/>
      <c r="L4" s="16">
        <f t="shared" ca="1" si="0"/>
        <v>312.8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312.8</v>
      </c>
      <c r="R4" s="16">
        <f t="shared" ca="1" si="2"/>
        <v>312.8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4352.5373134328356</v>
      </c>
      <c r="G5" s="14">
        <f ca="1">Q7/parameters!$B$7-(G3+G4)</f>
        <v>653.28191830814649</v>
      </c>
      <c r="H5" s="14"/>
      <c r="I5" s="14"/>
      <c r="J5" s="14"/>
      <c r="K5" s="13"/>
      <c r="L5" s="16">
        <f t="shared" ca="1" si="0"/>
        <v>5005.8192317409821</v>
      </c>
      <c r="M5" s="16"/>
      <c r="N5" s="16"/>
      <c r="O5" s="11" cm="1">
        <f t="array" aca="1" ref="O5" ca="1">INDIRECT("'data'!$M$" &amp; $A$1)*parameters!$B$15</f>
        <v>12.74</v>
      </c>
      <c r="P5" s="13" cm="1">
        <f t="array" aca="1" ref="P5" ca="1">-INDIRECT("'data'!$N$" &amp; $A$1)*parameters!$B$15</f>
        <v>-10.78</v>
      </c>
      <c r="Q5" s="16">
        <f ca="1">SUM(L5:P5)</f>
        <v>5007.7792317409821</v>
      </c>
      <c r="R5" s="16">
        <f t="shared" ca="1" si="2"/>
        <v>5007.7792317409821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20413.399999999998</v>
      </c>
      <c r="I6" s="14"/>
      <c r="J6" s="14"/>
      <c r="K6" s="13"/>
      <c r="L6" s="16">
        <f t="shared" ca="1" si="0"/>
        <v>20413.399999999998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20413.399999999998</v>
      </c>
      <c r="R6" s="16">
        <f t="shared" ca="1" si="2"/>
        <v>20413.399999999998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5294.94</v>
      </c>
      <c r="I7" s="14"/>
      <c r="J7" s="14"/>
      <c r="K7" s="13"/>
      <c r="L7" s="16">
        <f t="shared" ca="1" si="0"/>
        <v>5294.94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5294.94</v>
      </c>
      <c r="R7" s="16">
        <f t="shared" ca="1" si="2"/>
        <v>5294.94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8165.8634681408039</v>
      </c>
      <c r="J8" s="14">
        <f ca="1">Q10/J18</f>
        <v>11377.296531859194</v>
      </c>
      <c r="K8" s="13"/>
      <c r="L8" s="16">
        <f t="shared" ca="1" si="0"/>
        <v>19543.159999999996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6237.7</v>
      </c>
      <c r="P8" s="13" cm="1">
        <f t="array" aca="1" ref="P8" ca="1">-INDIRECT("'data'!$S$" &amp; $A$1)*parameters!$B$15</f>
        <v>-72.52</v>
      </c>
      <c r="Q8" s="16">
        <f ca="1">SUM(Q6:Q7)</f>
        <v>25708.339999999997</v>
      </c>
      <c r="R8" s="16">
        <f t="shared" ca="1" si="2"/>
        <v>25708.339999999997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6650.2800000000007</v>
      </c>
      <c r="L9" s="16">
        <f t="shared" ca="1" si="0"/>
        <v>6650.2800000000007</v>
      </c>
      <c r="M9" s="16"/>
      <c r="N9" s="16">
        <f t="shared" ca="1" si="3"/>
        <v>0</v>
      </c>
      <c r="O9" s="11" cm="1">
        <f t="array" aca="1" ref="O9" ca="1">INDIRECT("'data'!$U$" &amp; $A$1)*parameters!$B$15</f>
        <v>915.31999999999994</v>
      </c>
      <c r="P9" s="13" cm="1">
        <f t="array" aca="1" ref="P9" ca="1">-INDIRECT("'data'!$V$" &amp; $A$1)*parameters!$B$15</f>
        <v>-289.10000000000002</v>
      </c>
      <c r="Q9" s="16" cm="1">
        <f t="array" aca="1" ref="Q9" ca="1">INDIRECT("'data'!$T$" &amp; $A$1)*parameters!$B$15</f>
        <v>7276.5</v>
      </c>
      <c r="R9" s="16">
        <f t="shared" ca="1" si="2"/>
        <v>7276.5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9251.2683072546242</v>
      </c>
      <c r="L10" s="16">
        <f t="shared" ca="1" si="0"/>
        <v>9251.2683072546242</v>
      </c>
      <c r="M10" s="16"/>
      <c r="N10" s="16">
        <f t="shared" ca="1" si="3"/>
        <v>0</v>
      </c>
      <c r="O10" s="11" cm="1">
        <f t="array" aca="1" ref="O10" ca="1">INDIRECT("'data'!$X$" &amp; $A$1)*parameters!$B$15</f>
        <v>1519</v>
      </c>
      <c r="P10" s="13" cm="1">
        <f t="array" aca="1" ref="P10" ca="1">-INDIRECT("'data'!$Y$" &amp; $A$1)*parameters!$B$15</f>
        <v>-632.1</v>
      </c>
      <c r="Q10" s="16" cm="1">
        <f t="array" aca="1" ref="Q10" ca="1">INDIRECT("'data'!$W$" &amp; $A$1)*parameters!$B$15</f>
        <v>10138.168307254624</v>
      </c>
      <c r="R10" s="16">
        <f t="shared" ca="1" si="2"/>
        <v>10138.168307254624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13546.343944238977</v>
      </c>
      <c r="N11" s="19"/>
      <c r="O11" s="21" cm="1">
        <f t="array" aca="1" ref="O11" ca="1">INDIRECT("'data'!$Z$" &amp; $A$1)*parameters!$B$15</f>
        <v>1683.1499999999999</v>
      </c>
      <c r="P11" s="27" cm="1">
        <f t="array" aca="1" ref="P11" ca="1">-INDIRECT("'data'!$AA$" &amp; $A$1)*parameters!$B$15</f>
        <v>-1022.14</v>
      </c>
      <c r="Q11" s="16">
        <f ca="1">K9*parameters!$B$10+K10*parameters!$B$11</f>
        <v>14207.353944238977</v>
      </c>
      <c r="R11" s="16">
        <f t="shared" ref="R11:R17" ca="1" si="4">SUM(L11:P11)</f>
        <v>14207.353944238977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-164.1061874811312</v>
      </c>
      <c r="D12" s="9">
        <f ca="1">-(D17-Q4)</f>
        <v>-1.9831337425782181</v>
      </c>
      <c r="E12" s="9">
        <f ca="1">-(E17-Q5)</f>
        <v>-618.93900617023337</v>
      </c>
      <c r="F12" s="9">
        <f ca="1">-(F17-Q6)</f>
        <v>-1349.2865671641812</v>
      </c>
      <c r="G12" s="9">
        <f ca="1">-(G17-Q7)</f>
        <v>-237.91266457680285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-2372.2275591349271</v>
      </c>
      <c r="M12" s="17"/>
      <c r="N12" s="17"/>
      <c r="O12" s="10"/>
      <c r="P12" s="12"/>
      <c r="Q12" s="9">
        <f t="shared" ref="Q12:Q17" ca="1" si="6">SUM(L12:P12)</f>
        <v>-2372.2275591349271</v>
      </c>
      <c r="R12" s="17">
        <f t="shared" ca="1" si="4"/>
        <v>-2372.2275591349271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-889.36346814080389</v>
      </c>
      <c r="J13" s="14">
        <f ca="1">-(J17-Q10)</f>
        <v>-1239.1282246045703</v>
      </c>
      <c r="K13" s="13">
        <f ca="1">-(K17-Q11)</f>
        <v>-1694.1943630156475</v>
      </c>
      <c r="L13" s="14">
        <f t="shared" ca="1" si="5"/>
        <v>-3822.6860557610216</v>
      </c>
      <c r="M13" s="16">
        <f ca="1">-E15</f>
        <v>-1804.0321821501939</v>
      </c>
      <c r="N13" s="16"/>
      <c r="O13" s="11"/>
      <c r="P13" s="13"/>
      <c r="Q13" s="14">
        <f t="shared" ca="1" si="6"/>
        <v>-5626.7182379112155</v>
      </c>
      <c r="R13" s="16">
        <f t="shared" ca="1" si="4"/>
        <v>-5626.7182379112155</v>
      </c>
    </row>
    <row r="14" spans="1:19">
      <c r="A14" s="18" t="s">
        <v>78</v>
      </c>
      <c r="B14" s="11"/>
      <c r="C14" s="14"/>
      <c r="D14" s="14"/>
      <c r="E14" s="14">
        <f ca="1">-(I13+J13)-K13</f>
        <v>3822.6860557610216</v>
      </c>
      <c r="F14" s="14"/>
      <c r="G14" s="14"/>
      <c r="H14" s="14"/>
      <c r="I14" s="14"/>
      <c r="J14" s="14"/>
      <c r="K14" s="13"/>
      <c r="L14" s="14">
        <f t="shared" ca="1" si="5"/>
        <v>3822.6860557610216</v>
      </c>
      <c r="M14" s="16"/>
      <c r="N14" s="16"/>
      <c r="O14" s="11"/>
      <c r="P14" s="13"/>
      <c r="Q14" s="14">
        <f t="shared" ca="1" si="6"/>
        <v>3822.6860557610216</v>
      </c>
      <c r="R14" s="16">
        <f t="shared" ca="1" si="4"/>
        <v>3822.6860557610216</v>
      </c>
    </row>
    <row r="15" spans="1:19">
      <c r="A15" s="18" t="s">
        <v>79</v>
      </c>
      <c r="B15" s="11"/>
      <c r="C15" s="14"/>
      <c r="D15" s="14"/>
      <c r="E15" s="14">
        <f ca="1">E17-E14</f>
        <v>1804.0321821501939</v>
      </c>
      <c r="F15" s="14"/>
      <c r="G15" s="14"/>
      <c r="H15" s="14"/>
      <c r="I15" s="14"/>
      <c r="J15" s="14"/>
      <c r="K15" s="13"/>
      <c r="L15" s="14">
        <f t="shared" ca="1" si="5"/>
        <v>1804.0321821501939</v>
      </c>
      <c r="M15" s="16"/>
      <c r="N15" s="16"/>
      <c r="O15" s="11"/>
      <c r="P15" s="13"/>
      <c r="Q15" s="14">
        <f t="shared" ca="1" si="6"/>
        <v>1804.0321821501939</v>
      </c>
      <c r="R15" s="16">
        <f t="shared" ca="1" si="4"/>
        <v>1804.0321821501939</v>
      </c>
    </row>
    <row r="16" spans="1:19">
      <c r="A16" s="30" t="s">
        <v>89</v>
      </c>
      <c r="B16" s="21">
        <f ca="1">Q2</f>
        <v>133713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133713</v>
      </c>
      <c r="M16" s="19"/>
      <c r="N16" s="19"/>
      <c r="O16" s="21"/>
      <c r="P16" s="27"/>
      <c r="Q16" s="22">
        <f t="shared" ca="1" si="6"/>
        <v>133713</v>
      </c>
      <c r="R16" s="19">
        <f t="shared" ca="1" si="4"/>
        <v>133713</v>
      </c>
    </row>
    <row r="17" spans="1:18">
      <c r="A17" s="29" t="s">
        <v>88</v>
      </c>
      <c r="B17" s="9">
        <f ca="1">B16</f>
        <v>133713</v>
      </c>
      <c r="C17" s="9">
        <f ca="1">SUM(C$2:C$11)</f>
        <v>26048.60118748113</v>
      </c>
      <c r="D17" s="9">
        <f ca="1">SUM(D$2:D$11)</f>
        <v>314.78313374257823</v>
      </c>
      <c r="E17" s="9">
        <f ca="1">$Q$5/parameters!$B$4</f>
        <v>5626.7182379112155</v>
      </c>
      <c r="F17" s="9">
        <f t="shared" ref="F17:K17" ca="1" si="7">SUM(F$2:F$11)</f>
        <v>21762.686567164179</v>
      </c>
      <c r="G17" s="9">
        <f t="shared" ca="1" si="7"/>
        <v>5532.8526645768025</v>
      </c>
      <c r="H17" s="9">
        <f t="shared" ca="1" si="7"/>
        <v>25708.339999999997</v>
      </c>
      <c r="I17" s="9">
        <f t="shared" ca="1" si="7"/>
        <v>8165.8634681408039</v>
      </c>
      <c r="J17" s="9">
        <f t="shared" ca="1" si="7"/>
        <v>11377.296531859194</v>
      </c>
      <c r="K17" s="9">
        <f t="shared" ca="1" si="7"/>
        <v>15901.548307254625</v>
      </c>
      <c r="L17" s="17">
        <f t="shared" ca="1" si="5"/>
        <v>254151.69009813052</v>
      </c>
      <c r="M17" s="17"/>
      <c r="N17" s="17"/>
      <c r="O17" s="9"/>
      <c r="P17" s="14"/>
      <c r="Q17" s="11">
        <f t="shared" ca="1" si="6"/>
        <v>254151.69009813052</v>
      </c>
      <c r="R17" s="17">
        <f t="shared" ca="1" si="4"/>
        <v>254151.69009813052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0.89108763921774292</v>
      </c>
      <c r="J18" s="38">
        <f ca="1">I18</f>
        <v>0.89108763921774292</v>
      </c>
      <c r="K18" s="39">
        <f ca="1">1-(-K13)/K17</f>
        <v>0.89345727030601663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1651.0296727977097</v>
      </c>
      <c r="D2" s="9">
        <f ca="1">Q4/parameters!$B$3</f>
        <v>3680.7837123178829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5331.8133851155926</v>
      </c>
      <c r="M2" s="17"/>
      <c r="N2" s="17">
        <f ca="1">Q2-(L2+O2+P2)</f>
        <v>0</v>
      </c>
      <c r="O2" s="11" cm="1">
        <f t="array" aca="1" ref="O2" ca="1">INDIRECT("'data'!$F$" &amp; $A$1)</f>
        <v>8.4500000000000011</v>
      </c>
      <c r="P2" s="13">
        <f ca="1">IF(-(L2-Q2+O2)&lt;0, -(L2-Q2+O2), 0)</f>
        <v>-1284.2927666126686</v>
      </c>
      <c r="Q2" s="17" cm="1">
        <f t="array" aca="1" ref="Q2" ca="1">INDIRECT("'data'!$D$" &amp; $A$1)</f>
        <v>4055.970618502924</v>
      </c>
      <c r="R2" s="17">
        <f ca="1">SUM(L2:P2)</f>
        <v>4055.9706185029236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1633.862686567164</v>
      </c>
      <c r="G3" s="14">
        <f ca="1">Q3-O3-P3-F3</f>
        <v>6.7654992919201504</v>
      </c>
      <c r="H3" s="14"/>
      <c r="I3" s="14"/>
      <c r="J3" s="14"/>
      <c r="K3" s="13"/>
      <c r="L3" s="16">
        <f t="shared" ca="1" si="0"/>
        <v>1640.6281858590842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1640.6281858590842</v>
      </c>
      <c r="R3" s="16">
        <f t="shared" ref="R3:R10" ca="1" si="2">SUM(L3:P3)</f>
        <v>1640.6281858590842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3657.5947749302804</v>
      </c>
      <c r="H4" s="14"/>
      <c r="I4" s="14"/>
      <c r="J4" s="14"/>
      <c r="K4" s="13"/>
      <c r="L4" s="16">
        <f t="shared" ca="1" si="0"/>
        <v>3657.5947749302804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3657.5947749302804</v>
      </c>
      <c r="R4" s="16">
        <f t="shared" ca="1" si="2"/>
        <v>3657.5947749302804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Q6/parameters!$B$5*28%</f>
        <v>635.39104477611943</v>
      </c>
      <c r="G5" s="14">
        <f ca="1">Q7/parameters!$B$7-(G3+G4)</f>
        <v>1218.2311573347483</v>
      </c>
      <c r="H5" s="14"/>
      <c r="I5" s="14"/>
      <c r="J5" s="14"/>
      <c r="K5" s="13"/>
      <c r="L5" s="16">
        <f t="shared" ca="1" si="0"/>
        <v>1853.6222021108679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-13.719999999999999</v>
      </c>
      <c r="Q5" s="16">
        <f ca="1">SUM(L5:P5)</f>
        <v>1839.9022021108678</v>
      </c>
      <c r="R5" s="16">
        <f t="shared" ca="1" si="2"/>
        <v>1839.9022021108678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2128.56</v>
      </c>
      <c r="I6" s="14"/>
      <c r="J6" s="14"/>
      <c r="K6" s="13"/>
      <c r="L6" s="16">
        <f t="shared" ca="1" si="0"/>
        <v>2128.56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2128.56</v>
      </c>
      <c r="R6" s="16">
        <f t="shared" ca="1" si="2"/>
        <v>2128.56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4672.6400000000003</v>
      </c>
      <c r="I7" s="14"/>
      <c r="J7" s="14"/>
      <c r="K7" s="13"/>
      <c r="L7" s="16">
        <f t="shared" ca="1" si="0"/>
        <v>4672.6400000000003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4672.6400000000003</v>
      </c>
      <c r="R7" s="16">
        <f t="shared" ca="1" si="2"/>
        <v>4672.6400000000003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3151</v>
      </c>
      <c r="J8" s="14">
        <f ca="1">Q10/J18</f>
        <v>2716.4551920341396</v>
      </c>
      <c r="K8" s="13"/>
      <c r="L8" s="16">
        <f t="shared" ca="1" si="0"/>
        <v>5867.4551920341401</v>
      </c>
      <c r="M8" s="16"/>
      <c r="N8" s="16">
        <f t="shared" ca="1" si="3"/>
        <v>1753.0248079658604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-819.28</v>
      </c>
      <c r="Q8" s="16">
        <f ca="1">SUM(Q6:Q7)</f>
        <v>6801.2000000000007</v>
      </c>
      <c r="R8" s="16">
        <f t="shared" ca="1" si="2"/>
        <v>6801.2000000000007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4493.3</v>
      </c>
      <c r="L9" s="16">
        <f t="shared" ca="1" si="0"/>
        <v>4493.3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-1405.32</v>
      </c>
      <c r="Q9" s="16" cm="1">
        <f t="array" aca="1" ref="Q9" ca="1">INDIRECT("'data'!$T$" &amp; $A$1)*parameters!$B$15</f>
        <v>3087.98</v>
      </c>
      <c r="R9" s="16">
        <f t="shared" ca="1" si="2"/>
        <v>3087.9800000000005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4714.2460881934567</v>
      </c>
      <c r="L10" s="16">
        <f t="shared" ca="1" si="0"/>
        <v>4714.2460881934567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-2052.12</v>
      </c>
      <c r="Q10" s="16" cm="1">
        <f t="array" aca="1" ref="Q10" ca="1">INDIRECT("'data'!$W$" &amp; $A$1)*parameters!$B$15</f>
        <v>2662.1260881934568</v>
      </c>
      <c r="R10" s="16">
        <f t="shared" ca="1" si="2"/>
        <v>2662.1260881934568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9071.2636358463733</v>
      </c>
      <c r="N11" s="19"/>
      <c r="O11" s="21" cm="1">
        <f t="array" aca="1" ref="O11" ca="1">INDIRECT("'data'!$Z$" &amp; $A$1)*parameters!$B$15</f>
        <v>57.82</v>
      </c>
      <c r="P11" s="27" cm="1">
        <f t="array" aca="1" ref="P11" ca="1">-INDIRECT("'data'!$AA$" &amp; $A$1)*parameters!$B$15</f>
        <v>-851.13</v>
      </c>
      <c r="Q11" s="16">
        <f ca="1">K9*parameters!$B$10+K10*parameters!$B$11</f>
        <v>8277.9536358463738</v>
      </c>
      <c r="R11" s="16">
        <f t="shared" ref="R11:R17" ca="1" si="4">SUM(L11:P11)</f>
        <v>8277.9536358463738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-10.401486938625567</v>
      </c>
      <c r="D12" s="9">
        <f ca="1">-(D17-Q4)</f>
        <v>-23.188937387602437</v>
      </c>
      <c r="E12" s="9">
        <f ca="1">-(E17-Q5)</f>
        <v>-227.40364295752283</v>
      </c>
      <c r="F12" s="9">
        <f ca="1">-(F17-Q6)</f>
        <v>-140.69373134328362</v>
      </c>
      <c r="G12" s="9">
        <f ca="1">-(G17-Q7)</f>
        <v>-209.95143155694859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-611.63923018398305</v>
      </c>
      <c r="M12" s="17"/>
      <c r="N12" s="17"/>
      <c r="O12" s="10"/>
      <c r="P12" s="12"/>
      <c r="Q12" s="9">
        <f t="shared" ref="Q12:Q17" ca="1" si="6">SUM(L12:P12)</f>
        <v>-611.63923018398305</v>
      </c>
      <c r="R12" s="17">
        <f t="shared" ca="1" si="4"/>
        <v>-611.63923018398305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-63.019999999999982</v>
      </c>
      <c r="J13" s="14">
        <f ca="1">-(J17-Q10)</f>
        <v>-54.329103840682819</v>
      </c>
      <c r="K13" s="13">
        <f ca="1">-(K17-Q11)</f>
        <v>-929.59245234708214</v>
      </c>
      <c r="L13" s="14">
        <f t="shared" ca="1" si="5"/>
        <v>-1046.9415561877649</v>
      </c>
      <c r="M13" s="16">
        <f ca="1">-E15</f>
        <v>-1020.3642888806257</v>
      </c>
      <c r="N13" s="16"/>
      <c r="O13" s="11"/>
      <c r="P13" s="13"/>
      <c r="Q13" s="14">
        <f t="shared" ca="1" si="6"/>
        <v>-2067.3058450683907</v>
      </c>
      <c r="R13" s="16">
        <f t="shared" ca="1" si="4"/>
        <v>-2067.3058450683907</v>
      </c>
    </row>
    <row r="14" spans="1:22">
      <c r="A14" s="18" t="s">
        <v>78</v>
      </c>
      <c r="B14" s="11"/>
      <c r="C14" s="14"/>
      <c r="D14" s="14"/>
      <c r="E14" s="14">
        <f ca="1">-(I13+J13)-K13</f>
        <v>1046.9415561877649</v>
      </c>
      <c r="F14" s="14"/>
      <c r="G14" s="14"/>
      <c r="H14" s="14"/>
      <c r="I14" s="14"/>
      <c r="J14" s="14"/>
      <c r="K14" s="13"/>
      <c r="L14" s="14">
        <f t="shared" ca="1" si="5"/>
        <v>1046.9415561877649</v>
      </c>
      <c r="M14" s="16"/>
      <c r="N14" s="16"/>
      <c r="O14" s="11"/>
      <c r="P14" s="13"/>
      <c r="Q14" s="14">
        <f t="shared" ca="1" si="6"/>
        <v>1046.9415561877649</v>
      </c>
      <c r="R14" s="16">
        <f t="shared" ca="1" si="4"/>
        <v>1046.9415561877649</v>
      </c>
    </row>
    <row r="15" spans="1:22">
      <c r="A15" s="18" t="s">
        <v>79</v>
      </c>
      <c r="B15" s="11"/>
      <c r="C15" s="14"/>
      <c r="D15" s="14"/>
      <c r="E15" s="14">
        <f ca="1">E17-E14</f>
        <v>1020.3642888806257</v>
      </c>
      <c r="F15" s="14"/>
      <c r="G15" s="14"/>
      <c r="H15" s="14"/>
      <c r="I15" s="14"/>
      <c r="J15" s="14"/>
      <c r="K15" s="13"/>
      <c r="L15" s="14">
        <f t="shared" ca="1" si="5"/>
        <v>1020.3642888806257</v>
      </c>
      <c r="M15" s="16"/>
      <c r="N15" s="16"/>
      <c r="O15" s="11"/>
      <c r="P15" s="13"/>
      <c r="Q15" s="14">
        <f t="shared" ca="1" si="6"/>
        <v>1020.3642888806257</v>
      </c>
      <c r="R15" s="16">
        <f t="shared" ca="1" si="4"/>
        <v>1020.3642888806257</v>
      </c>
    </row>
    <row r="16" spans="1:22">
      <c r="A16" s="30" t="s">
        <v>89</v>
      </c>
      <c r="B16" s="21">
        <f ca="1">Q2</f>
        <v>4055.970618502924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4055.970618502924</v>
      </c>
      <c r="M16" s="19"/>
      <c r="N16" s="19"/>
      <c r="O16" s="21"/>
      <c r="P16" s="27"/>
      <c r="Q16" s="22">
        <f t="shared" ca="1" si="6"/>
        <v>4055.970618502924</v>
      </c>
      <c r="R16" s="19">
        <f t="shared" ca="1" si="4"/>
        <v>4055.970618502924</v>
      </c>
    </row>
    <row r="17" spans="1:18">
      <c r="A17" s="29" t="s">
        <v>88</v>
      </c>
      <c r="B17" s="9">
        <f ca="1">B16</f>
        <v>4055.970618502924</v>
      </c>
      <c r="C17" s="9">
        <f ca="1">SUM(C$2:C$11)</f>
        <v>1651.0296727977097</v>
      </c>
      <c r="D17" s="9">
        <f ca="1">SUM(D$2:D$11)</f>
        <v>3680.7837123178829</v>
      </c>
      <c r="E17" s="9">
        <f ca="1">$Q$5/parameters!$B$4</f>
        <v>2067.3058450683907</v>
      </c>
      <c r="F17" s="9">
        <f t="shared" ref="F17:K17" ca="1" si="7">SUM(F$2:F$11)</f>
        <v>2269.2537313432836</v>
      </c>
      <c r="G17" s="9">
        <f t="shared" ca="1" si="7"/>
        <v>4882.5914315569489</v>
      </c>
      <c r="H17" s="9">
        <f t="shared" ca="1" si="7"/>
        <v>6801.2000000000007</v>
      </c>
      <c r="I17" s="9">
        <f t="shared" ca="1" si="7"/>
        <v>3151</v>
      </c>
      <c r="J17" s="9">
        <f t="shared" ca="1" si="7"/>
        <v>2716.4551920341396</v>
      </c>
      <c r="K17" s="9">
        <f t="shared" ca="1" si="7"/>
        <v>9207.5460881934559</v>
      </c>
      <c r="L17" s="17">
        <f t="shared" ca="1" si="5"/>
        <v>40483.136291814735</v>
      </c>
      <c r="M17" s="17"/>
      <c r="N17" s="17"/>
      <c r="O17" s="9"/>
      <c r="P17" s="14"/>
      <c r="Q17" s="11">
        <f t="shared" ca="1" si="6"/>
        <v>40483.136291814735</v>
      </c>
      <c r="R17" s="17">
        <f t="shared" ca="1" si="4"/>
        <v>40483.136291814735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0.89000000000000012</v>
      </c>
      <c r="F18" s="38">
        <f t="shared" ca="1" si="8"/>
        <v>0.93799999999999994</v>
      </c>
      <c r="G18" s="38">
        <f t="shared" ca="1" si="8"/>
        <v>0.95700000000000007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0.89904015212706145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10670.121767132938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10670.121767132938</v>
      </c>
      <c r="M2" s="17"/>
      <c r="N2" s="17">
        <f ca="1">Q2-(L2+O2+P2)</f>
        <v>0</v>
      </c>
      <c r="O2" s="11" cm="1">
        <f t="array" aca="1" ref="O2" ca="1">INDIRECT("'data'!$F$" &amp; $A$1)</f>
        <v>0.65</v>
      </c>
      <c r="P2" s="13">
        <f ca="1">IF(-(L2-Q2+O2)&lt;0, -(L2-Q2+O2), 0)</f>
        <v>-10670.771767132937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8366.567164179105</v>
      </c>
      <c r="G3" s="14">
        <f ca="1">Q3-O3-P3-F3</f>
        <v>3427.9778358208932</v>
      </c>
      <c r="H3" s="14"/>
      <c r="I3" s="14"/>
      <c r="J3" s="14"/>
      <c r="K3" s="13"/>
      <c r="L3" s="16">
        <f t="shared" ca="1" si="0"/>
        <v>11794.544999999998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44.414999999999999</v>
      </c>
      <c r="P3" s="13" cm="1">
        <f t="array" aca="1" ref="P3" ca="1">-INDIRECT("'data'!$I$" &amp; $A$1)*parameters!$B$13</f>
        <v>-1236.06</v>
      </c>
      <c r="Q3" s="16" cm="1">
        <f t="array" aca="1" ref="Q3" ca="1">INDIRECT("'data'!$G$" &amp; $A$1)*parameters!$B$13</f>
        <v>10602.9</v>
      </c>
      <c r="R3" s="16">
        <f t="shared" ref="R3:R10" ca="1" si="2">SUM(L3:P3)</f>
        <v>10602.9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2091.6417910447763</v>
      </c>
      <c r="G5" s="14">
        <f ca="1">Q7/parameters!$B$7-(G3+G4)</f>
        <v>13504.415058640967</v>
      </c>
      <c r="H5" s="14"/>
      <c r="I5" s="14"/>
      <c r="J5" s="14"/>
      <c r="K5" s="13"/>
      <c r="L5" s="16">
        <f t="shared" ca="1" si="0"/>
        <v>15596.056849685743</v>
      </c>
      <c r="M5" s="16"/>
      <c r="N5" s="16"/>
      <c r="O5" s="11" cm="1">
        <f t="array" aca="1" ref="O5" ca="1">INDIRECT("'data'!$M$" &amp; $A$1)*parameters!$B$15</f>
        <v>147.97999999999999</v>
      </c>
      <c r="P5" s="13" cm="1">
        <f t="array" aca="1" ref="P5" ca="1">-INDIRECT("'data'!$N$" &amp; $A$1)*parameters!$B$15</f>
        <v>-4262.0199999999995</v>
      </c>
      <c r="Q5" s="16">
        <f ca="1">SUM(L5:P5)</f>
        <v>11482.016849685744</v>
      </c>
      <c r="R5" s="16">
        <f t="shared" ca="1" si="2"/>
        <v>11482.016849685744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9809.7999999999993</v>
      </c>
      <c r="I6" s="14"/>
      <c r="J6" s="14"/>
      <c r="K6" s="13"/>
      <c r="L6" s="16">
        <f t="shared" ca="1" si="0"/>
        <v>9809.7999999999993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9809.7999999999993</v>
      </c>
      <c r="R6" s="16">
        <f t="shared" ca="1" si="2"/>
        <v>9809.7999999999993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16204.3</v>
      </c>
      <c r="I7" s="14"/>
      <c r="J7" s="14"/>
      <c r="K7" s="13"/>
      <c r="L7" s="16">
        <f t="shared" ca="1" si="0"/>
        <v>16204.3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16204.3</v>
      </c>
      <c r="R7" s="16">
        <f t="shared" ca="1" si="2"/>
        <v>16204.3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16626.450177299517</v>
      </c>
      <c r="J8" s="14">
        <f ca="1">Q10/J18</f>
        <v>10858.629822700483</v>
      </c>
      <c r="K8" s="13"/>
      <c r="L8" s="16">
        <f t="shared" ca="1" si="0"/>
        <v>27485.08</v>
      </c>
      <c r="M8" s="16"/>
      <c r="N8" s="16">
        <f t="shared" ca="1" si="3"/>
        <v>0</v>
      </c>
      <c r="O8" s="11" cm="1">
        <f t="array" aca="1" ref="O8" ca="1">INDIRECT("'data'!$R$" &amp; $A$1)*parameters!$B$15</f>
        <v>754.6</v>
      </c>
      <c r="P8" s="13" cm="1">
        <f t="array" aca="1" ref="P8" ca="1">-INDIRECT("'data'!$S$" &amp; $A$1)*parameters!$B$15</f>
        <v>-2225.58</v>
      </c>
      <c r="Q8" s="16">
        <f ca="1">SUM(Q6:Q7)</f>
        <v>26014.1</v>
      </c>
      <c r="R8" s="16">
        <f t="shared" ca="1" si="2"/>
        <v>26014.1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12046.16</v>
      </c>
      <c r="L9" s="16">
        <f t="shared" ca="1" si="0"/>
        <v>12046.16</v>
      </c>
      <c r="M9" s="16"/>
      <c r="N9" s="16">
        <f t="shared" ca="1" si="3"/>
        <v>0</v>
      </c>
      <c r="O9" s="11" cm="1">
        <f t="array" aca="1" ref="O9" ca="1">INDIRECT("'data'!$U$" &amp; $A$1)*parameters!$B$15</f>
        <v>4395.3</v>
      </c>
      <c r="P9" s="13" cm="1">
        <f t="array" aca="1" ref="P9" ca="1">-INDIRECT("'data'!$V$" &amp; $A$1)*parameters!$B$15</f>
        <v>-2377.48</v>
      </c>
      <c r="Q9" s="16" cm="1">
        <f t="array" aca="1" ref="Q9" ca="1">INDIRECT("'data'!$T$" &amp; $A$1)*parameters!$B$15</f>
        <v>14063.98</v>
      </c>
      <c r="R9" s="16">
        <f t="shared" ca="1" si="2"/>
        <v>14063.98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16741.876699857748</v>
      </c>
      <c r="L10" s="16">
        <f t="shared" ca="1" si="0"/>
        <v>16741.876699857748</v>
      </c>
      <c r="M10" s="16"/>
      <c r="N10" s="16">
        <f t="shared" ca="1" si="3"/>
        <v>0</v>
      </c>
      <c r="O10" s="11" cm="1">
        <f t="array" aca="1" ref="O10" ca="1">INDIRECT("'data'!$X$" &amp; $A$1)*parameters!$B$15</f>
        <v>3882.7599999999998</v>
      </c>
      <c r="P10" s="13" cm="1">
        <f t="array" aca="1" ref="P10" ca="1">-INDIRECT("'data'!$Y$" &amp; $A$1)*parameters!$B$15</f>
        <v>-11439.539999999999</v>
      </c>
      <c r="Q10" s="16" cm="1">
        <f t="array" aca="1" ref="Q10" ca="1">INDIRECT("'data'!$W$" &amp; $A$1)*parameters!$B$15</f>
        <v>9185.0966998577514</v>
      </c>
      <c r="R10" s="16">
        <f t="shared" ca="1" si="2"/>
        <v>9185.0966998577478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21262.894361877665</v>
      </c>
      <c r="N11" s="19"/>
      <c r="O11" s="21" cm="1">
        <f t="array" aca="1" ref="O11" ca="1">INDIRECT("'data'!$Z$" &amp; $A$1)*parameters!$B$15</f>
        <v>10662.89</v>
      </c>
      <c r="P11" s="27" cm="1">
        <f t="array" aca="1" ref="P11" ca="1">-INDIRECT("'data'!$AA$" &amp; $A$1)*parameters!$B$15</f>
        <v>-6204.38</v>
      </c>
      <c r="Q11" s="16">
        <f ca="1">K9*parameters!$B$10+K10*parameters!$B$11</f>
        <v>25721.404361877663</v>
      </c>
      <c r="R11" s="16">
        <f t="shared" ref="R11:R17" ca="1" si="4">SUM(L11:P11)</f>
        <v>25721.404361877663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-67.221767132938112</v>
      </c>
      <c r="D12" s="9">
        <f ca="1">-(D17-Q4)</f>
        <v>0</v>
      </c>
      <c r="E12" s="9">
        <f ca="1">-(E17-Q5)</f>
        <v>-1419.1256780510466</v>
      </c>
      <c r="F12" s="9">
        <f ca="1">-(F17-Q6)</f>
        <v>-648.408955223882</v>
      </c>
      <c r="G12" s="9">
        <f ca="1">-(G17-Q7)</f>
        <v>-728.09289446186085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-2862.8492948697276</v>
      </c>
      <c r="M12" s="17"/>
      <c r="N12" s="17"/>
      <c r="O12" s="10"/>
      <c r="P12" s="12"/>
      <c r="Q12" s="9">
        <f t="shared" ref="Q12:Q17" ca="1" si="6">SUM(L12:P12)</f>
        <v>-2862.8492948697276</v>
      </c>
      <c r="R12" s="17">
        <f t="shared" ca="1" si="4"/>
        <v>-2862.8492948697276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-2562.4701772995177</v>
      </c>
      <c r="J13" s="14">
        <f ca="1">-(J17-Q10)</f>
        <v>-1673.5331228427312</v>
      </c>
      <c r="K13" s="13">
        <f ca="1">-(K17-Q11)</f>
        <v>-3066.6323379800851</v>
      </c>
      <c r="L13" s="14">
        <f t="shared" ca="1" si="5"/>
        <v>-7302.6356381223341</v>
      </c>
      <c r="M13" s="16">
        <f ca="1">-E15</f>
        <v>-5598.5068896144567</v>
      </c>
      <c r="N13" s="16"/>
      <c r="O13" s="11"/>
      <c r="P13" s="13"/>
      <c r="Q13" s="14">
        <f t="shared" ca="1" si="6"/>
        <v>-12901.142527736791</v>
      </c>
      <c r="R13" s="16">
        <f t="shared" ca="1" si="4"/>
        <v>-12901.142527736791</v>
      </c>
    </row>
    <row r="14" spans="1:20">
      <c r="A14" s="18" t="s">
        <v>78</v>
      </c>
      <c r="B14" s="11"/>
      <c r="C14" s="14"/>
      <c r="D14" s="14"/>
      <c r="E14" s="14">
        <f ca="1">-(I13+J13)-K13</f>
        <v>7302.6356381223341</v>
      </c>
      <c r="F14" s="14"/>
      <c r="G14" s="14"/>
      <c r="H14" s="14"/>
      <c r="I14" s="14"/>
      <c r="J14" s="14"/>
      <c r="K14" s="13"/>
      <c r="L14" s="14">
        <f t="shared" ca="1" si="5"/>
        <v>7302.6356381223341</v>
      </c>
      <c r="M14" s="16"/>
      <c r="N14" s="16"/>
      <c r="O14" s="11"/>
      <c r="P14" s="13"/>
      <c r="Q14" s="14">
        <f t="shared" ca="1" si="6"/>
        <v>7302.6356381223341</v>
      </c>
      <c r="R14" s="16">
        <f t="shared" ca="1" si="4"/>
        <v>7302.6356381223341</v>
      </c>
    </row>
    <row r="15" spans="1:20">
      <c r="A15" s="18" t="s">
        <v>79</v>
      </c>
      <c r="B15" s="11"/>
      <c r="C15" s="14"/>
      <c r="D15" s="14"/>
      <c r="E15" s="14">
        <f ca="1">E17-E14</f>
        <v>5598.5068896144567</v>
      </c>
      <c r="F15" s="14"/>
      <c r="G15" s="14"/>
      <c r="H15" s="14"/>
      <c r="I15" s="14"/>
      <c r="J15" s="14"/>
      <c r="K15" s="13"/>
      <c r="L15" s="14">
        <f t="shared" ca="1" si="5"/>
        <v>5598.5068896144567</v>
      </c>
      <c r="M15" s="16"/>
      <c r="N15" s="16"/>
      <c r="O15" s="11"/>
      <c r="P15" s="13"/>
      <c r="Q15" s="14">
        <f t="shared" ca="1" si="6"/>
        <v>5598.5068896144567</v>
      </c>
      <c r="R15" s="16">
        <f t="shared" ca="1" si="4"/>
        <v>5598.5068896144567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10670.121767132938</v>
      </c>
      <c r="D17" s="9">
        <f ca="1">SUM(D$2:D$11)</f>
        <v>0</v>
      </c>
      <c r="E17" s="9">
        <f ca="1">$Q$5/parameters!$B$4</f>
        <v>12901.142527736791</v>
      </c>
      <c r="F17" s="9">
        <f t="shared" ref="F17:K17" ca="1" si="7">SUM(F$2:F$11)</f>
        <v>10458.208955223881</v>
      </c>
      <c r="G17" s="9">
        <f t="shared" ca="1" si="7"/>
        <v>16932.39289446186</v>
      </c>
      <c r="H17" s="9">
        <f t="shared" ca="1" si="7"/>
        <v>26014.1</v>
      </c>
      <c r="I17" s="9">
        <f t="shared" ca="1" si="7"/>
        <v>16626.450177299517</v>
      </c>
      <c r="J17" s="9">
        <f t="shared" ca="1" si="7"/>
        <v>10858.629822700483</v>
      </c>
      <c r="K17" s="9">
        <f t="shared" ca="1" si="7"/>
        <v>28788.036699857748</v>
      </c>
      <c r="L17" s="17">
        <f t="shared" ca="1" si="5"/>
        <v>133249.08284441321</v>
      </c>
      <c r="M17" s="17"/>
      <c r="N17" s="17"/>
      <c r="O17" s="9"/>
      <c r="P17" s="14"/>
      <c r="Q17" s="11">
        <f t="shared" ca="1" si="6"/>
        <v>133249.08284441321</v>
      </c>
      <c r="R17" s="17">
        <f t="shared" ca="1" si="4"/>
        <v>133249.08284441321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0.99369999999999992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0.93799999999999983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0.84587989919831963</v>
      </c>
      <c r="J18" s="38">
        <f ca="1">I18</f>
        <v>0.84587989919831963</v>
      </c>
      <c r="K18" s="39">
        <f ca="1">1-(-K13)/K17</f>
        <v>0.89347546100650765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25071.933179027874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25071.933179027874</v>
      </c>
      <c r="M2" s="17"/>
      <c r="N2" s="17">
        <f ca="1">Q2-(L2+O2+P2)</f>
        <v>0</v>
      </c>
      <c r="O2" s="11" cm="1">
        <f t="array" aca="1" ref="O2" ca="1">INDIRECT("'data'!$F$" &amp; $A$1)</f>
        <v>11783.85</v>
      </c>
      <c r="P2" s="13">
        <f ca="1">IF(-(L2-Q2+O2)&lt;0, -(L2-Q2+O2), 0)</f>
        <v>-6855.7831790278742</v>
      </c>
      <c r="Q2" s="17" cm="1">
        <f t="array" aca="1" ref="Q2" ca="1">INDIRECT("'data'!$D$" &amp; $A$1)</f>
        <v>30000</v>
      </c>
      <c r="R2" s="17">
        <f ca="1">SUM(L2:P2)</f>
        <v>30000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24880.235820895523</v>
      </c>
      <c r="G3" s="14">
        <f ca="1">Q3-O3-P3-F3</f>
        <v>33.744179104476643</v>
      </c>
      <c r="H3" s="14"/>
      <c r="I3" s="14"/>
      <c r="J3" s="14"/>
      <c r="K3" s="13"/>
      <c r="L3" s="16">
        <f t="shared" ca="1" si="0"/>
        <v>24913.98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24913.98</v>
      </c>
      <c r="R3" s="16">
        <f t="shared" ref="R3:R10" ca="1" si="2">SUM(L3:P3)</f>
        <v>24913.98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Q6/parameters!$B$5*26%</f>
        <v>8741.7044776119401</v>
      </c>
      <c r="G5" s="14">
        <f ca="1">Q7/parameters!$B$7-(G3+G4)</f>
        <v>915.53481776072715</v>
      </c>
      <c r="H5" s="14"/>
      <c r="I5" s="14"/>
      <c r="J5" s="14"/>
      <c r="K5" s="13"/>
      <c r="L5" s="16">
        <f t="shared" ca="1" si="0"/>
        <v>9657.2392953726667</v>
      </c>
      <c r="M5" s="16"/>
      <c r="N5" s="16"/>
      <c r="O5" s="11" cm="1">
        <f t="array" aca="1" ref="O5" ca="1">INDIRECT("'data'!$M$" &amp; $A$1)*parameters!$B$15</f>
        <v>4419.8</v>
      </c>
      <c r="P5" s="13" cm="1">
        <f t="array" aca="1" ref="P5" ca="1">-INDIRECT("'data'!$N$" &amp; $A$1)*parameters!$B$15</f>
        <v>0</v>
      </c>
      <c r="Q5" s="16">
        <f ca="1">SUM(L5:P5)</f>
        <v>14077.039295372666</v>
      </c>
      <c r="R5" s="16">
        <f t="shared" ca="1" si="2"/>
        <v>14077.039295372666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31537.38</v>
      </c>
      <c r="I6" s="14"/>
      <c r="J6" s="14"/>
      <c r="K6" s="13"/>
      <c r="L6" s="16">
        <f t="shared" ca="1" si="0"/>
        <v>31537.38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31537.38</v>
      </c>
      <c r="R6" s="16">
        <f t="shared" ca="1" si="2"/>
        <v>31537.38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908.46</v>
      </c>
      <c r="I7" s="14"/>
      <c r="J7" s="14"/>
      <c r="K7" s="13"/>
      <c r="L7" s="16">
        <f t="shared" ca="1" si="0"/>
        <v>908.46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908.46</v>
      </c>
      <c r="R7" s="16">
        <f t="shared" ca="1" si="2"/>
        <v>908.46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15650</v>
      </c>
      <c r="J8" s="14">
        <f ca="1">Q10/J18</f>
        <v>9344.3726884779517</v>
      </c>
      <c r="K8" s="13"/>
      <c r="L8" s="16">
        <f t="shared" ca="1" si="0"/>
        <v>24994.372688477953</v>
      </c>
      <c r="M8" s="16"/>
      <c r="N8" s="16">
        <f t="shared" ca="1" si="3"/>
        <v>-1522.3926884779539</v>
      </c>
      <c r="O8" s="11" cm="1">
        <f t="array" aca="1" ref="O8" ca="1">INDIRECT("'data'!$R$" &amp; $A$1)*parameters!$B$15</f>
        <v>8998.36</v>
      </c>
      <c r="P8" s="13" cm="1">
        <f t="array" aca="1" ref="P8" ca="1">-INDIRECT("'data'!$S$" &amp; $A$1)*parameters!$B$15</f>
        <v>-24.5</v>
      </c>
      <c r="Q8" s="16">
        <f ca="1">SUM(Q6:Q7)</f>
        <v>32445.84</v>
      </c>
      <c r="R8" s="16">
        <f t="shared" ca="1" si="2"/>
        <v>32445.84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8686.7200000000012</v>
      </c>
      <c r="L9" s="16">
        <f t="shared" ca="1" si="0"/>
        <v>8686.7200000000012</v>
      </c>
      <c r="M9" s="16"/>
      <c r="N9" s="16">
        <f t="shared" ca="1" si="3"/>
        <v>0</v>
      </c>
      <c r="O9" s="11" cm="1">
        <f t="array" aca="1" ref="O9" ca="1">INDIRECT("'data'!$U$" &amp; $A$1)*parameters!$B$15</f>
        <v>6650.28</v>
      </c>
      <c r="P9" s="13" cm="1">
        <f t="array" aca="1" ref="P9" ca="1">-INDIRECT("'data'!$V$" &amp; $A$1)*parameters!$B$15</f>
        <v>0</v>
      </c>
      <c r="Q9" s="16" cm="1">
        <f t="array" aca="1" ref="Q9" ca="1">INDIRECT("'data'!$T$" &amp; $A$1)*parameters!$B$15</f>
        <v>15337</v>
      </c>
      <c r="R9" s="16">
        <f t="shared" ca="1" si="2"/>
        <v>15337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2047.5852347083928</v>
      </c>
      <c r="L10" s="16">
        <f t="shared" ca="1" si="0"/>
        <v>2047.5852347083928</v>
      </c>
      <c r="M10" s="16"/>
      <c r="N10" s="16">
        <f t="shared" ca="1" si="3"/>
        <v>0</v>
      </c>
      <c r="O10" s="11" cm="1">
        <f t="array" aca="1" ref="O10" ca="1">INDIRECT("'data'!$X$" &amp; $A$1)*parameters!$B$15</f>
        <v>7109.9</v>
      </c>
      <c r="P10" s="13" cm="1">
        <f t="array" aca="1" ref="P10" ca="1">-INDIRECT("'data'!$Y$" &amp; $A$1)*parameters!$B$15</f>
        <v>0</v>
      </c>
      <c r="Q10" s="16" cm="1">
        <f t="array" aca="1" ref="Q10" ca="1">INDIRECT("'data'!$W$" &amp; $A$1)*parameters!$B$15</f>
        <v>9157.4852347083925</v>
      </c>
      <c r="R10" s="16">
        <f t="shared" ca="1" si="2"/>
        <v>9157.4852347083925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9422.2301018492162</v>
      </c>
      <c r="N11" s="19"/>
      <c r="O11" s="21" cm="1">
        <f t="array" aca="1" ref="O11" ca="1">INDIRECT("'data'!$Z$" &amp; $A$1)*parameters!$B$15</f>
        <v>979.02</v>
      </c>
      <c r="P11" s="27" cm="1">
        <f t="array" aca="1" ref="P11" ca="1">-INDIRECT("'data'!$AA$" &amp; $A$1)*parameters!$B$15</f>
        <v>-474.81</v>
      </c>
      <c r="Q11" s="16">
        <f ca="1">K9*parameters!$B$10+K10*parameters!$B$11</f>
        <v>9926.4401018492172</v>
      </c>
      <c r="R11" s="16">
        <f t="shared" ref="R11:R17" ca="1" si="4">SUM(L11:P11)</f>
        <v>9926.4401018492172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-157.95317902787428</v>
      </c>
      <c r="D12" s="9">
        <f ca="1">-(D17-Q4)</f>
        <v>0</v>
      </c>
      <c r="E12" s="9">
        <f ca="1">-(E17-Q5)</f>
        <v>-1739.8587893157219</v>
      </c>
      <c r="F12" s="9">
        <f ca="1">-(F17-Q6)</f>
        <v>-2084.560298507462</v>
      </c>
      <c r="G12" s="9">
        <f ca="1">-(G17-Q7)</f>
        <v>-40.818996865203758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-4023.1912637162618</v>
      </c>
      <c r="M12" s="17"/>
      <c r="N12" s="17"/>
      <c r="O12" s="10"/>
      <c r="P12" s="12"/>
      <c r="Q12" s="9">
        <f t="shared" ref="Q12:Q17" ca="1" si="6">SUM(L12:P12)</f>
        <v>-4023.1912637162618</v>
      </c>
      <c r="R12" s="17">
        <f t="shared" ca="1" si="4"/>
        <v>-4023.1912637162618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-313</v>
      </c>
      <c r="J13" s="14">
        <f ca="1">-(J17-Q10)</f>
        <v>-186.88745376955922</v>
      </c>
      <c r="K13" s="13">
        <f ca="1">-(K17-Q11)</f>
        <v>-807.86513285917681</v>
      </c>
      <c r="L13" s="14">
        <f t="shared" ca="1" si="5"/>
        <v>-1307.752586628736</v>
      </c>
      <c r="M13" s="16">
        <f ca="1">-E15</f>
        <v>-14509.145498059652</v>
      </c>
      <c r="N13" s="16"/>
      <c r="O13" s="11"/>
      <c r="P13" s="13"/>
      <c r="Q13" s="14">
        <f t="shared" ca="1" si="6"/>
        <v>-15816.898084688388</v>
      </c>
      <c r="R13" s="16">
        <f t="shared" ca="1" si="4"/>
        <v>-15816.898084688388</v>
      </c>
    </row>
    <row r="14" spans="1:20">
      <c r="A14" s="18" t="s">
        <v>78</v>
      </c>
      <c r="B14" s="11"/>
      <c r="C14" s="14"/>
      <c r="D14" s="14"/>
      <c r="E14" s="14">
        <f ca="1">-(I13+J13)-K13</f>
        <v>1307.752586628736</v>
      </c>
      <c r="F14" s="14"/>
      <c r="G14" s="14"/>
      <c r="H14" s="14"/>
      <c r="I14" s="14"/>
      <c r="J14" s="14"/>
      <c r="K14" s="13"/>
      <c r="L14" s="14">
        <f t="shared" ca="1" si="5"/>
        <v>1307.752586628736</v>
      </c>
      <c r="M14" s="16"/>
      <c r="N14" s="16"/>
      <c r="O14" s="11"/>
      <c r="P14" s="13"/>
      <c r="Q14" s="14">
        <f t="shared" ca="1" si="6"/>
        <v>1307.752586628736</v>
      </c>
      <c r="R14" s="16">
        <f t="shared" ca="1" si="4"/>
        <v>1307.752586628736</v>
      </c>
    </row>
    <row r="15" spans="1:20">
      <c r="A15" s="18" t="s">
        <v>79</v>
      </c>
      <c r="B15" s="11"/>
      <c r="C15" s="14"/>
      <c r="D15" s="14"/>
      <c r="E15" s="14">
        <f ca="1">E17-E14</f>
        <v>14509.145498059652</v>
      </c>
      <c r="F15" s="14"/>
      <c r="G15" s="14"/>
      <c r="H15" s="14"/>
      <c r="I15" s="14"/>
      <c r="J15" s="14"/>
      <c r="K15" s="13"/>
      <c r="L15" s="14">
        <f t="shared" ca="1" si="5"/>
        <v>14509.145498059652</v>
      </c>
      <c r="M15" s="16"/>
      <c r="N15" s="16"/>
      <c r="O15" s="11"/>
      <c r="P15" s="13"/>
      <c r="Q15" s="14">
        <f t="shared" ca="1" si="6"/>
        <v>14509.145498059652</v>
      </c>
      <c r="R15" s="16">
        <f t="shared" ca="1" si="4"/>
        <v>14509.145498059652</v>
      </c>
    </row>
    <row r="16" spans="1:20">
      <c r="A16" s="30" t="s">
        <v>89</v>
      </c>
      <c r="B16" s="21">
        <f ca="1">Q2</f>
        <v>30000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30000</v>
      </c>
      <c r="M16" s="19"/>
      <c r="N16" s="19"/>
      <c r="O16" s="21"/>
      <c r="P16" s="27"/>
      <c r="Q16" s="22">
        <f t="shared" ca="1" si="6"/>
        <v>30000</v>
      </c>
      <c r="R16" s="19">
        <f t="shared" ca="1" si="4"/>
        <v>30000</v>
      </c>
    </row>
    <row r="17" spans="1:18">
      <c r="A17" s="29" t="s">
        <v>88</v>
      </c>
      <c r="B17" s="9">
        <f ca="1">B16</f>
        <v>30000</v>
      </c>
      <c r="C17" s="9">
        <f ca="1">SUM(C$2:C$11)</f>
        <v>25071.933179027874</v>
      </c>
      <c r="D17" s="9">
        <f ca="1">SUM(D$2:D$11)</f>
        <v>0</v>
      </c>
      <c r="E17" s="9">
        <f ca="1">$Q$5/parameters!$B$4</f>
        <v>15816.898084688388</v>
      </c>
      <c r="F17" s="9">
        <f t="shared" ref="F17:K17" ca="1" si="7">SUM(F$2:F$11)</f>
        <v>33621.940298507463</v>
      </c>
      <c r="G17" s="9">
        <f t="shared" ca="1" si="7"/>
        <v>949.27899686520379</v>
      </c>
      <c r="H17" s="9">
        <f t="shared" ca="1" si="7"/>
        <v>32445.84</v>
      </c>
      <c r="I17" s="9">
        <f t="shared" ca="1" si="7"/>
        <v>15650</v>
      </c>
      <c r="J17" s="9">
        <f t="shared" ca="1" si="7"/>
        <v>9344.3726884779517</v>
      </c>
      <c r="K17" s="9">
        <f t="shared" ca="1" si="7"/>
        <v>10734.305234708394</v>
      </c>
      <c r="L17" s="17">
        <f t="shared" ca="1" si="5"/>
        <v>173634.56848227527</v>
      </c>
      <c r="M17" s="17"/>
      <c r="N17" s="17"/>
      <c r="O17" s="9"/>
      <c r="P17" s="14"/>
      <c r="Q17" s="11">
        <f t="shared" ca="1" si="6"/>
        <v>173634.56848227527</v>
      </c>
      <c r="R17" s="17">
        <f t="shared" ca="1" si="4"/>
        <v>173634.56848227527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0.93800000000000006</v>
      </c>
      <c r="G18" s="38">
        <f t="shared" ca="1" si="8"/>
        <v>0.95699999999999996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0.92473987694638882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4158.6847136962861</v>
      </c>
      <c r="D2" s="9">
        <f ca="1">Q4/parameters!$B$3</f>
        <v>3399.6578444198453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7558.3425581161318</v>
      </c>
      <c r="M2" s="17"/>
      <c r="N2" s="17">
        <f ca="1">Q2-(L2+O2+P2)</f>
        <v>0</v>
      </c>
      <c r="O2" s="11" cm="1">
        <f t="array" aca="1" ref="O2" ca="1">INDIRECT("'data'!$F$" &amp; $A$1)</f>
        <v>334.75</v>
      </c>
      <c r="P2" s="13">
        <f ca="1">IF(-(L2-Q2+O2)&lt;0, -(L2-Q2+O2), 0)</f>
        <v>-2623.0925581161318</v>
      </c>
      <c r="Q2" s="17" cm="1">
        <f t="array" aca="1" ref="Q2" ca="1">INDIRECT("'data'!$D$" &amp; $A$1)</f>
        <v>5270</v>
      </c>
      <c r="R2" s="17">
        <f ca="1">SUM(L2:P2)</f>
        <v>5270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3987.7014925373137</v>
      </c>
      <c r="G3" s="14">
        <f ca="1">Q3-O3-P3-F3</f>
        <v>932.91350746268608</v>
      </c>
      <c r="H3" s="14"/>
      <c r="I3" s="14"/>
      <c r="J3" s="14"/>
      <c r="K3" s="13"/>
      <c r="L3" s="16">
        <f t="shared" ca="1" si="0"/>
        <v>4920.6149999999998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123.79499999999999</v>
      </c>
      <c r="P3" s="13" cm="1">
        <f t="array" aca="1" ref="P3" ca="1">-INDIRECT("'data'!$I$" &amp; $A$1)*parameters!$B$13</f>
        <v>-911.92499999999995</v>
      </c>
      <c r="Q3" s="16" cm="1">
        <f t="array" aca="1" ref="Q3" ca="1">INDIRECT("'data'!$G$" &amp; $A$1)*parameters!$B$13</f>
        <v>4132.4849999999997</v>
      </c>
      <c r="R3" s="16">
        <f t="shared" ref="R3:R10" ca="1" si="2">SUM(L3:P3)</f>
        <v>4132.4849999999997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3378.2400000000002</v>
      </c>
      <c r="H4" s="14"/>
      <c r="I4" s="14"/>
      <c r="J4" s="14"/>
      <c r="K4" s="13"/>
      <c r="L4" s="16">
        <f t="shared" ca="1" si="0"/>
        <v>3378.2400000000002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3378.2400000000002</v>
      </c>
      <c r="R4" s="16">
        <f t="shared" ca="1" si="2"/>
        <v>3378.2400000000002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996.92537313432842</v>
      </c>
      <c r="G5" s="14">
        <f ca="1">Q7/parameters!$B$7-(G3+G4)</f>
        <v>4422.8276837598842</v>
      </c>
      <c r="H5" s="14"/>
      <c r="I5" s="14"/>
      <c r="J5" s="14"/>
      <c r="K5" s="13"/>
      <c r="L5" s="16">
        <f t="shared" ca="1" si="0"/>
        <v>5419.7530568942129</v>
      </c>
      <c r="M5" s="16"/>
      <c r="N5" s="16"/>
      <c r="O5" s="11" cm="1">
        <f t="array" aca="1" ref="O5" ca="1">INDIRECT("'data'!$M$" &amp; $A$1)*parameters!$B$15</f>
        <v>179.34</v>
      </c>
      <c r="P5" s="13" cm="1">
        <f t="array" aca="1" ref="P5" ca="1">-INDIRECT("'data'!$N$" &amp; $A$1)*parameters!$B$15</f>
        <v>-1516.06</v>
      </c>
      <c r="Q5" s="16">
        <f ca="1">SUM(L5:P5)</f>
        <v>4083.0330568942131</v>
      </c>
      <c r="R5" s="16">
        <f t="shared" ca="1" si="2"/>
        <v>4083.0330568942131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4675.58</v>
      </c>
      <c r="I6" s="14"/>
      <c r="J6" s="14"/>
      <c r="K6" s="13"/>
      <c r="L6" s="16">
        <f t="shared" ca="1" si="0"/>
        <v>4675.58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4675.58</v>
      </c>
      <c r="R6" s="16">
        <f t="shared" ca="1" si="2"/>
        <v>4675.58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8358.42</v>
      </c>
      <c r="I7" s="14"/>
      <c r="J7" s="14"/>
      <c r="K7" s="13"/>
      <c r="L7" s="16">
        <f t="shared" ca="1" si="0"/>
        <v>8358.42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8358.42</v>
      </c>
      <c r="R7" s="16">
        <f t="shared" ca="1" si="2"/>
        <v>8358.42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6750.3309347696559</v>
      </c>
      <c r="J8" s="14">
        <f ca="1">Q10/J18</f>
        <v>5363.4490652303439</v>
      </c>
      <c r="K8" s="13"/>
      <c r="L8" s="16">
        <f t="shared" ca="1" si="0"/>
        <v>12113.779999999999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1417.08</v>
      </c>
      <c r="P8" s="13" cm="1">
        <f t="array" aca="1" ref="P8" ca="1">-INDIRECT("'data'!$S$" &amp; $A$1)*parameters!$B$15</f>
        <v>-496.86</v>
      </c>
      <c r="Q8" s="16">
        <f ca="1">SUM(Q6:Q7)</f>
        <v>13034</v>
      </c>
      <c r="R8" s="16">
        <f t="shared" ca="1" si="2"/>
        <v>13033.999999999998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6505.24</v>
      </c>
      <c r="L9" s="16">
        <f t="shared" ca="1" si="0"/>
        <v>6505.24</v>
      </c>
      <c r="M9" s="16"/>
      <c r="N9" s="16">
        <f t="shared" ca="1" si="3"/>
        <v>0</v>
      </c>
      <c r="O9" s="11" cm="1">
        <f t="array" aca="1" ref="O9" ca="1">INDIRECT("'data'!$U$" &amp; $A$1)*parameters!$B$15</f>
        <v>812.42</v>
      </c>
      <c r="P9" s="13" cm="1">
        <f t="array" aca="1" ref="P9" ca="1">-INDIRECT("'data'!$V$" &amp; $A$1)*parameters!$B$15</f>
        <v>-1287.72</v>
      </c>
      <c r="Q9" s="16" cm="1">
        <f t="array" aca="1" ref="Q9" ca="1">INDIRECT("'data'!$T$" &amp; $A$1)*parameters!$B$15</f>
        <v>6029.94</v>
      </c>
      <c r="R9" s="16">
        <f t="shared" ca="1" si="2"/>
        <v>6029.94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7007.8252631578944</v>
      </c>
      <c r="L10" s="16">
        <f t="shared" ca="1" si="0"/>
        <v>7007.8252631578944</v>
      </c>
      <c r="M10" s="16"/>
      <c r="N10" s="16">
        <f t="shared" ca="1" si="3"/>
        <v>0</v>
      </c>
      <c r="O10" s="11" cm="1">
        <f t="array" aca="1" ref="O10" ca="1">INDIRECT("'data'!$X$" &amp; $A$1)*parameters!$B$15</f>
        <v>825.16</v>
      </c>
      <c r="P10" s="13" cm="1">
        <f t="array" aca="1" ref="P10" ca="1">-INDIRECT("'data'!$Y$" &amp; $A$1)*parameters!$B$15</f>
        <v>-3041.92</v>
      </c>
      <c r="Q10" s="16" cm="1">
        <f t="array" aca="1" ref="Q10" ca="1">INDIRECT("'data'!$W$" &amp; $A$1)*parameters!$B$15</f>
        <v>4791.0652631578942</v>
      </c>
      <c r="R10" s="16">
        <f t="shared" ca="1" si="2"/>
        <v>4791.0652631578942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12677.225326315787</v>
      </c>
      <c r="N11" s="19"/>
      <c r="O11" s="21" cm="1">
        <f t="array" aca="1" ref="O11" ca="1">INDIRECT("'data'!$Z$" &amp; $A$1)*parameters!$B$15</f>
        <v>6236.23</v>
      </c>
      <c r="P11" s="27" cm="1">
        <f t="array" aca="1" ref="P11" ca="1">-INDIRECT("'data'!$AA$" &amp; $A$1)*parameters!$B$15</f>
        <v>-6771.8</v>
      </c>
      <c r="Q11" s="16">
        <f ca="1">K9*parameters!$B$10+K10*parameters!$B$11</f>
        <v>12141.655326315788</v>
      </c>
      <c r="R11" s="16">
        <f t="shared" ref="R11:R17" ca="1" si="4">SUM(L11:P11)</f>
        <v>12141.655326315788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-26.199713696286381</v>
      </c>
      <c r="D12" s="9">
        <f ca="1">-(D17-Q4)</f>
        <v>-21.417844419845096</v>
      </c>
      <c r="E12" s="9">
        <f ca="1">-(E17-Q5)</f>
        <v>-504.64453512175669</v>
      </c>
      <c r="F12" s="9">
        <f ca="1">-(F17-Q6)</f>
        <v>-309.04686567164208</v>
      </c>
      <c r="G12" s="9">
        <f ca="1">-(G17-Q7)</f>
        <v>-375.56119122257041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-1236.8701501321007</v>
      </c>
      <c r="M12" s="17"/>
      <c r="N12" s="17"/>
      <c r="O12" s="10"/>
      <c r="P12" s="12"/>
      <c r="Q12" s="9">
        <f t="shared" ref="Q12:Q17" ca="1" si="6">SUM(L12:P12)</f>
        <v>-1236.8701501321007</v>
      </c>
      <c r="R12" s="17">
        <f t="shared" ca="1" si="4"/>
        <v>-1236.8701501321007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-720.39093476965627</v>
      </c>
      <c r="J13" s="14">
        <f ca="1">-(J17-Q10)</f>
        <v>-572.38380207244973</v>
      </c>
      <c r="K13" s="13">
        <f ca="1">-(K17-Q11)</f>
        <v>-1371.4099368421066</v>
      </c>
      <c r="L13" s="14">
        <f t="shared" ca="1" si="5"/>
        <v>-2664.1846736842126</v>
      </c>
      <c r="M13" s="16">
        <f ca="1">-E15</f>
        <v>-1923.4929183317572</v>
      </c>
      <c r="N13" s="16"/>
      <c r="O13" s="11"/>
      <c r="P13" s="13"/>
      <c r="Q13" s="14">
        <f t="shared" ca="1" si="6"/>
        <v>-4587.6775920159698</v>
      </c>
      <c r="R13" s="16">
        <f t="shared" ca="1" si="4"/>
        <v>-4587.6775920159698</v>
      </c>
    </row>
    <row r="14" spans="1:20">
      <c r="A14" s="18" t="s">
        <v>78</v>
      </c>
      <c r="B14" s="11"/>
      <c r="C14" s="14"/>
      <c r="D14" s="14"/>
      <c r="E14" s="14">
        <f ca="1">-(I13+J13)-K13</f>
        <v>2664.1846736842126</v>
      </c>
      <c r="F14" s="14"/>
      <c r="G14" s="14"/>
      <c r="H14" s="14"/>
      <c r="I14" s="14"/>
      <c r="J14" s="14"/>
      <c r="K14" s="13"/>
      <c r="L14" s="14">
        <f t="shared" ca="1" si="5"/>
        <v>2664.1846736842126</v>
      </c>
      <c r="M14" s="16"/>
      <c r="N14" s="16"/>
      <c r="O14" s="11"/>
      <c r="P14" s="13"/>
      <c r="Q14" s="14">
        <f t="shared" ca="1" si="6"/>
        <v>2664.1846736842126</v>
      </c>
      <c r="R14" s="16">
        <f t="shared" ca="1" si="4"/>
        <v>2664.1846736842126</v>
      </c>
    </row>
    <row r="15" spans="1:20">
      <c r="A15" s="18" t="s">
        <v>79</v>
      </c>
      <c r="B15" s="11"/>
      <c r="C15" s="14"/>
      <c r="D15" s="14"/>
      <c r="E15" s="14">
        <f ca="1">E17-E14</f>
        <v>1923.4929183317572</v>
      </c>
      <c r="F15" s="14"/>
      <c r="G15" s="14"/>
      <c r="H15" s="14"/>
      <c r="I15" s="14"/>
      <c r="J15" s="14"/>
      <c r="K15" s="13"/>
      <c r="L15" s="14">
        <f t="shared" ca="1" si="5"/>
        <v>1923.4929183317572</v>
      </c>
      <c r="M15" s="16"/>
      <c r="N15" s="16"/>
      <c r="O15" s="11"/>
      <c r="P15" s="13"/>
      <c r="Q15" s="14">
        <f t="shared" ca="1" si="6"/>
        <v>1923.4929183317572</v>
      </c>
      <c r="R15" s="16">
        <f t="shared" ca="1" si="4"/>
        <v>1923.4929183317572</v>
      </c>
    </row>
    <row r="16" spans="1:20">
      <c r="A16" s="30" t="s">
        <v>89</v>
      </c>
      <c r="B16" s="21">
        <f ca="1">Q2</f>
        <v>5270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5270</v>
      </c>
      <c r="M16" s="19"/>
      <c r="N16" s="19"/>
      <c r="O16" s="21"/>
      <c r="P16" s="27"/>
      <c r="Q16" s="22">
        <f t="shared" ca="1" si="6"/>
        <v>5270</v>
      </c>
      <c r="R16" s="19">
        <f t="shared" ca="1" si="4"/>
        <v>5270</v>
      </c>
    </row>
    <row r="17" spans="1:18">
      <c r="A17" s="29" t="s">
        <v>88</v>
      </c>
      <c r="B17" s="9">
        <f ca="1">B16</f>
        <v>5270</v>
      </c>
      <c r="C17" s="9">
        <f ca="1">SUM(C$2:C$11)</f>
        <v>4158.6847136962861</v>
      </c>
      <c r="D17" s="9">
        <f ca="1">SUM(D$2:D$11)</f>
        <v>3399.6578444198453</v>
      </c>
      <c r="E17" s="9">
        <f ca="1">$Q$5/parameters!$B$4</f>
        <v>4587.6775920159698</v>
      </c>
      <c r="F17" s="9">
        <f t="shared" ref="F17:K17" ca="1" si="7">SUM(F$2:F$11)</f>
        <v>4984.626865671642</v>
      </c>
      <c r="G17" s="9">
        <f t="shared" ca="1" si="7"/>
        <v>8733.9811912225705</v>
      </c>
      <c r="H17" s="9">
        <f t="shared" ca="1" si="7"/>
        <v>13034</v>
      </c>
      <c r="I17" s="9">
        <f t="shared" ca="1" si="7"/>
        <v>6750.3309347696559</v>
      </c>
      <c r="J17" s="9">
        <f t="shared" ca="1" si="7"/>
        <v>5363.4490652303439</v>
      </c>
      <c r="K17" s="9">
        <f t="shared" ca="1" si="7"/>
        <v>13513.065263157894</v>
      </c>
      <c r="L17" s="17">
        <f t="shared" ca="1" si="5"/>
        <v>69795.47347018421</v>
      </c>
      <c r="M17" s="17"/>
      <c r="N17" s="17"/>
      <c r="O17" s="9"/>
      <c r="P17" s="14"/>
      <c r="Q17" s="11">
        <f t="shared" ca="1" si="6"/>
        <v>69795.47347018421</v>
      </c>
      <c r="R17" s="17">
        <f t="shared" ca="1" si="4"/>
        <v>69795.47347018421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0.89328064924060813</v>
      </c>
      <c r="J18" s="38">
        <f ca="1">I18</f>
        <v>0.89328064924060813</v>
      </c>
      <c r="K18" s="39">
        <f ca="1">1-(-K13)/K17</f>
        <v>0.89851229827320322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11.559477769874208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11.559477769874208</v>
      </c>
      <c r="M2" s="17"/>
      <c r="N2" s="17">
        <f ca="1">Q2-(L2+O2+P2)</f>
        <v>0</v>
      </c>
      <c r="O2" s="11" cm="1">
        <f t="array" aca="1" ref="O2" ca="1">INDIRECT("'data'!$F$" &amp; $A$1)</f>
        <v>97.5</v>
      </c>
      <c r="P2" s="13">
        <f ca="1">IF(-(L2-Q2+O2)&lt;0, -(L2-Q2+O2), 0)</f>
        <v>-67.276017565124206</v>
      </c>
      <c r="Q2" s="17" cm="1">
        <f t="array" aca="1" ref="Q2" ca="1">INDIRECT("'data'!$D$" &amp; $A$1)</f>
        <v>41.78346020475</v>
      </c>
      <c r="R2" s="17">
        <f ca="1">SUM(L2:P2)</f>
        <v>41.78346020475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11.486653059924</v>
      </c>
      <c r="H3" s="14"/>
      <c r="I3" s="14"/>
      <c r="J3" s="14"/>
      <c r="K3" s="13"/>
      <c r="L3" s="16">
        <f t="shared" ca="1" si="0"/>
        <v>11.486653059924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11.486653059924</v>
      </c>
      <c r="R3" s="16">
        <f t="shared" ref="R3:R10" ca="1" si="2">SUM(L3:P3)</f>
        <v>11.486653059924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315.1800136067427</v>
      </c>
      <c r="H5" s="14"/>
      <c r="I5" s="14"/>
      <c r="J5" s="14"/>
      <c r="K5" s="13"/>
      <c r="L5" s="16">
        <f t="shared" ca="1" si="0"/>
        <v>315.1800136067427</v>
      </c>
      <c r="M5" s="16"/>
      <c r="N5" s="47">
        <f ca="1">$E$14*parameters!$B$4-$P$5-$L$5-$O$5</f>
        <v>66.215602393256916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381.39561599999962</v>
      </c>
      <c r="R5" s="16">
        <f t="shared" ca="1" si="2"/>
        <v>381.39561599999962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312.62</v>
      </c>
      <c r="I7" s="14"/>
      <c r="J7" s="14"/>
      <c r="K7" s="13"/>
      <c r="L7" s="16">
        <f t="shared" ca="1" si="0"/>
        <v>312.62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312.62</v>
      </c>
      <c r="R7" s="16">
        <f t="shared" ca="1" si="2"/>
        <v>312.62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1948.2399999999998</v>
      </c>
      <c r="J8" s="14">
        <f ca="1">Q10/J18</f>
        <v>0</v>
      </c>
      <c r="K8" s="13"/>
      <c r="L8" s="16">
        <f t="shared" ca="1" si="0"/>
        <v>1948.2399999999998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-1635.62</v>
      </c>
      <c r="Q8" s="16">
        <f ca="1">SUM(Q6:Q7)</f>
        <v>312.62</v>
      </c>
      <c r="R8" s="16">
        <f t="shared" ca="1" si="2"/>
        <v>312.61999999999989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2066.8200000000002</v>
      </c>
      <c r="L9" s="16">
        <f t="shared" ca="1" si="0"/>
        <v>2066.8200000000002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-204.82</v>
      </c>
      <c r="Q9" s="16" cm="1">
        <f t="array" aca="1" ref="Q9" ca="1">INDIRECT("'data'!$T$" &amp; $A$1)*parameters!$B$15</f>
        <v>1862</v>
      </c>
      <c r="R9" s="16">
        <f t="shared" ca="1" si="2"/>
        <v>1862.0000000000002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1559.18</v>
      </c>
      <c r="L10" s="16">
        <f t="shared" ca="1" si="0"/>
        <v>1559.18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-1559.18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3602.6956</v>
      </c>
      <c r="N11" s="19"/>
      <c r="O11" s="21" cm="1">
        <f t="array" aca="1" ref="O11" ca="1">INDIRECT("'data'!$Z$" &amp; $A$1)*parameters!$B$15</f>
        <v>48.019999999999996</v>
      </c>
      <c r="P11" s="27" cm="1">
        <f t="array" aca="1" ref="P11" ca="1">-INDIRECT("'data'!$AA$" &amp; $A$1)*parameters!$B$15</f>
        <v>-367.01</v>
      </c>
      <c r="Q11" s="16">
        <f ca="1">K9*parameters!$B$10+K10*parameters!$B$11</f>
        <v>3283.7056000000002</v>
      </c>
      <c r="R11" s="16">
        <f t="shared" ref="R11:R17" ca="1" si="4">SUM(L11:P11)</f>
        <v>3283.7056000000002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-7.2824709950207733E-2</v>
      </c>
      <c r="D12" s="9">
        <f ca="1">-(D17-Q4)</f>
        <v>0</v>
      </c>
      <c r="E12" s="9">
        <f ca="1">-(E17-Q5)</f>
        <v>-47.13878399999993</v>
      </c>
      <c r="F12" s="9">
        <f ca="1">-(F17-Q6)</f>
        <v>0</v>
      </c>
      <c r="G12" s="9">
        <f ca="1">-(G17-Q7)</f>
        <v>-14.046666666666681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-61.258275376616822</v>
      </c>
      <c r="M12" s="17"/>
      <c r="N12" s="17"/>
      <c r="O12" s="10"/>
      <c r="P12" s="12"/>
      <c r="Q12" s="9">
        <f t="shared" ref="Q12:Q17" ca="1" si="6">SUM(L12:P12)</f>
        <v>-61.258275376616822</v>
      </c>
      <c r="R12" s="17">
        <f t="shared" ca="1" si="4"/>
        <v>-61.258275376616822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-86.239999999999782</v>
      </c>
      <c r="J13" s="14">
        <f ca="1">-(J17-Q10)</f>
        <v>0</v>
      </c>
      <c r="K13" s="13">
        <f ca="1">-(K17-Q11)</f>
        <v>-342.29439999999977</v>
      </c>
      <c r="L13" s="14">
        <f t="shared" ca="1" si="5"/>
        <v>-428.53439999999955</v>
      </c>
      <c r="M13" s="16">
        <f ca="1">-E15</f>
        <v>0</v>
      </c>
      <c r="N13" s="16"/>
      <c r="O13" s="11"/>
      <c r="P13" s="13"/>
      <c r="Q13" s="14">
        <f t="shared" ca="1" si="6"/>
        <v>-428.53439999999955</v>
      </c>
      <c r="R13" s="16">
        <f t="shared" ca="1" si="4"/>
        <v>-428.53439999999955</v>
      </c>
    </row>
    <row r="14" spans="1:20">
      <c r="A14" s="18" t="s">
        <v>78</v>
      </c>
      <c r="B14" s="11"/>
      <c r="C14" s="14"/>
      <c r="D14" s="14"/>
      <c r="E14" s="14">
        <f ca="1">-(I13+J13)-K13</f>
        <v>428.53439999999955</v>
      </c>
      <c r="F14" s="14"/>
      <c r="G14" s="14"/>
      <c r="H14" s="14"/>
      <c r="I14" s="14"/>
      <c r="J14" s="14"/>
      <c r="K14" s="13"/>
      <c r="L14" s="14">
        <f t="shared" ca="1" si="5"/>
        <v>428.53439999999955</v>
      </c>
      <c r="M14" s="16"/>
      <c r="N14" s="16"/>
      <c r="O14" s="11"/>
      <c r="P14" s="13"/>
      <c r="Q14" s="14">
        <f t="shared" ca="1" si="6"/>
        <v>428.53439999999955</v>
      </c>
      <c r="R14" s="16">
        <f t="shared" ca="1" si="4"/>
        <v>428.53439999999955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41.78346020475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41.78346020475</v>
      </c>
      <c r="M16" s="19"/>
      <c r="N16" s="19"/>
      <c r="O16" s="21"/>
      <c r="P16" s="27"/>
      <c r="Q16" s="22">
        <f t="shared" ca="1" si="6"/>
        <v>41.78346020475</v>
      </c>
      <c r="R16" s="19">
        <f t="shared" ca="1" si="4"/>
        <v>41.78346020475</v>
      </c>
    </row>
    <row r="17" spans="1:18">
      <c r="A17" s="29" t="s">
        <v>88</v>
      </c>
      <c r="B17" s="9">
        <f ca="1">B16</f>
        <v>41.78346020475</v>
      </c>
      <c r="C17" s="9">
        <f ca="1">SUM(C$2:C$11)</f>
        <v>11.559477769874208</v>
      </c>
      <c r="D17" s="9">
        <f ca="1">SUM(D$2:D$11)</f>
        <v>0</v>
      </c>
      <c r="E17" s="9">
        <f ca="1">$Q$5/parameters!$B$4</f>
        <v>428.53439999999955</v>
      </c>
      <c r="F17" s="9">
        <f t="shared" ref="F17:K17" ca="1" si="7">SUM(F$2:F$11)</f>
        <v>0</v>
      </c>
      <c r="G17" s="9">
        <f t="shared" ca="1" si="7"/>
        <v>326.66666666666669</v>
      </c>
      <c r="H17" s="9">
        <f t="shared" ca="1" si="7"/>
        <v>312.62</v>
      </c>
      <c r="I17" s="9">
        <f t="shared" ca="1" si="7"/>
        <v>1948.2399999999998</v>
      </c>
      <c r="J17" s="9">
        <f t="shared" ca="1" si="7"/>
        <v>0</v>
      </c>
      <c r="K17" s="9">
        <f t="shared" ca="1" si="7"/>
        <v>3626</v>
      </c>
      <c r="L17" s="17">
        <f t="shared" ca="1" si="5"/>
        <v>6695.4040046412902</v>
      </c>
      <c r="M17" s="17"/>
      <c r="N17" s="17"/>
      <c r="O17" s="9"/>
      <c r="P17" s="14"/>
      <c r="Q17" s="11">
        <f t="shared" ca="1" si="6"/>
        <v>6695.4040046412902</v>
      </c>
      <c r="R17" s="17">
        <f t="shared" ca="1" si="4"/>
        <v>6695.4040046412902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 t="str">
        <f t="shared" ca="1" si="8"/>
        <v/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0.95573440643863194</v>
      </c>
      <c r="J18" s="38">
        <f ca="1">I18</f>
        <v>0.95573440643863194</v>
      </c>
      <c r="K18" s="39">
        <f ca="1">1-(-K13)/K17</f>
        <v>0.90560000000000007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11695.290329073159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11695.290329073159</v>
      </c>
      <c r="M2" s="17"/>
      <c r="N2" s="17">
        <f ca="1">Q2-(L2+O2+P2)</f>
        <v>0</v>
      </c>
      <c r="O2" s="11" cm="1">
        <f t="array" aca="1" ref="O2" ca="1">INDIRECT("'data'!$F$" &amp; $A$1)</f>
        <v>24.7</v>
      </c>
      <c r="P2" s="13">
        <f ca="1">IF(-(L2-Q2+O2)&lt;0, -(L2-Q2+O2), 0)</f>
        <v>-11719.99032907316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9287.6417910447763</v>
      </c>
      <c r="G3" s="14">
        <f ca="1">Q3-O3-P3-F3</f>
        <v>2553.2082089552223</v>
      </c>
      <c r="H3" s="14"/>
      <c r="I3" s="14"/>
      <c r="J3" s="14"/>
      <c r="K3" s="13"/>
      <c r="L3" s="16">
        <f t="shared" ca="1" si="0"/>
        <v>11840.849999999999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3.78</v>
      </c>
      <c r="P3" s="13" cm="1">
        <f t="array" aca="1" ref="P3" ca="1">-INDIRECT("'data'!$I$" &amp; $A$1)*parameters!$B$13</f>
        <v>-223.01999999999998</v>
      </c>
      <c r="Q3" s="16" cm="1">
        <f t="array" aca="1" ref="Q3" ca="1">INDIRECT("'data'!$G$" &amp; $A$1)*parameters!$B$13</f>
        <v>11621.609999999999</v>
      </c>
      <c r="R3" s="16">
        <f t="shared" ref="R3:R10" ca="1" si="2">SUM(L3:P3)</f>
        <v>11621.609999999999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2321.9104477611941</v>
      </c>
      <c r="G5" s="14">
        <f ca="1">Q7/parameters!$B$7-(G3+G4)</f>
        <v>5875.6110177950395</v>
      </c>
      <c r="H5" s="14"/>
      <c r="I5" s="14"/>
      <c r="J5" s="14"/>
      <c r="K5" s="13"/>
      <c r="L5" s="16">
        <f t="shared" ca="1" si="0"/>
        <v>8197.521465556234</v>
      </c>
      <c r="M5" s="16"/>
      <c r="N5" s="16"/>
      <c r="O5" s="11" cm="1">
        <f t="array" aca="1" ref="O5" ca="1">INDIRECT("'data'!$M$" &amp; $A$1)*parameters!$B$15</f>
        <v>4242.42</v>
      </c>
      <c r="P5" s="13" cm="1">
        <f t="array" aca="1" ref="P5" ca="1">-INDIRECT("'data'!$N$" &amp; $A$1)*parameters!$B$15</f>
        <v>-2917.46</v>
      </c>
      <c r="Q5" s="16">
        <f ca="1">SUM(L5:P5)</f>
        <v>9522.4814655562332</v>
      </c>
      <c r="R5" s="16">
        <f t="shared" ca="1" si="2"/>
        <v>9522.4814655562332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10889.76</v>
      </c>
      <c r="I6" s="14"/>
      <c r="J6" s="14"/>
      <c r="K6" s="13"/>
      <c r="L6" s="16">
        <f t="shared" ca="1" si="0"/>
        <v>10889.76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10889.76</v>
      </c>
      <c r="R6" s="16">
        <f t="shared" ca="1" si="2"/>
        <v>10889.76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8066.38</v>
      </c>
      <c r="I7" s="14"/>
      <c r="J7" s="14"/>
      <c r="K7" s="13"/>
      <c r="L7" s="16">
        <f t="shared" ca="1" si="0"/>
        <v>8066.38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8066.38</v>
      </c>
      <c r="R7" s="16">
        <f t="shared" ca="1" si="2"/>
        <v>8066.38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5923.3156816395312</v>
      </c>
      <c r="J8" s="14">
        <f ca="1">Q10/J18</f>
        <v>12537.92431836047</v>
      </c>
      <c r="K8" s="13"/>
      <c r="L8" s="16">
        <f t="shared" ca="1" si="0"/>
        <v>18461.240000000002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2574.46</v>
      </c>
      <c r="P8" s="13" cm="1">
        <f t="array" aca="1" ref="P8" ca="1">-INDIRECT("'data'!$S$" &amp; $A$1)*parameters!$B$15</f>
        <v>-2079.56</v>
      </c>
      <c r="Q8" s="16">
        <f ca="1">SUM(Q6:Q7)</f>
        <v>18956.14</v>
      </c>
      <c r="R8" s="16">
        <f t="shared" ca="1" si="2"/>
        <v>18956.14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6104.42</v>
      </c>
      <c r="L9" s="16">
        <f t="shared" ca="1" si="0"/>
        <v>6104.42</v>
      </c>
      <c r="M9" s="16"/>
      <c r="N9" s="16">
        <f t="shared" ca="1" si="3"/>
        <v>0</v>
      </c>
      <c r="O9" s="11" cm="1">
        <f t="array" aca="1" ref="O9" ca="1">INDIRECT("'data'!$U$" &amp; $A$1)*parameters!$B$15</f>
        <v>3106.6</v>
      </c>
      <c r="P9" s="13" cm="1">
        <f t="array" aca="1" ref="P9" ca="1">-INDIRECT("'data'!$V$" &amp; $A$1)*parameters!$B$15</f>
        <v>-3885.7</v>
      </c>
      <c r="Q9" s="16" cm="1">
        <f t="array" aca="1" ref="Q9" ca="1">INDIRECT("'data'!$T$" &amp; $A$1)*parameters!$B$15</f>
        <v>5325.32</v>
      </c>
      <c r="R9" s="16">
        <f t="shared" ca="1" si="2"/>
        <v>5325.3200000000006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10427.382617354195</v>
      </c>
      <c r="L10" s="16">
        <f t="shared" ca="1" si="0"/>
        <v>10427.382617354195</v>
      </c>
      <c r="M10" s="16"/>
      <c r="N10" s="16">
        <f t="shared" ca="1" si="3"/>
        <v>0</v>
      </c>
      <c r="O10" s="11" cm="1">
        <f t="array" aca="1" ref="O10" ca="1">INDIRECT("'data'!$X$" &amp; $A$1)*parameters!$B$15</f>
        <v>9467.7800000000007</v>
      </c>
      <c r="P10" s="13" cm="1">
        <f t="array" aca="1" ref="P10" ca="1">-INDIRECT("'data'!$Y$" &amp; $A$1)*parameters!$B$15</f>
        <v>-8623.02</v>
      </c>
      <c r="Q10" s="16" cm="1">
        <f t="array" aca="1" ref="Q10" ca="1">INDIRECT("'data'!$W$" &amp; $A$1)*parameters!$B$15</f>
        <v>11272.142617354195</v>
      </c>
      <c r="R10" s="16">
        <f t="shared" ca="1" si="2"/>
        <v>11272.142617354195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14230.403850924606</v>
      </c>
      <c r="N11" s="19"/>
      <c r="O11" s="21" cm="1">
        <f t="array" aca="1" ref="O11" ca="1">INDIRECT("'data'!$Z$" &amp; $A$1)*parameters!$B$15</f>
        <v>9420.74</v>
      </c>
      <c r="P11" s="27" cm="1">
        <f t="array" aca="1" ref="P11" ca="1">-INDIRECT("'data'!$AA$" &amp; $A$1)*parameters!$B$15</f>
        <v>-8945.44</v>
      </c>
      <c r="Q11" s="16">
        <f ca="1">K9*parameters!$B$10+K10*parameters!$B$11</f>
        <v>14705.703850924605</v>
      </c>
      <c r="R11" s="16">
        <f t="shared" ref="R11:R17" ca="1" si="4">SUM(L11:P11)</f>
        <v>14705.703850924607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-73.680329073160465</v>
      </c>
      <c r="D12" s="9">
        <f ca="1">-(D17-Q4)</f>
        <v>0</v>
      </c>
      <c r="E12" s="9">
        <f ca="1">-(E17-Q5)</f>
        <v>-1176.9359114732415</v>
      </c>
      <c r="F12" s="9">
        <f ca="1">-(F17-Q6)</f>
        <v>-719.79223880597056</v>
      </c>
      <c r="G12" s="9">
        <f ca="1">-(G17-Q7)</f>
        <v>-362.4392267502617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-2332.8477061026342</v>
      </c>
      <c r="M12" s="17"/>
      <c r="N12" s="17"/>
      <c r="O12" s="10"/>
      <c r="P12" s="12"/>
      <c r="Q12" s="9">
        <f t="shared" ref="Q12:Q17" ca="1" si="6">SUM(L12:P12)</f>
        <v>-2332.8477061026342</v>
      </c>
      <c r="R12" s="17">
        <f t="shared" ca="1" si="4"/>
        <v>-2332.8477061026342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-597.99568163953154</v>
      </c>
      <c r="J13" s="14">
        <f ca="1">-(J17-Q10)</f>
        <v>-1265.7817010062754</v>
      </c>
      <c r="K13" s="13">
        <f ca="1">-(K17-Q11)</f>
        <v>-1826.0987664295899</v>
      </c>
      <c r="L13" s="14">
        <f t="shared" ca="1" si="5"/>
        <v>-3689.8761490753968</v>
      </c>
      <c r="M13" s="16">
        <f ca="1">-E15</f>
        <v>-7009.5412279540778</v>
      </c>
      <c r="N13" s="16"/>
      <c r="O13" s="11"/>
      <c r="P13" s="13"/>
      <c r="Q13" s="14">
        <f t="shared" ca="1" si="6"/>
        <v>-10699.417377029475</v>
      </c>
      <c r="R13" s="16">
        <f t="shared" ca="1" si="4"/>
        <v>-10699.417377029475</v>
      </c>
    </row>
    <row r="14" spans="1:20">
      <c r="A14" s="18" t="s">
        <v>78</v>
      </c>
      <c r="B14" s="11"/>
      <c r="C14" s="14"/>
      <c r="D14" s="14"/>
      <c r="E14" s="14">
        <f ca="1">-(I13+J13)-K13</f>
        <v>3689.8761490753968</v>
      </c>
      <c r="F14" s="14"/>
      <c r="G14" s="14"/>
      <c r="H14" s="14"/>
      <c r="I14" s="14"/>
      <c r="J14" s="14"/>
      <c r="K14" s="13"/>
      <c r="L14" s="14">
        <f t="shared" ca="1" si="5"/>
        <v>3689.8761490753968</v>
      </c>
      <c r="M14" s="16"/>
      <c r="N14" s="16"/>
      <c r="O14" s="11"/>
      <c r="P14" s="13"/>
      <c r="Q14" s="14">
        <f t="shared" ca="1" si="6"/>
        <v>3689.8761490753968</v>
      </c>
      <c r="R14" s="16">
        <f t="shared" ca="1" si="4"/>
        <v>3689.8761490753968</v>
      </c>
    </row>
    <row r="15" spans="1:20">
      <c r="A15" s="18" t="s">
        <v>79</v>
      </c>
      <c r="B15" s="11"/>
      <c r="C15" s="14"/>
      <c r="D15" s="14"/>
      <c r="E15" s="14">
        <f ca="1">E17-E14</f>
        <v>7009.5412279540778</v>
      </c>
      <c r="F15" s="14"/>
      <c r="G15" s="14"/>
      <c r="H15" s="14"/>
      <c r="I15" s="14"/>
      <c r="J15" s="14"/>
      <c r="K15" s="13"/>
      <c r="L15" s="14">
        <f t="shared" ca="1" si="5"/>
        <v>7009.5412279540778</v>
      </c>
      <c r="M15" s="16"/>
      <c r="N15" s="16"/>
      <c r="O15" s="11"/>
      <c r="P15" s="13"/>
      <c r="Q15" s="14">
        <f t="shared" ca="1" si="6"/>
        <v>7009.5412279540778</v>
      </c>
      <c r="R15" s="16">
        <f t="shared" ca="1" si="4"/>
        <v>7009.5412279540778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11695.290329073159</v>
      </c>
      <c r="D17" s="9">
        <f ca="1">SUM(D$2:D$11)</f>
        <v>0</v>
      </c>
      <c r="E17" s="9">
        <f ca="1">$Q$5/parameters!$B$4</f>
        <v>10699.417377029475</v>
      </c>
      <c r="F17" s="9">
        <f t="shared" ref="F17:K17" ca="1" si="7">SUM(F$2:F$11)</f>
        <v>11609.552238805971</v>
      </c>
      <c r="G17" s="9">
        <f t="shared" ca="1" si="7"/>
        <v>8428.8192267502618</v>
      </c>
      <c r="H17" s="9">
        <f t="shared" ca="1" si="7"/>
        <v>18956.14</v>
      </c>
      <c r="I17" s="9">
        <f t="shared" ca="1" si="7"/>
        <v>5923.3156816395312</v>
      </c>
      <c r="J17" s="9">
        <f t="shared" ca="1" si="7"/>
        <v>12537.92431836047</v>
      </c>
      <c r="K17" s="9">
        <f t="shared" ca="1" si="7"/>
        <v>16531.802617354195</v>
      </c>
      <c r="L17" s="17">
        <f t="shared" ca="1" si="5"/>
        <v>96382.26178901305</v>
      </c>
      <c r="M17" s="17"/>
      <c r="N17" s="17"/>
      <c r="O17" s="9"/>
      <c r="P17" s="14"/>
      <c r="Q17" s="11">
        <f t="shared" ca="1" si="6"/>
        <v>96382.26178901305</v>
      </c>
      <c r="R17" s="17">
        <f t="shared" ca="1" si="4"/>
        <v>96382.26178901305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0.89000000000000012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0.89904375964746641</v>
      </c>
      <c r="J18" s="38">
        <f ca="1">I18</f>
        <v>0.89904375964746641</v>
      </c>
      <c r="K18" s="39">
        <f ca="1">1-(-K13)/K17</f>
        <v>0.88954025107264167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4012.2320619905404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4012.2320619905404</v>
      </c>
      <c r="M2" s="17"/>
      <c r="N2" s="17">
        <f ca="1">Q2-(L2+O2+P2)</f>
        <v>0</v>
      </c>
      <c r="O2" s="11" cm="1">
        <f t="array" aca="1" ref="O2" ca="1">INDIRECT("'data'!$F$" &amp; $A$1)</f>
        <v>1.3</v>
      </c>
      <c r="P2" s="13">
        <f ca="1">IF(-(L2-Q2+O2)&lt;0, -(L2-Q2+O2), 0)</f>
        <v>-4013.5320619905406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3528</v>
      </c>
      <c r="G3" s="14">
        <f ca="1">Q3-O3-P3-F3</f>
        <v>760.40999999999985</v>
      </c>
      <c r="H3" s="14"/>
      <c r="I3" s="14"/>
      <c r="J3" s="14"/>
      <c r="K3" s="13"/>
      <c r="L3" s="16">
        <f t="shared" ca="1" si="0"/>
        <v>4288.41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-304.28999999999996</v>
      </c>
      <c r="Q3" s="16" cm="1">
        <f t="array" aca="1" ref="Q3" ca="1">INDIRECT("'data'!$G$" &amp; $A$1)*parameters!$B$13</f>
        <v>3986.9549999999999</v>
      </c>
      <c r="R3" s="16">
        <f t="shared" ref="R3:R10" ca="1" si="2">SUM(L3:P3)</f>
        <v>3986.9549999999999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882</v>
      </c>
      <c r="G5" s="14">
        <f ca="1">Q7/parameters!$B$7-(G3+G4)</f>
        <v>11817.792716823407</v>
      </c>
      <c r="H5" s="14"/>
      <c r="I5" s="14"/>
      <c r="J5" s="14"/>
      <c r="K5" s="13"/>
      <c r="L5" s="16">
        <f t="shared" ca="1" si="0"/>
        <v>12699.792716823407</v>
      </c>
      <c r="M5" s="16"/>
      <c r="N5" s="16"/>
      <c r="O5" s="11" cm="1">
        <f t="array" aca="1" ref="O5" ca="1">INDIRECT("'data'!$M$" &amp; $A$1)*parameters!$B$15</f>
        <v>44.1</v>
      </c>
      <c r="P5" s="13" cm="1">
        <f t="array" aca="1" ref="P5" ca="1">-INDIRECT("'data'!$N$" &amp; $A$1)*parameters!$B$15</f>
        <v>-6165.18</v>
      </c>
      <c r="Q5" s="16">
        <f ca="1">SUM(L5:P5)</f>
        <v>6578.7127168234074</v>
      </c>
      <c r="R5" s="16">
        <f t="shared" ca="1" si="2"/>
        <v>6578.7127168234074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4136.58</v>
      </c>
      <c r="I6" s="14"/>
      <c r="J6" s="14"/>
      <c r="K6" s="13"/>
      <c r="L6" s="16">
        <f t="shared" ca="1" si="0"/>
        <v>4136.58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4136.58</v>
      </c>
      <c r="R6" s="16">
        <f t="shared" ca="1" si="2"/>
        <v>4136.58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12037.34</v>
      </c>
      <c r="I7" s="14"/>
      <c r="J7" s="14"/>
      <c r="K7" s="13"/>
      <c r="L7" s="16">
        <f t="shared" ca="1" si="0"/>
        <v>12037.34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12037.34</v>
      </c>
      <c r="R7" s="16">
        <f t="shared" ca="1" si="2"/>
        <v>12037.34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11001.548743226398</v>
      </c>
      <c r="J8" s="14">
        <f ca="1">Q10/J18</f>
        <v>5752.5312567736009</v>
      </c>
      <c r="K8" s="13"/>
      <c r="L8" s="16">
        <f t="shared" ca="1" si="0"/>
        <v>16754.079999999998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258.71999999999997</v>
      </c>
      <c r="P8" s="13" cm="1">
        <f t="array" aca="1" ref="P8" ca="1">-INDIRECT("'data'!$S$" &amp; $A$1)*parameters!$B$15</f>
        <v>-838.88</v>
      </c>
      <c r="Q8" s="16">
        <f ca="1">SUM(Q6:Q7)</f>
        <v>16173.92</v>
      </c>
      <c r="R8" s="16">
        <f t="shared" ca="1" si="2"/>
        <v>16173.92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8926.82</v>
      </c>
      <c r="L9" s="16">
        <f t="shared" ca="1" si="0"/>
        <v>8926.82</v>
      </c>
      <c r="M9" s="16"/>
      <c r="N9" s="16">
        <f t="shared" ca="1" si="3"/>
        <v>0</v>
      </c>
      <c r="O9" s="11" cm="1">
        <f t="array" aca="1" ref="O9" ca="1">INDIRECT("'data'!$U$" &amp; $A$1)*parameters!$B$15</f>
        <v>2826.32</v>
      </c>
      <c r="P9" s="13" cm="1">
        <f t="array" aca="1" ref="P9" ca="1">-INDIRECT("'data'!$V$" &amp; $A$1)*parameters!$B$15</f>
        <v>-2131.5</v>
      </c>
      <c r="Q9" s="16" cm="1">
        <f t="array" aca="1" ref="Q9" ca="1">INDIRECT("'data'!$T$" &amp; $A$1)*parameters!$B$15</f>
        <v>9621.64</v>
      </c>
      <c r="R9" s="16">
        <f t="shared" ca="1" si="2"/>
        <v>9621.64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9325.3593741109526</v>
      </c>
      <c r="L10" s="16">
        <f t="shared" ca="1" si="0"/>
        <v>9325.3593741109526</v>
      </c>
      <c r="M10" s="16"/>
      <c r="N10" s="16">
        <f t="shared" ca="1" si="3"/>
        <v>0</v>
      </c>
      <c r="O10" s="11" cm="1">
        <f t="array" aca="1" ref="O10" ca="1">INDIRECT("'data'!$X$" &amp; $A$1)*parameters!$B$15</f>
        <v>2072.6999999999998</v>
      </c>
      <c r="P10" s="13" cm="1">
        <f t="array" aca="1" ref="P10" ca="1">-INDIRECT("'data'!$Y$" &amp; $A$1)*parameters!$B$15</f>
        <v>-6367.0599999999995</v>
      </c>
      <c r="Q10" s="16" cm="1">
        <f t="array" aca="1" ref="Q10" ca="1">INDIRECT("'data'!$W$" &amp; $A$1)*parameters!$B$15</f>
        <v>5030.9993741109529</v>
      </c>
      <c r="R10" s="16">
        <f t="shared" ca="1" si="2"/>
        <v>5030.999374110952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16022.939861735418</v>
      </c>
      <c r="N11" s="19"/>
      <c r="O11" s="21" cm="1">
        <f t="array" aca="1" ref="O11" ca="1">INDIRECT("'data'!$Z$" &amp; $A$1)*parameters!$B$15</f>
        <v>6240.15</v>
      </c>
      <c r="P11" s="27" cm="1">
        <f t="array" aca="1" ref="P11" ca="1">-INDIRECT("'data'!$AA$" &amp; $A$1)*parameters!$B$15</f>
        <v>-5852.07</v>
      </c>
      <c r="Q11" s="16">
        <f ca="1">K9*parameters!$B$10+K10*parameters!$B$11</f>
        <v>16411.019861735418</v>
      </c>
      <c r="R11" s="16">
        <f t="shared" ref="R11:R17" ca="1" si="4">SUM(L11:P11)</f>
        <v>16411.019861735418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-25.27706199054046</v>
      </c>
      <c r="D12" s="9">
        <f ca="1">-(D17-Q4)</f>
        <v>0</v>
      </c>
      <c r="E12" s="9">
        <f ca="1">-(E17-Q5)</f>
        <v>-813.09932455120725</v>
      </c>
      <c r="F12" s="9">
        <f ca="1">-(F17-Q6)</f>
        <v>-273.42000000000007</v>
      </c>
      <c r="G12" s="9">
        <f ca="1">-(G17-Q7)</f>
        <v>-540.86271682340703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-1652.6591033651548</v>
      </c>
      <c r="M12" s="17"/>
      <c r="N12" s="17"/>
      <c r="O12" s="10"/>
      <c r="P12" s="12"/>
      <c r="Q12" s="9">
        <f t="shared" ref="Q12:Q17" ca="1" si="6">SUM(L12:P12)</f>
        <v>-1652.6591033651548</v>
      </c>
      <c r="R12" s="17">
        <f t="shared" ca="1" si="4"/>
        <v>-1652.6591033651548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-1379.9087432263987</v>
      </c>
      <c r="J13" s="14">
        <f ca="1">-(J17-Q10)</f>
        <v>-721.53188266264806</v>
      </c>
      <c r="K13" s="13">
        <f ca="1">-(K17-Q11)</f>
        <v>-1841.1595123755324</v>
      </c>
      <c r="L13" s="14">
        <f t="shared" ca="1" si="5"/>
        <v>-3942.6001382645791</v>
      </c>
      <c r="M13" s="16">
        <f ca="1">-E15</f>
        <v>-3449.2119031100356</v>
      </c>
      <c r="N13" s="16"/>
      <c r="O13" s="11"/>
      <c r="P13" s="13"/>
      <c r="Q13" s="14">
        <f t="shared" ca="1" si="6"/>
        <v>-7391.8120413746146</v>
      </c>
      <c r="R13" s="16">
        <f t="shared" ca="1" si="4"/>
        <v>-7391.8120413746146</v>
      </c>
    </row>
    <row r="14" spans="1:20">
      <c r="A14" s="18" t="s">
        <v>78</v>
      </c>
      <c r="B14" s="11"/>
      <c r="C14" s="14"/>
      <c r="D14" s="14"/>
      <c r="E14" s="14">
        <f ca="1">-(I13+J13)-K13</f>
        <v>3942.6001382645791</v>
      </c>
      <c r="F14" s="14"/>
      <c r="G14" s="14"/>
      <c r="H14" s="14"/>
      <c r="I14" s="14"/>
      <c r="J14" s="14"/>
      <c r="K14" s="13"/>
      <c r="L14" s="14">
        <f t="shared" ca="1" si="5"/>
        <v>3942.6001382645791</v>
      </c>
      <c r="M14" s="16"/>
      <c r="N14" s="16"/>
      <c r="O14" s="11"/>
      <c r="P14" s="13"/>
      <c r="Q14" s="14">
        <f t="shared" ca="1" si="6"/>
        <v>3942.6001382645791</v>
      </c>
      <c r="R14" s="16">
        <f t="shared" ca="1" si="4"/>
        <v>3942.6001382645791</v>
      </c>
    </row>
    <row r="15" spans="1:20">
      <c r="A15" s="18" t="s">
        <v>79</v>
      </c>
      <c r="B15" s="11"/>
      <c r="C15" s="14"/>
      <c r="D15" s="14"/>
      <c r="E15" s="14">
        <f ca="1">E17-E14</f>
        <v>3449.2119031100356</v>
      </c>
      <c r="F15" s="14"/>
      <c r="G15" s="14"/>
      <c r="H15" s="14"/>
      <c r="I15" s="14"/>
      <c r="J15" s="14"/>
      <c r="K15" s="13"/>
      <c r="L15" s="14">
        <f t="shared" ca="1" si="5"/>
        <v>3449.2119031100356</v>
      </c>
      <c r="M15" s="16"/>
      <c r="N15" s="16"/>
      <c r="O15" s="11"/>
      <c r="P15" s="13"/>
      <c r="Q15" s="14">
        <f t="shared" ca="1" si="6"/>
        <v>3449.2119031100356</v>
      </c>
      <c r="R15" s="16">
        <f t="shared" ca="1" si="4"/>
        <v>3449.2119031100356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4012.2320619905404</v>
      </c>
      <c r="D17" s="9">
        <f ca="1">SUM(D$2:D$11)</f>
        <v>0</v>
      </c>
      <c r="E17" s="9">
        <f ca="1">$Q$5/parameters!$B$4</f>
        <v>7391.8120413746146</v>
      </c>
      <c r="F17" s="9">
        <f t="shared" ref="F17:K17" ca="1" si="7">SUM(F$2:F$11)</f>
        <v>4410</v>
      </c>
      <c r="G17" s="9">
        <f t="shared" ca="1" si="7"/>
        <v>12578.202716823407</v>
      </c>
      <c r="H17" s="9">
        <f t="shared" ca="1" si="7"/>
        <v>16173.92</v>
      </c>
      <c r="I17" s="9">
        <f t="shared" ca="1" si="7"/>
        <v>11001.548743226398</v>
      </c>
      <c r="J17" s="9">
        <f t="shared" ca="1" si="7"/>
        <v>5752.5312567736009</v>
      </c>
      <c r="K17" s="9">
        <f t="shared" ca="1" si="7"/>
        <v>18252.17937411095</v>
      </c>
      <c r="L17" s="17">
        <f t="shared" ca="1" si="5"/>
        <v>79572.426194299507</v>
      </c>
      <c r="M17" s="17"/>
      <c r="N17" s="17"/>
      <c r="O17" s="9"/>
      <c r="P17" s="14"/>
      <c r="Q17" s="11">
        <f t="shared" ca="1" si="6"/>
        <v>79572.426194299507</v>
      </c>
      <c r="R17" s="17">
        <f t="shared" ca="1" si="4"/>
        <v>79572.426194299507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0.87457141031384311</v>
      </c>
      <c r="J18" s="38">
        <f ca="1">I18</f>
        <v>0.87457141031384311</v>
      </c>
      <c r="K18" s="39">
        <f ca="1">1-(-K13)/K17</f>
        <v>0.89912659334331058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7895.1293146824992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7895.1293146824992</v>
      </c>
      <c r="M2" s="17"/>
      <c r="N2" s="17">
        <f ca="1">Q2-(L2+O2+P2)</f>
        <v>0</v>
      </c>
      <c r="O2" s="11" cm="1">
        <f t="array" aca="1" ref="O2" ca="1">INDIRECT("'data'!$F$" &amp; $A$1)</f>
        <v>14287.65</v>
      </c>
      <c r="P2" s="13">
        <f ca="1">IF(-(L2-Q2+O2)&lt;0, -(L2-Q2+O2), 0)</f>
        <v>-4908.7793146824988</v>
      </c>
      <c r="Q2" s="17" cm="1">
        <f t="array" aca="1" ref="Q2" ca="1">INDIRECT("'data'!$D$" &amp; $A$1)</f>
        <v>17274</v>
      </c>
      <c r="R2" s="17">
        <f ca="1">SUM(L2:P2)</f>
        <v>17274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7385.3134328358228</v>
      </c>
      <c r="G3" s="14">
        <f ca="1">Q3-O3-P3-F3</f>
        <v>434.56156716417627</v>
      </c>
      <c r="H3" s="14"/>
      <c r="I3" s="14"/>
      <c r="J3" s="14"/>
      <c r="K3" s="13"/>
      <c r="L3" s="16">
        <f t="shared" ca="1" si="0"/>
        <v>7819.8749999999991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118.125</v>
      </c>
      <c r="P3" s="13" cm="1">
        <f t="array" aca="1" ref="P3" ca="1">-INDIRECT("'data'!$I$" &amp; $A$1)*parameters!$B$13</f>
        <v>-92.61</v>
      </c>
      <c r="Q3" s="16" cm="1">
        <f t="array" aca="1" ref="Q3" ca="1">INDIRECT("'data'!$G$" &amp; $A$1)*parameters!$B$13</f>
        <v>7845.3899999999994</v>
      </c>
      <c r="R3" s="16">
        <f t="shared" ref="R3:R10" ca="1" si="2">SUM(L3:P3)</f>
        <v>7845.3899999999994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1846.3283582089557</v>
      </c>
      <c r="G5" s="14">
        <f ca="1">Q7/parameters!$B$7-(G3+G4)</f>
        <v>6160.2137724387494</v>
      </c>
      <c r="H5" s="14"/>
      <c r="I5" s="14"/>
      <c r="J5" s="14"/>
      <c r="K5" s="13"/>
      <c r="L5" s="16">
        <f t="shared" ca="1" si="0"/>
        <v>8006.5421306477056</v>
      </c>
      <c r="M5" s="16"/>
      <c r="N5" s="16"/>
      <c r="O5" s="11" cm="1">
        <f t="array" aca="1" ref="O5" ca="1">INDIRECT("'data'!$M$" &amp; $A$1)*parameters!$B$15</f>
        <v>1894.34</v>
      </c>
      <c r="P5" s="13" cm="1">
        <f t="array" aca="1" ref="P5" ca="1">-INDIRECT("'data'!$N$" &amp; $A$1)*parameters!$B$15</f>
        <v>-1075.06</v>
      </c>
      <c r="Q5" s="16">
        <f ca="1">SUM(L5:P5)</f>
        <v>8825.8221306477062</v>
      </c>
      <c r="R5" s="16">
        <f t="shared" ca="1" si="2"/>
        <v>8825.8221306477062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8659.2800000000007</v>
      </c>
      <c r="I6" s="14"/>
      <c r="J6" s="14"/>
      <c r="K6" s="13"/>
      <c r="L6" s="16">
        <f t="shared" ca="1" si="0"/>
        <v>8659.2800000000007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8659.2800000000007</v>
      </c>
      <c r="R6" s="16">
        <f t="shared" ca="1" si="2"/>
        <v>8659.2800000000007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6311.2</v>
      </c>
      <c r="I7" s="14"/>
      <c r="J7" s="14"/>
      <c r="K7" s="13"/>
      <c r="L7" s="16">
        <f t="shared" ca="1" si="0"/>
        <v>6311.2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6311.2</v>
      </c>
      <c r="R7" s="16">
        <f t="shared" ca="1" si="2"/>
        <v>6311.2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4219.5201848653178</v>
      </c>
      <c r="J8" s="14">
        <f ca="1">Q10/J18</f>
        <v>10935.199815134682</v>
      </c>
      <c r="K8" s="13"/>
      <c r="L8" s="16">
        <f t="shared" ca="1" si="0"/>
        <v>15154.72</v>
      </c>
      <c r="M8" s="16"/>
      <c r="N8" s="16">
        <f t="shared" ca="1" si="3"/>
        <v>0</v>
      </c>
      <c r="O8" s="11" cm="1">
        <f t="array" aca="1" ref="O8" ca="1">INDIRECT("'data'!$R$" &amp; $A$1)*parameters!$B$15</f>
        <v>228.34</v>
      </c>
      <c r="P8" s="13" cm="1">
        <f t="array" aca="1" ref="P8" ca="1">-INDIRECT("'data'!$S$" &amp; $A$1)*parameters!$B$15</f>
        <v>-412.58</v>
      </c>
      <c r="Q8" s="16">
        <f ca="1">SUM(Q6:Q7)</f>
        <v>14970.48</v>
      </c>
      <c r="R8" s="16">
        <f t="shared" ca="1" si="2"/>
        <v>14970.48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3968.0200000000004</v>
      </c>
      <c r="L9" s="16">
        <f t="shared" ca="1" si="0"/>
        <v>3968.0200000000004</v>
      </c>
      <c r="M9" s="16"/>
      <c r="N9" s="16">
        <f t="shared" ca="1" si="3"/>
        <v>0</v>
      </c>
      <c r="O9" s="11" cm="1">
        <f t="array" aca="1" ref="O9" ca="1">INDIRECT("'data'!$U$" &amp; $A$1)*parameters!$B$15</f>
        <v>1868.86</v>
      </c>
      <c r="P9" s="13" cm="1">
        <f t="array" aca="1" ref="P9" ca="1">-INDIRECT("'data'!$V$" &amp; $A$1)*parameters!$B$15</f>
        <v>-2141.3000000000002</v>
      </c>
      <c r="Q9" s="16" cm="1">
        <f t="array" aca="1" ref="Q9" ca="1">INDIRECT("'data'!$T$" &amp; $A$1)*parameters!$B$15</f>
        <v>3695.58</v>
      </c>
      <c r="R9" s="16">
        <f t="shared" ca="1" si="2"/>
        <v>3695.58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10741.609928876245</v>
      </c>
      <c r="L10" s="16">
        <f t="shared" ca="1" si="0"/>
        <v>10741.609928876245</v>
      </c>
      <c r="M10" s="16"/>
      <c r="N10" s="16">
        <f t="shared" ca="1" si="3"/>
        <v>0</v>
      </c>
      <c r="O10" s="11" cm="1">
        <f t="array" aca="1" ref="O10" ca="1">INDIRECT("'data'!$X$" &amp; $A$1)*parameters!$B$15</f>
        <v>1511.16</v>
      </c>
      <c r="P10" s="13" cm="1">
        <f t="array" aca="1" ref="P10" ca="1">-INDIRECT("'data'!$Y$" &amp; $A$1)*parameters!$B$15</f>
        <v>-2675.4</v>
      </c>
      <c r="Q10" s="16" cm="1">
        <f t="array" aca="1" ref="Q10" ca="1">INDIRECT("'data'!$W$" &amp; $A$1)*parameters!$B$15</f>
        <v>9577.3699288762455</v>
      </c>
      <c r="R10" s="16">
        <f t="shared" ca="1" si="2"/>
        <v>9577.3699288762455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13705.173338833571</v>
      </c>
      <c r="N11" s="19"/>
      <c r="O11" s="21" cm="1">
        <f t="array" aca="1" ref="O11" ca="1">INDIRECT("'data'!$Z$" &amp; $A$1)*parameters!$B$15</f>
        <v>7600.88</v>
      </c>
      <c r="P11" s="27" cm="1">
        <f t="array" aca="1" ref="P11" ca="1">-INDIRECT("'data'!$AA$" &amp; $A$1)*parameters!$B$15</f>
        <v>-8338.33</v>
      </c>
      <c r="Q11" s="16">
        <f ca="1">K9*parameters!$B$10+K10*parameters!$B$11</f>
        <v>12967.72333883357</v>
      </c>
      <c r="R11" s="16">
        <f t="shared" ref="R11:R17" ca="1" si="4">SUM(L11:P11)</f>
        <v>12967.723338833572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-49.739314682499753</v>
      </c>
      <c r="D12" s="9">
        <f ca="1">-(D17-Q4)</f>
        <v>0</v>
      </c>
      <c r="E12" s="9">
        <f ca="1">-(E17-Q5)</f>
        <v>-1090.8319487317385</v>
      </c>
      <c r="F12" s="9">
        <f ca="1">-(F17-Q6)</f>
        <v>-572.36179104477742</v>
      </c>
      <c r="G12" s="9">
        <f ca="1">-(G17-Q7)</f>
        <v>-283.57533960292585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-1996.5083940619415</v>
      </c>
      <c r="M12" s="17"/>
      <c r="N12" s="17"/>
      <c r="O12" s="10"/>
      <c r="P12" s="12"/>
      <c r="Q12" s="9">
        <f t="shared" ref="Q12:Q17" ca="1" si="6">SUM(L12:P12)</f>
        <v>-1996.5083940619415</v>
      </c>
      <c r="R12" s="17">
        <f t="shared" ca="1" si="4"/>
        <v>-1996.5083940619415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-523.94018486531786</v>
      </c>
      <c r="J13" s="14">
        <f ca="1">-(J17-Q10)</f>
        <v>-1357.8298862584361</v>
      </c>
      <c r="K13" s="13">
        <f ca="1">-(K17-Q11)</f>
        <v>-1741.9065900426758</v>
      </c>
      <c r="L13" s="14">
        <f t="shared" ca="1" si="5"/>
        <v>-3623.6766611664298</v>
      </c>
      <c r="M13" s="16">
        <f ca="1">-E15</f>
        <v>-6292.977418213015</v>
      </c>
      <c r="N13" s="16"/>
      <c r="O13" s="11"/>
      <c r="P13" s="13"/>
      <c r="Q13" s="14">
        <f t="shared" ca="1" si="6"/>
        <v>-9916.6540793794447</v>
      </c>
      <c r="R13" s="16">
        <f t="shared" ca="1" si="4"/>
        <v>-9916.6540793794447</v>
      </c>
    </row>
    <row r="14" spans="1:20">
      <c r="A14" s="18" t="s">
        <v>78</v>
      </c>
      <c r="B14" s="11"/>
      <c r="C14" s="14"/>
      <c r="D14" s="14"/>
      <c r="E14" s="14">
        <f ca="1">-(I13+J13)-K13</f>
        <v>3623.6766611664298</v>
      </c>
      <c r="F14" s="14"/>
      <c r="G14" s="14"/>
      <c r="H14" s="14"/>
      <c r="I14" s="14"/>
      <c r="J14" s="14"/>
      <c r="K14" s="13"/>
      <c r="L14" s="14">
        <f t="shared" ca="1" si="5"/>
        <v>3623.6766611664298</v>
      </c>
      <c r="M14" s="16"/>
      <c r="N14" s="16"/>
      <c r="O14" s="11"/>
      <c r="P14" s="13"/>
      <c r="Q14" s="14">
        <f t="shared" ca="1" si="6"/>
        <v>3623.6766611664298</v>
      </c>
      <c r="R14" s="16">
        <f t="shared" ca="1" si="4"/>
        <v>3623.6766611664298</v>
      </c>
    </row>
    <row r="15" spans="1:20">
      <c r="A15" s="18" t="s">
        <v>79</v>
      </c>
      <c r="B15" s="11"/>
      <c r="C15" s="14"/>
      <c r="D15" s="14"/>
      <c r="E15" s="14">
        <f ca="1">E17-E14</f>
        <v>6292.977418213015</v>
      </c>
      <c r="F15" s="14"/>
      <c r="G15" s="14"/>
      <c r="H15" s="14"/>
      <c r="I15" s="14"/>
      <c r="J15" s="14"/>
      <c r="K15" s="13"/>
      <c r="L15" s="14">
        <f t="shared" ca="1" si="5"/>
        <v>6292.977418213015</v>
      </c>
      <c r="M15" s="16"/>
      <c r="N15" s="16"/>
      <c r="O15" s="11"/>
      <c r="P15" s="13"/>
      <c r="Q15" s="14">
        <f t="shared" ca="1" si="6"/>
        <v>6292.977418213015</v>
      </c>
      <c r="R15" s="16">
        <f t="shared" ca="1" si="4"/>
        <v>6292.977418213015</v>
      </c>
    </row>
    <row r="16" spans="1:20">
      <c r="A16" s="30" t="s">
        <v>89</v>
      </c>
      <c r="B16" s="21">
        <f ca="1">Q2</f>
        <v>17274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17274</v>
      </c>
      <c r="M16" s="19"/>
      <c r="N16" s="19"/>
      <c r="O16" s="21"/>
      <c r="P16" s="27"/>
      <c r="Q16" s="22">
        <f t="shared" ca="1" si="6"/>
        <v>17274</v>
      </c>
      <c r="R16" s="19">
        <f t="shared" ca="1" si="4"/>
        <v>17274</v>
      </c>
    </row>
    <row r="17" spans="1:18">
      <c r="A17" s="29" t="s">
        <v>88</v>
      </c>
      <c r="B17" s="9">
        <f ca="1">B16</f>
        <v>17274</v>
      </c>
      <c r="C17" s="9">
        <f ca="1">SUM(C$2:C$11)</f>
        <v>7895.1293146824992</v>
      </c>
      <c r="D17" s="9">
        <f ca="1">SUM(D$2:D$11)</f>
        <v>0</v>
      </c>
      <c r="E17" s="9">
        <f ca="1">$Q$5/parameters!$B$4</f>
        <v>9916.6540793794447</v>
      </c>
      <c r="F17" s="9">
        <f t="shared" ref="F17:K17" ca="1" si="7">SUM(F$2:F$11)</f>
        <v>9231.6417910447781</v>
      </c>
      <c r="G17" s="9">
        <f t="shared" ca="1" si="7"/>
        <v>6594.7753396029257</v>
      </c>
      <c r="H17" s="9">
        <f t="shared" ca="1" si="7"/>
        <v>14970.48</v>
      </c>
      <c r="I17" s="9">
        <f t="shared" ca="1" si="7"/>
        <v>4219.5201848653178</v>
      </c>
      <c r="J17" s="9">
        <f t="shared" ca="1" si="7"/>
        <v>10935.199815134682</v>
      </c>
      <c r="K17" s="9">
        <f t="shared" ca="1" si="7"/>
        <v>14709.629928876246</v>
      </c>
      <c r="L17" s="17">
        <f t="shared" ca="1" si="5"/>
        <v>95747.030453585903</v>
      </c>
      <c r="M17" s="17"/>
      <c r="N17" s="17"/>
      <c r="O17" s="9"/>
      <c r="P17" s="14"/>
      <c r="Q17" s="11">
        <f t="shared" ca="1" si="6"/>
        <v>95747.030453585903</v>
      </c>
      <c r="R17" s="17">
        <f t="shared" ca="1" si="4"/>
        <v>95747.030453585903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0.93799999999999983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0.87582943986271244</v>
      </c>
      <c r="J18" s="38">
        <f ca="1">I18</f>
        <v>0.87582943986271244</v>
      </c>
      <c r="K18" s="39">
        <f ca="1">1-(-K13)/K17</f>
        <v>0.88158052932227982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tabSelected="1"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1036.6928683421957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1036.6928683421957</v>
      </c>
      <c r="M2" s="17"/>
      <c r="N2" s="17">
        <f ca="1">Q2-(L2+O2+P2)</f>
        <v>0</v>
      </c>
      <c r="O2" s="11" cm="1">
        <f t="array" aca="1" ref="O2" ca="1">INDIRECT("'data'!$F$" &amp; $A$1)</f>
        <v>91</v>
      </c>
      <c r="P2" s="13">
        <f ca="1">IF(-(L2-Q2+O2)&lt;0, -(L2-Q2+O2), 0)</f>
        <v>-933.41366638605177</v>
      </c>
      <c r="Q2" s="17" cm="1">
        <f t="array" aca="1" ref="Q2" ca="1">INDIRECT("'data'!$D$" &amp; $A$1)</f>
        <v>194.27920195614391</v>
      </c>
      <c r="R2" s="17">
        <f ca="1">SUM(L2:P2)</f>
        <v>194.27920195614388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59.534999999999997</v>
      </c>
      <c r="H3" s="14"/>
      <c r="I3" s="14"/>
      <c r="J3" s="14"/>
      <c r="K3" s="13"/>
      <c r="L3" s="16">
        <f t="shared" ca="1" si="0"/>
        <v>59.534999999999997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-59.534999999999997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1030.1617032716399</v>
      </c>
      <c r="H4" s="14"/>
      <c r="I4" s="14"/>
      <c r="J4" s="14"/>
      <c r="K4" s="13"/>
      <c r="L4" s="16">
        <f t="shared" ca="1" si="0"/>
        <v>1030.1617032716399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1030.1617032716399</v>
      </c>
      <c r="R4" s="16">
        <f t="shared" ca="1" si="2"/>
        <v>1030.1617032716399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1758.1402873239715</v>
      </c>
      <c r="H5" s="14"/>
      <c r="I5" s="14"/>
      <c r="J5" s="14"/>
      <c r="K5" s="13"/>
      <c r="L5" s="16">
        <f t="shared" ca="1" si="0"/>
        <v>1758.1402873239715</v>
      </c>
      <c r="M5" s="16"/>
      <c r="N5" s="47">
        <f ca="1">$E$14*parameters!$B$4-$P$5-$L$5-$O$5</f>
        <v>175.76381726208842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-1409.24</v>
      </c>
      <c r="Q5" s="16">
        <f ca="1">SUM(L5:P5)</f>
        <v>524.66410458605992</v>
      </c>
      <c r="R5" s="16">
        <f t="shared" ca="1" si="2"/>
        <v>524.66410458605992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2725.38</v>
      </c>
      <c r="I7" s="14"/>
      <c r="J7" s="14"/>
      <c r="K7" s="13"/>
      <c r="L7" s="16">
        <f t="shared" ca="1" si="0"/>
        <v>2725.38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2725.38</v>
      </c>
      <c r="R7" s="16">
        <f t="shared" ca="1" si="2"/>
        <v>2725.38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2020</v>
      </c>
      <c r="J8" s="14">
        <f ca="1">Q10/J18</f>
        <v>1997.5078236130867</v>
      </c>
      <c r="K8" s="13"/>
      <c r="L8" s="16">
        <f t="shared" ca="1" si="0"/>
        <v>4017.5078236130867</v>
      </c>
      <c r="M8" s="16"/>
      <c r="N8" s="16">
        <f t="shared" ca="1" si="3"/>
        <v>-228.82782361308637</v>
      </c>
      <c r="O8" s="11" cm="1">
        <f t="array" aca="1" ref="O8" ca="1">INDIRECT("'data'!$R$" &amp; $A$1)*parameters!$B$15</f>
        <v>3.92</v>
      </c>
      <c r="P8" s="13" cm="1">
        <f t="array" aca="1" ref="P8" ca="1">-INDIRECT("'data'!$S$" &amp; $A$1)*parameters!$B$15</f>
        <v>-1067.22</v>
      </c>
      <c r="Q8" s="16">
        <f ca="1">SUM(Q6:Q7)</f>
        <v>2725.38</v>
      </c>
      <c r="R8" s="16">
        <f t="shared" ca="1" si="2"/>
        <v>2725.38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1954.12</v>
      </c>
      <c r="L9" s="16">
        <f t="shared" ca="1" si="0"/>
        <v>1954.12</v>
      </c>
      <c r="M9" s="16"/>
      <c r="N9" s="16">
        <f t="shared" ca="1" si="3"/>
        <v>0</v>
      </c>
      <c r="O9" s="11" cm="1">
        <f t="array" aca="1" ref="O9" ca="1">INDIRECT("'data'!$U$" &amp; $A$1)*parameters!$B$15</f>
        <v>343.98</v>
      </c>
      <c r="P9" s="13" cm="1">
        <f t="array" aca="1" ref="P9" ca="1">-INDIRECT("'data'!$V$" &amp; $A$1)*parameters!$B$15</f>
        <v>-318.5</v>
      </c>
      <c r="Q9" s="16" cm="1">
        <f t="array" aca="1" ref="Q9" ca="1">INDIRECT("'data'!$T$" &amp; $A$1)*parameters!$B$15</f>
        <v>1979.6</v>
      </c>
      <c r="R9" s="16">
        <f t="shared" ca="1" si="2"/>
        <v>1979.6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2799.377667140825</v>
      </c>
      <c r="L10" s="16">
        <f t="shared" ca="1" si="0"/>
        <v>2799.377667140825</v>
      </c>
      <c r="M10" s="16"/>
      <c r="N10" s="16">
        <f t="shared" ca="1" si="3"/>
        <v>0</v>
      </c>
      <c r="O10" s="11" cm="1">
        <f t="array" aca="1" ref="O10" ca="1">INDIRECT("'data'!$X$" &amp; $A$1)*parameters!$B$15</f>
        <v>397.88</v>
      </c>
      <c r="P10" s="13" cm="1">
        <f t="array" aca="1" ref="P10" ca="1">-INDIRECT("'data'!$Y$" &amp; $A$1)*parameters!$B$15</f>
        <v>-1239.7</v>
      </c>
      <c r="Q10" s="16" cm="1">
        <f t="array" aca="1" ref="Q10" ca="1">INDIRECT("'data'!$W$" &amp; $A$1)*parameters!$B$15</f>
        <v>1957.5576671408248</v>
      </c>
      <c r="R10" s="16">
        <f t="shared" ca="1" si="2"/>
        <v>1957.5576671408251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5097.9175937411092</v>
      </c>
      <c r="N11" s="19"/>
      <c r="O11" s="21" cm="1">
        <f t="array" aca="1" ref="O11" ca="1">INDIRECT("'data'!$Z$" &amp; $A$1)*parameters!$B$15</f>
        <v>625.73</v>
      </c>
      <c r="P11" s="27" cm="1">
        <f t="array" aca="1" ref="P11" ca="1">-INDIRECT("'data'!$AA$" &amp; $A$1)*parameters!$B$15</f>
        <v>-1479.31</v>
      </c>
      <c r="Q11" s="16">
        <f ca="1">K9*parameters!$B$10+K10*parameters!$B$11</f>
        <v>4244.3375937411092</v>
      </c>
      <c r="R11" s="16">
        <f t="shared" ref="R11:R17" ca="1" si="4">SUM(L11:P11)</f>
        <v>4244.3375937411092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-6.531165070555744</v>
      </c>
      <c r="E12" s="9">
        <f ca="1">-(E17-Q5)</f>
        <v>-64.846125285917537</v>
      </c>
      <c r="F12" s="9">
        <f ca="1">-(F17-Q6)</f>
        <v>0</v>
      </c>
      <c r="G12" s="9">
        <f ca="1">-(G17-Q7)</f>
        <v>-122.45699059561139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-193.83428095208467</v>
      </c>
      <c r="M12" s="17"/>
      <c r="N12" s="17"/>
      <c r="O12" s="10"/>
      <c r="P12" s="12"/>
      <c r="Q12" s="9">
        <f t="shared" ref="Q12:Q17" ca="1" si="6">SUM(L12:P12)</f>
        <v>-193.83428095208467</v>
      </c>
      <c r="R12" s="17">
        <f t="shared" ca="1" si="4"/>
        <v>-193.83428095208467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-40.400000000000091</v>
      </c>
      <c r="J13" s="14">
        <f ca="1">-(J17-Q10)</f>
        <v>-39.950156472261824</v>
      </c>
      <c r="K13" s="13">
        <f ca="1">-(K17-Q11)</f>
        <v>-509.16007339971566</v>
      </c>
      <c r="L13" s="14">
        <f t="shared" ca="1" si="5"/>
        <v>-589.51022987197757</v>
      </c>
      <c r="M13" s="16">
        <f ca="1">-E15</f>
        <v>0</v>
      </c>
      <c r="N13" s="16"/>
      <c r="O13" s="11"/>
      <c r="P13" s="13"/>
      <c r="Q13" s="14">
        <f t="shared" ca="1" si="6"/>
        <v>-589.51022987197757</v>
      </c>
      <c r="R13" s="16">
        <f t="shared" ca="1" si="4"/>
        <v>-589.51022987197757</v>
      </c>
    </row>
    <row r="14" spans="1:19">
      <c r="A14" s="18" t="s">
        <v>78</v>
      </c>
      <c r="B14" s="11"/>
      <c r="C14" s="14"/>
      <c r="D14" s="14"/>
      <c r="E14" s="14">
        <f ca="1">-(I13+J13)-K13</f>
        <v>589.51022987197757</v>
      </c>
      <c r="F14" s="14"/>
      <c r="G14" s="14"/>
      <c r="H14" s="14"/>
      <c r="I14" s="14"/>
      <c r="J14" s="14"/>
      <c r="K14" s="13"/>
      <c r="L14" s="14">
        <f t="shared" ca="1" si="5"/>
        <v>589.51022987197757</v>
      </c>
      <c r="M14" s="16"/>
      <c r="N14" s="16"/>
      <c r="O14" s="11"/>
      <c r="P14" s="13"/>
      <c r="Q14" s="14">
        <f t="shared" ca="1" si="6"/>
        <v>589.51022987197757</v>
      </c>
      <c r="R14" s="16">
        <f t="shared" ca="1" si="4"/>
        <v>589.51022987197757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194.27920195614391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194.27920195614391</v>
      </c>
      <c r="M16" s="19"/>
      <c r="N16" s="19"/>
      <c r="O16" s="21"/>
      <c r="P16" s="27"/>
      <c r="Q16" s="22">
        <f t="shared" ca="1" si="6"/>
        <v>194.27920195614391</v>
      </c>
      <c r="R16" s="19">
        <f t="shared" ca="1" si="4"/>
        <v>194.27920195614391</v>
      </c>
    </row>
    <row r="17" spans="1:18">
      <c r="A17" s="29" t="s">
        <v>88</v>
      </c>
      <c r="B17" s="9">
        <f ca="1">B16</f>
        <v>194.27920195614391</v>
      </c>
      <c r="C17" s="9">
        <f ca="1">SUM(C$2:C$11)</f>
        <v>0</v>
      </c>
      <c r="D17" s="9">
        <f ca="1">SUM(D$2:D$11)</f>
        <v>1036.6928683421957</v>
      </c>
      <c r="E17" s="9">
        <f ca="1">$Q$5/parameters!$B$4</f>
        <v>589.51022987197746</v>
      </c>
      <c r="F17" s="9">
        <f t="shared" ref="F17:K17" ca="1" si="7">SUM(F$2:F$11)</f>
        <v>0</v>
      </c>
      <c r="G17" s="9">
        <f t="shared" ca="1" si="7"/>
        <v>2847.8369905956115</v>
      </c>
      <c r="H17" s="9">
        <f t="shared" ca="1" si="7"/>
        <v>2725.38</v>
      </c>
      <c r="I17" s="9">
        <f t="shared" ca="1" si="7"/>
        <v>2020</v>
      </c>
      <c r="J17" s="9">
        <f t="shared" ca="1" si="7"/>
        <v>1997.5078236130867</v>
      </c>
      <c r="K17" s="9">
        <f t="shared" ca="1" si="7"/>
        <v>4753.4976671408249</v>
      </c>
      <c r="L17" s="17">
        <f t="shared" ca="1" si="5"/>
        <v>16164.704781519842</v>
      </c>
      <c r="M17" s="17"/>
      <c r="N17" s="17"/>
      <c r="O17" s="9"/>
      <c r="P17" s="14"/>
      <c r="Q17" s="11">
        <f t="shared" ca="1" si="6"/>
        <v>16164.704781519842</v>
      </c>
      <c r="R17" s="17">
        <f t="shared" ca="1" si="4"/>
        <v>16164.704781519842</v>
      </c>
    </row>
    <row r="18" spans="1:18">
      <c r="A18" s="30" t="s">
        <v>75</v>
      </c>
      <c r="B18" s="38">
        <f ca="1">IFERROR(1-(-B12)/B17, "")</f>
        <v>1</v>
      </c>
      <c r="C18" s="38" t="str">
        <f ca="1">IFERROR(1-(-C12)/C17, "")</f>
        <v/>
      </c>
      <c r="D18" s="38">
        <f ca="1">IFERROR(1-(-D12)/D17, "")</f>
        <v>0.99370000000000014</v>
      </c>
      <c r="E18" s="38">
        <f t="shared" ref="E18:G18" ca="1" si="8">IFERROR(1-(-E12)/E17, "")</f>
        <v>0.89</v>
      </c>
      <c r="F18" s="38" t="str">
        <f t="shared" ca="1" si="8"/>
        <v/>
      </c>
      <c r="G18" s="38">
        <f t="shared" ca="1" si="8"/>
        <v>0.95699999999999996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0.8928872781574394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5173.3923719432423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5173.3923719432423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-5173.3923719432423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4866.9850746268658</v>
      </c>
      <c r="G3" s="14">
        <f ca="1">Q3-O3-P3-F3</f>
        <v>231.28992537313479</v>
      </c>
      <c r="H3" s="14"/>
      <c r="I3" s="14"/>
      <c r="J3" s="14"/>
      <c r="K3" s="13"/>
      <c r="L3" s="16">
        <f t="shared" ca="1" si="0"/>
        <v>5098.2750000000005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42.524999999999999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5140.8</v>
      </c>
      <c r="R3" s="16">
        <f t="shared" ref="R3:R10" ca="1" si="2">SUM(L3:P3)</f>
        <v>5140.8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1216.7462686567167</v>
      </c>
      <c r="G5" s="14">
        <f ca="1">Q7/parameters!$B$7-(G3+G4)</f>
        <v>2650.3401686707521</v>
      </c>
      <c r="H5" s="14"/>
      <c r="I5" s="14"/>
      <c r="J5" s="14"/>
      <c r="K5" s="13"/>
      <c r="L5" s="16">
        <f t="shared" ca="1" si="0"/>
        <v>3867.086437327469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-111.72</v>
      </c>
      <c r="Q5" s="16">
        <f ca="1">SUM(L5:P5)</f>
        <v>3755.3664373274692</v>
      </c>
      <c r="R5" s="16">
        <f t="shared" ca="1" si="2"/>
        <v>3755.3664373274692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5706.54</v>
      </c>
      <c r="I6" s="14"/>
      <c r="J6" s="14"/>
      <c r="K6" s="13"/>
      <c r="L6" s="16">
        <f t="shared" ca="1" si="0"/>
        <v>5706.54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5706.54</v>
      </c>
      <c r="R6" s="16">
        <f t="shared" ca="1" si="2"/>
        <v>5706.54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2757.72</v>
      </c>
      <c r="I7" s="14"/>
      <c r="J7" s="14"/>
      <c r="K7" s="13"/>
      <c r="L7" s="16">
        <f t="shared" ca="1" si="0"/>
        <v>2757.72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2757.72</v>
      </c>
      <c r="R7" s="16">
        <f t="shared" ca="1" si="2"/>
        <v>2757.72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4196.351417218104</v>
      </c>
      <c r="J8" s="14">
        <f ca="1">Q10/J18</f>
        <v>3379.0485827818957</v>
      </c>
      <c r="K8" s="13"/>
      <c r="L8" s="16">
        <f t="shared" ca="1" si="0"/>
        <v>7575.4</v>
      </c>
      <c r="M8" s="16"/>
      <c r="N8" s="16">
        <f t="shared" ca="1" si="3"/>
        <v>0</v>
      </c>
      <c r="O8" s="11" cm="1">
        <f t="array" aca="1" ref="O8" ca="1">INDIRECT("'data'!$R$" &amp; $A$1)*parameters!$B$15</f>
        <v>930.02</v>
      </c>
      <c r="P8" s="13" cm="1">
        <f t="array" aca="1" ref="P8" ca="1">-INDIRECT("'data'!$S$" &amp; $A$1)*parameters!$B$15</f>
        <v>-41.16</v>
      </c>
      <c r="Q8" s="16">
        <f ca="1">SUM(Q6:Q7)</f>
        <v>8464.26</v>
      </c>
      <c r="R8" s="16">
        <f t="shared" ca="1" si="2"/>
        <v>8464.26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2728.6466666666674</v>
      </c>
      <c r="L9" s="16">
        <f t="shared" ca="1" si="0"/>
        <v>2728.6466666666674</v>
      </c>
      <c r="M9" s="16"/>
      <c r="N9" s="16">
        <f t="shared" ca="1" si="3"/>
        <v>0</v>
      </c>
      <c r="O9" s="11" cm="1">
        <f t="array" aca="1" ref="O9" ca="1">INDIRECT("'data'!$U$" &amp; $A$1)*parameters!$B$15</f>
        <v>1958.04</v>
      </c>
      <c r="P9" s="13" cm="1">
        <f t="array" aca="1" ref="P9" ca="1">-INDIRECT("'data'!$V$" &amp; $A$1)*parameters!$B$15</f>
        <v>-650.72</v>
      </c>
      <c r="Q9" s="16" cm="1">
        <f t="array" aca="1" ref="Q9" ca="1">INDIRECT("'data'!$T$" &amp; $A$1)*parameters!$B$15</f>
        <v>4035.9666666666672</v>
      </c>
      <c r="R9" s="16">
        <f t="shared" ca="1" si="2"/>
        <v>4035.9666666666672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4215.201185395922</v>
      </c>
      <c r="L10" s="16">
        <f t="shared" ca="1" si="0"/>
        <v>4215.201185395922</v>
      </c>
      <c r="M10" s="16"/>
      <c r="N10" s="16">
        <f t="shared" ca="1" si="3"/>
        <v>0</v>
      </c>
      <c r="O10" s="11" cm="1">
        <f t="array" aca="1" ref="O10" ca="1">INDIRECT("'data'!$X$" &amp; $A$1)*parameters!$B$15</f>
        <v>560.55999999999995</v>
      </c>
      <c r="P10" s="13" cm="1">
        <f t="array" aca="1" ref="P10" ca="1">-INDIRECT("'data'!$Y$" &amp; $A$1)*parameters!$B$15</f>
        <v>-1525.86</v>
      </c>
      <c r="Q10" s="16" cm="1">
        <f t="array" aca="1" ref="Q10" ca="1">INDIRECT("'data'!$W$" &amp; $A$1)*parameters!$B$15</f>
        <v>3249.9011853959219</v>
      </c>
      <c r="R10" s="16">
        <f t="shared" ca="1" si="2"/>
        <v>3249.9011853959228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5827.8908861071595</v>
      </c>
      <c r="N11" s="19"/>
      <c r="O11" s="21" cm="1">
        <f t="array" aca="1" ref="O11" ca="1">INDIRECT("'data'!$Z$" &amp; $A$1)*parameters!$B$15</f>
        <v>3337.39</v>
      </c>
      <c r="P11" s="27" cm="1">
        <f t="array" aca="1" ref="P11" ca="1">-INDIRECT("'data'!$AA$" &amp; $A$1)*parameters!$B$15</f>
        <v>-2975.2799999999997</v>
      </c>
      <c r="Q11" s="16">
        <f ca="1">K9*parameters!$B$10+K10*parameters!$B$11</f>
        <v>6190.0008861071601</v>
      </c>
      <c r="R11" s="16">
        <f t="shared" ref="R11:R17" ca="1" si="4">SUM(L11:P11)</f>
        <v>6190.0008861071592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-32.592371943242142</v>
      </c>
      <c r="D12" s="9">
        <f ca="1">-(D17-Q4)</f>
        <v>0</v>
      </c>
      <c r="E12" s="9">
        <f ca="1">-(E17-Q5)</f>
        <v>-464.14641360227097</v>
      </c>
      <c r="F12" s="9">
        <f ca="1">-(F17-Q6)</f>
        <v>-377.19134328358268</v>
      </c>
      <c r="G12" s="9">
        <f ca="1">-(G17-Q7)</f>
        <v>-123.91009404388706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-997.84022287298285</v>
      </c>
      <c r="M12" s="17"/>
      <c r="N12" s="17"/>
      <c r="O12" s="10"/>
      <c r="P12" s="12"/>
      <c r="Q12" s="9">
        <f t="shared" ref="Q12:Q17" ca="1" si="6">SUM(L12:P12)</f>
        <v>-997.84022287298285</v>
      </c>
      <c r="R12" s="17">
        <f t="shared" ca="1" si="4"/>
        <v>-997.84022287298285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-160.38475055143681</v>
      </c>
      <c r="J13" s="14">
        <f ca="1">-(J17-Q10)</f>
        <v>-129.14739738597382</v>
      </c>
      <c r="K13" s="13">
        <f ca="1">-(K17-Q11)</f>
        <v>-753.84696595542937</v>
      </c>
      <c r="L13" s="14">
        <f t="shared" ca="1" si="5"/>
        <v>-1043.37911389284</v>
      </c>
      <c r="M13" s="16">
        <f ca="1">-E15</f>
        <v>-3176.1337370369001</v>
      </c>
      <c r="N13" s="16"/>
      <c r="O13" s="11"/>
      <c r="P13" s="13"/>
      <c r="Q13" s="14">
        <f t="shared" ca="1" si="6"/>
        <v>-4219.5128509297401</v>
      </c>
      <c r="R13" s="16">
        <f t="shared" ca="1" si="4"/>
        <v>-4219.5128509297401</v>
      </c>
    </row>
    <row r="14" spans="1:20">
      <c r="A14" s="18" t="s">
        <v>78</v>
      </c>
      <c r="B14" s="11"/>
      <c r="C14" s="14"/>
      <c r="D14" s="14"/>
      <c r="E14" s="14">
        <f ca="1">-(I13+J13)-K13</f>
        <v>1043.37911389284</v>
      </c>
      <c r="F14" s="14"/>
      <c r="G14" s="14"/>
      <c r="H14" s="14"/>
      <c r="I14" s="14"/>
      <c r="J14" s="14"/>
      <c r="K14" s="13"/>
      <c r="L14" s="14">
        <f t="shared" ca="1" si="5"/>
        <v>1043.37911389284</v>
      </c>
      <c r="M14" s="16"/>
      <c r="N14" s="16"/>
      <c r="O14" s="11"/>
      <c r="P14" s="13"/>
      <c r="Q14" s="14">
        <f t="shared" ca="1" si="6"/>
        <v>1043.37911389284</v>
      </c>
      <c r="R14" s="16">
        <f t="shared" ca="1" si="4"/>
        <v>1043.37911389284</v>
      </c>
    </row>
    <row r="15" spans="1:20">
      <c r="A15" s="18" t="s">
        <v>79</v>
      </c>
      <c r="B15" s="11"/>
      <c r="C15" s="14"/>
      <c r="D15" s="14"/>
      <c r="E15" s="14">
        <f ca="1">E17-E14</f>
        <v>3176.1337370369001</v>
      </c>
      <c r="F15" s="14"/>
      <c r="G15" s="14"/>
      <c r="H15" s="14"/>
      <c r="I15" s="14"/>
      <c r="J15" s="14"/>
      <c r="K15" s="13"/>
      <c r="L15" s="14">
        <f t="shared" ca="1" si="5"/>
        <v>3176.1337370369001</v>
      </c>
      <c r="M15" s="16"/>
      <c r="N15" s="16"/>
      <c r="O15" s="11"/>
      <c r="P15" s="13"/>
      <c r="Q15" s="14">
        <f t="shared" ca="1" si="6"/>
        <v>3176.1337370369001</v>
      </c>
      <c r="R15" s="16">
        <f t="shared" ca="1" si="4"/>
        <v>3176.1337370369001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5173.3923719432423</v>
      </c>
      <c r="D17" s="9">
        <f ca="1">SUM(D$2:D$11)</f>
        <v>0</v>
      </c>
      <c r="E17" s="9">
        <f ca="1">$Q$5/parameters!$B$4</f>
        <v>4219.5128509297401</v>
      </c>
      <c r="F17" s="9">
        <f t="shared" ref="F17:K17" ca="1" si="7">SUM(F$2:F$11)</f>
        <v>6083.7313432835826</v>
      </c>
      <c r="G17" s="9">
        <f t="shared" ca="1" si="7"/>
        <v>2881.6300940438869</v>
      </c>
      <c r="H17" s="9">
        <f t="shared" ca="1" si="7"/>
        <v>8464.26</v>
      </c>
      <c r="I17" s="9">
        <f t="shared" ca="1" si="7"/>
        <v>4196.351417218104</v>
      </c>
      <c r="J17" s="9">
        <f t="shared" ca="1" si="7"/>
        <v>3379.0485827818957</v>
      </c>
      <c r="K17" s="9">
        <f t="shared" ca="1" si="7"/>
        <v>6943.8478520625895</v>
      </c>
      <c r="L17" s="17">
        <f t="shared" ca="1" si="5"/>
        <v>41341.774512263037</v>
      </c>
      <c r="M17" s="17"/>
      <c r="N17" s="17"/>
      <c r="O17" s="9"/>
      <c r="P17" s="14"/>
      <c r="Q17" s="11">
        <f t="shared" ca="1" si="6"/>
        <v>41341.774512263037</v>
      </c>
      <c r="R17" s="17">
        <f t="shared" ca="1" si="4"/>
        <v>41341.774512263037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0.89000000000000012</v>
      </c>
      <c r="F18" s="38">
        <f t="shared" ca="1" si="8"/>
        <v>0.93799999999999994</v>
      </c>
      <c r="G18" s="38">
        <f t="shared" ca="1" si="8"/>
        <v>0.95700000000000007</v>
      </c>
      <c r="H18" s="38">
        <f t="shared" ref="H18" ca="1" si="9">1-(-H12)/H17</f>
        <v>1</v>
      </c>
      <c r="I18" s="38">
        <f ca="1">(Q9+Q10)/(Q8-O8-P8)</f>
        <v>0.96177995248601911</v>
      </c>
      <c r="J18" s="38">
        <f ca="1">I18</f>
        <v>0.96177995248601911</v>
      </c>
      <c r="K18" s="39">
        <f ca="1">1-(-K13)/K17</f>
        <v>0.89143671030587057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925.79208827562263</v>
      </c>
      <c r="D2" s="9">
        <f ca="1">Q4/parameters!$B$3</f>
        <v>1841.4496161979273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2767.2417044735498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-1676.2478369718783</v>
      </c>
      <c r="Q2" s="17" cm="1">
        <f t="array" aca="1" ref="Q2" ca="1">INDIRECT("'data'!$D$" &amp; $A$1)</f>
        <v>1090.9938675016715</v>
      </c>
      <c r="R2" s="17">
        <f ca="1">SUM(L2:P2)</f>
        <v>1090.9938675016715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913.13432835820902</v>
      </c>
      <c r="G3" s="14">
        <f ca="1">Q3-O3-P3-F3</f>
        <v>6.8252697612772408</v>
      </c>
      <c r="H3" s="14"/>
      <c r="I3" s="14"/>
      <c r="J3" s="14"/>
      <c r="K3" s="13"/>
      <c r="L3" s="16">
        <f t="shared" ca="1" si="0"/>
        <v>919.95959811948626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919.95959811948626</v>
      </c>
      <c r="R3" s="16">
        <f t="shared" ref="R3:R10" ca="1" si="2">SUM(L3:P3)</f>
        <v>919.95959811948626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1829.8484836158805</v>
      </c>
      <c r="H4" s="14"/>
      <c r="I4" s="14"/>
      <c r="J4" s="14"/>
      <c r="K4" s="13"/>
      <c r="L4" s="16">
        <f t="shared" ca="1" si="0"/>
        <v>1829.8484836158805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1829.8484836158805</v>
      </c>
      <c r="R4" s="16">
        <f t="shared" ca="1" si="2"/>
        <v>1829.8484836158805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Q6/parameters!$B$5*24%</f>
        <v>288.35820895522386</v>
      </c>
      <c r="G5" s="14">
        <f ca="1">Q7/parameters!$B$7-(G3+G4)</f>
        <v>877.01485686317687</v>
      </c>
      <c r="H5" s="14"/>
      <c r="I5" s="14"/>
      <c r="J5" s="14"/>
      <c r="K5" s="13"/>
      <c r="L5" s="16">
        <f t="shared" ca="1" si="0"/>
        <v>1165.3730658184008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-468.44</v>
      </c>
      <c r="Q5" s="16">
        <f ca="1">SUM(L5:P5)</f>
        <v>696.93306581840079</v>
      </c>
      <c r="R5" s="16">
        <f t="shared" ca="1" si="2"/>
        <v>696.93306581840079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1127</v>
      </c>
      <c r="I6" s="14"/>
      <c r="J6" s="14"/>
      <c r="K6" s="13"/>
      <c r="L6" s="16">
        <f t="shared" ca="1" si="0"/>
        <v>1127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1127</v>
      </c>
      <c r="R6" s="16">
        <f t="shared" ca="1" si="2"/>
        <v>1127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2597</v>
      </c>
      <c r="I7" s="14"/>
      <c r="J7" s="14"/>
      <c r="K7" s="13"/>
      <c r="L7" s="16">
        <f t="shared" ca="1" si="0"/>
        <v>2597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2597</v>
      </c>
      <c r="R7" s="16">
        <f t="shared" ca="1" si="2"/>
        <v>2597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3550.7071403932391</v>
      </c>
      <c r="J8" s="14">
        <f ca="1">Q10/J18</f>
        <v>1207.9343774416136</v>
      </c>
      <c r="K8" s="13"/>
      <c r="L8" s="16">
        <f t="shared" ca="1" si="0"/>
        <v>4758.6415178348525</v>
      </c>
      <c r="M8" s="16"/>
      <c r="N8" s="16">
        <f t="shared" ca="1" si="3"/>
        <v>1005.7184821651472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-2040.36</v>
      </c>
      <c r="Q8" s="16">
        <f ca="1">SUM(Q6:Q7)</f>
        <v>3724</v>
      </c>
      <c r="R8" s="16">
        <f t="shared" ca="1" si="2"/>
        <v>3724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3560.0529975853742</v>
      </c>
      <c r="L9" s="16">
        <f t="shared" ca="1" si="0"/>
        <v>3560.0529975853742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-80.36</v>
      </c>
      <c r="Q9" s="16" cm="1">
        <f t="array" aca="1" ref="Q9" ca="1">INDIRECT("'data'!$T$" &amp; $A$1)*parameters!$B$15</f>
        <v>3479.6929975853741</v>
      </c>
      <c r="R9" s="16">
        <f t="shared" ca="1" si="2"/>
        <v>3479.6929975853741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1475.8156898927812</v>
      </c>
      <c r="L10" s="16">
        <f t="shared" ca="1" si="0"/>
        <v>1475.8156898927812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-292.04000000000002</v>
      </c>
      <c r="Q10" s="16" cm="1">
        <f t="array" aca="1" ref="Q10" ca="1">INDIRECT("'data'!$W$" &amp; $A$1)*parameters!$B$15</f>
        <v>1183.7756898927812</v>
      </c>
      <c r="R10" s="16">
        <f t="shared" ca="1" si="2"/>
        <v>1183.7756898927812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4936.6013110380445</v>
      </c>
      <c r="N11" s="19"/>
      <c r="O11" s="21" cm="1">
        <f t="array" aca="1" ref="O11" ca="1">INDIRECT("'data'!$Z$" &amp; $A$1)*parameters!$B$15</f>
        <v>33.32</v>
      </c>
      <c r="P11" s="27" cm="1">
        <f t="array" aca="1" ref="P11" ca="1">-INDIRECT("'data'!$AA$" &amp; $A$1)*parameters!$B$15</f>
        <v>-354.27</v>
      </c>
      <c r="Q11" s="16">
        <f ca="1">K9*parameters!$B$10+K10*parameters!$B$11</f>
        <v>4615.6513110380438</v>
      </c>
      <c r="R11" s="16">
        <f t="shared" ref="R11:R17" ca="1" si="4">SUM(L11:P11)</f>
        <v>4615.6513110380438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-5.8324901561363731</v>
      </c>
      <c r="D12" s="9">
        <f ca="1">-(D17-Q4)</f>
        <v>-11.60113258204683</v>
      </c>
      <c r="E12" s="9">
        <f ca="1">-(E17-Q5)</f>
        <v>-86.137794651712397</v>
      </c>
      <c r="F12" s="9">
        <f ca="1">-(F17-Q6)</f>
        <v>-74.492537313432877</v>
      </c>
      <c r="G12" s="9">
        <f ca="1">-(G17-Q7)</f>
        <v>-116.68861024033458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-294.75256494366306</v>
      </c>
      <c r="M12" s="17"/>
      <c r="N12" s="17"/>
      <c r="O12" s="10"/>
      <c r="P12" s="12"/>
      <c r="Q12" s="9">
        <f t="shared" ref="Q12:Q17" ca="1" si="6">SUM(L12:P12)</f>
        <v>-294.75256494366306</v>
      </c>
      <c r="R12" s="17">
        <f t="shared" ca="1" si="4"/>
        <v>-294.75256494366306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-71.014142807865028</v>
      </c>
      <c r="J13" s="14">
        <f ca="1">-(J17-Q10)</f>
        <v>-24.158687548832404</v>
      </c>
      <c r="K13" s="13">
        <f ca="1">-(K17-Q11)</f>
        <v>-420.21737644011137</v>
      </c>
      <c r="L13" s="14">
        <f t="shared" ca="1" si="5"/>
        <v>-515.3902067968088</v>
      </c>
      <c r="M13" s="16">
        <f ca="1">-E15</f>
        <v>-267.68065367330439</v>
      </c>
      <c r="N13" s="16"/>
      <c r="O13" s="11"/>
      <c r="P13" s="13"/>
      <c r="Q13" s="14">
        <f t="shared" ca="1" si="6"/>
        <v>-783.07086047011319</v>
      </c>
      <c r="R13" s="16">
        <f t="shared" ca="1" si="4"/>
        <v>-783.07086047011319</v>
      </c>
    </row>
    <row r="14" spans="1:19">
      <c r="A14" s="18" t="s">
        <v>78</v>
      </c>
      <c r="B14" s="11"/>
      <c r="C14" s="14"/>
      <c r="D14" s="14"/>
      <c r="E14" s="14">
        <f ca="1">-(I13+J13)-K13</f>
        <v>515.3902067968088</v>
      </c>
      <c r="F14" s="14"/>
      <c r="G14" s="14"/>
      <c r="H14" s="14"/>
      <c r="I14" s="14"/>
      <c r="J14" s="14"/>
      <c r="K14" s="13"/>
      <c r="L14" s="14">
        <f t="shared" ca="1" si="5"/>
        <v>515.3902067968088</v>
      </c>
      <c r="M14" s="16"/>
      <c r="N14" s="16"/>
      <c r="O14" s="11"/>
      <c r="P14" s="13"/>
      <c r="Q14" s="14">
        <f t="shared" ca="1" si="6"/>
        <v>515.3902067968088</v>
      </c>
      <c r="R14" s="16">
        <f t="shared" ca="1" si="4"/>
        <v>515.3902067968088</v>
      </c>
    </row>
    <row r="15" spans="1:19">
      <c r="A15" s="18" t="s">
        <v>79</v>
      </c>
      <c r="B15" s="11"/>
      <c r="C15" s="14"/>
      <c r="D15" s="14"/>
      <c r="E15" s="14">
        <f ca="1">E17-E14</f>
        <v>267.68065367330439</v>
      </c>
      <c r="F15" s="14"/>
      <c r="G15" s="14"/>
      <c r="H15" s="14"/>
      <c r="I15" s="14"/>
      <c r="J15" s="14"/>
      <c r="K15" s="13"/>
      <c r="L15" s="14">
        <f t="shared" ca="1" si="5"/>
        <v>267.68065367330439</v>
      </c>
      <c r="M15" s="16"/>
      <c r="N15" s="16"/>
      <c r="O15" s="11"/>
      <c r="P15" s="13"/>
      <c r="Q15" s="14">
        <f t="shared" ca="1" si="6"/>
        <v>267.68065367330439</v>
      </c>
      <c r="R15" s="16">
        <f t="shared" ca="1" si="4"/>
        <v>267.68065367330439</v>
      </c>
    </row>
    <row r="16" spans="1:19">
      <c r="A16" s="30" t="s">
        <v>89</v>
      </c>
      <c r="B16" s="21">
        <f ca="1">Q2</f>
        <v>1090.9938675016715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1090.9938675016715</v>
      </c>
      <c r="M16" s="19"/>
      <c r="N16" s="19"/>
      <c r="O16" s="21"/>
      <c r="P16" s="27"/>
      <c r="Q16" s="22">
        <f t="shared" ca="1" si="6"/>
        <v>1090.9938675016715</v>
      </c>
      <c r="R16" s="19">
        <f t="shared" ca="1" si="4"/>
        <v>1090.9938675016715</v>
      </c>
    </row>
    <row r="17" spans="1:18">
      <c r="A17" s="29" t="s">
        <v>88</v>
      </c>
      <c r="B17" s="9">
        <f ca="1">B16</f>
        <v>1090.9938675016715</v>
      </c>
      <c r="C17" s="9">
        <f ca="1">SUM(C$2:C$11)</f>
        <v>925.79208827562263</v>
      </c>
      <c r="D17" s="9">
        <f ca="1">SUM(D$2:D$11)</f>
        <v>1841.4496161979273</v>
      </c>
      <c r="E17" s="9">
        <f ca="1">$Q$5/parameters!$B$4</f>
        <v>783.07086047011319</v>
      </c>
      <c r="F17" s="9">
        <f t="shared" ref="F17:K17" ca="1" si="7">SUM(F$2:F$11)</f>
        <v>1201.4925373134329</v>
      </c>
      <c r="G17" s="9">
        <f t="shared" ca="1" si="7"/>
        <v>2713.6886102403346</v>
      </c>
      <c r="H17" s="9">
        <f t="shared" ca="1" si="7"/>
        <v>3724</v>
      </c>
      <c r="I17" s="9">
        <f t="shared" ca="1" si="7"/>
        <v>3550.7071403932391</v>
      </c>
      <c r="J17" s="9">
        <f t="shared" ca="1" si="7"/>
        <v>1207.9343774416136</v>
      </c>
      <c r="K17" s="9">
        <f t="shared" ca="1" si="7"/>
        <v>5035.8686874781552</v>
      </c>
      <c r="L17" s="17">
        <f t="shared" ca="1" si="5"/>
        <v>22074.997785312109</v>
      </c>
      <c r="M17" s="17"/>
      <c r="N17" s="17"/>
      <c r="O17" s="9"/>
      <c r="P17" s="14"/>
      <c r="Q17" s="11">
        <f t="shared" ca="1" si="6"/>
        <v>22074.997785312109</v>
      </c>
      <c r="R17" s="17">
        <f t="shared" ca="1" si="4"/>
        <v>22074.997785312109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0.89000000000000012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0.91655513625980856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2411.0313156636407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2411.0313156636407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-2411.0313156636407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0</v>
      </c>
      <c r="H3" s="14"/>
      <c r="I3" s="14"/>
      <c r="J3" s="14"/>
      <c r="K3" s="13"/>
      <c r="L3" s="16">
        <f t="shared" ca="1" si="0"/>
        <v>0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2395.84181837496</v>
      </c>
      <c r="H4" s="14"/>
      <c r="I4" s="14"/>
      <c r="J4" s="14"/>
      <c r="K4" s="13"/>
      <c r="L4" s="16">
        <f t="shared" ca="1" si="0"/>
        <v>2395.84181837496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2395.84181837496</v>
      </c>
      <c r="R4" s="16">
        <f t="shared" ca="1" si="2"/>
        <v>2395.84181837496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1099.1843049270251</v>
      </c>
      <c r="H5" s="14"/>
      <c r="I5" s="14"/>
      <c r="J5" s="14"/>
      <c r="K5" s="13"/>
      <c r="L5" s="16">
        <f t="shared" ca="1" si="0"/>
        <v>1099.1843049270251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1099.1843049270251</v>
      </c>
      <c r="R5" s="16">
        <f t="shared" ca="1" si="2"/>
        <v>1099.1843049270251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3344.74</v>
      </c>
      <c r="I7" s="14"/>
      <c r="J7" s="14"/>
      <c r="K7" s="13"/>
      <c r="L7" s="16">
        <f t="shared" ca="1" si="0"/>
        <v>3344.74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3344.74</v>
      </c>
      <c r="R7" s="16">
        <f t="shared" ca="1" si="2"/>
        <v>3344.74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2078.0880215902016</v>
      </c>
      <c r="J8" s="14">
        <f ca="1">Q10/J18</f>
        <v>976.75831978929693</v>
      </c>
      <c r="K8" s="13"/>
      <c r="L8" s="16">
        <f t="shared" ca="1" si="0"/>
        <v>3054.8463413794984</v>
      </c>
      <c r="M8" s="16"/>
      <c r="N8" s="16">
        <f t="shared" ca="1" si="3"/>
        <v>762.25365862050148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-472.36</v>
      </c>
      <c r="Q8" s="16">
        <f ca="1">SUM(Q6:Q7)</f>
        <v>3344.74</v>
      </c>
      <c r="R8" s="16">
        <f t="shared" ca="1" si="2"/>
        <v>3344.74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2350.1262611583975</v>
      </c>
      <c r="L9" s="16">
        <f t="shared" ca="1" si="0"/>
        <v>2350.1262611583975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-313.60000000000002</v>
      </c>
      <c r="Q9" s="16" cm="1">
        <f t="array" aca="1" ref="Q9" ca="1">INDIRECT("'data'!$T$" &amp; $A$1)*parameters!$B$15</f>
        <v>2036.5262611583976</v>
      </c>
      <c r="R9" s="16">
        <f t="shared" ca="1" si="2"/>
        <v>2036.5262611583976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2264.5431533935107</v>
      </c>
      <c r="L10" s="16">
        <f t="shared" ca="1" si="0"/>
        <v>2264.5431533935107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-1307.32</v>
      </c>
      <c r="Q10" s="16" cm="1">
        <f t="array" aca="1" ref="Q10" ca="1">INDIRECT("'data'!$W$" &amp; $A$1)*parameters!$B$15</f>
        <v>957.22315339351098</v>
      </c>
      <c r="R10" s="16">
        <f t="shared" ca="1" si="2"/>
        <v>957.22315339351076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5137.6057974073128</v>
      </c>
      <c r="N11" s="19"/>
      <c r="O11" s="21" cm="1">
        <f t="array" aca="1" ref="O11" ca="1">INDIRECT("'data'!$Z$" &amp; $A$1)*parameters!$B$15</f>
        <v>37.24</v>
      </c>
      <c r="P11" s="27" cm="1">
        <f t="array" aca="1" ref="P11" ca="1">-INDIRECT("'data'!$AA$" &amp; $A$1)*parameters!$B$15</f>
        <v>-1018.22</v>
      </c>
      <c r="Q11" s="16">
        <f ca="1">K9*parameters!$B$10+K10*parameters!$B$11</f>
        <v>4156.6257974073123</v>
      </c>
      <c r="R11" s="16">
        <f t="shared" ref="R11:R17" ca="1" si="4">SUM(L11:P11)</f>
        <v>4156.6257974073123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-15.189497288680741</v>
      </c>
      <c r="E12" s="9">
        <f ca="1">-(E17-Q5)</f>
        <v>-135.85423993480094</v>
      </c>
      <c r="F12" s="9">
        <f ca="1">-(F17-Q6)</f>
        <v>0</v>
      </c>
      <c r="G12" s="9">
        <f ca="1">-(G17-Q7)</f>
        <v>-150.2861233019853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-301.32986052546698</v>
      </c>
      <c r="M12" s="17"/>
      <c r="N12" s="17"/>
      <c r="O12" s="10"/>
      <c r="P12" s="12"/>
      <c r="Q12" s="9">
        <f t="shared" ref="Q12:Q17" ca="1" si="6">SUM(L12:P12)</f>
        <v>-301.32986052546698</v>
      </c>
      <c r="R12" s="17">
        <f t="shared" ca="1" si="4"/>
        <v>-301.32986052546698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-41.561760431804032</v>
      </c>
      <c r="J13" s="14">
        <f ca="1">-(J17-Q10)</f>
        <v>-19.53516639578595</v>
      </c>
      <c r="K13" s="13">
        <f ca="1">-(K17-Q11)</f>
        <v>-458.04361714459628</v>
      </c>
      <c r="L13" s="14">
        <f t="shared" ca="1" si="5"/>
        <v>-519.14054397218626</v>
      </c>
      <c r="M13" s="16">
        <f ca="1">-E15</f>
        <v>-715.89800088963977</v>
      </c>
      <c r="N13" s="16"/>
      <c r="O13" s="11"/>
      <c r="P13" s="13"/>
      <c r="Q13" s="14">
        <f t="shared" ca="1" si="6"/>
        <v>-1235.038544861826</v>
      </c>
      <c r="R13" s="16">
        <f t="shared" ca="1" si="4"/>
        <v>-1235.038544861826</v>
      </c>
    </row>
    <row r="14" spans="1:22">
      <c r="A14" s="18" t="s">
        <v>78</v>
      </c>
      <c r="B14" s="11"/>
      <c r="C14" s="14"/>
      <c r="D14" s="14"/>
      <c r="E14" s="14">
        <f ca="1">-(I13+J13)-K13</f>
        <v>519.14054397218626</v>
      </c>
      <c r="F14" s="14"/>
      <c r="G14" s="14"/>
      <c r="H14" s="14"/>
      <c r="I14" s="14"/>
      <c r="J14" s="14"/>
      <c r="K14" s="13"/>
      <c r="L14" s="14">
        <f t="shared" ca="1" si="5"/>
        <v>519.14054397218626</v>
      </c>
      <c r="M14" s="16"/>
      <c r="N14" s="16"/>
      <c r="O14" s="11"/>
      <c r="P14" s="13"/>
      <c r="Q14" s="14">
        <f t="shared" ca="1" si="6"/>
        <v>519.14054397218626</v>
      </c>
      <c r="R14" s="16">
        <f t="shared" ca="1" si="4"/>
        <v>519.14054397218626</v>
      </c>
    </row>
    <row r="15" spans="1:22">
      <c r="A15" s="18" t="s">
        <v>79</v>
      </c>
      <c r="B15" s="11"/>
      <c r="C15" s="14"/>
      <c r="D15" s="14"/>
      <c r="E15" s="14">
        <f ca="1">E17-E14</f>
        <v>715.89800088963977</v>
      </c>
      <c r="F15" s="14"/>
      <c r="G15" s="14"/>
      <c r="H15" s="14"/>
      <c r="I15" s="14"/>
      <c r="J15" s="14"/>
      <c r="K15" s="13"/>
      <c r="L15" s="14">
        <f t="shared" ca="1" si="5"/>
        <v>715.89800088963977</v>
      </c>
      <c r="M15" s="16"/>
      <c r="N15" s="16"/>
      <c r="O15" s="11"/>
      <c r="P15" s="13"/>
      <c r="Q15" s="14">
        <f t="shared" ca="1" si="6"/>
        <v>715.89800088963977</v>
      </c>
      <c r="R15" s="16">
        <f t="shared" ca="1" si="4"/>
        <v>715.89800088963977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2411.0313156636407</v>
      </c>
      <c r="E17" s="9">
        <f ca="1">$Q$5/parameters!$B$4</f>
        <v>1235.038544861826</v>
      </c>
      <c r="F17" s="9">
        <f t="shared" ref="F17:K17" ca="1" si="7">SUM(F$2:F$11)</f>
        <v>0</v>
      </c>
      <c r="G17" s="9">
        <f t="shared" ca="1" si="7"/>
        <v>3495.0261233019851</v>
      </c>
      <c r="H17" s="9">
        <f t="shared" ca="1" si="7"/>
        <v>3344.74</v>
      </c>
      <c r="I17" s="9">
        <f t="shared" ca="1" si="7"/>
        <v>2078.0880215902016</v>
      </c>
      <c r="J17" s="9">
        <f t="shared" ca="1" si="7"/>
        <v>976.75831978929693</v>
      </c>
      <c r="K17" s="9">
        <f t="shared" ca="1" si="7"/>
        <v>4614.6694145519086</v>
      </c>
      <c r="L17" s="17">
        <f t="shared" ca="1" si="5"/>
        <v>18155.351739758858</v>
      </c>
      <c r="M17" s="17"/>
      <c r="N17" s="17"/>
      <c r="O17" s="9"/>
      <c r="P17" s="14"/>
      <c r="Q17" s="11">
        <f t="shared" ca="1" si="6"/>
        <v>18155.351739758858</v>
      </c>
      <c r="R17" s="17">
        <f t="shared" ca="1" si="4"/>
        <v>18155.351739758858</v>
      </c>
    </row>
    <row r="18" spans="1:18">
      <c r="A18" s="30" t="s">
        <v>75</v>
      </c>
      <c r="B18" s="38" t="str">
        <f ca="1">IFERROR(1-(-B12)/B17, "")</f>
        <v/>
      </c>
      <c r="C18" s="38" t="str">
        <f ca="1">IFERROR(1-(-C12)/C17, "")</f>
        <v/>
      </c>
      <c r="D18" s="38">
        <f ca="1">IFERROR(1-(-D12)/D17, "")</f>
        <v>0.99370000000000003</v>
      </c>
      <c r="E18" s="38">
        <f t="shared" ref="E18:G18" ca="1" si="8">IFERROR(1-(-E12)/E17, "")</f>
        <v>0.8899999999999999</v>
      </c>
      <c r="F18" s="38" t="str">
        <f t="shared" ca="1" si="8"/>
        <v/>
      </c>
      <c r="G18" s="38">
        <f t="shared" ca="1" si="8"/>
        <v>0.95700000000000007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0.9007418352222154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4160.586696185972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4160.586696185972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-3585.586696185972</v>
      </c>
      <c r="Q2" s="17" cm="1">
        <f t="array" aca="1" ref="Q2" ca="1">INDIRECT("'data'!$D$" &amp; $A$1)</f>
        <v>575</v>
      </c>
      <c r="R2" s="17">
        <f ca="1">SUM(L2:P2)</f>
        <v>575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4115.3940298507459</v>
      </c>
      <c r="G3" s="14">
        <f ca="1">Q3-O3-P3-F3</f>
        <v>49.220970149253844</v>
      </c>
      <c r="H3" s="14"/>
      <c r="I3" s="14"/>
      <c r="J3" s="14"/>
      <c r="K3" s="13"/>
      <c r="L3" s="16">
        <f t="shared" ca="1" si="0"/>
        <v>4164.6149999999998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-32.129999999999995</v>
      </c>
      <c r="Q3" s="16" cm="1">
        <f t="array" aca="1" ref="Q3" ca="1">INDIRECT("'data'!$G$" &amp; $A$1)*parameters!$B$13</f>
        <v>4134.375</v>
      </c>
      <c r="R3" s="16">
        <f t="shared" ref="R3:R10" ca="1" si="2">SUM(L3:P3)</f>
        <v>4134.375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Q6/parameters!$B$5*26%</f>
        <v>1445.9492537313433</v>
      </c>
      <c r="G5" s="14">
        <f ca="1">Q7/parameters!$B$7-(G3+G4)</f>
        <v>509.90128690403776</v>
      </c>
      <c r="H5" s="14"/>
      <c r="I5" s="14"/>
      <c r="J5" s="14"/>
      <c r="K5" s="13"/>
      <c r="L5" s="16">
        <f t="shared" ca="1" si="0"/>
        <v>1955.8505406353811</v>
      </c>
      <c r="M5" s="16"/>
      <c r="N5" s="16"/>
      <c r="O5" s="11" cm="1">
        <f t="array" aca="1" ref="O5" ca="1">INDIRECT("'data'!$M$" &amp; $A$1)*parameters!$B$15</f>
        <v>744.8</v>
      </c>
      <c r="P5" s="13" cm="1">
        <f t="array" aca="1" ref="P5" ca="1">-INDIRECT("'data'!$N$" &amp; $A$1)*parameters!$B$15</f>
        <v>-810.46</v>
      </c>
      <c r="Q5" s="16">
        <f ca="1">SUM(L5:P5)</f>
        <v>1890.1905406353808</v>
      </c>
      <c r="R5" s="16">
        <f t="shared" ca="1" si="2"/>
        <v>1890.1905406353808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5216.54</v>
      </c>
      <c r="I6" s="14"/>
      <c r="J6" s="14"/>
      <c r="K6" s="13"/>
      <c r="L6" s="16">
        <f t="shared" ca="1" si="0"/>
        <v>5216.54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5216.54</v>
      </c>
      <c r="R6" s="16">
        <f t="shared" ca="1" si="2"/>
        <v>5216.54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535.08000000000004</v>
      </c>
      <c r="I7" s="14"/>
      <c r="J7" s="14"/>
      <c r="K7" s="13"/>
      <c r="L7" s="16">
        <f t="shared" ca="1" si="0"/>
        <v>535.08000000000004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535.08000000000004</v>
      </c>
      <c r="R7" s="16">
        <f t="shared" ca="1" si="2"/>
        <v>535.08000000000004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1640.0919250261443</v>
      </c>
      <c r="J8" s="14">
        <f ca="1">Q10/J18</f>
        <v>4099.7680749738556</v>
      </c>
      <c r="K8" s="13"/>
      <c r="L8" s="16">
        <f t="shared" ca="1" si="0"/>
        <v>5739.86</v>
      </c>
      <c r="M8" s="16"/>
      <c r="N8" s="16">
        <f t="shared" ca="1" si="3"/>
        <v>0</v>
      </c>
      <c r="O8" s="11" cm="1">
        <f t="array" aca="1" ref="O8" ca="1">INDIRECT("'data'!$R$" &amp; $A$1)*parameters!$B$15</f>
        <v>173.46</v>
      </c>
      <c r="P8" s="13" cm="1">
        <f t="array" aca="1" ref="P8" ca="1">-INDIRECT("'data'!$S$" &amp; $A$1)*parameters!$B$15</f>
        <v>-161.69999999999999</v>
      </c>
      <c r="Q8" s="16">
        <f ca="1">SUM(Q6:Q7)</f>
        <v>5751.62</v>
      </c>
      <c r="R8" s="16">
        <f t="shared" ca="1" si="2"/>
        <v>5751.62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1339.6599999999999</v>
      </c>
      <c r="L9" s="16">
        <f t="shared" ca="1" si="0"/>
        <v>1339.6599999999999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1103.48</v>
      </c>
      <c r="P9" s="13" cm="1">
        <f t="array" aca="1" ref="P9" ca="1">-INDIRECT("'data'!$V$" &amp; $A$1)*parameters!$B$15</f>
        <v>-937.86</v>
      </c>
      <c r="Q9" s="16" cm="1">
        <f t="array" aca="1" ref="Q9" ca="1">INDIRECT("'data'!$T$" &amp; $A$1)*parameters!$B$15</f>
        <v>1505.28</v>
      </c>
      <c r="R9" s="16">
        <f t="shared" ca="1" si="2"/>
        <v>1505.2799999999997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1928.2162162162163</v>
      </c>
      <c r="L10" s="16">
        <f t="shared" ca="1" si="0"/>
        <v>1928.2162162162163</v>
      </c>
      <c r="M10" s="16"/>
      <c r="N10" s="16">
        <f t="shared" ca="1" si="3"/>
        <v>0</v>
      </c>
      <c r="O10" s="11" cm="1">
        <f t="array" aca="1" ref="O10" ca="1">INDIRECT("'data'!$X$" &amp; $A$1)*parameters!$B$15</f>
        <v>2987.04</v>
      </c>
      <c r="P10" s="13" cm="1">
        <f t="array" aca="1" ref="P10" ca="1">-INDIRECT("'data'!$Y$" &amp; $A$1)*parameters!$B$15</f>
        <v>-1152.48</v>
      </c>
      <c r="Q10" s="16" cm="1">
        <f t="array" aca="1" ref="Q10" ca="1">INDIRECT("'data'!$W$" &amp; $A$1)*parameters!$B$15</f>
        <v>3762.7762162162162</v>
      </c>
      <c r="R10" s="16">
        <f t="shared" ca="1" si="2"/>
        <v>3762.7762162162157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3191.4563459459459</v>
      </c>
      <c r="N11" s="19"/>
      <c r="O11" s="21" cm="1">
        <f t="array" aca="1" ref="O11" ca="1">INDIRECT("'data'!$Z$" &amp; $A$1)*parameters!$B$15</f>
        <v>2322.11</v>
      </c>
      <c r="P11" s="27" cm="1">
        <f t="array" aca="1" ref="P11" ca="1">-INDIRECT("'data'!$AA$" &amp; $A$1)*parameters!$B$15</f>
        <v>-2596.02</v>
      </c>
      <c r="Q11" s="16">
        <f ca="1">K9*parameters!$B$10+K10*parameters!$B$11</f>
        <v>2917.5463459459461</v>
      </c>
      <c r="R11" s="16">
        <f t="shared" ref="R11:R17" ca="1" si="4">SUM(L11:P11)</f>
        <v>2917.5463459459465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-26.211696185971959</v>
      </c>
      <c r="D12" s="9">
        <f ca="1">-(D17-Q4)</f>
        <v>0</v>
      </c>
      <c r="E12" s="9">
        <f ca="1">-(E17-Q5)</f>
        <v>-233.6190555841481</v>
      </c>
      <c r="F12" s="9">
        <f ca="1">-(F17-Q6)</f>
        <v>-344.80328358208953</v>
      </c>
      <c r="G12" s="9">
        <f ca="1">-(G17-Q7)</f>
        <v>-24.042257053291564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-628.67629240550116</v>
      </c>
      <c r="M12" s="17"/>
      <c r="N12" s="17"/>
      <c r="O12" s="10"/>
      <c r="P12" s="12"/>
      <c r="Q12" s="9">
        <f t="shared" ref="Q12:Q17" ca="1" si="6">SUM(L12:P12)</f>
        <v>-628.67629240550116</v>
      </c>
      <c r="R12" s="17">
        <f t="shared" ca="1" si="4"/>
        <v>-628.67629240550116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-134.81192502614431</v>
      </c>
      <c r="J13" s="14">
        <f ca="1">-(J17-Q10)</f>
        <v>-336.99185875763942</v>
      </c>
      <c r="K13" s="13">
        <f ca="1">-(K17-Q11)</f>
        <v>-350.32987027027002</v>
      </c>
      <c r="L13" s="14">
        <f t="shared" ca="1" si="5"/>
        <v>-822.13365405405375</v>
      </c>
      <c r="M13" s="16">
        <f ca="1">-E15</f>
        <v>-1301.6759421654751</v>
      </c>
      <c r="N13" s="16"/>
      <c r="O13" s="11"/>
      <c r="P13" s="13"/>
      <c r="Q13" s="14">
        <f t="shared" ca="1" si="6"/>
        <v>-2123.8095962195289</v>
      </c>
      <c r="R13" s="16">
        <f t="shared" ca="1" si="4"/>
        <v>-2123.8095962195289</v>
      </c>
    </row>
    <row r="14" spans="1:20">
      <c r="A14" s="18" t="s">
        <v>78</v>
      </c>
      <c r="B14" s="11"/>
      <c r="C14" s="14"/>
      <c r="D14" s="14"/>
      <c r="E14" s="14">
        <f ca="1">-(I13+J13)-K13</f>
        <v>822.13365405405375</v>
      </c>
      <c r="F14" s="14"/>
      <c r="G14" s="14"/>
      <c r="H14" s="14"/>
      <c r="I14" s="14"/>
      <c r="J14" s="14"/>
      <c r="K14" s="13"/>
      <c r="L14" s="14">
        <f t="shared" ca="1" si="5"/>
        <v>822.13365405405375</v>
      </c>
      <c r="M14" s="16"/>
      <c r="N14" s="16"/>
      <c r="O14" s="11"/>
      <c r="P14" s="13"/>
      <c r="Q14" s="14">
        <f t="shared" ca="1" si="6"/>
        <v>822.13365405405375</v>
      </c>
      <c r="R14" s="16">
        <f t="shared" ca="1" si="4"/>
        <v>822.13365405405375</v>
      </c>
    </row>
    <row r="15" spans="1:20">
      <c r="A15" s="18" t="s">
        <v>79</v>
      </c>
      <c r="B15" s="11"/>
      <c r="C15" s="14"/>
      <c r="D15" s="14"/>
      <c r="E15" s="14">
        <f ca="1">E17-E14</f>
        <v>1301.6759421654751</v>
      </c>
      <c r="F15" s="14"/>
      <c r="G15" s="14"/>
      <c r="H15" s="14"/>
      <c r="I15" s="14"/>
      <c r="J15" s="14"/>
      <c r="K15" s="13"/>
      <c r="L15" s="14">
        <f t="shared" ca="1" si="5"/>
        <v>1301.6759421654751</v>
      </c>
      <c r="M15" s="16"/>
      <c r="N15" s="16"/>
      <c r="O15" s="11"/>
      <c r="P15" s="13"/>
      <c r="Q15" s="14">
        <f t="shared" ca="1" si="6"/>
        <v>1301.6759421654751</v>
      </c>
      <c r="R15" s="16">
        <f t="shared" ca="1" si="4"/>
        <v>1301.6759421654751</v>
      </c>
    </row>
    <row r="16" spans="1:20">
      <c r="A16" s="30" t="s">
        <v>89</v>
      </c>
      <c r="B16" s="21">
        <f ca="1">Q2</f>
        <v>575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575</v>
      </c>
      <c r="M16" s="19"/>
      <c r="N16" s="19"/>
      <c r="O16" s="21"/>
      <c r="P16" s="27"/>
      <c r="Q16" s="22">
        <f t="shared" ca="1" si="6"/>
        <v>575</v>
      </c>
      <c r="R16" s="19">
        <f t="shared" ca="1" si="4"/>
        <v>575</v>
      </c>
    </row>
    <row r="17" spans="1:18">
      <c r="A17" s="29" t="s">
        <v>88</v>
      </c>
      <c r="B17" s="9">
        <f ca="1">B16</f>
        <v>575</v>
      </c>
      <c r="C17" s="9">
        <f ca="1">SUM(C$2:C$11)</f>
        <v>4160.586696185972</v>
      </c>
      <c r="D17" s="9">
        <f ca="1">SUM(D$2:D$11)</f>
        <v>0</v>
      </c>
      <c r="E17" s="9">
        <f ca="1">$Q$5/parameters!$B$4</f>
        <v>2123.8095962195289</v>
      </c>
      <c r="F17" s="9">
        <f t="shared" ref="F17:K17" ca="1" si="7">SUM(F$2:F$11)</f>
        <v>5561.3432835820895</v>
      </c>
      <c r="G17" s="9">
        <f t="shared" ca="1" si="7"/>
        <v>559.12225705329161</v>
      </c>
      <c r="H17" s="9">
        <f t="shared" ca="1" si="7"/>
        <v>5751.62</v>
      </c>
      <c r="I17" s="9">
        <f t="shared" ca="1" si="7"/>
        <v>1640.0919250261443</v>
      </c>
      <c r="J17" s="9">
        <f t="shared" ca="1" si="7"/>
        <v>4099.7680749738556</v>
      </c>
      <c r="K17" s="9">
        <f t="shared" ca="1" si="7"/>
        <v>3267.8762162162161</v>
      </c>
      <c r="L17" s="17">
        <f t="shared" ca="1" si="5"/>
        <v>27739.218049257099</v>
      </c>
      <c r="M17" s="17"/>
      <c r="N17" s="17"/>
      <c r="O17" s="9"/>
      <c r="P17" s="14"/>
      <c r="Q17" s="11">
        <f t="shared" ca="1" si="6"/>
        <v>27739.218049257099</v>
      </c>
      <c r="R17" s="17">
        <f t="shared" ca="1" si="4"/>
        <v>27739.218049257099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0.99369999999999992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0.91780221402895124</v>
      </c>
      <c r="J18" s="38">
        <f ca="1">I18</f>
        <v>0.91780221402895124</v>
      </c>
      <c r="K18" s="39">
        <f ca="1">1-(-K13)/K17</f>
        <v>0.8927958566692874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7353.0643051222696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7353.0643051222696</v>
      </c>
      <c r="M2" s="17"/>
      <c r="N2" s="17">
        <f ca="1">Q2-(L2+O2+P2)</f>
        <v>0</v>
      </c>
      <c r="O2" s="11" cm="1">
        <f t="array" aca="1" ref="O2" ca="1">INDIRECT("'data'!$F$" &amp; $A$1)</f>
        <v>28.6</v>
      </c>
      <c r="P2" s="13">
        <f ca="1">IF(-(L2-Q2+O2)&lt;0, -(L2-Q2+O2), 0)</f>
        <v>-7381.66430512227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6703.2835820895516</v>
      </c>
      <c r="G3" s="14">
        <f ca="1">Q3-O3-P3-F3</f>
        <v>714.9664179104484</v>
      </c>
      <c r="H3" s="14"/>
      <c r="I3" s="14"/>
      <c r="J3" s="14"/>
      <c r="K3" s="13"/>
      <c r="L3" s="16">
        <f t="shared" ca="1" si="0"/>
        <v>7418.25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109.61999999999999</v>
      </c>
      <c r="P3" s="13" cm="1">
        <f t="array" aca="1" ref="P3" ca="1">-INDIRECT("'data'!$I$" &amp; $A$1)*parameters!$B$13</f>
        <v>-221.13</v>
      </c>
      <c r="Q3" s="16" cm="1">
        <f t="array" aca="1" ref="Q3" ca="1">INDIRECT("'data'!$G$" &amp; $A$1)*parameters!$B$13</f>
        <v>7306.74</v>
      </c>
      <c r="R3" s="16">
        <f t="shared" ref="R3:R10" ca="1" si="2">SUM(L3:P3)</f>
        <v>7306.74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1675.8208955223881</v>
      </c>
      <c r="G5" s="14">
        <f ca="1">Q7/parameters!$B$7-(G3+G4)</f>
        <v>2090.8852017342747</v>
      </c>
      <c r="H5" s="14"/>
      <c r="I5" s="14"/>
      <c r="J5" s="14"/>
      <c r="K5" s="13"/>
      <c r="L5" s="16">
        <f t="shared" ca="1" si="0"/>
        <v>3766.7060972566628</v>
      </c>
      <c r="M5" s="16"/>
      <c r="N5" s="16"/>
      <c r="O5" s="11" cm="1">
        <f t="array" aca="1" ref="O5" ca="1">INDIRECT("'data'!$M$" &amp; $A$1)*parameters!$B$15</f>
        <v>1560.5280425155004</v>
      </c>
      <c r="P5" s="13" cm="1">
        <f t="array" aca="1" ref="P5" ca="1">-INDIRECT("'data'!$N$" &amp; $A$1)*parameters!$B$15</f>
        <v>-3008.0579620117073</v>
      </c>
      <c r="Q5" s="16">
        <f ca="1">SUM(L5:P5)</f>
        <v>2319.1761777604556</v>
      </c>
      <c r="R5" s="16">
        <f t="shared" ca="1" si="2"/>
        <v>2319.1761777604556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7859.5999999999995</v>
      </c>
      <c r="I6" s="14"/>
      <c r="J6" s="14"/>
      <c r="K6" s="13"/>
      <c r="L6" s="16">
        <f t="shared" ca="1" si="0"/>
        <v>7859.5999999999995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7859.5999999999995</v>
      </c>
      <c r="R6" s="16">
        <f t="shared" ca="1" si="2"/>
        <v>7859.5999999999995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2685.2</v>
      </c>
      <c r="I7" s="14"/>
      <c r="J7" s="14"/>
      <c r="K7" s="13"/>
      <c r="L7" s="16">
        <f t="shared" ca="1" si="0"/>
        <v>2685.2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2685.2</v>
      </c>
      <c r="R7" s="16">
        <f t="shared" ca="1" si="2"/>
        <v>2685.2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1274.1147125173068</v>
      </c>
      <c r="J8" s="14">
        <f ca="1">Q10/J18</f>
        <v>11687.365287482689</v>
      </c>
      <c r="K8" s="13"/>
      <c r="L8" s="16">
        <f t="shared" ca="1" si="0"/>
        <v>12961.479999999996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1002.54</v>
      </c>
      <c r="P8" s="13" cm="1">
        <f t="array" aca="1" ref="P8" ca="1">-INDIRECT("'data'!$S$" &amp; $A$1)*parameters!$B$15</f>
        <v>-3419.22</v>
      </c>
      <c r="Q8" s="16">
        <f ca="1">SUM(Q6:Q7)</f>
        <v>10544.8</v>
      </c>
      <c r="R8" s="16">
        <f t="shared" ca="1" si="2"/>
        <v>10544.799999999997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1525.4161714862917</v>
      </c>
      <c r="L9" s="16">
        <f t="shared" ca="1" si="0"/>
        <v>1525.4161714862917</v>
      </c>
      <c r="M9" s="16"/>
      <c r="N9" s="16">
        <f t="shared" ca="1" si="3"/>
        <v>0</v>
      </c>
      <c r="O9" s="11" cm="1">
        <f t="array" aca="1" ref="O9" ca="1">INDIRECT("'data'!$U$" &amp; $A$1)*parameters!$B$15</f>
        <v>1732.0443174726988</v>
      </c>
      <c r="P9" s="13" cm="1">
        <f t="array" aca="1" ref="P9" ca="1">-INDIRECT("'data'!$V$" &amp; $A$1)*parameters!$B$15</f>
        <v>-2058.9204889589905</v>
      </c>
      <c r="Q9" s="16" cm="1">
        <f t="array" aca="1" ref="Q9" ca="1">INDIRECT("'data'!$T$" &amp; $A$1)*parameters!$B$15</f>
        <v>1198.54</v>
      </c>
      <c r="R9" s="16">
        <f t="shared" ca="1" si="2"/>
        <v>1198.54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2472.149345615755</v>
      </c>
      <c r="L10" s="16">
        <f t="shared" ca="1" si="0"/>
        <v>2472.149345615755</v>
      </c>
      <c r="M10" s="16"/>
      <c r="N10" s="16">
        <f t="shared" ca="1" si="3"/>
        <v>0</v>
      </c>
      <c r="O10" s="11" cm="1">
        <f t="array" aca="1" ref="O10" ca="1">INDIRECT("'data'!$X$" &amp; $A$1)*parameters!$B$15</f>
        <v>12850.036283514732</v>
      </c>
      <c r="P10" s="13" cm="1">
        <f t="array" aca="1" ref="P10" ca="1">-INDIRECT("'data'!$Y$" &amp; $A$1)*parameters!$B$15</f>
        <v>-4328.0619022457067</v>
      </c>
      <c r="Q10" s="16" cm="1">
        <f t="array" aca="1" ref="Q10" ca="1">INDIRECT("'data'!$W$" &amp; $A$1)*parameters!$B$15</f>
        <v>10994.12372688478</v>
      </c>
      <c r="R10" s="16">
        <f t="shared" ca="1" si="2"/>
        <v>10994.12372688478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3428.6196384266632</v>
      </c>
      <c r="N11" s="19"/>
      <c r="O11" s="21" cm="1">
        <f t="array" aca="1" ref="O11" ca="1">INDIRECT("'data'!$Z$" &amp; $A$1)*parameters!$B$15</f>
        <v>5583.0599999999995</v>
      </c>
      <c r="P11" s="27" cm="1">
        <f t="array" aca="1" ref="P11" ca="1">-INDIRECT("'data'!$AA$" &amp; $A$1)*parameters!$B$15</f>
        <v>-5451.74</v>
      </c>
      <c r="Q11" s="16">
        <f ca="1">K9*parameters!$B$10+K10*parameters!$B$11</f>
        <v>3559.9396384266629</v>
      </c>
      <c r="R11" s="16">
        <f t="shared" ref="R11:R17" ca="1" si="4">SUM(L11:P11)</f>
        <v>3559.9396384266638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-46.324305122269834</v>
      </c>
      <c r="D12" s="9">
        <f ca="1">-(D17-Q4)</f>
        <v>0</v>
      </c>
      <c r="E12" s="9">
        <f ca="1">-(E17-Q5)</f>
        <v>-286.63975230747201</v>
      </c>
      <c r="F12" s="9">
        <f ca="1">-(F17-Q6)</f>
        <v>-519.50447761194027</v>
      </c>
      <c r="G12" s="9">
        <f ca="1">-(G17-Q7)</f>
        <v>-120.65161964472327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-973.12015468640539</v>
      </c>
      <c r="M12" s="17"/>
      <c r="N12" s="17"/>
      <c r="O12" s="10"/>
      <c r="P12" s="12"/>
      <c r="Q12" s="9">
        <f t="shared" ref="Q12:Q17" ca="1" si="6">SUM(L12:P12)</f>
        <v>-973.12015468640539</v>
      </c>
      <c r="R12" s="17">
        <f t="shared" ca="1" si="4"/>
        <v>-973.12015468640539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-75.574712517306807</v>
      </c>
      <c r="J13" s="14">
        <f ca="1">-(J17-Q10)</f>
        <v>-693.24156059790948</v>
      </c>
      <c r="K13" s="13">
        <f ca="1">-(K17-Q11)</f>
        <v>-437.62587867538377</v>
      </c>
      <c r="L13" s="14">
        <f t="shared" ca="1" si="5"/>
        <v>-1206.4421517906001</v>
      </c>
      <c r="M13" s="16">
        <f ca="1">-E15</f>
        <v>-1399.3737782773276</v>
      </c>
      <c r="N13" s="16"/>
      <c r="O13" s="11"/>
      <c r="P13" s="13"/>
      <c r="Q13" s="14">
        <f t="shared" ca="1" si="6"/>
        <v>-2605.8159300679276</v>
      </c>
      <c r="R13" s="16">
        <f t="shared" ca="1" si="4"/>
        <v>-2605.8159300679276</v>
      </c>
    </row>
    <row r="14" spans="1:20">
      <c r="A14" s="18" t="s">
        <v>78</v>
      </c>
      <c r="B14" s="11"/>
      <c r="C14" s="14"/>
      <c r="D14" s="14"/>
      <c r="E14" s="14">
        <f ca="1">-(I13+J13)-K13</f>
        <v>1206.4421517906001</v>
      </c>
      <c r="F14" s="14"/>
      <c r="G14" s="14"/>
      <c r="H14" s="14"/>
      <c r="I14" s="14"/>
      <c r="J14" s="14"/>
      <c r="K14" s="13"/>
      <c r="L14" s="14">
        <f t="shared" ca="1" si="5"/>
        <v>1206.4421517906001</v>
      </c>
      <c r="M14" s="16"/>
      <c r="N14" s="16"/>
      <c r="O14" s="11"/>
      <c r="P14" s="13"/>
      <c r="Q14" s="14">
        <f t="shared" ca="1" si="6"/>
        <v>1206.4421517906001</v>
      </c>
      <c r="R14" s="16">
        <f t="shared" ca="1" si="4"/>
        <v>1206.4421517906001</v>
      </c>
    </row>
    <row r="15" spans="1:20">
      <c r="A15" s="18" t="s">
        <v>79</v>
      </c>
      <c r="B15" s="11"/>
      <c r="C15" s="14"/>
      <c r="D15" s="14"/>
      <c r="E15" s="14">
        <f ca="1">E17-E14</f>
        <v>1399.3737782773276</v>
      </c>
      <c r="F15" s="14"/>
      <c r="G15" s="14"/>
      <c r="H15" s="14"/>
      <c r="I15" s="14"/>
      <c r="J15" s="14"/>
      <c r="K15" s="13"/>
      <c r="L15" s="14">
        <f t="shared" ca="1" si="5"/>
        <v>1399.3737782773276</v>
      </c>
      <c r="M15" s="16"/>
      <c r="N15" s="16"/>
      <c r="O15" s="11"/>
      <c r="P15" s="13"/>
      <c r="Q15" s="14">
        <f t="shared" ca="1" si="6"/>
        <v>1399.3737782773276</v>
      </c>
      <c r="R15" s="16">
        <f t="shared" ca="1" si="4"/>
        <v>1399.3737782773276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7353.0643051222696</v>
      </c>
      <c r="D17" s="9">
        <f ca="1">SUM(D$2:D$11)</f>
        <v>0</v>
      </c>
      <c r="E17" s="9">
        <f ca="1">$Q$5/parameters!$B$4</f>
        <v>2605.8159300679276</v>
      </c>
      <c r="F17" s="9">
        <f t="shared" ref="F17:K17" ca="1" si="7">SUM(F$2:F$11)</f>
        <v>8379.1044776119397</v>
      </c>
      <c r="G17" s="9">
        <f t="shared" ca="1" si="7"/>
        <v>2805.8516196447231</v>
      </c>
      <c r="H17" s="9">
        <f t="shared" ca="1" si="7"/>
        <v>10544.8</v>
      </c>
      <c r="I17" s="9">
        <f t="shared" ca="1" si="7"/>
        <v>1274.1147125173068</v>
      </c>
      <c r="J17" s="9">
        <f t="shared" ca="1" si="7"/>
        <v>11687.365287482689</v>
      </c>
      <c r="K17" s="9">
        <f t="shared" ca="1" si="7"/>
        <v>3997.5655171020467</v>
      </c>
      <c r="L17" s="17">
        <f t="shared" ca="1" si="5"/>
        <v>48647.681849548899</v>
      </c>
      <c r="M17" s="17"/>
      <c r="N17" s="17"/>
      <c r="O17" s="9"/>
      <c r="P17" s="14"/>
      <c r="Q17" s="11">
        <f t="shared" ca="1" si="6"/>
        <v>48647.681849548899</v>
      </c>
      <c r="R17" s="17">
        <f t="shared" ca="1" si="4"/>
        <v>48647.681849548899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0.94068453038424493</v>
      </c>
      <c r="J18" s="38">
        <f ca="1">I18</f>
        <v>0.94068453038424493</v>
      </c>
      <c r="K18" s="39">
        <f ca="1">1-(-K13)/K17</f>
        <v>0.89052690273538493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9386.2835865955512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9386.2835865955512</v>
      </c>
      <c r="M2" s="17"/>
      <c r="N2" s="17">
        <f ca="1">Q2-(L2+O2+P2)</f>
        <v>0</v>
      </c>
      <c r="O2" s="11" cm="1">
        <f t="array" aca="1" ref="O2" ca="1">INDIRECT("'data'!$F$" &amp; $A$1)</f>
        <v>3.25</v>
      </c>
      <c r="P2" s="13">
        <f ca="1">IF(-(L2-Q2+O2)&lt;0, -(L2-Q2+O2), 0)</f>
        <v>-9389.0335865955512</v>
      </c>
      <c r="Q2" s="17" cm="1">
        <f t="array" aca="1" ref="Q2" ca="1">INDIRECT("'data'!$D$" &amp; $A$1)</f>
        <v>0.5</v>
      </c>
      <c r="R2" s="17">
        <f ca="1">SUM(L2:P2)</f>
        <v>0.5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9013.9522388059704</v>
      </c>
      <c r="G3" s="14">
        <f ca="1">Q3-O3-P3-F3</f>
        <v>457.78276119403017</v>
      </c>
      <c r="H3" s="14"/>
      <c r="I3" s="14"/>
      <c r="J3" s="14"/>
      <c r="K3" s="13"/>
      <c r="L3" s="16">
        <f t="shared" ca="1" si="0"/>
        <v>9471.7350000000006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6.6149999999999993</v>
      </c>
      <c r="P3" s="13" cm="1">
        <f t="array" aca="1" ref="P3" ca="1">-INDIRECT("'data'!$I$" &amp; $A$1)*parameters!$B$13</f>
        <v>-151.19999999999999</v>
      </c>
      <c r="Q3" s="16" cm="1">
        <f t="array" aca="1" ref="Q3" ca="1">INDIRECT("'data'!$G$" &amp; $A$1)*parameters!$B$13</f>
        <v>9327.15</v>
      </c>
      <c r="R3" s="16">
        <f t="shared" ref="R3:R10" ca="1" si="2">SUM(L3:P3)</f>
        <v>9327.15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Q6/parameters!$B$5*16%</f>
        <v>1716.9432835820896</v>
      </c>
      <c r="G5" s="14">
        <f ca="1">Q7/parameters!$B$7-(G3+G4)</f>
        <v>2892.8546473744132</v>
      </c>
      <c r="H5" s="14"/>
      <c r="I5" s="14"/>
      <c r="J5" s="14"/>
      <c r="K5" s="13"/>
      <c r="L5" s="16">
        <f t="shared" ca="1" si="0"/>
        <v>4609.7979309565026</v>
      </c>
      <c r="M5" s="16"/>
      <c r="N5" s="16"/>
      <c r="O5" s="11" cm="1">
        <f t="array" aca="1" ref="O5" ca="1">INDIRECT("'data'!$M$" &amp; $A$1)*parameters!$B$15</f>
        <v>4720.66</v>
      </c>
      <c r="P5" s="13" cm="1">
        <f t="array" aca="1" ref="P5" ca="1">-INDIRECT("'data'!$N$" &amp; $A$1)*parameters!$B$15</f>
        <v>-160.72</v>
      </c>
      <c r="Q5" s="16">
        <f ca="1">SUM(L5:P5)</f>
        <v>9169.7379309565022</v>
      </c>
      <c r="R5" s="16">
        <f t="shared" ca="1" si="2"/>
        <v>9169.7379309565022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10065.58</v>
      </c>
      <c r="I6" s="14"/>
      <c r="J6" s="14"/>
      <c r="K6" s="13"/>
      <c r="L6" s="16">
        <f t="shared" ca="1" si="0"/>
        <v>10065.58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10065.58</v>
      </c>
      <c r="R6" s="16">
        <f t="shared" ca="1" si="2"/>
        <v>10065.58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3206.56</v>
      </c>
      <c r="I7" s="14"/>
      <c r="J7" s="14"/>
      <c r="K7" s="13"/>
      <c r="L7" s="16">
        <f t="shared" ca="1" si="0"/>
        <v>3206.56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3206.56</v>
      </c>
      <c r="R7" s="16">
        <f t="shared" ca="1" si="2"/>
        <v>3206.56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6483.1783270727065</v>
      </c>
      <c r="J8" s="14">
        <f ca="1">Q10/J18</f>
        <v>6438.1216729272928</v>
      </c>
      <c r="K8" s="13"/>
      <c r="L8" s="16">
        <f t="shared" ca="1" si="0"/>
        <v>12921.3</v>
      </c>
      <c r="M8" s="16"/>
      <c r="N8" s="16">
        <f t="shared" ca="1" si="3"/>
        <v>0</v>
      </c>
      <c r="O8" s="11" cm="1">
        <f t="array" aca="1" ref="O8" ca="1">INDIRECT("'data'!$R$" &amp; $A$1)*parameters!$B$15</f>
        <v>735.98</v>
      </c>
      <c r="P8" s="13" cm="1">
        <f t="array" aca="1" ref="P8" ca="1">-INDIRECT("'data'!$S$" &amp; $A$1)*parameters!$B$15</f>
        <v>-385.14</v>
      </c>
      <c r="Q8" s="16">
        <f ca="1">SUM(Q6:Q7)</f>
        <v>13272.14</v>
      </c>
      <c r="R8" s="16">
        <f t="shared" ca="1" si="2"/>
        <v>13272.14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4718.7000000000007</v>
      </c>
      <c r="L9" s="16">
        <f t="shared" ca="1" si="0"/>
        <v>4718.7000000000007</v>
      </c>
      <c r="M9" s="16"/>
      <c r="N9" s="16">
        <f t="shared" ca="1" si="3"/>
        <v>0</v>
      </c>
      <c r="O9" s="11" cm="1">
        <f t="array" aca="1" ref="O9" ca="1">INDIRECT("'data'!$U$" &amp; $A$1)*parameters!$B$15</f>
        <v>2933.14</v>
      </c>
      <c r="P9" s="13" cm="1">
        <f t="array" aca="1" ref="P9" ca="1">-INDIRECT("'data'!$V$" &amp; $A$1)*parameters!$B$15</f>
        <v>-2027.62</v>
      </c>
      <c r="Q9" s="16" cm="1">
        <f t="array" aca="1" ref="Q9" ca="1">INDIRECT("'data'!$T$" &amp; $A$1)*parameters!$B$15</f>
        <v>5624.22</v>
      </c>
      <c r="R9" s="16">
        <f t="shared" ca="1" si="2"/>
        <v>5624.22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7769.5529160739688</v>
      </c>
      <c r="L10" s="16">
        <f t="shared" ca="1" si="0"/>
        <v>7769.5529160739688</v>
      </c>
      <c r="M10" s="16"/>
      <c r="N10" s="16">
        <f t="shared" ca="1" si="3"/>
        <v>0</v>
      </c>
      <c r="O10" s="11" cm="1">
        <f t="array" aca="1" ref="O10" ca="1">INDIRECT("'data'!$X$" &amp; $A$1)*parameters!$B$15</f>
        <v>2263.8000000000002</v>
      </c>
      <c r="P10" s="13" cm="1">
        <f t="array" aca="1" ref="P10" ca="1">-INDIRECT("'data'!$Y$" &amp; $A$1)*parameters!$B$15</f>
        <v>-4448.22</v>
      </c>
      <c r="Q10" s="16" cm="1">
        <f t="array" aca="1" ref="Q10" ca="1">INDIRECT("'data'!$W$" &amp; $A$1)*parameters!$B$15</f>
        <v>5585.1329160739688</v>
      </c>
      <c r="R10" s="16">
        <f t="shared" ca="1" si="2"/>
        <v>5585.1329160739688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14057.393507823614</v>
      </c>
      <c r="N11" s="19"/>
      <c r="O11" s="21" cm="1">
        <f t="array" aca="1" ref="O11" ca="1">INDIRECT("'data'!$Z$" &amp; $A$1)*parameters!$B$15</f>
        <v>5687.43</v>
      </c>
      <c r="P11" s="27" cm="1">
        <f t="array" aca="1" ref="P11" ca="1">-INDIRECT("'data'!$AA$" &amp; $A$1)*parameters!$B$15</f>
        <v>-8627.43</v>
      </c>
      <c r="Q11" s="16">
        <f ca="1">K9*parameters!$B$10+K10*parameters!$B$11</f>
        <v>11117.393507823614</v>
      </c>
      <c r="R11" s="16">
        <f t="shared" ref="R11:R17" ca="1" si="4">SUM(L11:P11)</f>
        <v>11117.393507823614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-59.133586595551606</v>
      </c>
      <c r="D12" s="9">
        <f ca="1">-(D17-Q4)</f>
        <v>0</v>
      </c>
      <c r="E12" s="9">
        <f ca="1">-(E17-Q5)</f>
        <v>-1133.3383959609164</v>
      </c>
      <c r="F12" s="9">
        <f ca="1">-(F17-Q6)</f>
        <v>-665.31552238806034</v>
      </c>
      <c r="G12" s="9">
        <f ca="1">-(G17-Q7)</f>
        <v>-144.07740856844339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-2001.8649135129717</v>
      </c>
      <c r="M12" s="17"/>
      <c r="N12" s="17"/>
      <c r="O12" s="10"/>
      <c r="P12" s="12"/>
      <c r="Q12" s="9">
        <f t="shared" ref="Q12:Q17" ca="1" si="6">SUM(L12:P12)</f>
        <v>-2001.8649135129717</v>
      </c>
      <c r="R12" s="17">
        <f t="shared" ca="1" si="4"/>
        <v>-2001.8649135129717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-858.9583270727062</v>
      </c>
      <c r="J13" s="14">
        <f ca="1">-(J17-Q10)</f>
        <v>-852.98875685332405</v>
      </c>
      <c r="K13" s="13">
        <f ca="1">-(K17-Q11)</f>
        <v>-1370.859408250355</v>
      </c>
      <c r="L13" s="14">
        <f t="shared" ca="1" si="5"/>
        <v>-3082.8064921763853</v>
      </c>
      <c r="M13" s="16">
        <f ca="1">-E15</f>
        <v>-7220.2698347410333</v>
      </c>
      <c r="N13" s="16"/>
      <c r="O13" s="11"/>
      <c r="P13" s="13"/>
      <c r="Q13" s="14">
        <f t="shared" ca="1" si="6"/>
        <v>-10303.076326917419</v>
      </c>
      <c r="R13" s="16">
        <f t="shared" ca="1" si="4"/>
        <v>-10303.076326917419</v>
      </c>
    </row>
    <row r="14" spans="1:20">
      <c r="A14" s="18" t="s">
        <v>78</v>
      </c>
      <c r="B14" s="11"/>
      <c r="C14" s="14"/>
      <c r="D14" s="14"/>
      <c r="E14" s="14">
        <f ca="1">-(I13+J13)-K13</f>
        <v>3082.8064921763853</v>
      </c>
      <c r="F14" s="14"/>
      <c r="G14" s="14"/>
      <c r="H14" s="14"/>
      <c r="I14" s="14"/>
      <c r="J14" s="14"/>
      <c r="K14" s="13"/>
      <c r="L14" s="14">
        <f t="shared" ca="1" si="5"/>
        <v>3082.8064921763853</v>
      </c>
      <c r="M14" s="16"/>
      <c r="N14" s="16"/>
      <c r="O14" s="11"/>
      <c r="P14" s="13"/>
      <c r="Q14" s="14">
        <f t="shared" ca="1" si="6"/>
        <v>3082.8064921763853</v>
      </c>
      <c r="R14" s="16">
        <f t="shared" ca="1" si="4"/>
        <v>3082.8064921763853</v>
      </c>
    </row>
    <row r="15" spans="1:20">
      <c r="A15" s="18" t="s">
        <v>79</v>
      </c>
      <c r="B15" s="11"/>
      <c r="C15" s="14"/>
      <c r="D15" s="14"/>
      <c r="E15" s="14">
        <f ca="1">E17-E14</f>
        <v>7220.2698347410333</v>
      </c>
      <c r="F15" s="14"/>
      <c r="G15" s="14"/>
      <c r="H15" s="14"/>
      <c r="I15" s="14"/>
      <c r="J15" s="14"/>
      <c r="K15" s="13"/>
      <c r="L15" s="14">
        <f t="shared" ca="1" si="5"/>
        <v>7220.2698347410333</v>
      </c>
      <c r="M15" s="16"/>
      <c r="N15" s="16"/>
      <c r="O15" s="11"/>
      <c r="P15" s="13"/>
      <c r="Q15" s="14">
        <f t="shared" ca="1" si="6"/>
        <v>7220.2698347410333</v>
      </c>
      <c r="R15" s="16">
        <f t="shared" ca="1" si="4"/>
        <v>7220.2698347410333</v>
      </c>
    </row>
    <row r="16" spans="1:20">
      <c r="A16" s="30" t="s">
        <v>89</v>
      </c>
      <c r="B16" s="21">
        <f ca="1">Q2</f>
        <v>0.5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0.5</v>
      </c>
      <c r="M16" s="19"/>
      <c r="N16" s="19"/>
      <c r="O16" s="21"/>
      <c r="P16" s="27"/>
      <c r="Q16" s="22">
        <f t="shared" ca="1" si="6"/>
        <v>0.5</v>
      </c>
      <c r="R16" s="19">
        <f t="shared" ca="1" si="4"/>
        <v>0.5</v>
      </c>
    </row>
    <row r="17" spans="1:18">
      <c r="A17" s="29" t="s">
        <v>88</v>
      </c>
      <c r="B17" s="9">
        <f ca="1">B16</f>
        <v>0.5</v>
      </c>
      <c r="C17" s="9">
        <f ca="1">SUM(C$2:C$11)</f>
        <v>9386.2835865955512</v>
      </c>
      <c r="D17" s="9">
        <f ca="1">SUM(D$2:D$11)</f>
        <v>0</v>
      </c>
      <c r="E17" s="9">
        <f ca="1">$Q$5/parameters!$B$4</f>
        <v>10303.076326917419</v>
      </c>
      <c r="F17" s="9">
        <f t="shared" ref="F17:K17" ca="1" si="7">SUM(F$2:F$11)</f>
        <v>10730.89552238806</v>
      </c>
      <c r="G17" s="9">
        <f t="shared" ca="1" si="7"/>
        <v>3350.6374085684433</v>
      </c>
      <c r="H17" s="9">
        <f t="shared" ca="1" si="7"/>
        <v>13272.14</v>
      </c>
      <c r="I17" s="9">
        <f t="shared" ca="1" si="7"/>
        <v>6483.1783270727065</v>
      </c>
      <c r="J17" s="9">
        <f t="shared" ca="1" si="7"/>
        <v>6438.1216729272928</v>
      </c>
      <c r="K17" s="9">
        <f t="shared" ca="1" si="7"/>
        <v>12488.252916073969</v>
      </c>
      <c r="L17" s="17">
        <f t="shared" ca="1" si="5"/>
        <v>72453.085760543443</v>
      </c>
      <c r="M17" s="17"/>
      <c r="N17" s="17"/>
      <c r="O17" s="9"/>
      <c r="P17" s="14"/>
      <c r="Q17" s="11">
        <f t="shared" ca="1" si="6"/>
        <v>72453.085760543443</v>
      </c>
      <c r="R17" s="17">
        <f t="shared" ca="1" si="4"/>
        <v>72453.085760543443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0.95699999999999985</v>
      </c>
      <c r="H18" s="38">
        <f t="shared" ref="H18" ca="1" si="9">1-(-H12)/H17</f>
        <v>1</v>
      </c>
      <c r="I18" s="38">
        <f ca="1">(Q9+Q10)/(Q8-O8-P8)</f>
        <v>0.86750968680194485</v>
      </c>
      <c r="J18" s="38">
        <f ca="1">I18</f>
        <v>0.86750968680194485</v>
      </c>
      <c r="K18" s="39">
        <f ca="1">1-(-K13)/K17</f>
        <v>0.89022808735032222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5045.0085538895028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5045.0085538895028</v>
      </c>
      <c r="M2" s="17"/>
      <c r="N2" s="17">
        <f ca="1">Q2-(L2+O2+P2)</f>
        <v>0</v>
      </c>
      <c r="O2" s="11" cm="1">
        <f t="array" aca="1" ref="O2" ca="1">INDIRECT("'data'!$F$" &amp; $A$1)</f>
        <v>19.5</v>
      </c>
      <c r="P2" s="13">
        <f ca="1">IF(-(L2-Q2+O2)&lt;0, -(L2-Q2+O2), 0)</f>
        <v>-5064.5085538895028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5056.3402985074626</v>
      </c>
      <c r="G3" s="14">
        <f ca="1">Q3-O3-P3-F3</f>
        <v>5.0797014925365147</v>
      </c>
      <c r="H3" s="14"/>
      <c r="I3" s="14"/>
      <c r="J3" s="14"/>
      <c r="K3" s="13"/>
      <c r="L3" s="16">
        <f t="shared" ca="1" si="0"/>
        <v>5061.4199999999992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79.38</v>
      </c>
      <c r="P3" s="13" cm="1">
        <f t="array" aca="1" ref="P3" ca="1">-INDIRECT("'data'!$I$" &amp; $A$1)*parameters!$B$13</f>
        <v>-127.57499999999999</v>
      </c>
      <c r="Q3" s="16" cm="1">
        <f t="array" aca="1" ref="Q3" ca="1">INDIRECT("'data'!$G$" &amp; $A$1)*parameters!$B$13</f>
        <v>5013.2249999999995</v>
      </c>
      <c r="R3" s="16">
        <f t="shared" ref="R3:R10" ca="1" si="2">SUM(L3:P3)</f>
        <v>5013.2249999999995</v>
      </c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 ht="17">
      <c r="A5" s="15" t="s">
        <v>108</v>
      </c>
      <c r="B5" s="11"/>
      <c r="C5" s="14"/>
      <c r="D5" s="14"/>
      <c r="E5" s="14"/>
      <c r="F5" s="14">
        <f ca="1">Q6/parameters!$B$5*18%</f>
        <v>1109.9283582089552</v>
      </c>
      <c r="G5" s="14">
        <f ca="1">Q7/parameters!$B$7-(G3+G4)</f>
        <v>133.16481261404658</v>
      </c>
      <c r="H5" s="14"/>
      <c r="I5" s="14"/>
      <c r="J5" s="14"/>
      <c r="K5" s="13"/>
      <c r="L5" s="16">
        <f t="shared" ca="1" si="0"/>
        <v>1243.0931708230019</v>
      </c>
      <c r="M5" s="16"/>
      <c r="N5" s="16"/>
      <c r="O5" s="11" cm="1">
        <f t="array" aca="1" ref="O5" ca="1">INDIRECT("'data'!$M$" &amp; $A$1)*parameters!$B$15</f>
        <v>3148.74</v>
      </c>
      <c r="P5" s="13" cm="1">
        <f t="array" aca="1" ref="P5" ca="1">-INDIRECT("'data'!$N$" &amp; $A$1)*parameters!$B$15</f>
        <v>-1280.8599999999999</v>
      </c>
      <c r="Q5" s="16">
        <f ca="1">SUM(L5:P5)</f>
        <v>3110.973170823002</v>
      </c>
      <c r="R5" s="16">
        <f t="shared" ca="1" si="2"/>
        <v>3110.973170823002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5783.96</v>
      </c>
      <c r="I6" s="14"/>
      <c r="J6" s="14"/>
      <c r="K6" s="13"/>
      <c r="L6" s="16">
        <f t="shared" ca="1" si="0"/>
        <v>5783.96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5783.96</v>
      </c>
      <c r="R6" s="16">
        <f t="shared" ca="1" si="2"/>
        <v>5783.96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132.30000000000001</v>
      </c>
      <c r="I7" s="14"/>
      <c r="J7" s="14"/>
      <c r="K7" s="13"/>
      <c r="L7" s="16">
        <f t="shared" ca="1" si="0"/>
        <v>132.30000000000001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132.30000000000001</v>
      </c>
      <c r="R7" s="16">
        <f t="shared" ca="1" si="2"/>
        <v>132.30000000000001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290.70808841677501</v>
      </c>
      <c r="J8" s="14">
        <f ca="1">Q10/J18</f>
        <v>5461.8919115832259</v>
      </c>
      <c r="K8" s="13"/>
      <c r="L8" s="16">
        <f t="shared" ca="1" si="0"/>
        <v>5752.6000000000013</v>
      </c>
      <c r="M8" s="16"/>
      <c r="N8" s="16">
        <f t="shared" ca="1" si="3"/>
        <v>0</v>
      </c>
      <c r="O8" s="11" cm="1">
        <f t="array" aca="1" ref="O8" ca="1">INDIRECT("'data'!$R$" &amp; $A$1)*parameters!$B$15</f>
        <v>305.76</v>
      </c>
      <c r="P8" s="13" cm="1">
        <f t="array" aca="1" ref="P8" ca="1">-INDIRECT("'data'!$S$" &amp; $A$1)*parameters!$B$15</f>
        <v>-142.1</v>
      </c>
      <c r="Q8" s="16">
        <f ca="1">SUM(Q6:Q7)</f>
        <v>5916.26</v>
      </c>
      <c r="R8" s="16">
        <f t="shared" ca="1" si="2"/>
        <v>5916.2600000000011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1953.1399999999999</v>
      </c>
      <c r="L9" s="16">
        <f t="shared" ca="1" si="0"/>
        <v>1953.1399999999999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624.26</v>
      </c>
      <c r="P9" s="13" cm="1">
        <f t="array" aca="1" ref="P9" ca="1">-INDIRECT("'data'!$V$" &amp; $A$1)*parameters!$B$15</f>
        <v>-2319.66</v>
      </c>
      <c r="Q9" s="16" cm="1">
        <f t="array" aca="1" ref="Q9" ca="1">INDIRECT("'data'!$T$" &amp; $A$1)*parameters!$B$15</f>
        <v>257.74</v>
      </c>
      <c r="R9" s="16">
        <f t="shared" ca="1" si="2"/>
        <v>257.73999999999978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2643.3597155049783</v>
      </c>
      <c r="L10" s="16">
        <f t="shared" ca="1" si="0"/>
        <v>2643.3597155049783</v>
      </c>
      <c r="M10" s="16"/>
      <c r="N10" s="16">
        <f t="shared" ca="1" si="3"/>
        <v>0</v>
      </c>
      <c r="O10" s="11" cm="1">
        <f t="array" aca="1" ref="O10" ca="1">INDIRECT("'data'!$X$" &amp; $A$1)*parameters!$B$15</f>
        <v>4651.08</v>
      </c>
      <c r="P10" s="13" cm="1">
        <f t="array" aca="1" ref="P10" ca="1">-INDIRECT("'data'!$Y$" &amp; $A$1)*parameters!$B$15</f>
        <v>-2451.96</v>
      </c>
      <c r="Q10" s="16" cm="1">
        <f t="array" aca="1" ref="Q10" ca="1">INDIRECT("'data'!$W$" &amp; $A$1)*parameters!$B$15</f>
        <v>4842.4797155049782</v>
      </c>
      <c r="R10" s="16">
        <f t="shared" ca="1" si="2"/>
        <v>4842.4797155049782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4501.2409553342814</v>
      </c>
      <c r="N11" s="19"/>
      <c r="O11" s="21" cm="1">
        <f t="array" aca="1" ref="O11" ca="1">INDIRECT("'data'!$Z$" &amp; $A$1)*parameters!$B$15</f>
        <v>3497.62</v>
      </c>
      <c r="P11" s="27" cm="1">
        <f t="array" aca="1" ref="P11" ca="1">-INDIRECT("'data'!$AA$" &amp; $A$1)*parameters!$B$15</f>
        <v>-3889.62</v>
      </c>
      <c r="Q11" s="16">
        <f ca="1">K9*parameters!$B$10+K10*parameters!$B$11</f>
        <v>4109.2409553342814</v>
      </c>
      <c r="R11" s="16">
        <f t="shared" ref="R11:R17" ca="1" si="4">SUM(L11:P11)</f>
        <v>4109.2409553342814</v>
      </c>
    </row>
    <row r="12" spans="1:19">
      <c r="A12" s="29" t="s">
        <v>86</v>
      </c>
      <c r="B12" s="10">
        <f ca="1">-(B17-Q2)</f>
        <v>0</v>
      </c>
      <c r="C12" s="9">
        <f ca="1">-(C17-Q3)</f>
        <v>-31.78355388950331</v>
      </c>
      <c r="D12" s="9">
        <f ca="1">-(D17-Q4)</f>
        <v>0</v>
      </c>
      <c r="E12" s="9">
        <f ca="1">-(E17-Q5)</f>
        <v>-384.50230201183149</v>
      </c>
      <c r="F12" s="9">
        <f ca="1">-(F17-Q6)</f>
        <v>-382.30865671641823</v>
      </c>
      <c r="G12" s="9">
        <f ca="1">-(G17-Q7)</f>
        <v>-5.9445141065830853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-804.53902672433605</v>
      </c>
      <c r="M12" s="17"/>
      <c r="N12" s="17"/>
      <c r="O12" s="10"/>
      <c r="P12" s="12"/>
      <c r="Q12" s="9">
        <f t="shared" ref="Q12:Q17" ca="1" si="6">SUM(L12:P12)</f>
        <v>-804.53902672433605</v>
      </c>
      <c r="R12" s="17">
        <f t="shared" ca="1" si="4"/>
        <v>-804.53902672433605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-32.968088416775004</v>
      </c>
      <c r="J13" s="14">
        <f ca="1">-(J17-Q10)</f>
        <v>-619.41219607824769</v>
      </c>
      <c r="K13" s="13">
        <f ca="1">-(K17-Q11)</f>
        <v>-487.25876017069731</v>
      </c>
      <c r="L13" s="14">
        <f t="shared" ca="1" si="5"/>
        <v>-1139.6390446657201</v>
      </c>
      <c r="M13" s="16">
        <f ca="1">-E15</f>
        <v>-2355.8364281691133</v>
      </c>
      <c r="N13" s="16"/>
      <c r="O13" s="11"/>
      <c r="P13" s="13"/>
      <c r="Q13" s="14">
        <f t="shared" ca="1" si="6"/>
        <v>-3495.4754728348335</v>
      </c>
      <c r="R13" s="16">
        <f t="shared" ca="1" si="4"/>
        <v>-3495.4754728348335</v>
      </c>
    </row>
    <row r="14" spans="1:19">
      <c r="A14" s="18" t="s">
        <v>78</v>
      </c>
      <c r="B14" s="11"/>
      <c r="C14" s="14"/>
      <c r="D14" s="14"/>
      <c r="E14" s="14">
        <f ca="1">-(I13+J13)-K13</f>
        <v>1139.6390446657201</v>
      </c>
      <c r="F14" s="14"/>
      <c r="G14" s="14"/>
      <c r="H14" s="14"/>
      <c r="I14" s="14"/>
      <c r="J14" s="14"/>
      <c r="K14" s="13"/>
      <c r="L14" s="14">
        <f t="shared" ca="1" si="5"/>
        <v>1139.6390446657201</v>
      </c>
      <c r="M14" s="16"/>
      <c r="N14" s="16"/>
      <c r="O14" s="11"/>
      <c r="P14" s="13"/>
      <c r="Q14" s="14">
        <f t="shared" ca="1" si="6"/>
        <v>1139.6390446657201</v>
      </c>
      <c r="R14" s="16">
        <f t="shared" ca="1" si="4"/>
        <v>1139.6390446657201</v>
      </c>
    </row>
    <row r="15" spans="1:19">
      <c r="A15" s="18" t="s">
        <v>79</v>
      </c>
      <c r="B15" s="11"/>
      <c r="C15" s="14"/>
      <c r="D15" s="14"/>
      <c r="E15" s="14">
        <f ca="1">E17-E14</f>
        <v>2355.8364281691133</v>
      </c>
      <c r="F15" s="14"/>
      <c r="G15" s="14"/>
      <c r="H15" s="14"/>
      <c r="I15" s="14"/>
      <c r="J15" s="14"/>
      <c r="K15" s="13"/>
      <c r="L15" s="14">
        <f t="shared" ca="1" si="5"/>
        <v>2355.8364281691133</v>
      </c>
      <c r="M15" s="16"/>
      <c r="N15" s="16"/>
      <c r="O15" s="11"/>
      <c r="P15" s="13"/>
      <c r="Q15" s="14">
        <f t="shared" ca="1" si="6"/>
        <v>2355.8364281691133</v>
      </c>
      <c r="R15" s="16">
        <f t="shared" ca="1" si="4"/>
        <v>2355.8364281691133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5045.0085538895028</v>
      </c>
      <c r="D17" s="9">
        <f ca="1">SUM(D$2:D$11)</f>
        <v>0</v>
      </c>
      <c r="E17" s="9">
        <f ca="1">$Q$5/parameters!$B$4</f>
        <v>3495.4754728348335</v>
      </c>
      <c r="F17" s="9">
        <f t="shared" ref="F17:K17" ca="1" si="7">SUM(F$2:F$11)</f>
        <v>6166.2686567164183</v>
      </c>
      <c r="G17" s="9">
        <f t="shared" ca="1" si="7"/>
        <v>138.2445141065831</v>
      </c>
      <c r="H17" s="9">
        <f t="shared" ca="1" si="7"/>
        <v>5916.26</v>
      </c>
      <c r="I17" s="9">
        <f t="shared" ca="1" si="7"/>
        <v>290.70808841677501</v>
      </c>
      <c r="J17" s="9">
        <f t="shared" ca="1" si="7"/>
        <v>5461.8919115832259</v>
      </c>
      <c r="K17" s="9">
        <f t="shared" ca="1" si="7"/>
        <v>4596.4997155049787</v>
      </c>
      <c r="L17" s="17">
        <f t="shared" ca="1" si="5"/>
        <v>31110.356913052317</v>
      </c>
      <c r="M17" s="17"/>
      <c r="N17" s="17"/>
      <c r="O17" s="9"/>
      <c r="P17" s="14"/>
      <c r="Q17" s="11">
        <f t="shared" ca="1" si="6"/>
        <v>31110.356913052317</v>
      </c>
      <c r="R17" s="17">
        <f t="shared" ca="1" si="4"/>
        <v>31110.356913052317</v>
      </c>
    </row>
    <row r="18" spans="1:18">
      <c r="A18" s="30" t="s">
        <v>75</v>
      </c>
      <c r="B18" s="38" t="str">
        <f ca="1">IFERROR(1-(-B12)/B17, "")</f>
        <v/>
      </c>
      <c r="C18" s="38">
        <f ca="1">IFERROR(1-(-C12)/C17, "")</f>
        <v>0.99370000000000014</v>
      </c>
      <c r="D18" s="38" t="str">
        <f ca="1">IFERROR(1-(-D12)/D17, "")</f>
        <v/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0.88659383852605389</v>
      </c>
      <c r="J18" s="38">
        <f ca="1">I18</f>
        <v>0.88659383852605389</v>
      </c>
      <c r="K18" s="39">
        <f ca="1">1-(-K13)/K17</f>
        <v>0.89399351891025491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sheetPr>
    <tabColor theme="2" tint="-9.9978637043366805E-2"/>
  </sheetPr>
  <dimension ref="A1:S23"/>
  <sheetViews>
    <sheetView zoomScaleNormal="100"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5722.1143202173689</v>
      </c>
      <c r="D2" s="9">
        <f ca="1">Q4/parameters!$B$3</f>
        <v>1268.3908624333301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6990.5051826506988</v>
      </c>
      <c r="M2" s="17"/>
      <c r="N2" s="17">
        <f ca="1">Q2-(L2+O2+P2)</f>
        <v>3500.1448173492972</v>
      </c>
      <c r="O2" s="11" cm="1">
        <f t="array" aca="1" ref="O2" ca="1">INDIRECT("'data'!$F$" &amp; $A$1)</f>
        <v>102101.35</v>
      </c>
      <c r="P2" s="13">
        <f ca="1">IF(-(L2-Q2+O2)&lt;0, -(L2-Q2+O2), 0)</f>
        <v>0</v>
      </c>
      <c r="Q2" s="17" cm="1">
        <f t="array" aca="1" ref="Q2" ca="1">INDIRECT("'data'!$D$" &amp; $A$1)</f>
        <v>112592</v>
      </c>
      <c r="R2" s="17">
        <f ca="1">SUM(L2:P2)</f>
        <v>112592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5670.5850746268652</v>
      </c>
      <c r="G3" s="14">
        <f ca="1">Q3-O3-P3-F3</f>
        <v>21.149925373134465</v>
      </c>
      <c r="H3" s="14"/>
      <c r="I3" s="14"/>
      <c r="J3" s="14"/>
      <c r="K3" s="13"/>
      <c r="L3" s="16">
        <f t="shared" ca="1" si="0"/>
        <v>5691.7349999999997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-5.67</v>
      </c>
      <c r="Q3" s="16" cm="1">
        <f t="array" aca="1" ref="Q3" ca="1">INDIRECT("'data'!$G$" &amp; $A$1)*parameters!$B$13</f>
        <v>5686.0649999999996</v>
      </c>
      <c r="R3" s="16">
        <f t="shared" ref="R3:R10" ca="1" si="2">SUM(L3:P3)</f>
        <v>5686.0649999999996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1260.4000000000001</v>
      </c>
      <c r="H4" s="14"/>
      <c r="I4" s="14"/>
      <c r="J4" s="14"/>
      <c r="K4" s="13"/>
      <c r="L4" s="16">
        <f t="shared" ca="1" si="0"/>
        <v>1260.4000000000001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1260.4000000000001</v>
      </c>
      <c r="R4" s="16">
        <f t="shared" ca="1" si="2"/>
        <v>1260.4000000000001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Q6/parameters!$B$5*6%</f>
        <v>361.95223880597013</v>
      </c>
      <c r="G5" s="14">
        <f ca="1">Q7/parameters!$B$7-(G3+G4)</f>
        <v>7.708172850480878</v>
      </c>
      <c r="H5" s="14"/>
      <c r="I5" s="14"/>
      <c r="J5" s="14"/>
      <c r="K5" s="13"/>
      <c r="L5" s="16">
        <f t="shared" ca="1" si="0"/>
        <v>369.660411656451</v>
      </c>
      <c r="M5" s="16"/>
      <c r="N5" s="16"/>
      <c r="O5" s="11" cm="1">
        <f t="array" aca="1" ref="O5" ca="1">INDIRECT("'data'!$M$" &amp; $A$1)*parameters!$B$15</f>
        <v>1013.3199999999999</v>
      </c>
      <c r="P5" s="13" cm="1">
        <f t="array" aca="1" ref="P5" ca="1">-INDIRECT("'data'!$N$" &amp; $A$1)*parameters!$B$15</f>
        <v>-5.88</v>
      </c>
      <c r="Q5" s="16">
        <f ca="1">SUM(L5:P5)</f>
        <v>1377.1004116564509</v>
      </c>
      <c r="R5" s="16">
        <f t="shared" ca="1" si="2"/>
        <v>1377.1004116564509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5658.5199999999995</v>
      </c>
      <c r="I6" s="14"/>
      <c r="J6" s="14"/>
      <c r="K6" s="13"/>
      <c r="L6" s="16">
        <f t="shared" ca="1" si="0"/>
        <v>5658.5199999999995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5658.5199999999995</v>
      </c>
      <c r="R6" s="16">
        <f t="shared" ca="1" si="2"/>
        <v>5658.5199999999995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1233.82</v>
      </c>
      <c r="I7" s="14"/>
      <c r="J7" s="14"/>
      <c r="K7" s="13"/>
      <c r="L7" s="16">
        <f t="shared" ca="1" si="0"/>
        <v>1233.82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1233.82</v>
      </c>
      <c r="R7" s="16">
        <f t="shared" ca="1" si="2"/>
        <v>1233.82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1890</v>
      </c>
      <c r="J8" s="14">
        <f ca="1">Q10/J18</f>
        <v>2331.7211948790896</v>
      </c>
      <c r="K8" s="13"/>
      <c r="L8" s="16">
        <f t="shared" ca="1" si="0"/>
        <v>4221.72119487909</v>
      </c>
      <c r="M8" s="16"/>
      <c r="N8" s="16">
        <f t="shared" ca="1" si="3"/>
        <v>2656.8988051209089</v>
      </c>
      <c r="O8" s="11" cm="1">
        <f t="array" aca="1" ref="O8" ca="1">INDIRECT("'data'!$R$" &amp; $A$1)*parameters!$B$15</f>
        <v>19.600000000000001</v>
      </c>
      <c r="P8" s="13" cm="1">
        <f t="array" aca="1" ref="P8" ca="1">-INDIRECT("'data'!$S$" &amp; $A$1)*parameters!$B$15</f>
        <v>-5.88</v>
      </c>
      <c r="Q8" s="16">
        <f ca="1">SUM(Q6:Q7)</f>
        <v>6892.3399999999992</v>
      </c>
      <c r="R8" s="16">
        <f t="shared" ca="1" si="2"/>
        <v>6892.3399999999992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1885.52</v>
      </c>
      <c r="L9" s="16">
        <f t="shared" ca="1" si="0"/>
        <v>1885.52</v>
      </c>
      <c r="M9" s="16"/>
      <c r="N9" s="16">
        <f t="shared" ca="1" si="3"/>
        <v>0</v>
      </c>
      <c r="O9" s="11" cm="1">
        <f t="array" aca="1" ref="O9" ca="1">INDIRECT("'data'!$U$" &amp; $A$1)*parameters!$B$15</f>
        <v>288.12</v>
      </c>
      <c r="P9" s="13" cm="1">
        <f t="array" aca="1" ref="P9" ca="1">-INDIRECT("'data'!$V$" &amp; $A$1)*parameters!$B$15</f>
        <v>-321.44</v>
      </c>
      <c r="Q9" s="16" cm="1">
        <f t="array" aca="1" ref="Q9" ca="1">INDIRECT("'data'!$T$" &amp; $A$1)*parameters!$B$15</f>
        <v>1852.2</v>
      </c>
      <c r="R9" s="16">
        <f t="shared" ca="1" si="2"/>
        <v>1852.1999999999998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2753.526770981508</v>
      </c>
      <c r="L10" s="16">
        <f t="shared" ca="1" si="0"/>
        <v>2753.526770981508</v>
      </c>
      <c r="M10" s="16"/>
      <c r="N10" s="16">
        <f t="shared" ca="1" si="3"/>
        <v>0</v>
      </c>
      <c r="O10" s="11" cm="1">
        <f t="array" aca="1" ref="O10" ca="1">INDIRECT("'data'!$X$" &amp; $A$1)*parameters!$B$15</f>
        <v>279.3</v>
      </c>
      <c r="P10" s="13" cm="1">
        <f t="array" aca="1" ref="P10" ca="1">-INDIRECT("'data'!$Y$" &amp; $A$1)*parameters!$B$15</f>
        <v>-747.74</v>
      </c>
      <c r="Q10" s="16" cm="1">
        <f t="array" aca="1" ref="Q10" ca="1">INDIRECT("'data'!$W$" &amp; $A$1)*parameters!$B$15</f>
        <v>2285.0867709815079</v>
      </c>
      <c r="R10" s="16">
        <f t="shared" ca="1" si="2"/>
        <v>2285.0867709815084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5561.4218230440965</v>
      </c>
      <c r="N11" s="19"/>
      <c r="O11" s="21" cm="1">
        <f t="array" aca="1" ref="O11" ca="1">INDIRECT("'data'!$Z$" &amp; $A$1)*parameters!$B$15</f>
        <v>565.46</v>
      </c>
      <c r="P11" s="27" cm="1">
        <f t="array" aca="1" ref="P11" ca="1">-INDIRECT("'data'!$AA$" &amp; $A$1)*parameters!$B$15</f>
        <v>-1986.46</v>
      </c>
      <c r="Q11" s="16">
        <f ca="1">K9*parameters!$B$10+K10*parameters!$B$11</f>
        <v>4140.4218230440965</v>
      </c>
      <c r="R11" s="16">
        <f t="shared" ref="R11:R17" ca="1" si="4">SUM(L11:P11)</f>
        <v>4140.4218230440965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-36.049320217369313</v>
      </c>
      <c r="D12" s="9">
        <f ca="1">-(D17-Q4)</f>
        <v>-7.990862433329994</v>
      </c>
      <c r="E12" s="9">
        <f ca="1">-(E17-Q5)</f>
        <v>-170.20342166540399</v>
      </c>
      <c r="F12" s="9">
        <f ca="1">-(F17-Q6)</f>
        <v>-374.01731343283609</v>
      </c>
      <c r="G12" s="9">
        <f ca="1">-(G17-Q7)</f>
        <v>-55.438098223615498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-643.69901597255489</v>
      </c>
      <c r="M12" s="17"/>
      <c r="N12" s="17"/>
      <c r="O12" s="10"/>
      <c r="P12" s="12"/>
      <c r="Q12" s="9">
        <f t="shared" ref="Q12:Q17" ca="1" si="6">SUM(L12:P12)</f>
        <v>-643.69901597255489</v>
      </c>
      <c r="R12" s="17">
        <f t="shared" ca="1" si="4"/>
        <v>-643.69901597255489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-37.799999999999955</v>
      </c>
      <c r="J13" s="14">
        <f ca="1">-(J17-Q10)</f>
        <v>-46.634423897581655</v>
      </c>
      <c r="K13" s="13">
        <f ca="1">-(K17-Q11)</f>
        <v>-498.62494793741098</v>
      </c>
      <c r="L13" s="14">
        <f t="shared" ca="1" si="5"/>
        <v>-583.05937183499259</v>
      </c>
      <c r="M13" s="16">
        <f ca="1">-E15</f>
        <v>-964.24446148686229</v>
      </c>
      <c r="N13" s="16"/>
      <c r="O13" s="11"/>
      <c r="P13" s="13"/>
      <c r="Q13" s="14">
        <f t="shared" ca="1" si="6"/>
        <v>-1547.3038333218549</v>
      </c>
      <c r="R13" s="16">
        <f t="shared" ca="1" si="4"/>
        <v>-1547.3038333218549</v>
      </c>
    </row>
    <row r="14" spans="1:19">
      <c r="A14" s="18" t="s">
        <v>78</v>
      </c>
      <c r="B14" s="11"/>
      <c r="C14" s="14"/>
      <c r="D14" s="14"/>
      <c r="E14" s="14">
        <f ca="1">-(I13+J13)-K13</f>
        <v>583.05937183499259</v>
      </c>
      <c r="F14" s="14"/>
      <c r="G14" s="14"/>
      <c r="H14" s="14"/>
      <c r="I14" s="14"/>
      <c r="J14" s="14"/>
      <c r="K14" s="13"/>
      <c r="L14" s="14">
        <f t="shared" ca="1" si="5"/>
        <v>583.05937183499259</v>
      </c>
      <c r="M14" s="16"/>
      <c r="N14" s="16"/>
      <c r="O14" s="11"/>
      <c r="P14" s="13"/>
      <c r="Q14" s="14">
        <f t="shared" ca="1" si="6"/>
        <v>583.05937183499259</v>
      </c>
      <c r="R14" s="16">
        <f t="shared" ca="1" si="4"/>
        <v>583.05937183499259</v>
      </c>
    </row>
    <row r="15" spans="1:19">
      <c r="A15" s="18" t="s">
        <v>79</v>
      </c>
      <c r="B15" s="11"/>
      <c r="C15" s="14"/>
      <c r="D15" s="14"/>
      <c r="E15" s="14">
        <f ca="1">E17-E14</f>
        <v>964.24446148686229</v>
      </c>
      <c r="F15" s="14"/>
      <c r="G15" s="14"/>
      <c r="H15" s="14"/>
      <c r="I15" s="14"/>
      <c r="J15" s="14"/>
      <c r="K15" s="13"/>
      <c r="L15" s="14">
        <f t="shared" ca="1" si="5"/>
        <v>964.24446148686229</v>
      </c>
      <c r="M15" s="16"/>
      <c r="N15" s="16"/>
      <c r="O15" s="11"/>
      <c r="P15" s="13"/>
      <c r="Q15" s="14">
        <f t="shared" ca="1" si="6"/>
        <v>964.24446148686229</v>
      </c>
      <c r="R15" s="16">
        <f t="shared" ca="1" si="4"/>
        <v>964.24446148686229</v>
      </c>
    </row>
    <row r="16" spans="1:19">
      <c r="A16" s="30" t="s">
        <v>89</v>
      </c>
      <c r="B16" s="21">
        <f ca="1">Q2</f>
        <v>112592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112592</v>
      </c>
      <c r="M16" s="19"/>
      <c r="N16" s="19"/>
      <c r="O16" s="21"/>
      <c r="P16" s="27"/>
      <c r="Q16" s="22">
        <f t="shared" ca="1" si="6"/>
        <v>112592</v>
      </c>
      <c r="R16" s="19">
        <f t="shared" ca="1" si="4"/>
        <v>112592</v>
      </c>
    </row>
    <row r="17" spans="1:18">
      <c r="A17" s="29" t="s">
        <v>88</v>
      </c>
      <c r="B17" s="9">
        <f ca="1">B16</f>
        <v>112592</v>
      </c>
      <c r="C17" s="9">
        <f ca="1">SUM(C$2:C$11)</f>
        <v>5722.1143202173689</v>
      </c>
      <c r="D17" s="9">
        <f ca="1">SUM(D$2:D$11)</f>
        <v>1268.3908624333301</v>
      </c>
      <c r="E17" s="9">
        <f ca="1">$Q$5/parameters!$B$4</f>
        <v>1547.3038333218549</v>
      </c>
      <c r="F17" s="9">
        <f t="shared" ref="F17:K17" ca="1" si="7">SUM(F$2:F$11)</f>
        <v>6032.5373134328356</v>
      </c>
      <c r="G17" s="9">
        <f t="shared" ca="1" si="7"/>
        <v>1289.2580982236154</v>
      </c>
      <c r="H17" s="9">
        <f t="shared" ca="1" si="7"/>
        <v>6892.3399999999992</v>
      </c>
      <c r="I17" s="9">
        <f t="shared" ca="1" si="7"/>
        <v>1890</v>
      </c>
      <c r="J17" s="9">
        <f t="shared" ca="1" si="7"/>
        <v>2331.7211948790896</v>
      </c>
      <c r="K17" s="9">
        <f t="shared" ca="1" si="7"/>
        <v>4639.0467709815075</v>
      </c>
      <c r="L17" s="17">
        <f t="shared" ca="1" si="5"/>
        <v>144204.71239348961</v>
      </c>
      <c r="M17" s="17"/>
      <c r="N17" s="17"/>
      <c r="O17" s="9"/>
      <c r="P17" s="14"/>
      <c r="Q17" s="11">
        <f t="shared" ca="1" si="6"/>
        <v>144204.71239348961</v>
      </c>
      <c r="R17" s="17">
        <f t="shared" ca="1" si="4"/>
        <v>144204.71239348961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0.89251564544327411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N5" sqref="N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5534.7690449833945</v>
      </c>
      <c r="D2" s="9">
        <f ca="1">Q4/parameters!$B$3</f>
        <v>1440.5957532454463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6975.3647982288403</v>
      </c>
      <c r="M2" s="17"/>
      <c r="N2" s="17">
        <f ca="1">Q2-(L2+O2+P2)</f>
        <v>0</v>
      </c>
      <c r="O2" s="11" cm="1">
        <f t="array" aca="1" ref="O2" ca="1">INDIRECT("'data'!$F$" &amp; $A$1)</f>
        <v>15288</v>
      </c>
      <c r="P2" s="13">
        <f ca="1">IF(-(L2-Q2+O2)&lt;0, -(L2-Q2+O2), 0)</f>
        <v>-23.3647982288403</v>
      </c>
      <c r="Q2" s="17" cm="1">
        <f t="array" aca="1" ref="Q2" ca="1">INDIRECT("'data'!$D$" &amp; $A$1)</f>
        <v>22240</v>
      </c>
      <c r="R2" s="17">
        <f ca="1">SUM(L2:P2)</f>
        <v>22240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4101.373134328358</v>
      </c>
      <c r="G3" s="14">
        <f ca="1">Q3-O3-P3-F3</f>
        <v>1046.041865671642</v>
      </c>
      <c r="H3" s="14"/>
      <c r="I3" s="14"/>
      <c r="J3" s="14"/>
      <c r="K3" s="13"/>
      <c r="L3" s="16">
        <f t="shared" ca="1" si="0"/>
        <v>5147.415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357.21</v>
      </c>
      <c r="P3" s="13" cm="1">
        <f t="array" aca="1" ref="P3" ca="1">-INDIRECT("'data'!$I$" &amp; $A$1)*parameters!$B$13</f>
        <v>-4.7249999999999996</v>
      </c>
      <c r="Q3" s="16" cm="1">
        <f t="array" aca="1" ref="Q3" ca="1">INDIRECT("'data'!$G$" &amp; $A$1)*parameters!$B$13</f>
        <v>5499.9</v>
      </c>
      <c r="R3" s="16">
        <f t="shared" ref="R3:R10" ca="1" si="2">SUM(L3:P3)</f>
        <v>5499.9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1431.52</v>
      </c>
      <c r="H4" s="14"/>
      <c r="I4" s="14"/>
      <c r="J4" s="14"/>
      <c r="K4" s="13"/>
      <c r="L4" s="16">
        <f t="shared" ca="1" si="0"/>
        <v>1431.52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1431.52</v>
      </c>
      <c r="R4" s="16">
        <f t="shared" ca="1" si="2"/>
        <v>1431.52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1025.3432835820895</v>
      </c>
      <c r="G5" s="14">
        <f ca="1">Q7/parameters!$B$7-(G3+G4)</f>
        <v>1530.5050099814407</v>
      </c>
      <c r="H5" s="14"/>
      <c r="I5" s="14"/>
      <c r="J5" s="14"/>
      <c r="K5" s="13"/>
      <c r="L5" s="16">
        <f t="shared" ca="1" si="0"/>
        <v>2555.8482935635302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-1.96</v>
      </c>
      <c r="Q5" s="16">
        <f ca="1">SUM(L5:P5)</f>
        <v>2553.8882935635302</v>
      </c>
      <c r="R5" s="16">
        <f t="shared" ca="1" si="2"/>
        <v>2553.8882935635302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4808.8599999999997</v>
      </c>
      <c r="I6" s="14"/>
      <c r="J6" s="14"/>
      <c r="K6" s="13"/>
      <c r="L6" s="16">
        <f t="shared" ca="1" si="0"/>
        <v>4808.8599999999997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4808.8599999999997</v>
      </c>
      <c r="R6" s="16">
        <f t="shared" ca="1" si="2"/>
        <v>4808.8599999999997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3835.72</v>
      </c>
      <c r="I7" s="14"/>
      <c r="J7" s="14"/>
      <c r="K7" s="13"/>
      <c r="L7" s="16">
        <f t="shared" ca="1" si="0"/>
        <v>3835.72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3835.72</v>
      </c>
      <c r="R7" s="16">
        <f t="shared" ca="1" si="2"/>
        <v>3835.72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3277.069655293983</v>
      </c>
      <c r="J8" s="14">
        <f ca="1">Q10/J18</f>
        <v>4647.2103447060163</v>
      </c>
      <c r="K8" s="13"/>
      <c r="L8" s="16">
        <f t="shared" ca="1" si="0"/>
        <v>7924.2799999999988</v>
      </c>
      <c r="M8" s="16"/>
      <c r="N8" s="16">
        <f t="shared" ca="1" si="3"/>
        <v>0</v>
      </c>
      <c r="O8" s="11" cm="1">
        <f t="array" aca="1" ref="O8" ca="1">INDIRECT("'data'!$R$" &amp; $A$1)*parameters!$B$15</f>
        <v>726.18</v>
      </c>
      <c r="P8" s="13" cm="1">
        <f t="array" aca="1" ref="P8" ca="1">-INDIRECT("'data'!$S$" &amp; $A$1)*parameters!$B$15</f>
        <v>-5.88</v>
      </c>
      <c r="Q8" s="16">
        <f ca="1">SUM(Q6:Q7)</f>
        <v>8644.58</v>
      </c>
      <c r="R8" s="16">
        <f t="shared" ca="1" si="2"/>
        <v>8644.58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1492.54</v>
      </c>
      <c r="L9" s="16">
        <f t="shared" ca="1" si="0"/>
        <v>1492.54</v>
      </c>
      <c r="M9" s="16"/>
      <c r="N9" s="16">
        <f t="shared" ca="1" si="3"/>
        <v>0</v>
      </c>
      <c r="O9" s="11" cm="1">
        <f t="array" aca="1" ref="O9" ca="1">INDIRECT("'data'!$U$" &amp; $A$1)*parameters!$B$15</f>
        <v>1120.1399999999999</v>
      </c>
      <c r="P9" s="13" cm="1">
        <f t="array" aca="1" ref="P9" ca="1">-INDIRECT("'data'!$V$" &amp; $A$1)*parameters!$B$15</f>
        <v>-51.94</v>
      </c>
      <c r="Q9" s="16" cm="1">
        <f t="array" aca="1" ref="Q9" ca="1">INDIRECT("'data'!$T$" &amp; $A$1)*parameters!$B$15</f>
        <v>2560.7399999999998</v>
      </c>
      <c r="R9" s="16">
        <f t="shared" ca="1" si="2"/>
        <v>2560.7399999999998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1635.1237268847794</v>
      </c>
      <c r="L10" s="16">
        <f t="shared" ca="1" si="0"/>
        <v>1635.1237268847794</v>
      </c>
      <c r="M10" s="16"/>
      <c r="N10" s="16">
        <f t="shared" ca="1" si="3"/>
        <v>0</v>
      </c>
      <c r="O10" s="11" cm="1">
        <f t="array" aca="1" ref="O10" ca="1">INDIRECT("'data'!$X$" &amp; $A$1)*parameters!$B$15</f>
        <v>2138.36</v>
      </c>
      <c r="P10" s="13" cm="1">
        <f t="array" aca="1" ref="P10" ca="1">-INDIRECT("'data'!$Y$" &amp; $A$1)*parameters!$B$15</f>
        <v>-142.1</v>
      </c>
      <c r="Q10" s="16" cm="1">
        <f t="array" aca="1" ref="Q10" ca="1">INDIRECT("'data'!$W$" &amp; $A$1)*parameters!$B$15</f>
        <v>3631.3837268847797</v>
      </c>
      <c r="R10" s="16">
        <f t="shared" ca="1" si="2"/>
        <v>3631.3837268847797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2686.6940051209103</v>
      </c>
      <c r="N11" s="19"/>
      <c r="O11" s="21" cm="1">
        <f t="array" aca="1" ref="O11" ca="1">INDIRECT("'data'!$Z$" &amp; $A$1)*parameters!$B$15</f>
        <v>789.88</v>
      </c>
      <c r="P11" s="27" cm="1">
        <f t="array" aca="1" ref="P11" ca="1">-INDIRECT("'data'!$AA$" &amp; $A$1)*parameters!$B$15</f>
        <v>-667.38</v>
      </c>
      <c r="Q11" s="16">
        <f ca="1">K9*parameters!$B$10+K10*parameters!$B$11</f>
        <v>2809.1940051209103</v>
      </c>
      <c r="R11" s="16">
        <f t="shared" ref="R11:R17" ca="1" si="4">SUM(L11:P11)</f>
        <v>2809.1940051209103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-34.869044983394815</v>
      </c>
      <c r="D12" s="9">
        <f ca="1">-(D17-Q4)</f>
        <v>-9.0757532454463217</v>
      </c>
      <c r="E12" s="9">
        <f ca="1">-(E17-Q5)</f>
        <v>-315.6491149348185</v>
      </c>
      <c r="F12" s="9">
        <f ca="1">-(F17-Q6)</f>
        <v>-317.85641791044782</v>
      </c>
      <c r="G12" s="9">
        <f ca="1">-(G17-Q7)</f>
        <v>-172.34687565308286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-849.79720672719031</v>
      </c>
      <c r="M12" s="17"/>
      <c r="N12" s="17"/>
      <c r="O12" s="10"/>
      <c r="P12" s="12"/>
      <c r="Q12" s="9">
        <f t="shared" ref="Q12:Q17" ca="1" si="6">SUM(L12:P12)</f>
        <v>-849.79720672719031</v>
      </c>
      <c r="R12" s="17">
        <f t="shared" ca="1" si="4"/>
        <v>-849.79720672719031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-716.32965529398325</v>
      </c>
      <c r="J13" s="14">
        <f ca="1">-(J17-Q10)</f>
        <v>-1015.8266178212366</v>
      </c>
      <c r="K13" s="13">
        <f ca="1">-(K17-Q11)</f>
        <v>-318.46972176386907</v>
      </c>
      <c r="L13" s="14">
        <f t="shared" ca="1" si="5"/>
        <v>-2050.6259948790889</v>
      </c>
      <c r="M13" s="16">
        <f ca="1">-E15</f>
        <v>-818.91141361925975</v>
      </c>
      <c r="N13" s="16"/>
      <c r="O13" s="11"/>
      <c r="P13" s="13"/>
      <c r="Q13" s="14">
        <f t="shared" ca="1" si="6"/>
        <v>-2869.5374084983487</v>
      </c>
      <c r="R13" s="16">
        <f t="shared" ca="1" si="4"/>
        <v>-2869.5374084983487</v>
      </c>
    </row>
    <row r="14" spans="1:20">
      <c r="A14" s="18" t="s">
        <v>78</v>
      </c>
      <c r="B14" s="11"/>
      <c r="C14" s="14"/>
      <c r="D14" s="14"/>
      <c r="E14" s="14">
        <f ca="1">-(I13+J13)-K13</f>
        <v>2050.6259948790889</v>
      </c>
      <c r="F14" s="14"/>
      <c r="G14" s="14"/>
      <c r="H14" s="14"/>
      <c r="I14" s="14"/>
      <c r="J14" s="14"/>
      <c r="K14" s="13"/>
      <c r="L14" s="14">
        <f t="shared" ca="1" si="5"/>
        <v>2050.6259948790889</v>
      </c>
      <c r="M14" s="16"/>
      <c r="N14" s="16"/>
      <c r="O14" s="11"/>
      <c r="P14" s="13"/>
      <c r="Q14" s="14">
        <f t="shared" ca="1" si="6"/>
        <v>2050.6259948790889</v>
      </c>
      <c r="R14" s="16">
        <f t="shared" ca="1" si="4"/>
        <v>2050.6259948790889</v>
      </c>
    </row>
    <row r="15" spans="1:20">
      <c r="A15" s="18" t="s">
        <v>79</v>
      </c>
      <c r="B15" s="11"/>
      <c r="C15" s="14"/>
      <c r="D15" s="14"/>
      <c r="E15" s="14">
        <f ca="1">E17-E14</f>
        <v>818.91141361925975</v>
      </c>
      <c r="F15" s="14"/>
      <c r="G15" s="14"/>
      <c r="H15" s="14"/>
      <c r="I15" s="14"/>
      <c r="J15" s="14"/>
      <c r="K15" s="13"/>
      <c r="L15" s="14">
        <f t="shared" ca="1" si="5"/>
        <v>818.91141361925975</v>
      </c>
      <c r="M15" s="16"/>
      <c r="N15" s="16"/>
      <c r="O15" s="11"/>
      <c r="P15" s="13"/>
      <c r="Q15" s="14">
        <f t="shared" ca="1" si="6"/>
        <v>818.91141361925975</v>
      </c>
      <c r="R15" s="16">
        <f t="shared" ca="1" si="4"/>
        <v>818.91141361925975</v>
      </c>
    </row>
    <row r="16" spans="1:20">
      <c r="A16" s="30" t="s">
        <v>89</v>
      </c>
      <c r="B16" s="21">
        <f ca="1">Q2</f>
        <v>22240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22240</v>
      </c>
      <c r="M16" s="19"/>
      <c r="N16" s="19"/>
      <c r="O16" s="21"/>
      <c r="P16" s="27"/>
      <c r="Q16" s="22">
        <f t="shared" ca="1" si="6"/>
        <v>22240</v>
      </c>
      <c r="R16" s="19">
        <f t="shared" ca="1" si="4"/>
        <v>22240</v>
      </c>
    </row>
    <row r="17" spans="1:18">
      <c r="A17" s="29" t="s">
        <v>88</v>
      </c>
      <c r="B17" s="9">
        <f ca="1">B16</f>
        <v>22240</v>
      </c>
      <c r="C17" s="9">
        <f ca="1">SUM(C$2:C$11)</f>
        <v>5534.7690449833945</v>
      </c>
      <c r="D17" s="9">
        <f ca="1">SUM(D$2:D$11)</f>
        <v>1440.5957532454463</v>
      </c>
      <c r="E17" s="9">
        <f ca="1">$Q$5/parameters!$B$4</f>
        <v>2869.5374084983487</v>
      </c>
      <c r="F17" s="9">
        <f t="shared" ref="F17:K17" ca="1" si="7">SUM(F$2:F$11)</f>
        <v>5126.7164179104475</v>
      </c>
      <c r="G17" s="9">
        <f t="shared" ca="1" si="7"/>
        <v>4008.0668756530827</v>
      </c>
      <c r="H17" s="9">
        <f t="shared" ca="1" si="7"/>
        <v>8644.58</v>
      </c>
      <c r="I17" s="9">
        <f t="shared" ca="1" si="7"/>
        <v>3277.069655293983</v>
      </c>
      <c r="J17" s="9">
        <f t="shared" ca="1" si="7"/>
        <v>4647.2103447060163</v>
      </c>
      <c r="K17" s="9">
        <f t="shared" ca="1" si="7"/>
        <v>3127.6637268847794</v>
      </c>
      <c r="L17" s="17">
        <f t="shared" ca="1" si="5"/>
        <v>60916.209227175488</v>
      </c>
      <c r="M17" s="17"/>
      <c r="N17" s="17"/>
      <c r="O17" s="9"/>
      <c r="P17" s="14"/>
      <c r="Q17" s="11">
        <f t="shared" ca="1" si="6"/>
        <v>60916.209227175488</v>
      </c>
      <c r="R17" s="17">
        <f t="shared" ca="1" si="4"/>
        <v>60916.209227175488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0.99370000000000014</v>
      </c>
      <c r="D18" s="38">
        <f ca="1">IFERROR(1-(-D12)/D17, "")</f>
        <v>0.99370000000000003</v>
      </c>
      <c r="E18" s="38">
        <f t="shared" ref="E18:G18" ca="1" si="8">IFERROR(1-(-E12)/E17, "")</f>
        <v>0.8899999999999999</v>
      </c>
      <c r="F18" s="38">
        <f t="shared" ca="1" si="8"/>
        <v>0.93799999999999994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0.78141152595374974</v>
      </c>
      <c r="J18" s="38">
        <f ca="1">I18</f>
        <v>0.78141152595374974</v>
      </c>
      <c r="K18" s="39">
        <f ca="1">1-(-K13)/K17</f>
        <v>0.89817648264857686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S28"/>
  <sheetViews>
    <sheetView workbookViewId="0">
      <selection activeCell="N5" sqref="N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915.28460449174997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915.28460449174997</v>
      </c>
      <c r="M2" s="17"/>
      <c r="N2" s="17">
        <f ca="1">Q2-(L2+O2+P2)</f>
        <v>0</v>
      </c>
      <c r="O2" s="11" cm="1">
        <f t="array" aca="1" ref="O2" ca="1">INDIRECT("'data'!$F$" &amp; $A$1)</f>
        <v>42.9</v>
      </c>
      <c r="P2" s="13">
        <f ca="1">IF(-(L2-Q2+O2)&lt;0, -(L2-Q2+O2), 0)</f>
        <v>-725.51443522001944</v>
      </c>
      <c r="Q2" s="17" cm="1">
        <f t="array" aca="1" ref="Q2" ca="1">INDIRECT("'data'!$D$" &amp; $A$1)</f>
        <v>232.67016927173054</v>
      </c>
      <c r="R2" s="17">
        <f ca="1">SUM(L2:P2)</f>
        <v>232.67016927173051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175.76999999999998</v>
      </c>
      <c r="H3" s="14"/>
      <c r="I3" s="14"/>
      <c r="J3" s="14"/>
      <c r="K3" s="13"/>
      <c r="L3" s="16">
        <f t="shared" ca="1" si="0"/>
        <v>175.76999999999998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-175.76999999999998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909.51831148345195</v>
      </c>
      <c r="H4" s="14"/>
      <c r="I4" s="14"/>
      <c r="J4" s="14"/>
      <c r="K4" s="13"/>
      <c r="L4" s="16">
        <f t="shared" ca="1" si="0"/>
        <v>909.51831148345195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909.51831148345195</v>
      </c>
      <c r="R4" s="16">
        <f t="shared" ca="1" si="2"/>
        <v>909.51831148345195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3113.248783605367</v>
      </c>
      <c r="H5" s="14"/>
      <c r="I5" s="14"/>
      <c r="J5" s="14"/>
      <c r="K5" s="13"/>
      <c r="L5" s="16">
        <f t="shared" ca="1" si="0"/>
        <v>3113.248783605367</v>
      </c>
      <c r="M5" s="16"/>
      <c r="N5" s="47">
        <f ca="1">$E$14*parameters!$B$4-$P$5-$L$5-$O$5</f>
        <v>230.53439057955507</v>
      </c>
      <c r="O5" s="11" cm="1">
        <f t="array" aca="1" ref="O5" ca="1">INDIRECT("'data'!$M$" &amp; $A$1)*parameters!$B$15</f>
        <v>1066.24</v>
      </c>
      <c r="P5" s="13" cm="1">
        <f t="array" aca="1" ref="P5" ca="1">-INDIRECT("'data'!$N$" &amp; $A$1)*parameters!$B$15</f>
        <v>-3727.92</v>
      </c>
      <c r="Q5" s="16">
        <f ca="1">SUM(L5:P5)</f>
        <v>682.10317418492195</v>
      </c>
      <c r="R5" s="16">
        <f t="shared" ca="1" si="2"/>
        <v>682.10317418492195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4018</v>
      </c>
      <c r="I7" s="14"/>
      <c r="J7" s="14"/>
      <c r="K7" s="13"/>
      <c r="L7" s="16">
        <f t="shared" ca="1" si="0"/>
        <v>4018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4018</v>
      </c>
      <c r="R7" s="16">
        <f t="shared" ca="1" si="2"/>
        <v>4018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3241</v>
      </c>
      <c r="J8" s="14">
        <f ca="1">Q10/J18</f>
        <v>961.83499288762448</v>
      </c>
      <c r="K8" s="13"/>
      <c r="L8" s="16">
        <f t="shared" ca="1" si="0"/>
        <v>4202.8349928876241</v>
      </c>
      <c r="M8" s="16"/>
      <c r="N8" s="16">
        <f t="shared" ca="1" si="3"/>
        <v>-143.67499288762428</v>
      </c>
      <c r="O8" s="11" cm="1">
        <f t="array" aca="1" ref="O8" ca="1">INDIRECT("'data'!$R$" &amp; $A$1)*parameters!$B$15</f>
        <v>13.719999999999999</v>
      </c>
      <c r="P8" s="13" cm="1">
        <f t="array" aca="1" ref="P8" ca="1">-INDIRECT("'data'!$S$" &amp; $A$1)*parameters!$B$15</f>
        <v>-54.879999999999995</v>
      </c>
      <c r="Q8" s="16">
        <f ca="1">SUM(Q6:Q7)</f>
        <v>4018</v>
      </c>
      <c r="R8" s="16">
        <f t="shared" ca="1" si="2"/>
        <v>4017.9999999999995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3730.8599999999997</v>
      </c>
      <c r="L9" s="16">
        <f t="shared" ca="1" si="0"/>
        <v>3730.8599999999997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377.3</v>
      </c>
      <c r="P9" s="13" cm="1">
        <f t="array" aca="1" ref="P9" ca="1">-INDIRECT("'data'!$V$" &amp; $A$1)*parameters!$B$15</f>
        <v>-931.98</v>
      </c>
      <c r="Q9" s="16" cm="1">
        <f t="array" aca="1" ref="Q9" ca="1">INDIRECT("'data'!$T$" &amp; $A$1)*parameters!$B$15</f>
        <v>3176.18</v>
      </c>
      <c r="R9" s="16">
        <f t="shared" ca="1" si="2"/>
        <v>3176.18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3274.998293029872</v>
      </c>
      <c r="L10" s="16">
        <f t="shared" ca="1" si="0"/>
        <v>3274.998293029872</v>
      </c>
      <c r="M10" s="16"/>
      <c r="N10" s="16">
        <f t="shared" ca="1" si="3"/>
        <v>0</v>
      </c>
      <c r="O10" s="11" cm="1">
        <f t="array" aca="1" ref="O10" ca="1">INDIRECT("'data'!$X$" &amp; $A$1)*parameters!$B$15</f>
        <v>311.64</v>
      </c>
      <c r="P10" s="13" cm="1">
        <f t="array" aca="1" ref="P10" ca="1">-INDIRECT("'data'!$Y$" &amp; $A$1)*parameters!$B$15</f>
        <v>-2644.04</v>
      </c>
      <c r="Q10" s="16" cm="1">
        <f t="array" aca="1" ref="Q10" ca="1">INDIRECT("'data'!$W$" &amp; $A$1)*parameters!$B$15</f>
        <v>942.59829302987202</v>
      </c>
      <c r="R10" s="16">
        <f t="shared" ca="1" si="2"/>
        <v>942.59829302987191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6686.5969320056902</v>
      </c>
      <c r="N11" s="19"/>
      <c r="O11" s="21" cm="1">
        <f t="array" aca="1" ref="O11" ca="1">INDIRECT("'data'!$Z$" &amp; $A$1)*parameters!$B$15</f>
        <v>761.46</v>
      </c>
      <c r="P11" s="27" cm="1">
        <f t="array" aca="1" ref="P11" ca="1">-INDIRECT("'data'!$AA$" &amp; $A$1)*parameters!$B$15</f>
        <v>-1124.55</v>
      </c>
      <c r="Q11" s="16">
        <f ca="1">K9*parameters!$B$10+K10*parameters!$B$11</f>
        <v>6323.50693200569</v>
      </c>
      <c r="R11" s="16">
        <f t="shared" ref="R11:R17" ca="1" si="4">SUM(L11:P11)</f>
        <v>6323.50693200569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-5.766293008298021</v>
      </c>
      <c r="E12" s="9">
        <f ca="1">-(E17-Q5)</f>
        <v>-84.304886697012762</v>
      </c>
      <c r="F12" s="9">
        <f ca="1">-(F17-Q6)</f>
        <v>0</v>
      </c>
      <c r="G12" s="9">
        <f ca="1">-(G17-Q7)</f>
        <v>-180.53709508881911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-270.6082747941299</v>
      </c>
      <c r="M12" s="17"/>
      <c r="N12" s="17"/>
      <c r="O12" s="10"/>
      <c r="P12" s="12"/>
      <c r="Q12" s="9">
        <f t="shared" ref="Q12:Q17" ca="1" si="6">SUM(L12:P12)</f>
        <v>-270.6082747941299</v>
      </c>
      <c r="R12" s="17">
        <f t="shared" ca="1" si="4"/>
        <v>-270.6082747941299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-64.820000000000164</v>
      </c>
      <c r="J13" s="14">
        <f ca="1">-(J17-Q10)</f>
        <v>-19.236699857752456</v>
      </c>
      <c r="K13" s="13">
        <f ca="1">-(K17-Q11)</f>
        <v>-682.35136102418164</v>
      </c>
      <c r="L13" s="14">
        <f t="shared" ca="1" si="5"/>
        <v>-766.40806088193426</v>
      </c>
      <c r="M13" s="16">
        <f ca="1">-E15</f>
        <v>0</v>
      </c>
      <c r="N13" s="16"/>
      <c r="O13" s="11"/>
      <c r="P13" s="13"/>
      <c r="Q13" s="14">
        <f t="shared" ca="1" si="6"/>
        <v>-766.40806088193426</v>
      </c>
      <c r="R13" s="16">
        <f t="shared" ca="1" si="4"/>
        <v>-766.40806088193426</v>
      </c>
    </row>
    <row r="14" spans="1:19">
      <c r="A14" s="18" t="s">
        <v>78</v>
      </c>
      <c r="B14" s="11"/>
      <c r="C14" s="14"/>
      <c r="D14" s="14"/>
      <c r="E14" s="14">
        <f ca="1">-(I13+J13)-K13</f>
        <v>766.40806088193426</v>
      </c>
      <c r="F14" s="14"/>
      <c r="G14" s="14"/>
      <c r="H14" s="14"/>
      <c r="I14" s="14"/>
      <c r="J14" s="14"/>
      <c r="K14" s="13"/>
      <c r="L14" s="14">
        <f t="shared" ca="1" si="5"/>
        <v>766.40806088193426</v>
      </c>
      <c r="M14" s="16"/>
      <c r="N14" s="16"/>
      <c r="O14" s="11"/>
      <c r="P14" s="13"/>
      <c r="Q14" s="14">
        <f t="shared" ca="1" si="6"/>
        <v>766.40806088193426</v>
      </c>
      <c r="R14" s="16">
        <f t="shared" ca="1" si="4"/>
        <v>766.40806088193426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232.67016927173054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232.67016927173054</v>
      </c>
      <c r="M16" s="19"/>
      <c r="N16" s="19"/>
      <c r="O16" s="21"/>
      <c r="P16" s="27"/>
      <c r="Q16" s="22">
        <f t="shared" ca="1" si="6"/>
        <v>232.67016927173054</v>
      </c>
      <c r="R16" s="19">
        <f t="shared" ca="1" si="4"/>
        <v>232.67016927173054</v>
      </c>
    </row>
    <row r="17" spans="1:18">
      <c r="A17" s="29" t="s">
        <v>88</v>
      </c>
      <c r="B17" s="9">
        <f ca="1">B16</f>
        <v>232.67016927173054</v>
      </c>
      <c r="C17" s="9">
        <f ca="1">SUM(C$2:C$11)</f>
        <v>0</v>
      </c>
      <c r="D17" s="9">
        <f ca="1">SUM(D$2:D$11)</f>
        <v>915.28460449174997</v>
      </c>
      <c r="E17" s="9">
        <f ca="1">$Q$5/parameters!$B$4</f>
        <v>766.40806088193472</v>
      </c>
      <c r="F17" s="9">
        <f t="shared" ref="F17:K17" ca="1" si="7">SUM(F$2:F$11)</f>
        <v>0</v>
      </c>
      <c r="G17" s="9">
        <f t="shared" ca="1" si="7"/>
        <v>4198.5370950888191</v>
      </c>
      <c r="H17" s="9">
        <f t="shared" ca="1" si="7"/>
        <v>4018</v>
      </c>
      <c r="I17" s="9">
        <f t="shared" ca="1" si="7"/>
        <v>3241</v>
      </c>
      <c r="J17" s="9">
        <f t="shared" ca="1" si="7"/>
        <v>961.83499288762448</v>
      </c>
      <c r="K17" s="9">
        <f t="shared" ca="1" si="7"/>
        <v>7005.8582930298717</v>
      </c>
      <c r="L17" s="17">
        <f t="shared" ca="1" si="5"/>
        <v>21339.59321565173</v>
      </c>
      <c r="M17" s="17"/>
      <c r="N17" s="17"/>
      <c r="O17" s="9"/>
      <c r="P17" s="14"/>
      <c r="Q17" s="11">
        <f t="shared" ca="1" si="6"/>
        <v>21339.59321565173</v>
      </c>
      <c r="R17" s="17">
        <f t="shared" ca="1" si="4"/>
        <v>21339.59321565173</v>
      </c>
    </row>
    <row r="18" spans="1:18">
      <c r="A18" s="30" t="s">
        <v>75</v>
      </c>
      <c r="B18" s="38">
        <f ca="1">IFERROR(1-(-B12)/B17, "")</f>
        <v>1</v>
      </c>
      <c r="C18" s="38" t="str">
        <f ca="1">IFERROR(1-(-C12)/C17, "")</f>
        <v/>
      </c>
      <c r="D18" s="38">
        <f ca="1">IFERROR(1-(-D12)/D17, "")</f>
        <v>0.99370000000000003</v>
      </c>
      <c r="E18" s="38">
        <f t="shared" ref="E18:G18" ca="1" si="8">IFERROR(1-(-E12)/E17, "")</f>
        <v>0.89000000000000012</v>
      </c>
      <c r="F18" s="38" t="str">
        <f t="shared" ca="1" si="8"/>
        <v/>
      </c>
      <c r="G18" s="38">
        <f t="shared" ca="1" si="8"/>
        <v>0.95700000000000007</v>
      </c>
      <c r="H18" s="38">
        <f t="shared" ref="H18" ca="1" si="9">1-(-H12)/H17</f>
        <v>1</v>
      </c>
      <c r="I18" s="43">
        <f>parameters!$B$9</f>
        <v>0.98</v>
      </c>
      <c r="J18" s="43">
        <f>I18</f>
        <v>0.98</v>
      </c>
      <c r="K18" s="39">
        <f ca="1">1-(-K13)/K17</f>
        <v>0.90260274580445721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94.5</v>
      </c>
      <c r="H3" s="14"/>
      <c r="I3" s="14"/>
      <c r="J3" s="14"/>
      <c r="K3" s="13"/>
      <c r="L3" s="16">
        <f t="shared" ca="1" si="0"/>
        <v>94.5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12.285</v>
      </c>
      <c r="P3" s="13" cm="1">
        <f t="array" aca="1" ref="P3" ca="1">-INDIRECT("'data'!$I$" &amp; $A$1)*parameters!$B$13</f>
        <v>-106.785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2083.6191222570533</v>
      </c>
      <c r="H5" s="14"/>
      <c r="I5" s="14"/>
      <c r="J5" s="14"/>
      <c r="K5" s="13"/>
      <c r="L5" s="16">
        <f t="shared" ca="1" si="0"/>
        <v>2083.6191222570533</v>
      </c>
      <c r="M5" s="16"/>
      <c r="N5" s="16"/>
      <c r="O5" s="11" cm="1">
        <f t="array" aca="1" ref="O5" ca="1">INDIRECT("'data'!$M$" &amp; $A$1)*parameters!$B$15</f>
        <v>99.96</v>
      </c>
      <c r="P5" s="13" cm="1">
        <f t="array" aca="1" ref="P5" ca="1">-INDIRECT("'data'!$N$" &amp; $A$1)*parameters!$B$15</f>
        <v>-680.12</v>
      </c>
      <c r="Q5" s="16">
        <f ca="1">SUM(L5:P5)</f>
        <v>1503.4591222570534</v>
      </c>
      <c r="R5" s="16">
        <f t="shared" ca="1" si="2"/>
        <v>1503.4591222570534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2084.46</v>
      </c>
      <c r="I7" s="14"/>
      <c r="J7" s="14"/>
      <c r="K7" s="13"/>
      <c r="L7" s="16">
        <f t="shared" ca="1" si="0"/>
        <v>2084.46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2084.46</v>
      </c>
      <c r="R7" s="16">
        <f t="shared" ca="1" si="2"/>
        <v>2084.46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2892.191012727772</v>
      </c>
      <c r="J8" s="14">
        <f ca="1">Q10/J18</f>
        <v>1917.6489872722279</v>
      </c>
      <c r="K8" s="13"/>
      <c r="L8" s="16">
        <f t="shared" ca="1" si="0"/>
        <v>4809.84</v>
      </c>
      <c r="M8" s="16"/>
      <c r="N8" s="16">
        <f t="shared" ca="1" si="3"/>
        <v>0</v>
      </c>
      <c r="O8" s="11" cm="1">
        <f t="array" aca="1" ref="O8" ca="1">INDIRECT("'data'!$R$" &amp; $A$1)*parameters!$B$15</f>
        <v>9.8000000000000007</v>
      </c>
      <c r="P8" s="13" cm="1">
        <f t="array" aca="1" ref="P8" ca="1">-INDIRECT("'data'!$S$" &amp; $A$1)*parameters!$B$15</f>
        <v>-2735.18</v>
      </c>
      <c r="Q8" s="16">
        <f ca="1">SUM(Q6:Q7)</f>
        <v>2084.46</v>
      </c>
      <c r="R8" s="16">
        <f t="shared" ca="1" si="2"/>
        <v>2084.4600000000005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2664.62</v>
      </c>
      <c r="L9" s="16">
        <f t="shared" ca="1" si="0"/>
        <v>2664.62</v>
      </c>
      <c r="M9" s="16"/>
      <c r="N9" s="16">
        <f t="shared" ca="1" si="3"/>
        <v>0</v>
      </c>
      <c r="O9" s="11" cm="1">
        <f t="array" aca="1" ref="O9" ca="1">INDIRECT("'data'!$U$" &amp; $A$1)*parameters!$B$15</f>
        <v>674.24</v>
      </c>
      <c r="P9" s="13" cm="1">
        <f t="array" aca="1" ref="P9" ca="1">-INDIRECT("'data'!$V$" &amp; $A$1)*parameters!$B$15</f>
        <v>-629.16</v>
      </c>
      <c r="Q9" s="16" cm="1">
        <f t="array" aca="1" ref="Q9" ca="1">INDIRECT("'data'!$T$" &amp; $A$1)*parameters!$B$15</f>
        <v>2709.7</v>
      </c>
      <c r="R9" s="16">
        <f t="shared" ca="1" si="2"/>
        <v>2709.7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4686.669473684211</v>
      </c>
      <c r="L10" s="16">
        <f t="shared" ca="1" si="0"/>
        <v>4686.669473684211</v>
      </c>
      <c r="M10" s="16"/>
      <c r="N10" s="16">
        <f t="shared" ca="1" si="3"/>
        <v>0</v>
      </c>
      <c r="O10" s="11" cm="1">
        <f t="array" aca="1" ref="O10" ca="1">INDIRECT("'data'!$X$" &amp; $A$1)*parameters!$B$15</f>
        <v>682.08</v>
      </c>
      <c r="P10" s="13" cm="1">
        <f t="array" aca="1" ref="P10" ca="1">-INDIRECT("'data'!$Y$" &amp; $A$1)*parameters!$B$15</f>
        <v>-3572.1</v>
      </c>
      <c r="Q10" s="16" cm="1">
        <f t="array" aca="1" ref="Q10" ca="1">INDIRECT("'data'!$W$" &amp; $A$1)*parameters!$B$15</f>
        <v>1796.6494736842105</v>
      </c>
      <c r="R10" s="16">
        <f t="shared" ca="1" si="2"/>
        <v>1796.649473684211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6263.8185473684207</v>
      </c>
      <c r="N11" s="19"/>
      <c r="O11" s="21" cm="1">
        <f t="array" aca="1" ref="O11" ca="1">INDIRECT("'data'!$Z$" &amp; $A$1)*parameters!$B$15</f>
        <v>1291.1499999999999</v>
      </c>
      <c r="P11" s="27" cm="1">
        <f t="array" aca="1" ref="P11" ca="1">-INDIRECT("'data'!$AA$" &amp; $A$1)*parameters!$B$15</f>
        <v>-1019.6899999999999</v>
      </c>
      <c r="Q11" s="16">
        <f ca="1">K9*parameters!$B$10+K10*parameters!$B$11</f>
        <v>6535.2785473684207</v>
      </c>
      <c r="R11" s="16">
        <f t="shared" ref="R11:R17" ca="1" si="4">SUM(L11:P11)</f>
        <v>6535.2785473684207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-185.82079039132122</v>
      </c>
      <c r="F12" s="9">
        <f ca="1">-(F17-Q6)</f>
        <v>0</v>
      </c>
      <c r="G12" s="9">
        <f ca="1">-(G17-Q7)</f>
        <v>-93.659122257053241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-279.47991264837447</v>
      </c>
      <c r="M12" s="17"/>
      <c r="N12" s="17"/>
      <c r="O12" s="10"/>
      <c r="P12" s="12"/>
      <c r="Q12" s="9">
        <f t="shared" ref="Q12:Q17" ca="1" si="6">SUM(L12:P12)</f>
        <v>-279.47991264837447</v>
      </c>
      <c r="R12" s="17">
        <f t="shared" ca="1" si="4"/>
        <v>-279.47991264837447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-182.49101272777216</v>
      </c>
      <c r="J13" s="14">
        <f ca="1">-(J17-Q10)</f>
        <v>-120.99951358801741</v>
      </c>
      <c r="K13" s="13">
        <f ca="1">-(K17-Q11)</f>
        <v>-816.01092631579013</v>
      </c>
      <c r="L13" s="14">
        <f t="shared" ca="1" si="5"/>
        <v>-1119.5014526315797</v>
      </c>
      <c r="M13" s="16">
        <f ca="1">-E15</f>
        <v>-569.77846001679495</v>
      </c>
      <c r="N13" s="16"/>
      <c r="O13" s="11"/>
      <c r="P13" s="13"/>
      <c r="Q13" s="14">
        <f t="shared" ca="1" si="6"/>
        <v>-1689.2799126483746</v>
      </c>
      <c r="R13" s="16">
        <f t="shared" ca="1" si="4"/>
        <v>-1689.2799126483746</v>
      </c>
    </row>
    <row r="14" spans="1:20">
      <c r="A14" s="18" t="s">
        <v>78</v>
      </c>
      <c r="B14" s="11"/>
      <c r="C14" s="14"/>
      <c r="D14" s="14"/>
      <c r="E14" s="14">
        <f ca="1">-(I13+J13)-K13</f>
        <v>1119.5014526315797</v>
      </c>
      <c r="F14" s="14"/>
      <c r="G14" s="14"/>
      <c r="H14" s="14"/>
      <c r="I14" s="14"/>
      <c r="J14" s="14"/>
      <c r="K14" s="13"/>
      <c r="L14" s="14">
        <f t="shared" ca="1" si="5"/>
        <v>1119.5014526315797</v>
      </c>
      <c r="M14" s="16"/>
      <c r="N14" s="16"/>
      <c r="O14" s="11"/>
      <c r="P14" s="13"/>
      <c r="Q14" s="14">
        <f t="shared" ca="1" si="6"/>
        <v>1119.5014526315797</v>
      </c>
      <c r="R14" s="16">
        <f t="shared" ca="1" si="4"/>
        <v>1119.5014526315797</v>
      </c>
    </row>
    <row r="15" spans="1:20">
      <c r="A15" s="18" t="s">
        <v>79</v>
      </c>
      <c r="B15" s="11"/>
      <c r="C15" s="14"/>
      <c r="D15" s="14"/>
      <c r="E15" s="14">
        <f ca="1">E17-E14</f>
        <v>569.77846001679495</v>
      </c>
      <c r="F15" s="14"/>
      <c r="G15" s="14"/>
      <c r="H15" s="14"/>
      <c r="I15" s="14"/>
      <c r="J15" s="14"/>
      <c r="K15" s="13"/>
      <c r="L15" s="14">
        <f t="shared" ca="1" si="5"/>
        <v>569.77846001679495</v>
      </c>
      <c r="M15" s="16"/>
      <c r="N15" s="16"/>
      <c r="O15" s="11"/>
      <c r="P15" s="13"/>
      <c r="Q15" s="14">
        <f t="shared" ca="1" si="6"/>
        <v>569.77846001679495</v>
      </c>
      <c r="R15" s="16">
        <f t="shared" ca="1" si="4"/>
        <v>569.77846001679495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0</v>
      </c>
      <c r="E17" s="9">
        <f ca="1">$Q$5/parameters!$B$4</f>
        <v>1689.2799126483746</v>
      </c>
      <c r="F17" s="9">
        <f t="shared" ref="F17:K17" ca="1" si="7">SUM(F$2:F$11)</f>
        <v>0</v>
      </c>
      <c r="G17" s="9">
        <f t="shared" ca="1" si="7"/>
        <v>2178.1191222570533</v>
      </c>
      <c r="H17" s="9">
        <f t="shared" ca="1" si="7"/>
        <v>2084.46</v>
      </c>
      <c r="I17" s="9">
        <f t="shared" ca="1" si="7"/>
        <v>2892.191012727772</v>
      </c>
      <c r="J17" s="9">
        <f t="shared" ca="1" si="7"/>
        <v>1917.6489872722279</v>
      </c>
      <c r="K17" s="9">
        <f t="shared" ca="1" si="7"/>
        <v>7351.2894736842109</v>
      </c>
      <c r="L17" s="17">
        <f t="shared" ca="1" si="5"/>
        <v>18112.988508589639</v>
      </c>
      <c r="M17" s="17"/>
      <c r="N17" s="17"/>
      <c r="O17" s="9"/>
      <c r="P17" s="14"/>
      <c r="Q17" s="11">
        <f t="shared" ca="1" si="6"/>
        <v>18112.988508589639</v>
      </c>
      <c r="R17" s="17">
        <f t="shared" ca="1" si="4"/>
        <v>18112.988508589639</v>
      </c>
    </row>
    <row r="18" spans="1:18">
      <c r="A18" s="30" t="s">
        <v>75</v>
      </c>
      <c r="B18" s="38" t="str">
        <f ca="1">IFERROR(1-(-B12)/B17, "")</f>
        <v/>
      </c>
      <c r="C18" s="38" t="str">
        <f ca="1">IFERROR(1-(-C12)/C17, "")</f>
        <v/>
      </c>
      <c r="D18" s="38" t="str">
        <f ca="1">IFERROR(1-(-D12)/D17, "")</f>
        <v/>
      </c>
      <c r="E18" s="38">
        <f t="shared" ref="E18:G18" ca="1" si="8">IFERROR(1-(-E12)/E17, "")</f>
        <v>0.89</v>
      </c>
      <c r="F18" s="38" t="str">
        <f t="shared" ca="1" si="8"/>
        <v/>
      </c>
      <c r="G18" s="38">
        <f t="shared" ca="1" si="8"/>
        <v>0.95700000000000007</v>
      </c>
      <c r="H18" s="38">
        <f t="shared" ref="H18" ca="1" si="9">1-(-H12)/H17</f>
        <v>1</v>
      </c>
      <c r="I18" s="38">
        <f ca="1">(Q9+Q10)/(Q8-O8-P8)</f>
        <v>0.93690215759447515</v>
      </c>
      <c r="J18" s="38">
        <f ca="1">I18</f>
        <v>0.93690215759447515</v>
      </c>
      <c r="K18" s="39">
        <f ca="1">1-(-K13)/K17</f>
        <v>0.88899757937203994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3436.8823588608229</v>
      </c>
      <c r="D2" s="9">
        <f ca="1">Q4/parameters!$B$3</f>
        <v>102.76743483948879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3539.6497937003119</v>
      </c>
      <c r="M2" s="17"/>
      <c r="N2" s="17">
        <f ca="1">Q2-(L2+O2+P2)</f>
        <v>419.00020629968822</v>
      </c>
      <c r="O2" s="11" cm="1">
        <f t="array" aca="1" ref="O2" ca="1">INDIRECT("'data'!$F$" &amp; $A$1)</f>
        <v>8852.35</v>
      </c>
      <c r="P2" s="13">
        <f ca="1">IF(-(L2-Q2+O2)&lt;0, -(L2-Q2+O2), 0)</f>
        <v>0</v>
      </c>
      <c r="Q2" s="17" cm="1">
        <f t="array" aca="1" ref="Q2" ca="1">INDIRECT("'data'!$D$" &amp; $A$1)</f>
        <v>12811</v>
      </c>
      <c r="R2" s="17">
        <f ca="1">SUM(L2:P2)</f>
        <v>12811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3049.0746268656721</v>
      </c>
      <c r="G3" s="14">
        <f ca="1">Q3-O3-P3-F3</f>
        <v>349.14537313432811</v>
      </c>
      <c r="H3" s="14"/>
      <c r="I3" s="14"/>
      <c r="J3" s="14"/>
      <c r="K3" s="13"/>
      <c r="L3" s="16">
        <f t="shared" ca="1" si="0"/>
        <v>3398.2200000000003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33.074999999999996</v>
      </c>
      <c r="P3" s="13" cm="1">
        <f t="array" aca="1" ref="P3" ca="1">-INDIRECT("'data'!$I$" &amp; $A$1)*parameters!$B$13</f>
        <v>-16.064999999999998</v>
      </c>
      <c r="Q3" s="16" cm="1">
        <f t="array" aca="1" ref="Q3" ca="1">INDIRECT("'data'!$G$" &amp; $A$1)*parameters!$B$13</f>
        <v>3415.23</v>
      </c>
      <c r="R3" s="16">
        <f t="shared" ref="R3:R10" ca="1" si="2">SUM(L3:P3)</f>
        <v>3415.23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102.12</v>
      </c>
      <c r="H4" s="14"/>
      <c r="I4" s="14"/>
      <c r="J4" s="14"/>
      <c r="K4" s="13"/>
      <c r="L4" s="16">
        <f t="shared" ca="1" si="0"/>
        <v>102.12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102.12</v>
      </c>
      <c r="R4" s="16">
        <f t="shared" ca="1" si="2"/>
        <v>102.12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f ca="1">Q6/parameters!$B$5*20%</f>
        <v>762.26865671641804</v>
      </c>
      <c r="G5" s="14">
        <f ca="1">Q7/parameters!$B$7-(G3+G4)</f>
        <v>1463.6771556013041</v>
      </c>
      <c r="H5" s="14"/>
      <c r="I5" s="14"/>
      <c r="J5" s="14"/>
      <c r="K5" s="13"/>
      <c r="L5" s="16">
        <f t="shared" ca="1" si="0"/>
        <v>2225.9458123177219</v>
      </c>
      <c r="M5" s="16"/>
      <c r="N5" s="16"/>
      <c r="O5" s="11" cm="1">
        <f t="array" aca="1" ref="O5" ca="1">INDIRECT("'data'!$M$" &amp; $A$1)*parameters!$B$15</f>
        <v>548.79999999999995</v>
      </c>
      <c r="P5" s="13" cm="1">
        <f t="array" aca="1" ref="P5" ca="1">-INDIRECT("'data'!$N$" &amp; $A$1)*parameters!$B$15</f>
        <v>-368.48</v>
      </c>
      <c r="Q5" s="16">
        <f ca="1">SUM(L5:P5)</f>
        <v>2406.2658123177221</v>
      </c>
      <c r="R5" s="16">
        <f t="shared" ca="1" si="2"/>
        <v>2406.2658123177221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3575.04</v>
      </c>
      <c r="I6" s="14"/>
      <c r="J6" s="14"/>
      <c r="K6" s="13"/>
      <c r="L6" s="16">
        <f t="shared" ca="1" si="0"/>
        <v>3575.04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3575.04</v>
      </c>
      <c r="R6" s="16">
        <f t="shared" ca="1" si="2"/>
        <v>3575.04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1832.6</v>
      </c>
      <c r="I7" s="14"/>
      <c r="J7" s="14"/>
      <c r="K7" s="13"/>
      <c r="L7" s="16">
        <f t="shared" ca="1" si="0"/>
        <v>1832.6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1832.6</v>
      </c>
      <c r="R7" s="16">
        <f t="shared" ca="1" si="2"/>
        <v>1832.6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1037.0715071114103</v>
      </c>
      <c r="J8" s="14">
        <f ca="1">Q10/J18</f>
        <v>4535.2084928885888</v>
      </c>
      <c r="K8" s="13"/>
      <c r="L8" s="16">
        <f t="shared" ca="1" si="0"/>
        <v>5572.2799999999988</v>
      </c>
      <c r="M8" s="16"/>
      <c r="N8" s="16">
        <f t="shared" ca="1" si="3"/>
        <v>0</v>
      </c>
      <c r="O8" s="11" cm="1">
        <f t="array" aca="1" ref="O8" ca="1">INDIRECT("'data'!$R$" &amp; $A$1)*parameters!$B$15</f>
        <v>194.04</v>
      </c>
      <c r="P8" s="13" cm="1">
        <f t="array" aca="1" ref="P8" ca="1">-INDIRECT("'data'!$S$" &amp; $A$1)*parameters!$B$15</f>
        <v>-358.68</v>
      </c>
      <c r="Q8" s="16">
        <f ca="1">SUM(Q6:Q7)</f>
        <v>5407.6399999999994</v>
      </c>
      <c r="R8" s="16">
        <f t="shared" ca="1" si="2"/>
        <v>5407.6399999999985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816.34</v>
      </c>
      <c r="L9" s="16">
        <f t="shared" ca="1" si="0"/>
        <v>816.34</v>
      </c>
      <c r="M9" s="16"/>
      <c r="N9" s="16">
        <f t="shared" ca="1" si="3"/>
        <v>0</v>
      </c>
      <c r="O9" s="11" cm="1">
        <f t="array" aca="1" ref="O9" ca="1">INDIRECT("'data'!$U$" &amp; $A$1)*parameters!$B$15</f>
        <v>835.93999999999994</v>
      </c>
      <c r="P9" s="13" cm="1">
        <f t="array" aca="1" ref="P9" ca="1">-INDIRECT("'data'!$V$" &amp; $A$1)*parameters!$B$15</f>
        <v>-797.72</v>
      </c>
      <c r="Q9" s="16" cm="1">
        <f t="array" aca="1" ref="Q9" ca="1">INDIRECT("'data'!$T$" &amp; $A$1)*parameters!$B$15</f>
        <v>854.56</v>
      </c>
      <c r="R9" s="16">
        <f t="shared" ca="1" si="2"/>
        <v>854.56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2300.3889900426739</v>
      </c>
      <c r="L10" s="16">
        <f t="shared" ca="1" si="0"/>
        <v>2300.3889900426739</v>
      </c>
      <c r="M10" s="16"/>
      <c r="N10" s="16">
        <f t="shared" ca="1" si="3"/>
        <v>0</v>
      </c>
      <c r="O10" s="11" cm="1">
        <f t="array" aca="1" ref="O10" ca="1">INDIRECT("'data'!$X$" &amp; $A$1)*parameters!$B$15</f>
        <v>2790.06</v>
      </c>
      <c r="P10" s="13" cm="1">
        <f t="array" aca="1" ref="P10" ca="1">-INDIRECT("'data'!$Y$" &amp; $A$1)*parameters!$B$15</f>
        <v>-1353.3799999999999</v>
      </c>
      <c r="Q10" s="16" cm="1">
        <f t="array" aca="1" ref="Q10" ca="1">INDIRECT("'data'!$W$" &amp; $A$1)*parameters!$B$15</f>
        <v>3737.0689900426742</v>
      </c>
      <c r="R10" s="16">
        <f t="shared" ca="1" si="2"/>
        <v>3737.0689900426742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2654.5541314366997</v>
      </c>
      <c r="N11" s="19"/>
      <c r="O11" s="21" cm="1">
        <f t="array" aca="1" ref="O11" ca="1">INDIRECT("'data'!$Z$" &amp; $A$1)*parameters!$B$15</f>
        <v>2086.91</v>
      </c>
      <c r="P11" s="27" cm="1">
        <f t="array" aca="1" ref="P11" ca="1">-INDIRECT("'data'!$AA$" &amp; $A$1)*parameters!$B$15</f>
        <v>-1995.77</v>
      </c>
      <c r="Q11" s="16">
        <f ca="1">K9*parameters!$B$10+K10*parameters!$B$11</f>
        <v>2745.6941314366995</v>
      </c>
      <c r="R11" s="16">
        <f t="shared" ref="R11:R17" ca="1" si="4">SUM(L11:P11)</f>
        <v>2745.6941314367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-21.652358860822915</v>
      </c>
      <c r="D12" s="9">
        <f ca="1">-(D17-Q4)</f>
        <v>-0.64743483948878122</v>
      </c>
      <c r="E12" s="9">
        <f ca="1">-(E17-Q5)</f>
        <v>-297.4036397246623</v>
      </c>
      <c r="F12" s="9">
        <f ca="1">-(F17-Q6)</f>
        <v>-236.30328358209044</v>
      </c>
      <c r="G12" s="9">
        <f ca="1">-(G17-Q7)</f>
        <v>-82.342528735632186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-638.34924574269667</v>
      </c>
      <c r="M12" s="17"/>
      <c r="N12" s="17"/>
      <c r="O12" s="10"/>
      <c r="P12" s="12"/>
      <c r="Q12" s="9">
        <f t="shared" ref="Q12:Q17" ca="1" si="6">SUM(L12:P12)</f>
        <v>-638.34924574269667</v>
      </c>
      <c r="R12" s="17">
        <f t="shared" ca="1" si="4"/>
        <v>-638.34924574269667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-182.51150711141031</v>
      </c>
      <c r="J13" s="14">
        <f ca="1">-(J17-Q10)</f>
        <v>-798.13950284591465</v>
      </c>
      <c r="K13" s="13">
        <f ca="1">-(K17-Q11)</f>
        <v>-371.03485860597448</v>
      </c>
      <c r="L13" s="14">
        <f t="shared" ca="1" si="5"/>
        <v>-1351.6858685632994</v>
      </c>
      <c r="M13" s="16">
        <f ca="1">-E15</f>
        <v>-1351.9835834790849</v>
      </c>
      <c r="N13" s="16"/>
      <c r="O13" s="11"/>
      <c r="P13" s="13"/>
      <c r="Q13" s="14">
        <f t="shared" ca="1" si="6"/>
        <v>-2703.6694520423844</v>
      </c>
      <c r="R13" s="16">
        <f t="shared" ca="1" si="4"/>
        <v>-2703.6694520423844</v>
      </c>
    </row>
    <row r="14" spans="1:20">
      <c r="A14" s="18" t="s">
        <v>78</v>
      </c>
      <c r="B14" s="11"/>
      <c r="C14" s="14"/>
      <c r="D14" s="14"/>
      <c r="E14" s="14">
        <f ca="1">-(I13+J13)-K13</f>
        <v>1351.6858685632994</v>
      </c>
      <c r="F14" s="14"/>
      <c r="G14" s="14"/>
      <c r="H14" s="14"/>
      <c r="I14" s="14"/>
      <c r="J14" s="14"/>
      <c r="K14" s="13"/>
      <c r="L14" s="14">
        <f t="shared" ca="1" si="5"/>
        <v>1351.6858685632994</v>
      </c>
      <c r="M14" s="16"/>
      <c r="N14" s="16"/>
      <c r="O14" s="11"/>
      <c r="P14" s="13"/>
      <c r="Q14" s="14">
        <f t="shared" ca="1" si="6"/>
        <v>1351.6858685632994</v>
      </c>
      <c r="R14" s="16">
        <f t="shared" ca="1" si="4"/>
        <v>1351.6858685632994</v>
      </c>
    </row>
    <row r="15" spans="1:20">
      <c r="A15" s="18" t="s">
        <v>79</v>
      </c>
      <c r="B15" s="11"/>
      <c r="C15" s="14"/>
      <c r="D15" s="14"/>
      <c r="E15" s="14">
        <f ca="1">E17-E14</f>
        <v>1351.9835834790849</v>
      </c>
      <c r="F15" s="14"/>
      <c r="G15" s="14"/>
      <c r="H15" s="14"/>
      <c r="I15" s="14"/>
      <c r="J15" s="14"/>
      <c r="K15" s="13"/>
      <c r="L15" s="14">
        <f t="shared" ca="1" si="5"/>
        <v>1351.9835834790849</v>
      </c>
      <c r="M15" s="16"/>
      <c r="N15" s="16"/>
      <c r="O15" s="11"/>
      <c r="P15" s="13"/>
      <c r="Q15" s="14">
        <f t="shared" ca="1" si="6"/>
        <v>1351.9835834790849</v>
      </c>
      <c r="R15" s="16">
        <f t="shared" ca="1" si="4"/>
        <v>1351.9835834790849</v>
      </c>
    </row>
    <row r="16" spans="1:20">
      <c r="A16" s="30" t="s">
        <v>89</v>
      </c>
      <c r="B16" s="21">
        <f ca="1">Q2</f>
        <v>12811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12811</v>
      </c>
      <c r="M16" s="19"/>
      <c r="N16" s="19"/>
      <c r="O16" s="21"/>
      <c r="P16" s="27"/>
      <c r="Q16" s="22">
        <f t="shared" ca="1" si="6"/>
        <v>12811</v>
      </c>
      <c r="R16" s="19">
        <f t="shared" ca="1" si="4"/>
        <v>12811</v>
      </c>
    </row>
    <row r="17" spans="1:18">
      <c r="A17" s="29" t="s">
        <v>88</v>
      </c>
      <c r="B17" s="9">
        <f ca="1">B16</f>
        <v>12811</v>
      </c>
      <c r="C17" s="9">
        <f ca="1">SUM(C$2:C$11)</f>
        <v>3436.8823588608229</v>
      </c>
      <c r="D17" s="9">
        <f ca="1">SUM(D$2:D$11)</f>
        <v>102.76743483948879</v>
      </c>
      <c r="E17" s="9">
        <f ca="1">$Q$5/parameters!$B$4</f>
        <v>2703.6694520423844</v>
      </c>
      <c r="F17" s="9">
        <f t="shared" ref="F17:K17" ca="1" si="7">SUM(F$2:F$11)</f>
        <v>3811.3432835820904</v>
      </c>
      <c r="G17" s="9">
        <f t="shared" ca="1" si="7"/>
        <v>1914.9425287356321</v>
      </c>
      <c r="H17" s="9">
        <f t="shared" ca="1" si="7"/>
        <v>5407.6399999999994</v>
      </c>
      <c r="I17" s="9">
        <f t="shared" ca="1" si="7"/>
        <v>1037.0715071114103</v>
      </c>
      <c r="J17" s="9">
        <f t="shared" ca="1" si="7"/>
        <v>4535.2084928885888</v>
      </c>
      <c r="K17" s="9">
        <f t="shared" ca="1" si="7"/>
        <v>3116.728990042674</v>
      </c>
      <c r="L17" s="17">
        <f t="shared" ca="1" si="5"/>
        <v>38877.254048103096</v>
      </c>
      <c r="M17" s="17"/>
      <c r="N17" s="17"/>
      <c r="O17" s="9"/>
      <c r="P17" s="14"/>
      <c r="Q17" s="11">
        <f t="shared" ca="1" si="6"/>
        <v>38877.254048103096</v>
      </c>
      <c r="R17" s="17">
        <f t="shared" ca="1" si="4"/>
        <v>38877.254048103096</v>
      </c>
    </row>
    <row r="18" spans="1:18">
      <c r="A18" s="30" t="s">
        <v>75</v>
      </c>
      <c r="B18" s="38">
        <f ca="1">IFERROR(1-(-B12)/B17, "")</f>
        <v>1</v>
      </c>
      <c r="C18" s="38">
        <f ca="1">IFERROR(1-(-C12)/C17, "")</f>
        <v>0.99370000000000003</v>
      </c>
      <c r="D18" s="38">
        <f ca="1">IFERROR(1-(-D12)/D17, "")</f>
        <v>0.99370000000000003</v>
      </c>
      <c r="E18" s="38">
        <f t="shared" ref="E18:G18" ca="1" si="8">IFERROR(1-(-E12)/E17, "")</f>
        <v>0.89</v>
      </c>
      <c r="F18" s="38">
        <f t="shared" ca="1" si="8"/>
        <v>0.93799999999999972</v>
      </c>
      <c r="G18" s="38">
        <f t="shared" ca="1" si="8"/>
        <v>0.95699999999999996</v>
      </c>
      <c r="H18" s="38">
        <f t="shared" ref="H18" ca="1" si="9">1-(-H12)/H17</f>
        <v>1</v>
      </c>
      <c r="I18" s="38">
        <f ca="1">(Q9+Q10)/(Q8-O8-P8)</f>
        <v>0.82401261064459697</v>
      </c>
      <c r="J18" s="38">
        <f ca="1">I18</f>
        <v>0.82401261064459697</v>
      </c>
      <c r="K18" s="39">
        <f ca="1">1-(-K13)/K17</f>
        <v>0.88095376280987003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2024-08-12T15:44:32Z</dcterms:modified>
</cp:coreProperties>
</file>