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98860396-0D7E-344E-85D9-BE0E8ADE398D}" xr6:coauthVersionLast="47" xr6:coauthVersionMax="47" xr10:uidLastSave="{00000000-0000-0000-0000-000000000000}"/>
  <bookViews>
    <workbookView xWindow="0" yWindow="500" windowWidth="38400" windowHeight="21100" activeTab="3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  <externalReference r:id="rId35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5" l="1"/>
  <c r="J18" i="35" s="1"/>
  <c r="I18" i="34"/>
  <c r="J18" i="34" s="1"/>
  <c r="I18" i="27"/>
  <c r="J18" i="27" s="1"/>
  <c r="I18" i="15"/>
  <c r="J18" i="15" s="1"/>
  <c r="I18" i="21"/>
  <c r="J18" i="21" s="1"/>
  <c r="I18" i="20"/>
  <c r="J18" i="20" s="1"/>
  <c r="Q4" i="49" l="1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3" i="49"/>
  <c r="G24" i="49"/>
  <c r="G25" i="49"/>
  <c r="G26" i="49"/>
  <c r="G27" i="49"/>
  <c r="G28" i="49"/>
  <c r="G29" i="49"/>
  <c r="G30" i="49"/>
  <c r="G31" i="49"/>
  <c r="G32" i="49"/>
  <c r="G3" i="49"/>
  <c r="J22" i="49" l="1"/>
  <c r="G22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O4" i="17" a="1"/>
  <c r="Q10" i="31" a="1"/>
  <c r="P10" i="42" a="1"/>
  <c r="P4" i="32" a="1"/>
  <c r="O8" i="27" a="1"/>
  <c r="P8" i="20" a="1"/>
  <c r="O8" i="37" a="1"/>
  <c r="P10" i="31" a="1"/>
  <c r="P9" i="23" a="1"/>
  <c r="P11" i="38" a="1"/>
  <c r="P11" i="40" a="1"/>
  <c r="P4" i="22" a="1"/>
  <c r="O2" i="34" a="1"/>
  <c r="P3" i="24" a="1"/>
  <c r="O9" i="35" a="1"/>
  <c r="O11" i="31" a="1"/>
  <c r="O9" i="17" a="1"/>
  <c r="O4" i="11" a="1"/>
  <c r="Q7" i="26" a="1"/>
  <c r="Q4" i="19" a="1"/>
  <c r="O2" i="40" a="1"/>
  <c r="O5" i="41" a="1"/>
  <c r="Q10" i="26" a="1"/>
  <c r="O9" i="43" a="1"/>
  <c r="P10" i="29" a="1"/>
  <c r="Q10" i="43" a="1"/>
  <c r="Q10" i="16" a="1"/>
  <c r="O10" i="17" a="1"/>
  <c r="P5" i="35" a="1"/>
  <c r="P3" i="33" a="1"/>
  <c r="O4" i="42" a="1"/>
  <c r="O11" i="19" a="1"/>
  <c r="P10" i="26" a="1"/>
  <c r="O4" i="15" a="1"/>
  <c r="P4" i="41" a="1"/>
  <c r="Q4" i="27" a="1"/>
  <c r="Q9" i="21" a="1"/>
  <c r="P4" i="27" a="1"/>
  <c r="P3" i="32" a="1"/>
  <c r="P5" i="37" a="1"/>
  <c r="P4" i="38" a="1"/>
  <c r="Q2" i="15" a="1"/>
  <c r="O11" i="21" a="1"/>
  <c r="O5" i="39" a="1"/>
  <c r="Q2" i="36" a="1"/>
  <c r="O11" i="34" a="1"/>
  <c r="Q6" i="24" a="1"/>
  <c r="P5" i="26" a="1"/>
  <c r="P11" i="31" a="1"/>
  <c r="P9" i="38" a="1"/>
  <c r="O11" i="28" a="1"/>
  <c r="Q3" i="27" a="1"/>
  <c r="O5" i="28" a="1"/>
  <c r="O11" i="23" a="1"/>
  <c r="Q6" i="17" a="1"/>
  <c r="Q10" i="36" a="1"/>
  <c r="P5" i="28" a="1"/>
  <c r="O3" i="18" a="1"/>
  <c r="P4" i="39" a="1"/>
  <c r="Q10" i="22" a="1"/>
  <c r="O10" i="18" a="1"/>
  <c r="Q10" i="20" a="1"/>
  <c r="O2" i="31" a="1"/>
  <c r="O2" i="33" a="1"/>
  <c r="Q4" i="11" a="1"/>
  <c r="P9" i="33" a="1"/>
  <c r="Q10" i="28" a="1"/>
  <c r="O4" i="40" a="1"/>
  <c r="P8" i="35" a="1"/>
  <c r="O3" i="22" a="1"/>
  <c r="Q2" i="40" a="1"/>
  <c r="O11" i="41" a="1"/>
  <c r="O5" i="24" a="1"/>
  <c r="Q9" i="24" a="1"/>
  <c r="P9" i="28" a="1"/>
  <c r="O11" i="33" a="1"/>
  <c r="P8" i="11" a="1"/>
  <c r="P8" i="33" a="1"/>
  <c r="P3" i="20" a="1"/>
  <c r="P4" i="20" a="1"/>
  <c r="Q9" i="28" a="1"/>
  <c r="Q6" i="37" a="1"/>
  <c r="O4" i="33" a="1"/>
  <c r="Q4" i="24" a="1"/>
  <c r="P4" i="24" a="1"/>
  <c r="O11" i="17" a="1"/>
  <c r="O2" i="43" a="1"/>
  <c r="P4" i="34" a="1"/>
  <c r="Q9" i="35" a="1"/>
  <c r="Q3" i="32" a="1"/>
  <c r="O10" i="28" a="1"/>
  <c r="Q9" i="19" a="1"/>
  <c r="O2" i="24" a="1"/>
  <c r="O3" i="23" a="1"/>
  <c r="P11" i="24" a="1"/>
  <c r="Q10" i="37" a="1"/>
  <c r="Q2" i="41" a="1"/>
  <c r="P4" i="29" a="1"/>
  <c r="Q10" i="29" a="1"/>
  <c r="P4" i="19" a="1"/>
  <c r="P3" i="39" a="1"/>
  <c r="P5" i="29" a="1"/>
  <c r="O2" i="32" a="1"/>
  <c r="Q3" i="43" a="1"/>
  <c r="O3" i="15" a="1"/>
  <c r="O8" i="15" a="1"/>
  <c r="Q2" i="38" a="1"/>
  <c r="Q9" i="31" a="1"/>
  <c r="P4" i="11" a="1"/>
  <c r="Q9" i="42" a="1"/>
  <c r="O5" i="35" a="1"/>
  <c r="O10" i="37" a="1"/>
  <c r="O9" i="32" a="1"/>
  <c r="P9" i="30" a="1"/>
  <c r="O2" i="17" a="1"/>
  <c r="P10" i="36" a="1"/>
  <c r="Q3" i="21" a="1"/>
  <c r="O10" i="42" a="1"/>
  <c r="Q7" i="42" a="1"/>
  <c r="O8" i="32" a="1"/>
  <c r="O3" i="37" a="1"/>
  <c r="P3" i="34" a="1"/>
  <c r="Q6" i="29" a="1"/>
  <c r="O10" i="23" a="1"/>
  <c r="O8" i="16" a="1"/>
  <c r="O3" i="41" a="1"/>
  <c r="P3" i="29" a="1"/>
  <c r="Q6" i="41" a="1"/>
  <c r="P10" i="23" a="1"/>
  <c r="P11" i="26" a="1"/>
  <c r="P11" i="20" a="1"/>
  <c r="Q4" i="31" a="1"/>
  <c r="Q7" i="32" a="1"/>
  <c r="Q9" i="41" a="1"/>
  <c r="P11" i="15" a="1"/>
  <c r="O8" i="35" a="1"/>
  <c r="Q2" i="30" a="1"/>
  <c r="Q10" i="32" a="1"/>
  <c r="Q6" i="11" a="1"/>
  <c r="O3" i="17" a="1"/>
  <c r="O10" i="41" a="1"/>
  <c r="Q7" i="20" a="1"/>
  <c r="P3" i="19" a="1"/>
  <c r="O3" i="11" a="1"/>
  <c r="P3" i="28" a="1"/>
  <c r="Q2" i="18" a="1"/>
  <c r="O10" i="38" a="1"/>
  <c r="Q4" i="40" a="1"/>
  <c r="P8" i="28" a="1"/>
  <c r="Q3" i="38" a="1"/>
  <c r="Q6" i="22" a="1"/>
  <c r="Q7" i="24" a="1"/>
  <c r="Q9" i="17" a="1"/>
  <c r="O11" i="22" a="1"/>
  <c r="O3" i="19" a="1"/>
  <c r="Q9" i="20" a="1"/>
  <c r="O9" i="24" a="1"/>
  <c r="Q6" i="36" a="1"/>
  <c r="O8" i="36" a="1"/>
  <c r="P5" i="14" a="1"/>
  <c r="Q9" i="15" a="1"/>
  <c r="P11" i="36" a="1"/>
  <c r="O3" i="38" a="1"/>
  <c r="Q2" i="32" a="1"/>
  <c r="O8" i="23" a="1"/>
  <c r="Q6" i="21" a="1"/>
  <c r="O5" i="29" a="1"/>
  <c r="P8" i="41" a="1"/>
  <c r="O8" i="22" a="1"/>
  <c r="Q2" i="28" a="1"/>
  <c r="O8" i="17" a="1"/>
  <c r="O5" i="14" a="1"/>
  <c r="P10" i="33" a="1"/>
  <c r="O8" i="41" a="1"/>
  <c r="Q4" i="28" a="1"/>
  <c r="O10" i="15" a="1"/>
  <c r="Q10" i="39" a="1"/>
  <c r="P11" i="42" a="1"/>
  <c r="P3" i="37" a="1"/>
  <c r="O5" i="42" a="1"/>
  <c r="Q6" i="43" a="1"/>
  <c r="Q3" i="23" a="1"/>
  <c r="P9" i="21" a="1"/>
  <c r="O5" i="30" a="1"/>
  <c r="O5" i="17" a="1"/>
  <c r="O10" i="21" a="1"/>
  <c r="O11" i="11" a="1"/>
  <c r="Q9" i="18" a="1"/>
  <c r="O3" i="29" a="1"/>
  <c r="Q7" i="31" a="1"/>
  <c r="P3" i="26" a="1"/>
  <c r="Q2" i="27" a="1"/>
  <c r="O5" i="34" a="1"/>
  <c r="O4" i="23" a="1"/>
  <c r="O9" i="19" a="1"/>
  <c r="P8" i="27" a="1"/>
  <c r="O9" i="18" a="1"/>
  <c r="O11" i="26" a="1"/>
  <c r="O5" i="18" a="1"/>
  <c r="Q4" i="36" a="1"/>
  <c r="P8" i="37" a="1"/>
  <c r="Q10" i="30" a="1"/>
  <c r="O2" i="23" a="1"/>
  <c r="Q4" i="26" a="1"/>
  <c r="O3" i="28" a="1"/>
  <c r="O2" i="36" a="1"/>
  <c r="Q3" i="14" a="1"/>
  <c r="Q9" i="26" a="1"/>
  <c r="Q10" i="38" a="1"/>
  <c r="O9" i="36" a="1"/>
  <c r="P8" i="17" a="1"/>
  <c r="Q10" i="14" a="1"/>
  <c r="Q2" i="14" a="1"/>
  <c r="O9" i="29" a="1"/>
  <c r="Q4" i="21" a="1"/>
  <c r="O3" i="39" a="1"/>
  <c r="P11" i="17" a="1"/>
  <c r="P10" i="43" a="1"/>
  <c r="O2" i="27" a="1"/>
  <c r="Q9" i="23" a="1"/>
  <c r="P8" i="26" a="1"/>
  <c r="Q9" i="34" a="1"/>
  <c r="Q2" i="20" a="1"/>
  <c r="Q2" i="17" a="1"/>
  <c r="P4" i="40" a="1"/>
  <c r="P8" i="31" a="1"/>
  <c r="P11" i="29" a="1"/>
  <c r="Q10" i="19" a="1"/>
  <c r="Q2" i="19" a="1"/>
  <c r="P9" i="43" a="1"/>
  <c r="Q6" i="34" a="1"/>
  <c r="P5" i="15" a="1"/>
  <c r="Q4" i="34" a="1"/>
  <c r="O3" i="20" a="1"/>
  <c r="Q3" i="22" a="1"/>
  <c r="Q3" i="33" a="1"/>
  <c r="O3" i="35" a="1"/>
  <c r="O8" i="42" a="1"/>
  <c r="O2" i="29" a="1"/>
  <c r="Q4" i="18" a="1"/>
  <c r="O8" i="26" a="1"/>
  <c r="Q4" i="15" a="1"/>
  <c r="P10" i="11" a="1"/>
  <c r="Q2" i="37" a="1"/>
  <c r="O9" i="34" a="1"/>
  <c r="O3" i="40" a="1"/>
  <c r="O8" i="14" a="1"/>
  <c r="O5" i="23" a="1"/>
  <c r="O4" i="14" a="1"/>
  <c r="P4" i="14" a="1"/>
  <c r="O8" i="43" a="1"/>
  <c r="Q2" i="16" a="1"/>
  <c r="P10" i="21" a="1"/>
  <c r="O4" i="20" a="1"/>
  <c r="O9" i="28" a="1"/>
  <c r="P8" i="19" a="1"/>
  <c r="P8" i="21" a="1"/>
  <c r="O8" i="21" a="1"/>
  <c r="Q7" i="16" a="1"/>
  <c r="O4" i="28" a="1"/>
  <c r="O2" i="26" a="1"/>
  <c r="Q2" i="33" a="1"/>
  <c r="Q7" i="43" a="1"/>
  <c r="P4" i="18" a="1"/>
  <c r="P5" i="36" a="1"/>
  <c r="O5" i="43" a="1"/>
  <c r="O3" i="42" a="1"/>
  <c r="P10" i="22" a="1"/>
  <c r="Q2" i="11" a="1"/>
  <c r="P5" i="17" a="1"/>
  <c r="O3" i="34" a="1"/>
  <c r="O11" i="27" a="1"/>
  <c r="O8" i="33" a="1"/>
  <c r="Q2" i="21" a="1"/>
  <c r="Q10" i="23" a="1"/>
  <c r="O9" i="40" a="1"/>
  <c r="P3" i="22" a="1"/>
  <c r="P8" i="40" a="1"/>
  <c r="Q6" i="35" a="1"/>
  <c r="O3" i="21" a="1"/>
  <c r="P3" i="14" a="1"/>
  <c r="Q7" i="34" a="1"/>
  <c r="O3" i="36" a="1"/>
  <c r="P8" i="42" a="1"/>
  <c r="P4" i="31" a="1"/>
  <c r="Q2" i="26" a="1"/>
  <c r="Q9" i="16" a="1"/>
  <c r="P3" i="27" a="1"/>
  <c r="O11" i="20" a="1"/>
  <c r="Q9" i="27" a="1"/>
  <c r="P3" i="36" a="1"/>
  <c r="Q2" i="22" a="1"/>
  <c r="O9" i="27" a="1"/>
  <c r="Q7" i="22" a="1"/>
  <c r="Q10" i="17" a="1"/>
  <c r="Q4" i="30" a="1"/>
  <c r="O2" i="16" a="1"/>
  <c r="Q7" i="41" a="1"/>
  <c r="P5" i="11" a="1"/>
  <c r="P5" i="19" a="1"/>
  <c r="P8" i="18" a="1"/>
  <c r="Q10" i="34" a="1"/>
  <c r="P3" i="21" a="1"/>
  <c r="Q6" i="28" a="1"/>
  <c r="P10" i="20" a="1"/>
  <c r="P11" i="19" a="1"/>
  <c r="Q4" i="32" a="1"/>
  <c r="P10" i="15" a="1"/>
  <c r="Q2" i="34" a="1"/>
  <c r="Q3" i="40" a="1"/>
  <c r="P11" i="21" a="1"/>
  <c r="Q7" i="18" a="1"/>
  <c r="O3" i="43" a="1"/>
  <c r="O5" i="38" a="1"/>
  <c r="P9" i="29" a="1"/>
  <c r="P8" i="29" a="1"/>
  <c r="O8" i="11" a="1"/>
  <c r="Q9" i="43" a="1"/>
  <c r="O10" i="16" a="1"/>
  <c r="O9" i="38" a="1"/>
  <c r="P10" i="28" a="1"/>
  <c r="Q4" i="39" a="1"/>
  <c r="O4" i="39" a="1"/>
  <c r="P3" i="18" a="1"/>
  <c r="O9" i="42" a="1"/>
  <c r="O4" i="32" a="1"/>
  <c r="P10" i="24" a="1"/>
  <c r="Q7" i="21" a="1"/>
  <c r="O10" i="39" a="1"/>
  <c r="O5" i="36" a="1"/>
  <c r="Q4" i="35" a="1"/>
  <c r="O4" i="35" a="1"/>
  <c r="O11" i="39" a="1"/>
  <c r="Q3" i="37" a="1"/>
  <c r="O4" i="43" a="1"/>
  <c r="P8" i="32" a="1"/>
  <c r="O2" i="19" a="1"/>
  <c r="P4" i="43" a="1"/>
  <c r="P5" i="23" a="1"/>
  <c r="P8" i="34" a="1"/>
  <c r="P8" i="15" a="1"/>
  <c r="O9" i="30" a="1"/>
  <c r="O3" i="30" a="1"/>
  <c r="P9" i="35" a="1"/>
  <c r="O8" i="24" a="1"/>
  <c r="O3" i="24" a="1"/>
  <c r="O4" i="29" a="1"/>
  <c r="P9" i="14" a="1"/>
  <c r="Q3" i="16" a="1"/>
  <c r="Q9" i="29" a="1"/>
  <c r="P9" i="39" a="1"/>
  <c r="Q4" i="41" a="1"/>
  <c r="Q3" i="35" a="1"/>
  <c r="Q7" i="35" a="1"/>
  <c r="O10" i="40" a="1"/>
  <c r="Q4" i="14" a="1"/>
  <c r="Q9" i="30" a="1"/>
  <c r="Q4" i="17" a="1"/>
  <c r="O5" i="27" a="1"/>
  <c r="O10" i="27" a="1"/>
  <c r="P8" i="14" a="1"/>
  <c r="O2" i="37" a="1"/>
  <c r="O8" i="18" a="1"/>
  <c r="Q7" i="39" a="1"/>
  <c r="Q9" i="38" a="1"/>
  <c r="Q6" i="14" a="1"/>
  <c r="Q7" i="29" a="1"/>
  <c r="P4" i="42" a="1"/>
  <c r="O8" i="38" a="1"/>
  <c r="Q10" i="33" a="1"/>
  <c r="O2" i="14" a="1"/>
  <c r="P3" i="15" a="1"/>
  <c r="O2" i="22" a="1"/>
  <c r="Q2" i="42" a="1"/>
  <c r="O9" i="14" a="1"/>
  <c r="O10" i="33" a="1"/>
  <c r="Q6" i="27" a="1"/>
  <c r="P9" i="42" a="1"/>
  <c r="O4" i="19" a="1"/>
  <c r="P4" i="26" a="1"/>
  <c r="O11" i="43" a="1"/>
  <c r="Q3" i="41" a="1"/>
  <c r="O2" i="28" a="1"/>
  <c r="Q6" i="38" a="1"/>
  <c r="P4" i="33" a="1"/>
  <c r="Q9" i="37" a="1"/>
  <c r="P9" i="26" a="1"/>
  <c r="P9" i="18" a="1"/>
  <c r="Q10" i="24" a="1"/>
  <c r="O9" i="39" a="1"/>
  <c r="Q7" i="28" a="1"/>
  <c r="Q3" i="24" a="1"/>
  <c r="Q4" i="33" a="1"/>
  <c r="O9" i="26" a="1"/>
  <c r="Q7" i="37" a="1"/>
  <c r="O11" i="24" a="1"/>
  <c r="P10" i="41" a="1"/>
  <c r="Q7" i="14" a="1"/>
  <c r="Q3" i="18" a="1"/>
  <c r="O5" i="16" a="1"/>
  <c r="Q10" i="42" a="1"/>
  <c r="O5" i="15" a="1"/>
  <c r="O10" i="19" a="1"/>
  <c r="P4" i="21" a="1"/>
  <c r="O11" i="32" a="1"/>
  <c r="P5" i="22" a="1"/>
  <c r="O5" i="19" a="1"/>
  <c r="O5" i="11" a="1"/>
  <c r="Q3" i="20" a="1"/>
  <c r="O2" i="35" a="1"/>
  <c r="P9" i="31" a="1"/>
  <c r="Q3" i="28" a="1"/>
  <c r="Q9" i="22" a="1"/>
  <c r="P11" i="37" a="1"/>
  <c r="P9" i="20" a="1"/>
  <c r="O8" i="19" a="1"/>
  <c r="P5" i="40" a="1"/>
  <c r="Q6" i="31" a="1"/>
  <c r="O4" i="31" a="1"/>
  <c r="O9" i="11" a="1"/>
  <c r="Q7" i="40" a="1"/>
  <c r="O4" i="41" a="1"/>
  <c r="P5" i="24" a="1"/>
  <c r="O11" i="37" a="1"/>
  <c r="O5" i="22" a="1"/>
  <c r="O8" i="28" a="1"/>
  <c r="P11" i="41" a="1"/>
  <c r="Q3" i="29" a="1"/>
  <c r="P11" i="32" a="1"/>
  <c r="Q7" i="36" a="1"/>
  <c r="P11" i="22" a="1"/>
  <c r="O8" i="20" a="1"/>
  <c r="Q3" i="30" a="1"/>
  <c r="O4" i="16" a="1"/>
  <c r="O9" i="33" a="1"/>
  <c r="P11" i="43" a="1"/>
  <c r="O10" i="14" a="1"/>
  <c r="P9" i="11" a="1"/>
  <c r="P11" i="27" a="1"/>
  <c r="O2" i="39" a="1"/>
  <c r="Q7" i="17" a="1"/>
  <c r="Q7" i="30" a="1"/>
  <c r="P11" i="39" a="1"/>
  <c r="O10" i="36" a="1"/>
  <c r="O11" i="40" a="1"/>
  <c r="P11" i="33" a="1"/>
  <c r="Q6" i="26" a="1"/>
  <c r="O4" i="30" a="1"/>
  <c r="O9" i="20" a="1"/>
  <c r="Q3" i="11" a="1"/>
  <c r="P8" i="43" a="1"/>
  <c r="O3" i="33" a="1"/>
  <c r="O2" i="42" a="1"/>
  <c r="O11" i="35" a="1"/>
  <c r="P5" i="34" a="1"/>
  <c r="Q7" i="33" a="1"/>
  <c r="P3" i="11" a="1"/>
  <c r="P4" i="35" a="1"/>
  <c r="P9" i="34" a="1"/>
  <c r="Q7" i="15" a="1"/>
  <c r="Q10" i="11" a="1"/>
  <c r="Q3" i="26" a="1"/>
  <c r="P3" i="38" a="1"/>
  <c r="P4" i="17" a="1"/>
  <c r="Q10" i="18" a="1"/>
  <c r="P10" i="38" a="1"/>
  <c r="O5" i="37" a="1"/>
  <c r="Q3" i="36" a="1"/>
  <c r="O8" i="31" a="1"/>
  <c r="Q3" i="34" a="1"/>
  <c r="Q6" i="30" a="1"/>
  <c r="Q3" i="31" a="1"/>
  <c r="P5" i="30" a="1"/>
  <c r="O2" i="21" a="1"/>
  <c r="O4" i="36" a="1"/>
  <c r="P3" i="30" a="1"/>
  <c r="P4" i="36" a="1"/>
  <c r="O10" i="43" a="1"/>
  <c r="Q10" i="15" a="1"/>
  <c r="O8" i="34" a="1"/>
  <c r="P9" i="37" a="1"/>
  <c r="P5" i="21" a="1"/>
  <c r="O9" i="15" a="1"/>
  <c r="O5" i="26" a="1"/>
  <c r="P10" i="40" a="1"/>
  <c r="Q6" i="39" a="1"/>
  <c r="P3" i="16" a="1"/>
  <c r="P8" i="22" a="1"/>
  <c r="O2" i="18" a="1"/>
  <c r="O2" i="30" a="1"/>
  <c r="Q4" i="38" a="1"/>
  <c r="P4" i="16" a="1"/>
  <c r="P5" i="18" a="1"/>
  <c r="O10" i="34" a="1"/>
  <c r="O10" i="32" a="1"/>
  <c r="P10" i="17" a="1"/>
  <c r="O4" i="37" a="1"/>
  <c r="P9" i="15" a="1"/>
  <c r="O9" i="31" a="1"/>
  <c r="P5" i="43" a="1"/>
  <c r="O3" i="14" a="1"/>
  <c r="O3" i="32" a="1"/>
  <c r="O8" i="39" a="1"/>
  <c r="O11" i="15" a="1"/>
  <c r="P4" i="23" a="1"/>
  <c r="O5" i="33" a="1"/>
  <c r="P10" i="37" a="1"/>
  <c r="O3" i="27" a="1"/>
  <c r="O5" i="31" a="1"/>
  <c r="P5" i="33" a="1"/>
  <c r="Q10" i="27" a="1"/>
  <c r="Q7" i="38" a="1"/>
  <c r="P11" i="14" a="1"/>
  <c r="O3" i="26" a="1"/>
  <c r="O11" i="38" a="1"/>
  <c r="P9" i="32" a="1"/>
  <c r="P11" i="16" a="1"/>
  <c r="P9" i="40" a="1"/>
  <c r="O11" i="16" a="1"/>
  <c r="P11" i="18" a="1"/>
  <c r="Q2" i="29" a="1"/>
  <c r="P9" i="41" a="1"/>
  <c r="Q4" i="23" a="1"/>
  <c r="P4" i="37" a="1"/>
  <c r="Q6" i="18" a="1"/>
  <c r="P11" i="30" a="1"/>
  <c r="Q3" i="17" a="1"/>
  <c r="Q9" i="33" a="1"/>
  <c r="P5" i="16" a="1"/>
  <c r="P3" i="17" a="1"/>
  <c r="Q2" i="39" a="1"/>
  <c r="Q10" i="21" a="1"/>
  <c r="O11" i="42" a="1"/>
  <c r="Q6" i="42" a="1"/>
  <c r="P3" i="41" a="1"/>
  <c r="Q4" i="20" a="1"/>
  <c r="Q6" i="33" a="1"/>
  <c r="O11" i="18" a="1"/>
  <c r="Q10" i="40" a="1"/>
  <c r="O2" i="41" a="1"/>
  <c r="P11" i="28" a="1"/>
  <c r="P10" i="34" a="1"/>
  <c r="O11" i="29" a="1"/>
  <c r="Q7" i="19" a="1"/>
  <c r="Q9" i="32" a="1"/>
  <c r="Q4" i="29" a="1"/>
  <c r="O8" i="30" a="1"/>
  <c r="Q9" i="36" a="1"/>
  <c r="P8" i="16" a="1"/>
  <c r="Q6" i="40" a="1"/>
  <c r="P5" i="42" a="1"/>
  <c r="O5" i="40" a="1"/>
  <c r="Q6" i="23" a="1"/>
  <c r="Q10" i="41" a="1"/>
  <c r="P5" i="39" a="1"/>
  <c r="P10" i="14" a="1"/>
  <c r="Q4" i="37" a="1"/>
  <c r="O8" i="40" a="1"/>
  <c r="O2" i="15" a="1"/>
  <c r="Q2" i="31" a="1"/>
  <c r="Q7" i="23" a="1"/>
  <c r="P4" i="30" a="1"/>
  <c r="P5" i="20" a="1"/>
  <c r="O4" i="27" a="1"/>
  <c r="Q9" i="14" a="1"/>
  <c r="P3" i="43" a="1"/>
  <c r="Q2" i="23" a="1"/>
  <c r="P8" i="39" a="1"/>
  <c r="P3" i="42" a="1"/>
  <c r="P9" i="24" a="1"/>
  <c r="P3" i="31" a="1"/>
  <c r="Q4" i="22" a="1"/>
  <c r="O10" i="22" a="1"/>
  <c r="P11" i="11" a="1"/>
  <c r="P5" i="38" a="1"/>
  <c r="O2" i="38" a="1"/>
  <c r="P5" i="32" a="1"/>
  <c r="P5" i="31" a="1"/>
  <c r="Q9" i="39" a="1"/>
  <c r="Q4" i="16" a="1"/>
  <c r="Q3" i="39" a="1"/>
  <c r="P10" i="35" a="1"/>
  <c r="Q2" i="35" a="1"/>
  <c r="P8" i="23" a="1"/>
  <c r="P9" i="27" a="1"/>
  <c r="P11" i="23" a="1"/>
  <c r="P3" i="35" a="1"/>
  <c r="P9" i="17" a="1"/>
  <c r="Q6" i="15" a="1"/>
  <c r="P9" i="16" a="1"/>
  <c r="O10" i="31" a="1"/>
  <c r="O3" i="31" a="1"/>
  <c r="O4" i="24" a="1"/>
  <c r="Q6" i="16" a="1"/>
  <c r="O9" i="22" a="1"/>
  <c r="P3" i="23" a="1"/>
  <c r="P10" i="30" a="1"/>
  <c r="Q2" i="43" a="1"/>
  <c r="O10" i="35" a="1"/>
  <c r="O2" i="11" a="1"/>
  <c r="P9" i="36" a="1"/>
  <c r="Q4" i="42" a="1"/>
  <c r="Q6" i="19" a="1"/>
  <c r="P9" i="19" a="1"/>
  <c r="O10" i="20" a="1"/>
  <c r="Q6" i="32" a="1"/>
  <c r="O4" i="26" a="1"/>
  <c r="O11" i="30" a="1"/>
  <c r="O11" i="36" a="1"/>
  <c r="Q3" i="15" a="1"/>
  <c r="O8" i="29" a="1"/>
  <c r="Q9" i="11" a="1"/>
  <c r="P5" i="27" a="1"/>
  <c r="O2" i="20" a="1"/>
  <c r="O4" i="21" a="1"/>
  <c r="O10" i="11" a="1"/>
  <c r="O5" i="32" a="1"/>
  <c r="P5" i="41" a="1"/>
  <c r="P10" i="27" a="1"/>
  <c r="P8" i="38" a="1"/>
  <c r="Q9" i="40" a="1"/>
  <c r="Q4" i="43" a="1"/>
  <c r="O10" i="30" a="1"/>
  <c r="O9" i="21" a="1"/>
  <c r="P11" i="35" a="1"/>
  <c r="Q2" i="24" a="1"/>
  <c r="P9" i="22" a="1"/>
  <c r="P10" i="19" a="1"/>
  <c r="O10" i="24" a="1"/>
  <c r="Q10" i="35" a="1"/>
  <c r="O9" i="16" a="1"/>
  <c r="P10" i="39" a="1"/>
  <c r="P10" i="32" a="1"/>
  <c r="P3" i="40" a="1"/>
  <c r="P8" i="30" a="1"/>
  <c r="P8" i="36" a="1"/>
  <c r="P4" i="28" a="1"/>
  <c r="O3" i="16" a="1"/>
  <c r="P10" i="18" a="1"/>
  <c r="O5" i="20" a="1"/>
  <c r="O4" i="18" a="1"/>
  <c r="O10" i="29" a="1"/>
  <c r="P10" i="16" a="1"/>
  <c r="P11" i="34" a="1"/>
  <c r="O5" i="21" a="1"/>
  <c r="Q3" i="19" a="1"/>
  <c r="O9" i="37" a="1"/>
  <c r="O10" i="26" a="1"/>
  <c r="Q7" i="11" a="1"/>
  <c r="O4" i="22" a="1"/>
  <c r="O4" i="38" a="1"/>
  <c r="O9" i="23" a="1"/>
  <c r="P8" i="24" a="1"/>
  <c r="O11" i="14" a="1"/>
  <c r="O4" i="34" a="1"/>
  <c r="Q7" i="27" a="1"/>
  <c r="Q3" i="42" a="1"/>
  <c r="P4" i="15" a="1"/>
  <c r="O9" i="41" a="1"/>
  <c r="Q6" i="19" l="1"/>
  <c r="Q6" i="35"/>
  <c r="F5" i="35" s="1"/>
  <c r="Q6" i="26"/>
  <c r="Q6" i="43"/>
  <c r="Q6" i="34"/>
  <c r="F5" i="34" s="1"/>
  <c r="Q6" i="15"/>
  <c r="F5" i="15" s="1"/>
  <c r="Q6" i="42"/>
  <c r="Q6" i="33"/>
  <c r="Q6" i="14"/>
  <c r="F5" i="14" s="1"/>
  <c r="Q6" i="41"/>
  <c r="Q6" i="18"/>
  <c r="Q6" i="24"/>
  <c r="Q6" i="40"/>
  <c r="Q6" i="32"/>
  <c r="Q6" i="23"/>
  <c r="Q6" i="16"/>
  <c r="Q6" i="31"/>
  <c r="Q6" i="22"/>
  <c r="Q6" i="39"/>
  <c r="F5" i="39" s="1"/>
  <c r="Q6" i="30"/>
  <c r="Q6" i="21"/>
  <c r="F5" i="21" s="1"/>
  <c r="Q6" i="38"/>
  <c r="Q6" i="29"/>
  <c r="Q6" i="11"/>
  <c r="Q6" i="37"/>
  <c r="Q6" i="28"/>
  <c r="Q6" i="17"/>
  <c r="Q6" i="36"/>
  <c r="F5" i="36" s="1"/>
  <c r="Q6" i="27"/>
  <c r="F5" i="27" s="1"/>
  <c r="Q6" i="20"/>
  <c r="F5" i="20" s="1"/>
  <c r="P10" i="42"/>
  <c r="O4" i="41"/>
  <c r="P10" i="40"/>
  <c r="O4" i="16"/>
  <c r="O10" i="16"/>
  <c r="O3" i="38"/>
  <c r="O10" i="38"/>
  <c r="O2" i="35"/>
  <c r="P9" i="34"/>
  <c r="Q3" i="38"/>
  <c r="P10" i="38"/>
  <c r="O8" i="37"/>
  <c r="Q10" i="35"/>
  <c r="P10" i="34"/>
  <c r="Q2" i="43"/>
  <c r="O9" i="43"/>
  <c r="Q2" i="42"/>
  <c r="Q10" i="42"/>
  <c r="P4" i="41"/>
  <c r="O9" i="41"/>
  <c r="Q2" i="40"/>
  <c r="Q10" i="40"/>
  <c r="Q4" i="16"/>
  <c r="P10" i="16"/>
  <c r="O3" i="20"/>
  <c r="O11" i="20"/>
  <c r="Q4" i="43"/>
  <c r="P9" i="43"/>
  <c r="O3" i="42"/>
  <c r="O11" i="42"/>
  <c r="Q4" i="41"/>
  <c r="P9" i="41"/>
  <c r="O3" i="40"/>
  <c r="O11" i="40"/>
  <c r="P5" i="16"/>
  <c r="O11" i="16"/>
  <c r="O4" i="38"/>
  <c r="O11" i="38"/>
  <c r="O9" i="37"/>
  <c r="P11" i="35"/>
  <c r="Q10" i="33"/>
  <c r="P3" i="32"/>
  <c r="P5" i="43"/>
  <c r="O10" i="43"/>
  <c r="Q3" i="42"/>
  <c r="P5" i="41"/>
  <c r="O10" i="41"/>
  <c r="Q3" i="40"/>
  <c r="Q4" i="38"/>
  <c r="O2" i="37"/>
  <c r="P9" i="37"/>
  <c r="O4" i="35"/>
  <c r="P11" i="33"/>
  <c r="O4" i="20"/>
  <c r="Q10" i="43"/>
  <c r="P4" i="42"/>
  <c r="P10" i="20"/>
  <c r="O4" i="43"/>
  <c r="Q2" i="20"/>
  <c r="Q10" i="20"/>
  <c r="P4" i="43"/>
  <c r="Q3" i="20"/>
  <c r="P8" i="20"/>
  <c r="O2" i="43"/>
  <c r="P8" i="42"/>
  <c r="O2" i="41"/>
  <c r="P8" i="40"/>
  <c r="O2" i="16"/>
  <c r="P9" i="39"/>
  <c r="P5" i="38"/>
  <c r="P4" i="35"/>
  <c r="O3" i="33"/>
  <c r="P10" i="41"/>
  <c r="O4" i="40"/>
  <c r="O3" i="39"/>
  <c r="O10" i="39"/>
  <c r="P8" i="36"/>
  <c r="O5" i="35"/>
  <c r="P4" i="34"/>
  <c r="P3" i="33"/>
  <c r="O4" i="37"/>
  <c r="Q4" i="18"/>
  <c r="Q4" i="34"/>
  <c r="Q4" i="20"/>
  <c r="P9" i="20"/>
  <c r="O3" i="43"/>
  <c r="O11" i="43"/>
  <c r="Q4" i="42"/>
  <c r="P9" i="42"/>
  <c r="O3" i="41"/>
  <c r="O11" i="41"/>
  <c r="Q4" i="40"/>
  <c r="P9" i="40"/>
  <c r="O3" i="16"/>
  <c r="P8" i="16"/>
  <c r="O4" i="39"/>
  <c r="O11" i="39"/>
  <c r="P4" i="37"/>
  <c r="O9" i="20"/>
  <c r="Q10" i="41"/>
  <c r="P4" i="40"/>
  <c r="O9" i="40"/>
  <c r="Q2" i="16"/>
  <c r="Q3" i="39"/>
  <c r="P10" i="39"/>
  <c r="P5" i="20"/>
  <c r="O10" i="20"/>
  <c r="Q3" i="43"/>
  <c r="P5" i="42"/>
  <c r="O10" i="42"/>
  <c r="Q3" i="41"/>
  <c r="P5" i="40"/>
  <c r="O10" i="40"/>
  <c r="Q3" i="16"/>
  <c r="Q4" i="39"/>
  <c r="O5" i="37"/>
  <c r="O3" i="36"/>
  <c r="P10" i="36"/>
  <c r="O8" i="35"/>
  <c r="Q7" i="34"/>
  <c r="O8" i="18"/>
  <c r="Q4" i="31"/>
  <c r="P10" i="43"/>
  <c r="O4" i="42"/>
  <c r="P4" i="20"/>
  <c r="O9" i="42"/>
  <c r="Q2" i="41"/>
  <c r="O2" i="20"/>
  <c r="P8" i="43"/>
  <c r="O2" i="42"/>
  <c r="P8" i="41"/>
  <c r="O2" i="40"/>
  <c r="P9" i="16"/>
  <c r="P5" i="39"/>
  <c r="P9" i="38"/>
  <c r="P3" i="36"/>
  <c r="O11" i="36"/>
  <c r="O8" i="34"/>
  <c r="P9" i="18"/>
  <c r="O8" i="31"/>
  <c r="Q10" i="32"/>
  <c r="P9" i="31"/>
  <c r="Q7" i="20"/>
  <c r="O8" i="20"/>
  <c r="O8" i="43"/>
  <c r="O8" i="42"/>
  <c r="O8" i="41"/>
  <c r="O8" i="40"/>
  <c r="O8" i="16"/>
  <c r="O8" i="39"/>
  <c r="O8" i="38"/>
  <c r="Q10" i="37"/>
  <c r="Q4" i="36"/>
  <c r="Q7" i="36"/>
  <c r="Q9" i="36"/>
  <c r="O9" i="35"/>
  <c r="O4" i="34"/>
  <c r="O5" i="33"/>
  <c r="O9" i="33"/>
  <c r="O4" i="18"/>
  <c r="O5" i="32"/>
  <c r="O9" i="32"/>
  <c r="O4" i="31"/>
  <c r="O5" i="30"/>
  <c r="O9" i="30"/>
  <c r="P10" i="29"/>
  <c r="O4" i="28"/>
  <c r="Q2" i="27"/>
  <c r="Q7" i="27"/>
  <c r="P4" i="18"/>
  <c r="Q7" i="18"/>
  <c r="P10" i="18"/>
  <c r="O3" i="32"/>
  <c r="P11" i="32"/>
  <c r="P4" i="31"/>
  <c r="Q7" i="31"/>
  <c r="P10" i="31"/>
  <c r="O3" i="30"/>
  <c r="Q2" i="29"/>
  <c r="Q10" i="29"/>
  <c r="P4" i="28"/>
  <c r="O9" i="28"/>
  <c r="O4" i="26"/>
  <c r="O2" i="39"/>
  <c r="P8" i="39"/>
  <c r="O2" i="38"/>
  <c r="P8" i="38"/>
  <c r="O11" i="37"/>
  <c r="O5" i="36"/>
  <c r="O8" i="36"/>
  <c r="P9" i="35"/>
  <c r="Q10" i="34"/>
  <c r="P9" i="33"/>
  <c r="Q10" i="18"/>
  <c r="P9" i="32"/>
  <c r="Q10" i="31"/>
  <c r="P9" i="30"/>
  <c r="O9" i="27"/>
  <c r="P4" i="26"/>
  <c r="P3" i="30"/>
  <c r="O3" i="29"/>
  <c r="O11" i="29"/>
  <c r="Q4" i="28"/>
  <c r="P9" i="28"/>
  <c r="O4" i="27"/>
  <c r="Q2" i="37"/>
  <c r="P11" i="37"/>
  <c r="Q2" i="35"/>
  <c r="B16" i="35" s="1"/>
  <c r="B17" i="35" s="1"/>
  <c r="B12" i="35" s="1"/>
  <c r="B18" i="35" s="1"/>
  <c r="Q9" i="35"/>
  <c r="Q2" i="34"/>
  <c r="B16" i="34" s="1"/>
  <c r="B17" i="34" s="1"/>
  <c r="B12" i="34" s="1"/>
  <c r="B18" i="34" s="1"/>
  <c r="O11" i="34"/>
  <c r="Q9" i="33"/>
  <c r="Q2" i="18"/>
  <c r="O11" i="18"/>
  <c r="Q9" i="32"/>
  <c r="Q2" i="31"/>
  <c r="O11" i="31"/>
  <c r="Q7" i="29"/>
  <c r="P4" i="27"/>
  <c r="O9" i="38"/>
  <c r="Q10" i="36"/>
  <c r="Q4" i="35"/>
  <c r="Q7" i="35"/>
  <c r="O5" i="34"/>
  <c r="O9" i="34"/>
  <c r="O4" i="33"/>
  <c r="O5" i="18"/>
  <c r="O9" i="18"/>
  <c r="O4" i="32"/>
  <c r="O5" i="31"/>
  <c r="O9" i="31"/>
  <c r="O4" i="30"/>
  <c r="P10" i="30"/>
  <c r="O4" i="29"/>
  <c r="P10" i="28"/>
  <c r="P10" i="27"/>
  <c r="P4" i="16"/>
  <c r="O9" i="16"/>
  <c r="Q10" i="16"/>
  <c r="Q2" i="39"/>
  <c r="P4" i="39"/>
  <c r="O9" i="39"/>
  <c r="Q10" i="39"/>
  <c r="Q2" i="38"/>
  <c r="P4" i="38"/>
  <c r="Q10" i="38"/>
  <c r="Q4" i="37"/>
  <c r="Q7" i="37"/>
  <c r="Q9" i="37"/>
  <c r="O3" i="37"/>
  <c r="O2" i="36"/>
  <c r="O4" i="36"/>
  <c r="O9" i="36"/>
  <c r="O3" i="35"/>
  <c r="P10" i="35"/>
  <c r="O3" i="34"/>
  <c r="P11" i="34"/>
  <c r="P4" i="33"/>
  <c r="Q7" i="33"/>
  <c r="P10" i="33"/>
  <c r="O3" i="18"/>
  <c r="P11" i="18"/>
  <c r="P4" i="32"/>
  <c r="Q7" i="32"/>
  <c r="P10" i="32"/>
  <c r="O3" i="31"/>
  <c r="P11" i="31"/>
  <c r="P4" i="30"/>
  <c r="Q7" i="30"/>
  <c r="Q10" i="30"/>
  <c r="P4" i="29"/>
  <c r="O9" i="29"/>
  <c r="Q2" i="28"/>
  <c r="Q10" i="28"/>
  <c r="Q10" i="27"/>
  <c r="Q7" i="43"/>
  <c r="Q7" i="42"/>
  <c r="Q7" i="41"/>
  <c r="Q7" i="40"/>
  <c r="Q7" i="16"/>
  <c r="Q7" i="39"/>
  <c r="Q7" i="38"/>
  <c r="P3" i="37"/>
  <c r="P8" i="37"/>
  <c r="P10" i="37"/>
  <c r="P4" i="36"/>
  <c r="P9" i="36"/>
  <c r="P3" i="35"/>
  <c r="P3" i="34"/>
  <c r="Q4" i="33"/>
  <c r="O8" i="33"/>
  <c r="P3" i="18"/>
  <c r="Q4" i="32"/>
  <c r="O8" i="32"/>
  <c r="P3" i="31"/>
  <c r="Q4" i="30"/>
  <c r="O8" i="30"/>
  <c r="O11" i="30"/>
  <c r="Q4" i="29"/>
  <c r="P9" i="29"/>
  <c r="O3" i="28"/>
  <c r="O9" i="26"/>
  <c r="P3" i="20"/>
  <c r="O5" i="20"/>
  <c r="Q9" i="20"/>
  <c r="P11" i="20"/>
  <c r="P3" i="43"/>
  <c r="O5" i="43"/>
  <c r="Q9" i="43"/>
  <c r="P11" i="43"/>
  <c r="P3" i="42"/>
  <c r="O5" i="42"/>
  <c r="Q9" i="42"/>
  <c r="P11" i="42"/>
  <c r="P3" i="41"/>
  <c r="O5" i="41"/>
  <c r="Q9" i="41"/>
  <c r="P11" i="41"/>
  <c r="P3" i="40"/>
  <c r="O5" i="40"/>
  <c r="Q9" i="40"/>
  <c r="P11" i="40"/>
  <c r="P3" i="16"/>
  <c r="O5" i="16"/>
  <c r="Q9" i="16"/>
  <c r="P11" i="16"/>
  <c r="P3" i="39"/>
  <c r="O5" i="39"/>
  <c r="Q9" i="39"/>
  <c r="P11" i="39"/>
  <c r="P3" i="38"/>
  <c r="O5" i="38"/>
  <c r="Q9" i="38"/>
  <c r="P11" i="38"/>
  <c r="Q2" i="36"/>
  <c r="P11" i="36"/>
  <c r="O11" i="35"/>
  <c r="Q9" i="34"/>
  <c r="Q2" i="33"/>
  <c r="O11" i="33"/>
  <c r="Q9" i="18"/>
  <c r="Q2" i="32"/>
  <c r="O11" i="32"/>
  <c r="Q9" i="31"/>
  <c r="Q2" i="30"/>
  <c r="Q7" i="28"/>
  <c r="Q2" i="26"/>
  <c r="P8" i="35"/>
  <c r="O2" i="34"/>
  <c r="P8" i="34"/>
  <c r="O2" i="33"/>
  <c r="P8" i="33"/>
  <c r="O2" i="18"/>
  <c r="P8" i="18"/>
  <c r="O2" i="32"/>
  <c r="P8" i="32"/>
  <c r="O2" i="31"/>
  <c r="P8" i="31"/>
  <c r="O2" i="30"/>
  <c r="P8" i="30"/>
  <c r="O2" i="29"/>
  <c r="P8" i="29"/>
  <c r="O2" i="28"/>
  <c r="P8" i="28"/>
  <c r="O2" i="27"/>
  <c r="P8" i="27"/>
  <c r="O2" i="26"/>
  <c r="P8" i="26"/>
  <c r="O2" i="15"/>
  <c r="P8" i="15"/>
  <c r="O2" i="14"/>
  <c r="P8" i="14"/>
  <c r="O2" i="24"/>
  <c r="P8" i="24"/>
  <c r="O2" i="23"/>
  <c r="P8" i="23"/>
  <c r="O2" i="22"/>
  <c r="P8" i="22"/>
  <c r="O2" i="21"/>
  <c r="P8" i="21"/>
  <c r="O2" i="11"/>
  <c r="P8" i="11"/>
  <c r="O2" i="17"/>
  <c r="P8" i="17"/>
  <c r="P10" i="26"/>
  <c r="O4" i="15"/>
  <c r="P10" i="15"/>
  <c r="O4" i="14"/>
  <c r="P10" i="14"/>
  <c r="O4" i="24"/>
  <c r="P10" i="24"/>
  <c r="O4" i="23"/>
  <c r="P10" i="23"/>
  <c r="O4" i="22"/>
  <c r="P10" i="22"/>
  <c r="O4" i="21"/>
  <c r="P10" i="21"/>
  <c r="O4" i="11"/>
  <c r="P10" i="11"/>
  <c r="O4" i="17"/>
  <c r="P10" i="17"/>
  <c r="Q10" i="26"/>
  <c r="Q2" i="15"/>
  <c r="B16" i="15" s="1"/>
  <c r="B17" i="15" s="1"/>
  <c r="B12" i="15" s="1"/>
  <c r="B18" i="15" s="1"/>
  <c r="P4" i="15"/>
  <c r="O9" i="15"/>
  <c r="Q10" i="15"/>
  <c r="Q2" i="14"/>
  <c r="P4" i="14"/>
  <c r="O9" i="14"/>
  <c r="Q10" i="14"/>
  <c r="Q2" i="24"/>
  <c r="P4" i="24"/>
  <c r="O9" i="24"/>
  <c r="Q10" i="24"/>
  <c r="Q2" i="23"/>
  <c r="P4" i="23"/>
  <c r="O9" i="23"/>
  <c r="Q10" i="23"/>
  <c r="Q2" i="22"/>
  <c r="P4" i="22"/>
  <c r="O9" i="22"/>
  <c r="Q10" i="22"/>
  <c r="Q2" i="21"/>
  <c r="P4" i="21"/>
  <c r="O9" i="21"/>
  <c r="Q10" i="21"/>
  <c r="Q2" i="11"/>
  <c r="P4" i="11"/>
  <c r="O9" i="11"/>
  <c r="Q10" i="11"/>
  <c r="Q2" i="17"/>
  <c r="P4" i="17"/>
  <c r="O9" i="17"/>
  <c r="Q10" i="17"/>
  <c r="O11" i="28"/>
  <c r="O3" i="27"/>
  <c r="Q4" i="27"/>
  <c r="P9" i="27"/>
  <c r="O11" i="27"/>
  <c r="O3" i="26"/>
  <c r="Q4" i="26"/>
  <c r="P9" i="26"/>
  <c r="O11" i="26"/>
  <c r="O3" i="15"/>
  <c r="Q4" i="15"/>
  <c r="P9" i="15"/>
  <c r="O11" i="15"/>
  <c r="O3" i="14"/>
  <c r="Q4" i="14"/>
  <c r="P9" i="14"/>
  <c r="O11" i="14"/>
  <c r="O3" i="24"/>
  <c r="Q4" i="24"/>
  <c r="P9" i="24"/>
  <c r="O11" i="24"/>
  <c r="O3" i="23"/>
  <c r="Q4" i="23"/>
  <c r="P9" i="23"/>
  <c r="O11" i="23"/>
  <c r="O3" i="22"/>
  <c r="Q4" i="22"/>
  <c r="P9" i="22"/>
  <c r="O11" i="22"/>
  <c r="O3" i="21"/>
  <c r="Q4" i="21"/>
  <c r="P9" i="21"/>
  <c r="O11" i="21"/>
  <c r="O3" i="11"/>
  <c r="Q4" i="11"/>
  <c r="P9" i="11"/>
  <c r="O11" i="11"/>
  <c r="O3" i="17"/>
  <c r="Q4" i="17"/>
  <c r="P9" i="17"/>
  <c r="O11" i="17"/>
  <c r="Q7" i="26"/>
  <c r="Q7" i="15"/>
  <c r="Q7" i="14"/>
  <c r="Q7" i="24"/>
  <c r="Q7" i="23"/>
  <c r="Q7" i="22"/>
  <c r="Q7" i="21"/>
  <c r="Q7" i="11"/>
  <c r="Q7" i="17"/>
  <c r="Q9" i="30"/>
  <c r="P11" i="30"/>
  <c r="P3" i="29"/>
  <c r="O5" i="29"/>
  <c r="Q9" i="29"/>
  <c r="P11" i="29"/>
  <c r="P3" i="28"/>
  <c r="O5" i="28"/>
  <c r="Q9" i="28"/>
  <c r="P11" i="28"/>
  <c r="P3" i="27"/>
  <c r="O5" i="27"/>
  <c r="Q9" i="27"/>
  <c r="P11" i="27"/>
  <c r="P3" i="26"/>
  <c r="O5" i="26"/>
  <c r="Q9" i="26"/>
  <c r="P11" i="26"/>
  <c r="P3" i="15"/>
  <c r="O5" i="15"/>
  <c r="Q9" i="15"/>
  <c r="P11" i="15"/>
  <c r="P3" i="14"/>
  <c r="O5" i="14"/>
  <c r="Q9" i="14"/>
  <c r="P11" i="14"/>
  <c r="P3" i="24"/>
  <c r="O5" i="24"/>
  <c r="Q9" i="24"/>
  <c r="P11" i="24"/>
  <c r="P3" i="23"/>
  <c r="O5" i="23"/>
  <c r="Q9" i="23"/>
  <c r="P11" i="23"/>
  <c r="P3" i="22"/>
  <c r="O5" i="22"/>
  <c r="Q9" i="22"/>
  <c r="P11" i="22"/>
  <c r="P3" i="21"/>
  <c r="O5" i="21"/>
  <c r="Q9" i="21"/>
  <c r="P11" i="21"/>
  <c r="P3" i="11"/>
  <c r="O5" i="11"/>
  <c r="Q9" i="11"/>
  <c r="P11" i="11"/>
  <c r="P3" i="17"/>
  <c r="O5" i="17"/>
  <c r="Q9" i="17"/>
  <c r="P11" i="17"/>
  <c r="O8" i="29"/>
  <c r="O8" i="28"/>
  <c r="O8" i="27"/>
  <c r="O8" i="26"/>
  <c r="O8" i="15"/>
  <c r="O8" i="14"/>
  <c r="O8" i="24"/>
  <c r="O8" i="23"/>
  <c r="O8" i="22"/>
  <c r="O8" i="21"/>
  <c r="O8" i="11"/>
  <c r="O8" i="17"/>
  <c r="Q3" i="37"/>
  <c r="P5" i="37"/>
  <c r="O10" i="37"/>
  <c r="Q3" i="36"/>
  <c r="P5" i="36"/>
  <c r="O10" i="36"/>
  <c r="Q3" i="35"/>
  <c r="P5" i="35"/>
  <c r="O10" i="35"/>
  <c r="Q3" i="34"/>
  <c r="P5" i="34"/>
  <c r="O10" i="34"/>
  <c r="Q3" i="33"/>
  <c r="P5" i="33"/>
  <c r="O10" i="33"/>
  <c r="Q3" i="18"/>
  <c r="P5" i="18"/>
  <c r="O10" i="18"/>
  <c r="Q3" i="32"/>
  <c r="P5" i="32"/>
  <c r="O10" i="32"/>
  <c r="Q3" i="31"/>
  <c r="P5" i="31"/>
  <c r="O10" i="31"/>
  <c r="Q3" i="30"/>
  <c r="P5" i="30"/>
  <c r="O10" i="30"/>
  <c r="Q3" i="29"/>
  <c r="P5" i="29"/>
  <c r="O10" i="29"/>
  <c r="Q3" i="28"/>
  <c r="P5" i="28"/>
  <c r="O10" i="28"/>
  <c r="Q3" i="27"/>
  <c r="P5" i="27"/>
  <c r="O10" i="27"/>
  <c r="Q3" i="26"/>
  <c r="P5" i="26"/>
  <c r="O10" i="26"/>
  <c r="Q3" i="15"/>
  <c r="P5" i="15"/>
  <c r="O10" i="15"/>
  <c r="Q3" i="14"/>
  <c r="P5" i="14"/>
  <c r="O10" i="14"/>
  <c r="Q3" i="24"/>
  <c r="P5" i="24"/>
  <c r="O10" i="24"/>
  <c r="Q3" i="23"/>
  <c r="P5" i="23"/>
  <c r="O10" i="23"/>
  <c r="Q3" i="22"/>
  <c r="P5" i="22"/>
  <c r="O10" i="22"/>
  <c r="Q3" i="21"/>
  <c r="P5" i="21"/>
  <c r="O10" i="21"/>
  <c r="Q3" i="11"/>
  <c r="P5" i="11"/>
  <c r="O10" i="11"/>
  <c r="Q3" i="17"/>
  <c r="P5" i="17"/>
  <c r="O10" i="17"/>
  <c r="P11" i="19"/>
  <c r="O11" i="19"/>
  <c r="P10" i="19"/>
  <c r="O10" i="19"/>
  <c r="P9" i="19"/>
  <c r="O9" i="19"/>
  <c r="Q10" i="19"/>
  <c r="P8" i="19"/>
  <c r="O8" i="19"/>
  <c r="P5" i="19"/>
  <c r="O5" i="19"/>
  <c r="P4" i="19"/>
  <c r="O4" i="19"/>
  <c r="P3" i="19"/>
  <c r="O3" i="19"/>
  <c r="O2" i="19"/>
  <c r="Q9" i="19"/>
  <c r="Q7" i="19"/>
  <c r="Q4" i="19"/>
  <c r="Q3" i="19"/>
  <c r="Q2" i="19"/>
  <c r="F5" i="16" l="1"/>
  <c r="F3" i="16" s="1"/>
  <c r="G3" i="16" s="1"/>
  <c r="G4" i="41"/>
  <c r="G4" i="39"/>
  <c r="F3" i="39"/>
  <c r="G3" i="39" s="1"/>
  <c r="G4" i="18"/>
  <c r="F5" i="18"/>
  <c r="F3" i="18" s="1"/>
  <c r="G3" i="18" s="1"/>
  <c r="H7" i="34"/>
  <c r="K9" i="34"/>
  <c r="C2" i="34"/>
  <c r="C17" i="34" s="1"/>
  <c r="C12" i="34" s="1"/>
  <c r="C18" i="34" s="1"/>
  <c r="F3" i="34"/>
  <c r="H6" i="34"/>
  <c r="G4" i="34"/>
  <c r="D2" i="34"/>
  <c r="D17" i="34" s="1"/>
  <c r="D12" i="34" s="1"/>
  <c r="D18" i="34" s="1"/>
  <c r="K10" i="34"/>
  <c r="F3" i="20"/>
  <c r="G3" i="20" s="1"/>
  <c r="G4" i="20"/>
  <c r="H7" i="15"/>
  <c r="C2" i="15"/>
  <c r="C17" i="15" s="1"/>
  <c r="C12" i="15" s="1"/>
  <c r="C18" i="15" s="1"/>
  <c r="K10" i="15"/>
  <c r="F3" i="15"/>
  <c r="F17" i="15" s="1"/>
  <c r="F12" i="15" s="1"/>
  <c r="F18" i="15" s="1"/>
  <c r="H6" i="15"/>
  <c r="K9" i="15"/>
  <c r="G4" i="15"/>
  <c r="D2" i="15"/>
  <c r="D17" i="15" s="1"/>
  <c r="D12" i="15" s="1"/>
  <c r="D18" i="15" s="1"/>
  <c r="K9" i="35"/>
  <c r="C2" i="35"/>
  <c r="C17" i="35" s="1"/>
  <c r="C12" i="35" s="1"/>
  <c r="C18" i="35" s="1"/>
  <c r="H7" i="35"/>
  <c r="K10" i="35"/>
  <c r="D2" i="35"/>
  <c r="D17" i="35" s="1"/>
  <c r="D12" i="35" s="1"/>
  <c r="D18" i="35" s="1"/>
  <c r="G4" i="35"/>
  <c r="F3" i="35"/>
  <c r="F17" i="35" s="1"/>
  <c r="F12" i="35" s="1"/>
  <c r="F18" i="35" s="1"/>
  <c r="H6" i="35"/>
  <c r="F5" i="11"/>
  <c r="F5" i="26"/>
  <c r="F5" i="37"/>
  <c r="F5" i="29"/>
  <c r="F5" i="40"/>
  <c r="F5" i="19"/>
  <c r="F5" i="17"/>
  <c r="F5" i="28"/>
  <c r="F5" i="41"/>
  <c r="F5" i="42"/>
  <c r="F5" i="30"/>
  <c r="F5" i="43"/>
  <c r="F5" i="22"/>
  <c r="F5" i="31"/>
  <c r="F5" i="23"/>
  <c r="F5" i="32"/>
  <c r="F5" i="24"/>
  <c r="F5" i="33"/>
  <c r="F5" i="38"/>
  <c r="Q8" i="17"/>
  <c r="Q8" i="23"/>
  <c r="Q8" i="32"/>
  <c r="Q8" i="15"/>
  <c r="Q8" i="18"/>
  <c r="Q8" i="14"/>
  <c r="Q8" i="36"/>
  <c r="Q8" i="39"/>
  <c r="Q8" i="34"/>
  <c r="Q8" i="26"/>
  <c r="Q8" i="16"/>
  <c r="Q8" i="37"/>
  <c r="Q8" i="27"/>
  <c r="Q8" i="40"/>
  <c r="Q8" i="41"/>
  <c r="I18" i="41" s="1"/>
  <c r="J18" i="41" s="1"/>
  <c r="Q8" i="11"/>
  <c r="Q8" i="29"/>
  <c r="I18" i="29" s="1"/>
  <c r="J18" i="29" s="1"/>
  <c r="Q8" i="42"/>
  <c r="Q8" i="21"/>
  <c r="Q8" i="30"/>
  <c r="Q8" i="43"/>
  <c r="Q8" i="28"/>
  <c r="Q8" i="22"/>
  <c r="Q8" i="31"/>
  <c r="Q8" i="20"/>
  <c r="Q8" i="35"/>
  <c r="Q8" i="24"/>
  <c r="Q8" i="33"/>
  <c r="Q8" i="38"/>
  <c r="G5" i="39" l="1"/>
  <c r="J8" i="34"/>
  <c r="J17" i="34" s="1"/>
  <c r="J13" i="34" s="1"/>
  <c r="I8" i="34"/>
  <c r="I17" i="34" s="1"/>
  <c r="I13" i="34" s="1"/>
  <c r="G5" i="18"/>
  <c r="K17" i="34"/>
  <c r="F17" i="34"/>
  <c r="F12" i="34" s="1"/>
  <c r="F18" i="34" s="1"/>
  <c r="G3" i="34"/>
  <c r="H17" i="34"/>
  <c r="H12" i="34" s="1"/>
  <c r="H18" i="34" s="1"/>
  <c r="J8" i="35"/>
  <c r="J17" i="35" s="1"/>
  <c r="J13" i="35" s="1"/>
  <c r="I8" i="35"/>
  <c r="I17" i="35" s="1"/>
  <c r="I13" i="35" s="1"/>
  <c r="J8" i="15"/>
  <c r="J17" i="15" s="1"/>
  <c r="J13" i="15" s="1"/>
  <c r="I8" i="15"/>
  <c r="I17" i="15" s="1"/>
  <c r="I13" i="15" s="1"/>
  <c r="G5" i="20"/>
  <c r="H17" i="15"/>
  <c r="H12" i="15" s="1"/>
  <c r="H18" i="15" s="1"/>
  <c r="K17" i="15"/>
  <c r="G3" i="15"/>
  <c r="G5" i="15" s="1"/>
  <c r="G17" i="15" s="1"/>
  <c r="G12" i="15" s="1"/>
  <c r="G18" i="15" s="1"/>
  <c r="H17" i="35"/>
  <c r="H12" i="35" s="1"/>
  <c r="H18" i="35" s="1"/>
  <c r="G3" i="35"/>
  <c r="K17" i="35"/>
  <c r="I18" i="37"/>
  <c r="I18" i="14"/>
  <c r="J18" i="14" s="1"/>
  <c r="L2" i="35"/>
  <c r="P2" i="35" s="1"/>
  <c r="G5" i="34" l="1"/>
  <c r="G17" i="34" s="1"/>
  <c r="G12" i="34" s="1"/>
  <c r="G18" i="34" s="1"/>
  <c r="G5" i="35"/>
  <c r="G17" i="35" s="1"/>
  <c r="G12" i="35" s="1"/>
  <c r="G18" i="35" s="1"/>
  <c r="N2" i="35"/>
  <c r="R2" i="35" s="1"/>
  <c r="L6" i="35" l="1"/>
  <c r="N6" i="35" s="1"/>
  <c r="R6" i="35" l="1"/>
  <c r="L7" i="35" l="1"/>
  <c r="L3" i="35" l="1"/>
  <c r="N7" i="35"/>
  <c r="R7" i="35" s="1"/>
  <c r="N3" i="35" l="1"/>
  <c r="R3" i="35" s="1"/>
  <c r="L9" i="35" l="1"/>
  <c r="N9" i="35" s="1"/>
  <c r="R9" i="35" l="1"/>
  <c r="L10" i="35" l="1"/>
  <c r="N10" i="35" s="1"/>
  <c r="R10" i="35" s="1"/>
  <c r="Q11" i="35"/>
  <c r="K13" i="35" s="1"/>
  <c r="L16" i="35"/>
  <c r="R16" i="35" s="1"/>
  <c r="K18" i="35" l="1"/>
  <c r="E14" i="35"/>
  <c r="Q16" i="35"/>
  <c r="M11" i="35"/>
  <c r="R11" i="35" l="1"/>
  <c r="L8" i="35"/>
  <c r="N8" i="35" s="1"/>
  <c r="R8" i="35" s="1"/>
  <c r="L13" i="35"/>
  <c r="L14" i="35" l="1"/>
  <c r="R14" i="35" l="1"/>
  <c r="Q14" i="35"/>
  <c r="L5" i="35"/>
  <c r="Q5" i="35" l="1"/>
  <c r="E17" i="35" s="1"/>
  <c r="L4" i="35"/>
  <c r="R5" i="35"/>
  <c r="E15" i="35" l="1"/>
  <c r="E12" i="35"/>
  <c r="E18" i="35" s="1"/>
  <c r="L17" i="35"/>
  <c r="N4" i="35"/>
  <c r="R4" i="35" s="1"/>
  <c r="M13" i="35" l="1"/>
  <c r="L15" i="35"/>
  <c r="L12" i="35"/>
  <c r="Q17" i="35"/>
  <c r="R17" i="35"/>
  <c r="Q12" i="35" l="1"/>
  <c r="R12" i="35"/>
  <c r="R15" i="35"/>
  <c r="Q15" i="35"/>
  <c r="Q13" i="35"/>
  <c r="R13" i="35"/>
  <c r="C2" i="20"/>
  <c r="D2" i="20" l="1"/>
  <c r="L2" i="20" s="1"/>
  <c r="P2" i="20" s="1"/>
  <c r="H6" i="20" l="1"/>
  <c r="L6" i="20" s="1"/>
  <c r="N6" i="20" s="1"/>
  <c r="R6" i="20" l="1"/>
  <c r="C17" i="20" l="1"/>
  <c r="C12" i="20" s="1"/>
  <c r="C18" i="20" s="1"/>
  <c r="D17" i="20"/>
  <c r="F17" i="20"/>
  <c r="F12" i="20" s="1"/>
  <c r="F18" i="20" s="1"/>
  <c r="D12" i="20" l="1"/>
  <c r="D18" i="20" l="1"/>
  <c r="K10" i="20" l="1"/>
  <c r="L10" i="20" s="1"/>
  <c r="N10" i="20" l="1"/>
  <c r="R10" i="20" s="1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D2" i="41"/>
  <c r="K10" i="41"/>
  <c r="L10" i="41" s="1"/>
  <c r="N10" i="41" s="1"/>
  <c r="C2" i="41"/>
  <c r="C17" i="41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N4" i="39" l="1"/>
  <c r="R4" i="39" s="1"/>
  <c r="D17" i="39"/>
  <c r="D12" i="39" s="1"/>
  <c r="D17" i="38"/>
  <c r="D12" i="38" s="1"/>
  <c r="D17" i="40"/>
  <c r="D17" i="41"/>
  <c r="D12" i="41" s="1"/>
  <c r="D17" i="36"/>
  <c r="D12" i="36" s="1"/>
  <c r="D17" i="42"/>
  <c r="D17" i="43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C12" i="41"/>
  <c r="C18" i="41" s="1"/>
  <c r="L2" i="41"/>
  <c r="P2" i="41" s="1"/>
  <c r="R10" i="4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D18" i="36" l="1"/>
  <c r="D18" i="38"/>
  <c r="D18" i="41"/>
  <c r="D18" i="39"/>
  <c r="D12" i="43"/>
  <c r="D12" i="42"/>
  <c r="D12" i="40"/>
  <c r="D18" i="42" l="1"/>
  <c r="D18" i="43"/>
  <c r="D18" i="40"/>
  <c r="L2" i="34" l="1"/>
  <c r="P2" i="34" s="1"/>
  <c r="L10" i="34" l="1"/>
  <c r="N10" i="34" s="1"/>
  <c r="R10" i="34" l="1"/>
  <c r="D2" i="33" l="1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9"/>
  <c r="L10" i="29" s="1"/>
  <c r="N10" i="29" s="1"/>
  <c r="D2" i="29"/>
  <c r="C2" i="29"/>
  <c r="C17" i="29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C2" i="19"/>
  <c r="C17" i="19" s="1"/>
  <c r="G4" i="19"/>
  <c r="L4" i="19" s="1"/>
  <c r="D2" i="19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9"/>
  <c r="D12" i="19" s="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R10" i="29"/>
  <c r="C12" i="29"/>
  <c r="C18" i="29" s="1"/>
  <c r="L2" i="29"/>
  <c r="P2" i="29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N4" i="19"/>
  <c r="R4" i="19" s="1"/>
  <c r="C12" i="19"/>
  <c r="C18" i="19" s="1"/>
  <c r="L2" i="19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19"/>
  <c r="D18" i="29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D12" i="11"/>
  <c r="N4" i="11"/>
  <c r="R4" i="11" s="1"/>
  <c r="L2" i="11"/>
  <c r="P2" i="11" s="1"/>
  <c r="D18" i="11" l="1"/>
  <c r="D18" i="16"/>
  <c r="C12" i="16"/>
  <c r="C18" i="16" s="1"/>
  <c r="K9" i="37" l="1"/>
  <c r="K9" i="20"/>
  <c r="Q11" i="20" s="1"/>
  <c r="H7" i="20"/>
  <c r="N2" i="20"/>
  <c r="R2" i="20" s="1"/>
  <c r="B16" i="20"/>
  <c r="Q11" i="34"/>
  <c r="K13" i="34" s="1"/>
  <c r="G4" i="29"/>
  <c r="L4" i="29" s="1"/>
  <c r="F3" i="17"/>
  <c r="F3" i="22"/>
  <c r="F3" i="11"/>
  <c r="B16" i="37"/>
  <c r="B17" i="37" s="1"/>
  <c r="B12" i="37" s="1"/>
  <c r="B18" i="37" s="1"/>
  <c r="B16" i="39"/>
  <c r="L16" i="39" s="1"/>
  <c r="H6" i="39"/>
  <c r="L6" i="39" s="1"/>
  <c r="N6" i="39" s="1"/>
  <c r="R6" i="39" s="1"/>
  <c r="F3" i="33"/>
  <c r="G3" i="33" s="1"/>
  <c r="H6" i="33"/>
  <c r="L6" i="33" s="1"/>
  <c r="N6" i="33" s="1"/>
  <c r="R6" i="33" s="1"/>
  <c r="L6" i="34"/>
  <c r="N6" i="34" s="1"/>
  <c r="R6" i="34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1"/>
  <c r="G3" i="41" s="1"/>
  <c r="G5" i="41" s="1"/>
  <c r="H6" i="41"/>
  <c r="L6" i="41" s="1"/>
  <c r="N6" i="41" s="1"/>
  <c r="R6" i="41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H7" i="41"/>
  <c r="K9" i="30"/>
  <c r="Q11" i="30" s="1"/>
  <c r="B16" i="38"/>
  <c r="H7" i="30"/>
  <c r="H7" i="28"/>
  <c r="K9" i="41"/>
  <c r="Q11" i="41" s="1"/>
  <c r="K9" i="39"/>
  <c r="Q11" i="39" s="1"/>
  <c r="K9" i="40"/>
  <c r="Q11" i="40" s="1"/>
  <c r="K9" i="26"/>
  <c r="Q11" i="26" s="1"/>
  <c r="K9" i="23"/>
  <c r="Q11" i="23" s="1"/>
  <c r="B16" i="41"/>
  <c r="K9" i="29"/>
  <c r="Q11" i="29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4"/>
  <c r="B16" i="16"/>
  <c r="B16" i="17"/>
  <c r="B16" i="19"/>
  <c r="L10" i="15"/>
  <c r="N10" i="15" s="1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K10" i="19"/>
  <c r="L10" i="19" s="1"/>
  <c r="N10" i="19" s="1"/>
  <c r="R10" i="19" s="1"/>
  <c r="L7" i="15"/>
  <c r="N7" i="15" s="1"/>
  <c r="R7" i="15" s="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7" i="19"/>
  <c r="L7" i="19" s="1"/>
  <c r="N7" i="19" s="1"/>
  <c r="R7" i="19" s="1"/>
  <c r="H6" i="17"/>
  <c r="H6" i="16"/>
  <c r="K9" i="18"/>
  <c r="H6" i="19"/>
  <c r="K9" i="21"/>
  <c r="H6" i="18"/>
  <c r="P2" i="19"/>
  <c r="K9" i="19"/>
  <c r="H6" i="11"/>
  <c r="H6" i="21"/>
  <c r="K9" i="22"/>
  <c r="H6" i="22"/>
  <c r="K9" i="17"/>
  <c r="H7" i="11"/>
  <c r="L7" i="11" s="1"/>
  <c r="N7" i="11" s="1"/>
  <c r="R7" i="11" s="1"/>
  <c r="H7" i="16"/>
  <c r="H7" i="17"/>
  <c r="L2" i="15"/>
  <c r="P2" i="15" s="1"/>
  <c r="G4" i="14"/>
  <c r="L4" i="14" s="1"/>
  <c r="D2" i="14"/>
  <c r="D17" i="14" s="1"/>
  <c r="H6" i="14"/>
  <c r="K10" i="14"/>
  <c r="L10" i="14" s="1"/>
  <c r="K9" i="14"/>
  <c r="H7" i="14"/>
  <c r="L7" i="14" s="1"/>
  <c r="C2" i="14"/>
  <c r="K18" i="34" l="1"/>
  <c r="E14" i="34"/>
  <c r="F17" i="22"/>
  <c r="F12" i="22" s="1"/>
  <c r="F18" i="22" s="1"/>
  <c r="G3" i="22"/>
  <c r="F17" i="16"/>
  <c r="F12" i="16" s="1"/>
  <c r="F18" i="16" s="1"/>
  <c r="F17" i="11"/>
  <c r="F12" i="11" s="1"/>
  <c r="F18" i="11" s="1"/>
  <c r="G3" i="11"/>
  <c r="F17" i="17"/>
  <c r="F12" i="17" s="1"/>
  <c r="F18" i="17" s="1"/>
  <c r="G3" i="17"/>
  <c r="F17" i="18"/>
  <c r="F12" i="18" s="1"/>
  <c r="F18" i="18" s="1"/>
  <c r="F17" i="39"/>
  <c r="F12" i="39" s="1"/>
  <c r="F18" i="39" s="1"/>
  <c r="Q11" i="15"/>
  <c r="K13" i="15" s="1"/>
  <c r="Q11" i="11"/>
  <c r="Q11" i="17"/>
  <c r="Q11" i="18"/>
  <c r="Q11" i="22"/>
  <c r="Q11" i="16"/>
  <c r="Q11" i="21"/>
  <c r="Q11" i="14"/>
  <c r="Q11" i="37"/>
  <c r="L9" i="20"/>
  <c r="M11" i="20"/>
  <c r="K17" i="20"/>
  <c r="B17" i="20"/>
  <c r="L16" i="20"/>
  <c r="I8" i="20"/>
  <c r="J8" i="20"/>
  <c r="J17" i="20" s="1"/>
  <c r="J13" i="20" s="1"/>
  <c r="L7" i="20"/>
  <c r="H17" i="20"/>
  <c r="H12" i="20" s="1"/>
  <c r="H18" i="20" s="1"/>
  <c r="Q11" i="19"/>
  <c r="L9" i="34"/>
  <c r="N9" i="34" s="1"/>
  <c r="R9" i="34" s="1"/>
  <c r="N4" i="29"/>
  <c r="R4" i="29" s="1"/>
  <c r="M11" i="34"/>
  <c r="H6" i="29"/>
  <c r="L6" i="29" s="1"/>
  <c r="N6" i="29" s="1"/>
  <c r="R6" i="29" s="1"/>
  <c r="H7" i="29"/>
  <c r="L7" i="29" s="1"/>
  <c r="N7" i="29" s="1"/>
  <c r="R7" i="29" s="1"/>
  <c r="Q8" i="19"/>
  <c r="N2" i="33"/>
  <c r="R2" i="33" s="1"/>
  <c r="N2" i="28"/>
  <c r="R2" i="28" s="1"/>
  <c r="N2" i="40"/>
  <c r="R2" i="40" s="1"/>
  <c r="N2" i="39"/>
  <c r="R2" i="39" s="1"/>
  <c r="N2" i="31"/>
  <c r="R2" i="31" s="1"/>
  <c r="N2" i="34"/>
  <c r="R2" i="34" s="1"/>
  <c r="N2" i="26"/>
  <c r="R2" i="26" s="1"/>
  <c r="N2" i="38"/>
  <c r="R2" i="38" s="1"/>
  <c r="N2" i="27"/>
  <c r="R2" i="27" s="1"/>
  <c r="N2" i="42"/>
  <c r="N2" i="41"/>
  <c r="R2" i="41" s="1"/>
  <c r="N2" i="32"/>
  <c r="R2" i="32" s="1"/>
  <c r="N2" i="24"/>
  <c r="R2" i="24" s="1"/>
  <c r="N2" i="29"/>
  <c r="R2" i="29" s="1"/>
  <c r="N2" i="43"/>
  <c r="N2" i="30"/>
  <c r="R2" i="30" s="1"/>
  <c r="L16" i="37"/>
  <c r="R16" i="37" s="1"/>
  <c r="B17" i="39"/>
  <c r="B12" i="39" s="1"/>
  <c r="B18" i="39" s="1"/>
  <c r="B16" i="36"/>
  <c r="L16" i="36" s="1"/>
  <c r="F3" i="29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41"/>
  <c r="F12" i="41" s="1"/>
  <c r="F18" i="4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L7" i="34"/>
  <c r="L9" i="29"/>
  <c r="N9" i="29" s="1"/>
  <c r="R9" i="29" s="1"/>
  <c r="K17" i="29"/>
  <c r="L7" i="41"/>
  <c r="N7" i="41" s="1"/>
  <c r="R7" i="41" s="1"/>
  <c r="K17" i="24"/>
  <c r="L9" i="24"/>
  <c r="N9" i="24" s="1"/>
  <c r="R9" i="24" s="1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K17" i="41"/>
  <c r="L9" i="41"/>
  <c r="N9" i="41" s="1"/>
  <c r="R9" i="41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B17" i="41"/>
  <c r="B12" i="41" s="1"/>
  <c r="B18" i="41" s="1"/>
  <c r="L16" i="41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K17" i="19"/>
  <c r="K17" i="18"/>
  <c r="K17" i="14"/>
  <c r="K17" i="21"/>
  <c r="K17" i="17"/>
  <c r="L9" i="16"/>
  <c r="N9" i="16" s="1"/>
  <c r="R9" i="16" s="1"/>
  <c r="K17" i="16"/>
  <c r="L9" i="15"/>
  <c r="N9" i="15" s="1"/>
  <c r="R9" i="15" s="1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R10" i="15"/>
  <c r="N2" i="16"/>
  <c r="N2" i="11"/>
  <c r="R2" i="11" s="1"/>
  <c r="N2" i="17"/>
  <c r="R2" i="17" s="1"/>
  <c r="N2" i="21"/>
  <c r="R2" i="21" s="1"/>
  <c r="N2" i="18"/>
  <c r="R2" i="18" s="1"/>
  <c r="N2" i="19"/>
  <c r="R2" i="19" s="1"/>
  <c r="L6" i="15"/>
  <c r="N6" i="15" s="1"/>
  <c r="R6" i="15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9"/>
  <c r="N9" i="19" s="1"/>
  <c r="R9" i="19" s="1"/>
  <c r="L6" i="19"/>
  <c r="N6" i="19" s="1"/>
  <c r="R6" i="19" s="1"/>
  <c r="L9" i="17"/>
  <c r="N9" i="17" s="1"/>
  <c r="R9" i="17" s="1"/>
  <c r="L7" i="17"/>
  <c r="L7" i="16"/>
  <c r="N7" i="16" s="1"/>
  <c r="R7" i="16" s="1"/>
  <c r="D12" i="14"/>
  <c r="N10" i="14"/>
  <c r="R10" i="14" s="1"/>
  <c r="L6" i="14"/>
  <c r="N7" i="14"/>
  <c r="R7" i="14" s="1"/>
  <c r="F3" i="14"/>
  <c r="L9" i="14"/>
  <c r="N4" i="14"/>
  <c r="R4" i="14" s="1"/>
  <c r="K18" i="15" l="1"/>
  <c r="E14" i="15"/>
  <c r="F17" i="29"/>
  <c r="F12" i="29" s="1"/>
  <c r="F18" i="29" s="1"/>
  <c r="G3" i="29"/>
  <c r="L3" i="29" s="1"/>
  <c r="F17" i="21"/>
  <c r="F12" i="21" s="1"/>
  <c r="F18" i="21" s="1"/>
  <c r="G3" i="21"/>
  <c r="F17" i="14"/>
  <c r="F12" i="14" s="1"/>
  <c r="F18" i="14" s="1"/>
  <c r="G3" i="14"/>
  <c r="I18" i="19"/>
  <c r="J18" i="19" s="1"/>
  <c r="R11" i="34"/>
  <c r="R11" i="20"/>
  <c r="L3" i="34"/>
  <c r="L3" i="15"/>
  <c r="D18" i="37"/>
  <c r="D18" i="14"/>
  <c r="K13" i="20"/>
  <c r="K18" i="20" s="1"/>
  <c r="N9" i="20"/>
  <c r="R9" i="20" s="1"/>
  <c r="N7" i="20"/>
  <c r="R7" i="20" s="1"/>
  <c r="I17" i="20"/>
  <c r="I13" i="20" s="1"/>
  <c r="L8" i="20"/>
  <c r="N8" i="20" s="1"/>
  <c r="R8" i="20" s="1"/>
  <c r="Q16" i="20"/>
  <c r="R16" i="20"/>
  <c r="B12" i="20"/>
  <c r="B18" i="20" s="1"/>
  <c r="G5" i="23"/>
  <c r="L5" i="23" s="1"/>
  <c r="I18" i="11"/>
  <c r="J18" i="11" s="1"/>
  <c r="J8" i="11" s="1"/>
  <c r="J17" i="11" s="1"/>
  <c r="J13" i="11" s="1"/>
  <c r="I18" i="18"/>
  <c r="J18" i="18" s="1"/>
  <c r="J8" i="18" s="1"/>
  <c r="I18" i="31"/>
  <c r="J18" i="31" s="1"/>
  <c r="J8" i="31" s="1"/>
  <c r="J17" i="31" s="1"/>
  <c r="J13" i="31" s="1"/>
  <c r="R2" i="42"/>
  <c r="I18" i="17"/>
  <c r="I8" i="17" s="1"/>
  <c r="I17" i="17" s="1"/>
  <c r="J8" i="2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H17" i="14"/>
  <c r="H12" i="14" s="1"/>
  <c r="H18" i="14" s="1"/>
  <c r="N4" i="37"/>
  <c r="R4" i="37" s="1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G5" i="11"/>
  <c r="G17" i="11" s="1"/>
  <c r="H17" i="17"/>
  <c r="H12" i="17" s="1"/>
  <c r="H18" i="17" s="1"/>
  <c r="J8" i="29"/>
  <c r="J17" i="29" s="1"/>
  <c r="J13" i="29" s="1"/>
  <c r="I18" i="39"/>
  <c r="I18" i="30"/>
  <c r="I18" i="38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H17" i="41"/>
  <c r="H12" i="41" s="1"/>
  <c r="H18" i="4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42"/>
  <c r="H17" i="29"/>
  <c r="H12" i="29" s="1"/>
  <c r="H18" i="29" s="1"/>
  <c r="K13" i="29"/>
  <c r="K18" i="29" s="1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N7" i="34"/>
  <c r="R7" i="34" s="1"/>
  <c r="R16" i="29"/>
  <c r="Q16" i="29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41"/>
  <c r="Q16" i="41"/>
  <c r="R16" i="27"/>
  <c r="Q16" i="27"/>
  <c r="Q16" i="43"/>
  <c r="R16" i="43"/>
  <c r="K13" i="27"/>
  <c r="K18" i="27" s="1"/>
  <c r="K13" i="41"/>
  <c r="K18" i="41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R16" i="34"/>
  <c r="Q16" i="34"/>
  <c r="K13" i="37"/>
  <c r="K18" i="37" s="1"/>
  <c r="B16" i="23"/>
  <c r="J8" i="41"/>
  <c r="J17" i="41" s="1"/>
  <c r="J13" i="41" s="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L16" i="15"/>
  <c r="C12" i="14"/>
  <c r="C18" i="14" s="1"/>
  <c r="R2" i="16"/>
  <c r="K13" i="11"/>
  <c r="K18" i="11" s="1"/>
  <c r="K13" i="16"/>
  <c r="K18" i="16" s="1"/>
  <c r="M11" i="17"/>
  <c r="M11" i="18"/>
  <c r="M11" i="16"/>
  <c r="M11" i="22"/>
  <c r="M11" i="15"/>
  <c r="M11" i="21"/>
  <c r="M11" i="14"/>
  <c r="M11" i="19"/>
  <c r="N2" i="15"/>
  <c r="N2" i="22"/>
  <c r="R2" i="22" s="1"/>
  <c r="K13" i="19"/>
  <c r="K18" i="19" s="1"/>
  <c r="K13" i="21"/>
  <c r="K18" i="21" s="1"/>
  <c r="K13" i="18"/>
  <c r="K18" i="18" s="1"/>
  <c r="K13" i="22"/>
  <c r="K18" i="22" s="1"/>
  <c r="K13" i="17"/>
  <c r="K18" i="17" s="1"/>
  <c r="N7" i="17"/>
  <c r="R7" i="17" s="1"/>
  <c r="K13" i="14"/>
  <c r="K18" i="14" s="1"/>
  <c r="N9" i="14"/>
  <c r="R9" i="14" s="1"/>
  <c r="N6" i="14"/>
  <c r="R6" i="14" s="1"/>
  <c r="I8" i="19" l="1"/>
  <c r="I17" i="19" s="1"/>
  <c r="I13" i="19" s="1"/>
  <c r="R11" i="21"/>
  <c r="R11" i="40"/>
  <c r="R11" i="26"/>
  <c r="R11" i="39"/>
  <c r="R11" i="11"/>
  <c r="R11" i="41"/>
  <c r="R11" i="29"/>
  <c r="R11" i="15"/>
  <c r="R11" i="42"/>
  <c r="R11" i="38"/>
  <c r="R11" i="18"/>
  <c r="R11" i="31"/>
  <c r="R11" i="24"/>
  <c r="R11" i="16"/>
  <c r="R11" i="17"/>
  <c r="R11" i="23"/>
  <c r="R11" i="36"/>
  <c r="R11" i="33"/>
  <c r="R11" i="37"/>
  <c r="R11" i="22"/>
  <c r="R11" i="28"/>
  <c r="R11" i="27"/>
  <c r="R11" i="14"/>
  <c r="R11" i="32"/>
  <c r="R11" i="30"/>
  <c r="R11" i="19"/>
  <c r="Q5" i="31"/>
  <c r="Q5" i="40"/>
  <c r="Q5" i="22"/>
  <c r="Q5" i="28"/>
  <c r="E17" i="28" s="1"/>
  <c r="E12" i="28" s="1"/>
  <c r="E18" i="28" s="1"/>
  <c r="Q5" i="30"/>
  <c r="E17" i="30" s="1"/>
  <c r="E12" i="30" s="1"/>
  <c r="E18" i="30" s="1"/>
  <c r="R5" i="23"/>
  <c r="Q5" i="23"/>
  <c r="E17" i="23" s="1"/>
  <c r="E12" i="23" s="1"/>
  <c r="E18" i="23" s="1"/>
  <c r="E14" i="20"/>
  <c r="L13" i="20"/>
  <c r="L8" i="15"/>
  <c r="N8" i="15" s="1"/>
  <c r="R8" i="15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J8" i="19"/>
  <c r="J17" i="19" s="1"/>
  <c r="J13" i="19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N3" i="34"/>
  <c r="R3" i="34" s="1"/>
  <c r="R5" i="40"/>
  <c r="N3" i="29"/>
  <c r="R3" i="29" s="1"/>
  <c r="I8" i="29"/>
  <c r="I17" i="29" s="1"/>
  <c r="I13" i="29" s="1"/>
  <c r="E14" i="29" s="1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8" i="27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2"/>
  <c r="L5" i="42" s="1"/>
  <c r="L3" i="41"/>
  <c r="G17" i="28"/>
  <c r="G12" i="28" s="1"/>
  <c r="G18" i="28" s="1"/>
  <c r="G5" i="32"/>
  <c r="L5" i="32" s="1"/>
  <c r="G5" i="27"/>
  <c r="L5" i="27" s="1"/>
  <c r="L3" i="27"/>
  <c r="L3" i="37"/>
  <c r="G5" i="29"/>
  <c r="L5" i="29" s="1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I17" i="41"/>
  <c r="L8" i="41"/>
  <c r="R16" i="15"/>
  <c r="Q16" i="15"/>
  <c r="J17" i="22"/>
  <c r="J13" i="22" s="1"/>
  <c r="J17" i="18"/>
  <c r="J13" i="18" s="1"/>
  <c r="L3" i="21"/>
  <c r="G17" i="22"/>
  <c r="G12" i="22" s="1"/>
  <c r="G18" i="22" s="1"/>
  <c r="G12" i="11"/>
  <c r="G18" i="11" s="1"/>
  <c r="R2" i="15"/>
  <c r="N3" i="17"/>
  <c r="R3" i="17" s="1"/>
  <c r="R5" i="22"/>
  <c r="G5" i="21"/>
  <c r="L5" i="21" s="1"/>
  <c r="I13" i="17"/>
  <c r="N3" i="15"/>
  <c r="R3" i="15" s="1"/>
  <c r="G5" i="14"/>
  <c r="L5" i="14" s="1"/>
  <c r="L3" i="14"/>
  <c r="N5" i="29" l="1"/>
  <c r="Q5" i="29" s="1"/>
  <c r="L4" i="20"/>
  <c r="Q5" i="21"/>
  <c r="Q5" i="43"/>
  <c r="Q5" i="32"/>
  <c r="N3" i="23"/>
  <c r="R3" i="23" s="1"/>
  <c r="Q5" i="14"/>
  <c r="Q5" i="27"/>
  <c r="Q5" i="39"/>
  <c r="Q5" i="36"/>
  <c r="Q5" i="17"/>
  <c r="E17" i="17" s="1"/>
  <c r="E12" i="17" s="1"/>
  <c r="E18" i="17" s="1"/>
  <c r="Q5" i="38"/>
  <c r="Q5" i="33"/>
  <c r="Q5" i="26"/>
  <c r="L14" i="20"/>
  <c r="J17" i="17"/>
  <c r="J13" i="17" s="1"/>
  <c r="E14" i="17" s="1"/>
  <c r="L8" i="11"/>
  <c r="N8" i="11" s="1"/>
  <c r="R8" i="11" s="1"/>
  <c r="L8" i="34"/>
  <c r="N8" i="34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8" i="19"/>
  <c r="N8" i="19" s="1"/>
  <c r="R8" i="19" s="1"/>
  <c r="L13" i="26"/>
  <c r="L8" i="21"/>
  <c r="N8" i="21" s="1"/>
  <c r="R8" i="21" s="1"/>
  <c r="L8" i="26"/>
  <c r="N8" i="26" s="1"/>
  <c r="R8" i="26" s="1"/>
  <c r="L8" i="31"/>
  <c r="N8" i="31" s="1"/>
  <c r="R8" i="31" s="1"/>
  <c r="L14" i="29"/>
  <c r="R14" i="29" s="1"/>
  <c r="N3" i="27"/>
  <c r="R3" i="27" s="1"/>
  <c r="N3" i="28"/>
  <c r="R3" i="28" s="1"/>
  <c r="N3" i="31"/>
  <c r="R3" i="31" s="1"/>
  <c r="N3" i="24"/>
  <c r="R3" i="24" s="1"/>
  <c r="N3" i="16"/>
  <c r="R3" i="16" s="1"/>
  <c r="N3" i="41"/>
  <c r="R3" i="41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L8" i="29"/>
  <c r="N8" i="29" s="1"/>
  <c r="R8" i="29" s="1"/>
  <c r="L13" i="29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G17" i="29"/>
  <c r="G12" i="29" s="1"/>
  <c r="G18" i="29" s="1"/>
  <c r="R5" i="33"/>
  <c r="R5" i="26"/>
  <c r="G17" i="36"/>
  <c r="G12" i="36" s="1"/>
  <c r="G18" i="36" s="1"/>
  <c r="E14" i="33"/>
  <c r="R5" i="32"/>
  <c r="R5" i="38"/>
  <c r="L8" i="43"/>
  <c r="N8" i="43" s="1"/>
  <c r="R8" i="43" s="1"/>
  <c r="G17" i="39"/>
  <c r="G12" i="39" s="1"/>
  <c r="G18" i="39" s="1"/>
  <c r="G5" i="37"/>
  <c r="L5" i="37" s="1"/>
  <c r="R5" i="36"/>
  <c r="E14" i="26"/>
  <c r="R5" i="27"/>
  <c r="R5" i="43"/>
  <c r="R5" i="39"/>
  <c r="E14" i="31"/>
  <c r="L12" i="28"/>
  <c r="K13" i="43"/>
  <c r="K18" i="43" s="1"/>
  <c r="L12" i="30"/>
  <c r="R16" i="23"/>
  <c r="Q16" i="23"/>
  <c r="B12" i="23"/>
  <c r="B18" i="23" s="1"/>
  <c r="L13" i="34"/>
  <c r="N8" i="41"/>
  <c r="I13" i="41"/>
  <c r="E14" i="16"/>
  <c r="G5" i="16" s="1"/>
  <c r="G4" i="16" s="1"/>
  <c r="L13" i="16"/>
  <c r="L13" i="21"/>
  <c r="E14" i="21"/>
  <c r="G17" i="21"/>
  <c r="G12" i="21" s="1"/>
  <c r="G18" i="21" s="1"/>
  <c r="G17" i="14"/>
  <c r="G12" i="14" s="1"/>
  <c r="G18" i="14" s="1"/>
  <c r="E14" i="11"/>
  <c r="E17" i="22"/>
  <c r="L17" i="22" s="1"/>
  <c r="L13" i="19"/>
  <c r="E14" i="19"/>
  <c r="E14" i="22"/>
  <c r="L13" i="22"/>
  <c r="L13" i="18"/>
  <c r="E14" i="18"/>
  <c r="R5" i="21"/>
  <c r="N3" i="14"/>
  <c r="R3" i="14" s="1"/>
  <c r="R5" i="14"/>
  <c r="L5" i="16" l="1"/>
  <c r="R5" i="29"/>
  <c r="R11" i="43"/>
  <c r="N4" i="20"/>
  <c r="R4" i="20" s="1"/>
  <c r="Q5" i="37"/>
  <c r="L4" i="18"/>
  <c r="L12" i="40"/>
  <c r="Q12" i="40" s="1"/>
  <c r="E18" i="40"/>
  <c r="L5" i="20"/>
  <c r="Q14" i="20"/>
  <c r="R14" i="20"/>
  <c r="L13" i="15"/>
  <c r="L13" i="17"/>
  <c r="Q14" i="29"/>
  <c r="L14" i="11"/>
  <c r="Q14" i="11" s="1"/>
  <c r="L14" i="33"/>
  <c r="R14" i="33" s="1"/>
  <c r="L14" i="21"/>
  <c r="R14" i="21" s="1"/>
  <c r="L14" i="15"/>
  <c r="R14" i="15" s="1"/>
  <c r="L14" i="26"/>
  <c r="R14" i="26" s="1"/>
  <c r="L14" i="16"/>
  <c r="Q14" i="16" s="1"/>
  <c r="L14" i="31"/>
  <c r="R14" i="31" s="1"/>
  <c r="L17" i="28"/>
  <c r="Q17" i="28" s="1"/>
  <c r="R8" i="41"/>
  <c r="R8" i="34"/>
  <c r="L12" i="31"/>
  <c r="Q12" i="31" s="1"/>
  <c r="L17" i="31"/>
  <c r="R17" i="31" s="1"/>
  <c r="L12" i="17"/>
  <c r="Q12" i="17" s="1"/>
  <c r="L17" i="23"/>
  <c r="R17" i="23" s="1"/>
  <c r="L17" i="17"/>
  <c r="R17" i="17" s="1"/>
  <c r="L17" i="40"/>
  <c r="R17" i="40" s="1"/>
  <c r="E17" i="39"/>
  <c r="L17" i="39" s="1"/>
  <c r="E17" i="36"/>
  <c r="E12" i="36" s="1"/>
  <c r="E18" i="36" s="1"/>
  <c r="L17" i="30"/>
  <c r="Q17" i="30" s="1"/>
  <c r="E14" i="42"/>
  <c r="N5" i="42" s="1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29"/>
  <c r="E15" i="29" s="1"/>
  <c r="E17" i="33"/>
  <c r="E12" i="33" s="1"/>
  <c r="E18" i="33" s="1"/>
  <c r="E17" i="27"/>
  <c r="L13" i="27"/>
  <c r="E14" i="27"/>
  <c r="L13" i="32"/>
  <c r="E14" i="32"/>
  <c r="E17" i="38"/>
  <c r="E12" i="38" s="1"/>
  <c r="E18" i="38" s="1"/>
  <c r="L13" i="38"/>
  <c r="E14" i="38"/>
  <c r="L13" i="24"/>
  <c r="E14" i="24"/>
  <c r="N5" i="24" s="1"/>
  <c r="G17" i="37"/>
  <c r="G12" i="37" s="1"/>
  <c r="G18" i="37" s="1"/>
  <c r="E15" i="31"/>
  <c r="R5" i="37"/>
  <c r="E14" i="43"/>
  <c r="R12" i="30"/>
  <c r="Q12" i="30"/>
  <c r="R12" i="28"/>
  <c r="Q12" i="28"/>
  <c r="L13" i="43"/>
  <c r="L12" i="23"/>
  <c r="L14" i="34"/>
  <c r="Q14" i="34" s="1"/>
  <c r="E14" i="41"/>
  <c r="L13" i="41"/>
  <c r="R17" i="22"/>
  <c r="Q17" i="22"/>
  <c r="E12" i="22"/>
  <c r="E18" i="22" s="1"/>
  <c r="E17" i="21"/>
  <c r="L17" i="21" s="1"/>
  <c r="L14" i="18"/>
  <c r="L14" i="22"/>
  <c r="L14" i="19"/>
  <c r="E15" i="22"/>
  <c r="L14" i="17"/>
  <c r="E15" i="17"/>
  <c r="E17" i="14"/>
  <c r="R5" i="42" l="1"/>
  <c r="Q5" i="42"/>
  <c r="E17" i="42" s="1"/>
  <c r="E12" i="42" s="1"/>
  <c r="E18" i="42" s="1"/>
  <c r="L5" i="41"/>
  <c r="N5" i="41" s="1"/>
  <c r="Q5" i="16"/>
  <c r="E17" i="16" s="1"/>
  <c r="E15" i="16" s="1"/>
  <c r="R5" i="16"/>
  <c r="L4" i="16"/>
  <c r="N4" i="16" s="1"/>
  <c r="R4" i="16" s="1"/>
  <c r="G17" i="16"/>
  <c r="G12" i="16" s="1"/>
  <c r="G18" i="16" s="1"/>
  <c r="Q5" i="24"/>
  <c r="E17" i="24" s="1"/>
  <c r="E15" i="24" s="1"/>
  <c r="R5" i="24"/>
  <c r="L5" i="34"/>
  <c r="Q5" i="34" s="1"/>
  <c r="E17" i="34" s="1"/>
  <c r="Q5" i="20"/>
  <c r="E17" i="20" s="1"/>
  <c r="N4" i="18"/>
  <c r="R4" i="18" s="1"/>
  <c r="L4" i="34"/>
  <c r="L5" i="18"/>
  <c r="N5" i="18" s="1"/>
  <c r="L3" i="18"/>
  <c r="G17" i="18"/>
  <c r="G12" i="18" s="1"/>
  <c r="G18" i="18" s="1"/>
  <c r="R12" i="40"/>
  <c r="L3" i="20"/>
  <c r="G17" i="20"/>
  <c r="G12" i="20" s="1"/>
  <c r="G18" i="20" s="1"/>
  <c r="R5" i="20"/>
  <c r="Q14" i="15"/>
  <c r="R14" i="11"/>
  <c r="Q14" i="31"/>
  <c r="R14" i="16"/>
  <c r="Q14" i="21"/>
  <c r="Q14" i="33"/>
  <c r="M13" i="31"/>
  <c r="Q13" i="31" s="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E12" i="29"/>
  <c r="E18" i="29" s="1"/>
  <c r="E15" i="26"/>
  <c r="L17" i="43"/>
  <c r="R17" i="43" s="1"/>
  <c r="L17" i="32"/>
  <c r="R17" i="32" s="1"/>
  <c r="E15" i="27"/>
  <c r="L17" i="29"/>
  <c r="R17" i="29" s="1"/>
  <c r="L12" i="43"/>
  <c r="R12" i="43" s="1"/>
  <c r="E15" i="39"/>
  <c r="E15" i="36"/>
  <c r="L17" i="36"/>
  <c r="Q17" i="36" s="1"/>
  <c r="L17" i="38"/>
  <c r="R17" i="38" s="1"/>
  <c r="L17" i="33"/>
  <c r="Q17" i="33" s="1"/>
  <c r="Q17" i="40"/>
  <c r="E15" i="42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40"/>
  <c r="L14" i="23"/>
  <c r="E15" i="23"/>
  <c r="L15" i="31"/>
  <c r="R15" i="31" s="1"/>
  <c r="L14" i="43"/>
  <c r="Q14" i="43" s="1"/>
  <c r="L12" i="32"/>
  <c r="L12" i="36"/>
  <c r="L15" i="29"/>
  <c r="M13" i="29"/>
  <c r="L12" i="38"/>
  <c r="R17" i="39"/>
  <c r="Q17" i="39"/>
  <c r="R12" i="23"/>
  <c r="Q12" i="23"/>
  <c r="R14" i="34"/>
  <c r="L14" i="41"/>
  <c r="R17" i="21"/>
  <c r="Q17" i="21"/>
  <c r="R14" i="19"/>
  <c r="Q14" i="19"/>
  <c r="R14" i="17"/>
  <c r="Q14" i="17"/>
  <c r="R14" i="22"/>
  <c r="Q14" i="22"/>
  <c r="R14" i="18"/>
  <c r="Q14" i="18"/>
  <c r="E12" i="21"/>
  <c r="E18" i="21" s="1"/>
  <c r="L12" i="22"/>
  <c r="E15" i="21"/>
  <c r="M13" i="22"/>
  <c r="L15" i="22"/>
  <c r="M13" i="17"/>
  <c r="L15" i="17"/>
  <c r="E12" i="14"/>
  <c r="L12" i="42" l="1"/>
  <c r="E12" i="16"/>
  <c r="E18" i="16" s="1"/>
  <c r="Q5" i="41"/>
  <c r="E17" i="41" s="1"/>
  <c r="R5" i="41"/>
  <c r="L4" i="41"/>
  <c r="N4" i="41" s="1"/>
  <c r="R4" i="41" s="1"/>
  <c r="G17" i="41"/>
  <c r="G12" i="41" s="1"/>
  <c r="G18" i="41" s="1"/>
  <c r="L17" i="16"/>
  <c r="E12" i="24"/>
  <c r="L17" i="24"/>
  <c r="E15" i="34"/>
  <c r="E12" i="34"/>
  <c r="E18" i="34" s="1"/>
  <c r="R5" i="34"/>
  <c r="N4" i="34"/>
  <c r="R4" i="34" s="1"/>
  <c r="N3" i="20"/>
  <c r="R3" i="20" s="1"/>
  <c r="N3" i="18"/>
  <c r="R3" i="18" s="1"/>
  <c r="L17" i="34"/>
  <c r="Q17" i="34" s="1"/>
  <c r="L12" i="27"/>
  <c r="Q12" i="27" s="1"/>
  <c r="E18" i="27"/>
  <c r="L12" i="39"/>
  <c r="R12" i="39" s="1"/>
  <c r="E18" i="39"/>
  <c r="L12" i="14"/>
  <c r="R12" i="14" s="1"/>
  <c r="E18" i="14"/>
  <c r="E15" i="20"/>
  <c r="E12" i="20"/>
  <c r="E18" i="20" s="1"/>
  <c r="L17" i="20"/>
  <c r="R14" i="39"/>
  <c r="R14" i="40"/>
  <c r="R13" i="31"/>
  <c r="Q14" i="32"/>
  <c r="R14" i="27"/>
  <c r="R14" i="42"/>
  <c r="Q14" i="38"/>
  <c r="M13" i="27"/>
  <c r="Q13" i="27" s="1"/>
  <c r="L15" i="33"/>
  <c r="Q15" i="33" s="1"/>
  <c r="Q14" i="36"/>
  <c r="M13" i="32"/>
  <c r="R13" i="32" s="1"/>
  <c r="L15" i="21"/>
  <c r="Q15" i="21" s="1"/>
  <c r="M13" i="26"/>
  <c r="Q13" i="26" s="1"/>
  <c r="L15" i="36"/>
  <c r="R15" i="36" s="1"/>
  <c r="M13" i="43"/>
  <c r="R13" i="43" s="1"/>
  <c r="L15" i="16"/>
  <c r="R15" i="16" s="1"/>
  <c r="L14" i="37"/>
  <c r="Q14" i="37" s="1"/>
  <c r="L15" i="43"/>
  <c r="Q15" i="43" s="1"/>
  <c r="L15" i="26"/>
  <c r="R15" i="26" s="1"/>
  <c r="R17" i="36"/>
  <c r="Q17" i="32"/>
  <c r="Q17" i="29"/>
  <c r="M13" i="36"/>
  <c r="R13" i="36" s="1"/>
  <c r="R17" i="33"/>
  <c r="L12" i="29"/>
  <c r="R12" i="29" s="1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9"/>
  <c r="L15" i="39"/>
  <c r="M13" i="33"/>
  <c r="R13" i="33" s="1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R12" i="32"/>
  <c r="Q12" i="32"/>
  <c r="R12" i="42"/>
  <c r="Q12" i="42"/>
  <c r="R13" i="29"/>
  <c r="Q13" i="29"/>
  <c r="L12" i="37"/>
  <c r="R15" i="29"/>
  <c r="Q15" i="29"/>
  <c r="Q12" i="36"/>
  <c r="R12" i="36"/>
  <c r="R12" i="38"/>
  <c r="Q12" i="38"/>
  <c r="Q14" i="41"/>
  <c r="R14" i="41"/>
  <c r="R15" i="17"/>
  <c r="Q15" i="17"/>
  <c r="R15" i="22"/>
  <c r="Q15" i="22"/>
  <c r="R13" i="17"/>
  <c r="Q13" i="17"/>
  <c r="R13" i="22"/>
  <c r="Q13" i="22"/>
  <c r="R12" i="22"/>
  <c r="Q12" i="22"/>
  <c r="L12" i="21"/>
  <c r="M13" i="16"/>
  <c r="Q13" i="16" s="1"/>
  <c r="L12" i="16"/>
  <c r="M13" i="21"/>
  <c r="Q13" i="21" s="1"/>
  <c r="E12" i="41" l="1"/>
  <c r="L17" i="41"/>
  <c r="E15" i="41"/>
  <c r="R17" i="16"/>
  <c r="Q17" i="16"/>
  <c r="L12" i="34"/>
  <c r="Q12" i="34" s="1"/>
  <c r="R17" i="24"/>
  <c r="Q17" i="24"/>
  <c r="E18" i="24"/>
  <c r="L12" i="24"/>
  <c r="M13" i="34"/>
  <c r="R13" i="34" s="1"/>
  <c r="L15" i="34"/>
  <c r="Q15" i="34" s="1"/>
  <c r="R17" i="34"/>
  <c r="R12" i="27"/>
  <c r="Q12" i="14"/>
  <c r="Q12" i="39"/>
  <c r="R17" i="20"/>
  <c r="Q17" i="20"/>
  <c r="L12" i="20"/>
  <c r="M13" i="20"/>
  <c r="L15" i="20"/>
  <c r="Q13" i="32"/>
  <c r="R15" i="21"/>
  <c r="R15" i="33"/>
  <c r="R13" i="26"/>
  <c r="Q15" i="36"/>
  <c r="R14" i="37"/>
  <c r="Q13" i="43"/>
  <c r="R13" i="27"/>
  <c r="Q15" i="16"/>
  <c r="M13" i="37"/>
  <c r="Q13" i="37" s="1"/>
  <c r="Q15" i="26"/>
  <c r="R15" i="43"/>
  <c r="R15" i="32"/>
  <c r="Q12" i="29"/>
  <c r="Q13" i="36"/>
  <c r="R15" i="27"/>
  <c r="R17" i="37"/>
  <c r="L15" i="37"/>
  <c r="R15" i="37" s="1"/>
  <c r="Q15" i="39"/>
  <c r="R15" i="39"/>
  <c r="R13" i="39"/>
  <c r="Q13" i="39"/>
  <c r="Q13" i="33"/>
  <c r="Q13" i="42"/>
  <c r="R13" i="42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2" i="21"/>
  <c r="Q12" i="21"/>
  <c r="R12" i="16"/>
  <c r="Q12" i="16"/>
  <c r="R13" i="21"/>
  <c r="R13" i="16"/>
  <c r="L15" i="41" l="1"/>
  <c r="M13" i="41"/>
  <c r="R17" i="41"/>
  <c r="Q17" i="41"/>
  <c r="L12" i="41"/>
  <c r="E18" i="41"/>
  <c r="R12" i="34"/>
  <c r="R12" i="24"/>
  <c r="Q12" i="24"/>
  <c r="Q13" i="34"/>
  <c r="R15" i="34"/>
  <c r="R15" i="20"/>
  <c r="Q15" i="20"/>
  <c r="Q13" i="20"/>
  <c r="R13" i="20"/>
  <c r="Q12" i="20"/>
  <c r="R12" i="20"/>
  <c r="R13" i="37"/>
  <c r="Q15" i="37"/>
  <c r="L2" i="14"/>
  <c r="P2" i="14" s="1"/>
  <c r="R12" i="41" l="1"/>
  <c r="Q12" i="41"/>
  <c r="Q13" i="41"/>
  <c r="R13" i="41"/>
  <c r="R15" i="41"/>
  <c r="Q15" i="41"/>
  <c r="N2" i="14"/>
  <c r="L3" i="11"/>
  <c r="C12" i="11"/>
  <c r="C18" i="11" s="1"/>
  <c r="R2" i="14" l="1"/>
  <c r="N3" i="11"/>
  <c r="R3" i="11" s="1"/>
  <c r="L5" i="15" l="1"/>
  <c r="Q5" i="15" l="1"/>
  <c r="E17" i="15" s="1"/>
  <c r="L4" i="15"/>
  <c r="R5" i="15"/>
  <c r="E15" i="15" l="1"/>
  <c r="E12" i="15"/>
  <c r="E18" i="15" s="1"/>
  <c r="N4" i="15"/>
  <c r="L17" i="15"/>
  <c r="R4" i="15" l="1"/>
  <c r="R17" i="15"/>
  <c r="Q17" i="15"/>
  <c r="L15" i="15" l="1"/>
  <c r="R15" i="15" s="1"/>
  <c r="M13" i="15"/>
  <c r="R13" i="15" s="1"/>
  <c r="L12" i="15"/>
  <c r="H12" i="11"/>
  <c r="H18" i="11" s="1"/>
  <c r="L5" i="11"/>
  <c r="Q5" i="11" l="1"/>
  <c r="Q15" i="15"/>
  <c r="Q13" i="15"/>
  <c r="R12" i="15"/>
  <c r="Q12" i="15"/>
  <c r="R5" i="11"/>
  <c r="E17" i="11" l="1"/>
  <c r="L17" i="11" s="1"/>
  <c r="R17" i="11" l="1"/>
  <c r="Q17" i="11"/>
  <c r="E15" i="11"/>
  <c r="E12" i="11"/>
  <c r="E18" i="11" s="1"/>
  <c r="M13" i="11" l="1"/>
  <c r="Q13" i="11" s="1"/>
  <c r="L12" i="11"/>
  <c r="L15" i="11"/>
  <c r="J8" i="14"/>
  <c r="J17" i="14" s="1"/>
  <c r="I8" i="14"/>
  <c r="I17" i="14" s="1"/>
  <c r="R13" i="11" l="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F17" i="19" l="1"/>
  <c r="F12" i="19" s="1"/>
  <c r="F18" i="19" s="1"/>
  <c r="G5" i="19" l="1"/>
  <c r="L5" i="19" s="1"/>
  <c r="L3" i="19"/>
  <c r="R5" i="19" l="1"/>
  <c r="Q5" i="19"/>
  <c r="E17" i="19" s="1"/>
  <c r="G17" i="19"/>
  <c r="G12" i="19" s="1"/>
  <c r="G18" i="19" s="1"/>
  <c r="N3" i="19"/>
  <c r="R3" i="19" s="1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s="1"/>
  <c r="R12" i="19" l="1"/>
  <c r="Q15" i="19"/>
  <c r="R13" i="19"/>
  <c r="Q5" i="18" l="1"/>
  <c r="E17" i="18" s="1"/>
  <c r="R5" i="18"/>
  <c r="E15" i="18" l="1"/>
  <c r="E12" i="18"/>
  <c r="L17" i="18"/>
  <c r="R17" i="18" l="1"/>
  <c r="Q17" i="18"/>
  <c r="E18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<sst xmlns="http://schemas.openxmlformats.org/spreadsheetml/2006/main" count="1164" uniqueCount="109">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</sst>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data_2019.xlsx" TargetMode="External"/><Relationship Id="rId1" Type="http://schemas.openxmlformats.org/officeDocument/2006/relationships/externalLinkPath" Target="data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parameters"/>
      <sheetName val="data"/>
      <sheetName val="World"/>
      <sheetName val="China"/>
      <sheetName val="India"/>
      <sheetName val="Japan"/>
      <sheetName val="United States"/>
      <sheetName val="Russia"/>
      <sheetName val="South Korea"/>
      <sheetName val="Germany"/>
      <sheetName val="Türkiye"/>
      <sheetName val="Brazil"/>
      <sheetName val="Iran"/>
      <sheetName val="Italy"/>
      <sheetName val="Ukraine"/>
      <sheetName val="Mexico"/>
      <sheetName val="Vietnam"/>
      <sheetName val="France"/>
      <sheetName val="Spain"/>
      <sheetName val="Canada"/>
      <sheetName val="Indonesia"/>
      <sheetName val="Poland"/>
      <sheetName val="Egypt"/>
      <sheetName val="Saudi Arabia"/>
      <sheetName val="Austria"/>
      <sheetName val="Belgium"/>
      <sheetName val="United Kingdom"/>
      <sheetName val="Netherlands"/>
      <sheetName val="Australia"/>
      <sheetName val="South Africa"/>
      <sheetName val="Malaysia"/>
      <sheetName val="Thailand"/>
      <sheetName val="Sweden"/>
    </sheetNames>
    <sheetDataSet>
      <sheetData sheetId="0"/>
      <sheetData sheetId="1">
        <row r="4">
          <cell r="B4">
            <v>0.89</v>
          </cell>
        </row>
        <row r="7">
          <cell r="B7">
            <v>0.95699999999999996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A9" sqref="A9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4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110058.65907817923</v>
      </c>
      <c r="D3" s="1">
        <f>VLOOKUP($B3, '[1]Pro of iron ore'!$B$2:$X$31, $A$1, FALSE)*(1-VLOOKUP($B3, '[1]Foundry share'!$B$2:$X$31, $A$1, FALSE))</f>
        <v>68187.978881023475</v>
      </c>
      <c r="E3" s="47">
        <f>VLOOKUP($B3, '[1]Iron content'!$B$2:$X$31, $A$1, FALSE)</f>
        <v>0.61956032766660107</v>
      </c>
      <c r="F3" s="1">
        <f>VLOOKUP($B3, '[1]Exp of usable iron ore'!$B$2:$X$31, $A$1, FALSE)*parameters!$B$12</f>
        <v>0</v>
      </c>
      <c r="G3" s="1">
        <f>VLOOKUP($B3, '[1]Pro of pig iron'!$B$2:$X$31, $A$1, FALSE)*(1-VLOOKUP($B3, '[1]Foundry share'!$B$2:$X$31, $A$1, FALSE))</f>
        <v>152882.45984130361</v>
      </c>
      <c r="H3" s="1">
        <f>VLOOKUP($B3, '[1]Exp of pig iron'!$B$2:$X$31, $A$1, FALSE)</f>
        <v>397</v>
      </c>
      <c r="I3" s="1">
        <f>VLOOKUP($B3, '[1]Imp of pig iron'!$B$2:$X$31, $A$1, FALSE)</f>
        <v>648</v>
      </c>
      <c r="J3" s="1">
        <f>VLOOKUP($B3, '[1]Pro of DRI'!$B$2:$X$31, $A$1, FALSE)*(1-VLOOKUP($B3, '[1]Foundry share'!$B$2:$X$31, $A$1, FALSE))</f>
        <v>196.86818049639322</v>
      </c>
      <c r="K3" s="1">
        <f>VLOOKUP($B3, '[1]Exp of DRI'!$B$2:$X$31, $A$1, FALSE)</f>
        <v>0</v>
      </c>
      <c r="L3" s="1">
        <f>VLOOKUP($B3, '[1]Imp of DRI'!$B$2:$X$31, $A$1, FALSE)</f>
        <v>0</v>
      </c>
      <c r="M3" s="1">
        <f>VLOOKUP($B3, '[1]Exp of scrap'!$B$2:$X$31, $A$1, FALSE)</f>
        <v>0</v>
      </c>
      <c r="N3" s="1">
        <f>VLOOKUP($B3, '[1]Imp of scrap'!$B$2:$X$31, $A$1, FALSE)</f>
        <v>7853</v>
      </c>
      <c r="O3" s="1">
        <f>VLOOKUP($B3, '[1]Pro of BOF steel'!$B$2:$X$31, $A$1, FALSE)</f>
        <v>151677</v>
      </c>
      <c r="P3" s="1">
        <f>VLOOKUP($B3, '[1]Pro of OHF steel'!$B$2:$X$31, $A$1, FALSE)</f>
        <v>16</v>
      </c>
      <c r="Q3" s="1">
        <f>VLOOKUP($B3, '[1]Pro of EAF steel'!$B$2:$X$31, $A$1, FALSE)</f>
        <v>30489</v>
      </c>
      <c r="R3" s="1">
        <f>VLOOKUP($B3, '[1]Exp of ingots and semis'!$B$2:$X$31, $A$1, FALSE)</f>
        <v>1352</v>
      </c>
      <c r="S3" s="1">
        <f>VLOOKUP($B3, '[1]Imp of ingots and semis'!$B$2:$X$31, $A$1, FALSE)</f>
        <v>4687</v>
      </c>
      <c r="T3" s="1">
        <f>VLOOKUP($B3, '[1]Pro of hr long'!$B$2:$X$31, $A$1, FALSE)+VLOOKUP($B3, '[1]Pro of seamless tubes'!$B$2:$X$31, $A$1, FALSE)</f>
        <v>118308</v>
      </c>
      <c r="U3" s="1">
        <f>VLOOKUP($B3, '[1]Exp of long'!$B$2:$X$31, $A$1, FALSE)</f>
        <v>2224</v>
      </c>
      <c r="V3" s="1">
        <f>VLOOKUP($B3, '[1]Imp of long'!$B$2:$X$31, $A$1, FALSE)</f>
        <v>1923</v>
      </c>
      <c r="W3" s="1">
        <f>VLOOKUP($B3, '[1]Pro of hr flat'!$B$2:$X$31, $A$1, FALSE)*parameters!$B$8</f>
        <v>50511.881934566147</v>
      </c>
      <c r="X3" s="1">
        <f>VLOOKUP($B3, '[1]Exp of flat'!$B$2:$X$31, $A$1, FALSE)</f>
        <v>1796</v>
      </c>
      <c r="Y3" s="1">
        <f>VLOOKUP($B3, '[1]Imp of flat'!$B$2:$X$31, $A$1, FALSE)</f>
        <v>21175</v>
      </c>
      <c r="Z3" s="1">
        <f>VLOOKUP($B3, '[1]Indirect exp'!$B$2:$X$31, $A$1, FALSE)</f>
        <v>15713</v>
      </c>
      <c r="AA3" s="1">
        <f>VLOOKUP($B3, '[1]Indirect imp'!$B$2:$X$31, $A$1, FALSE)</f>
        <v>5317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71749.590169119881</v>
      </c>
      <c r="D4" s="1">
        <f>VLOOKUP($B4, '[1]Pro of iron ore'!$B$2:$X$31, $A$1, FALSE)*(1-VLOOKUP($B4, '[1]Foundry share'!$B$2:$X$31, $A$1, FALSE))</f>
        <v>45923.059448522334</v>
      </c>
      <c r="E4" s="47">
        <f>VLOOKUP($B4, '[1]Iron content'!$B$2:$X$31, $A$1, FALSE)</f>
        <v>0.64004629629629628</v>
      </c>
      <c r="F4" s="1">
        <f>VLOOKUP($B4, '[1]Exp of usable iron ore'!$B$2:$X$31, $A$1, FALSE)*parameters!$B$12</f>
        <v>35703.85</v>
      </c>
      <c r="G4" s="1">
        <f>VLOOKUP($B4, '[1]Pro of pig iron'!$B$2:$X$31, $A$1, FALSE)*(1-VLOOKUP($B4, '[1]Foundry share'!$B$2:$X$31, $A$1, FALSE))</f>
        <v>20192.028761135993</v>
      </c>
      <c r="H4" s="1">
        <f>VLOOKUP($B4, '[1]Exp of pig iron'!$B$2:$X$31, $A$1, FALSE)</f>
        <v>283</v>
      </c>
      <c r="I4" s="1">
        <f>VLOOKUP($B4, '[1]Imp of pig iron'!$B$2:$X$31, $A$1, FALSE)</f>
        <v>1</v>
      </c>
      <c r="J4" s="1">
        <f>VLOOKUP($B4, '[1]Pro of DRI'!$B$2:$X$31, $A$1, FALSE)*(1-VLOOKUP($B4, '[1]Foundry share'!$B$2:$X$31, $A$1, FALSE))</f>
        <v>4759.2233942040048</v>
      </c>
      <c r="K4" s="1">
        <f>VLOOKUP($B4, '[1]Exp of DRI'!$B$2:$X$31, $A$1, FALSE)</f>
        <v>0</v>
      </c>
      <c r="L4" s="1">
        <f>VLOOKUP($B4, '[1]Imp of DRI'!$B$2:$X$31, $A$1, FALSE)</f>
        <v>0</v>
      </c>
      <c r="M4" s="1">
        <f>VLOOKUP($B4, '[1]Exp of scrap'!$B$2:$X$31, $A$1, FALSE)</f>
        <v>0</v>
      </c>
      <c r="N4" s="1">
        <f>VLOOKUP($B4, '[1]Imp of scrap'!$B$2:$X$31, $A$1, FALSE)</f>
        <v>1036</v>
      </c>
      <c r="O4" s="1">
        <f>VLOOKUP($B4, '[1]Pro of BOF steel'!$B$2:$X$31, $A$1, FALSE)</f>
        <v>15970</v>
      </c>
      <c r="P4" s="1">
        <f>VLOOKUP($B4, '[1]Pro of OHF steel'!$B$2:$X$31, $A$1, FALSE)</f>
        <v>2000</v>
      </c>
      <c r="Q4" s="1">
        <f>VLOOKUP($B4, '[1]Pro of EAF steel'!$B$2:$X$31, $A$1, FALSE)</f>
        <v>10850</v>
      </c>
      <c r="R4" s="1">
        <f>VLOOKUP($B4, '[1]Exp of ingots and semis'!$B$2:$X$31, $A$1, FALSE)</f>
        <v>346</v>
      </c>
      <c r="S4" s="1">
        <f>VLOOKUP($B4, '[1]Imp of ingots and semis'!$B$2:$X$31, $A$1, FALSE)</f>
        <v>213</v>
      </c>
      <c r="T4" s="1">
        <f>VLOOKUP($B4, '[1]Pro of hr long'!$B$2:$X$31, $A$1, FALSE)+VLOOKUP($B4, '[1]Pro of seamless tubes'!$B$2:$X$31, $A$1, FALSE)</f>
        <v>13425</v>
      </c>
      <c r="U4" s="1">
        <f>VLOOKUP($B4, '[1]Exp of long'!$B$2:$X$31, $A$1, FALSE)</f>
        <v>474</v>
      </c>
      <c r="V4" s="1">
        <f>VLOOKUP($B4, '[1]Imp of long'!$B$2:$X$31, $A$1, FALSE)</f>
        <v>139</v>
      </c>
      <c r="W4" s="1">
        <f>VLOOKUP($B4, '[1]Pro of hr flat'!$B$2:$X$31, $A$1, FALSE)*parameters!$B$8</f>
        <v>17788.118065433853</v>
      </c>
      <c r="X4" s="1">
        <f>VLOOKUP($B4, '[1]Exp of flat'!$B$2:$X$31, $A$1, FALSE)</f>
        <v>2781</v>
      </c>
      <c r="Y4" s="1">
        <f>VLOOKUP($B4, '[1]Imp of flat'!$B$2:$X$31, $A$1, FALSE)</f>
        <v>1277</v>
      </c>
      <c r="Z4" s="1">
        <f>VLOOKUP($B4, '[1]Indirect exp'!$B$2:$X$31, $A$1, FALSE)</f>
        <v>1402</v>
      </c>
      <c r="AA4" s="1">
        <f>VLOOKUP($B4, '[1]Indirect imp'!$B$2:$X$31, $A$1, FALSE)</f>
        <v>897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0.75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80979</v>
      </c>
      <c r="H5" s="1">
        <f>VLOOKUP($B5, '[1]Exp of pig iron'!$B$2:$X$31, $A$1, FALSE)</f>
        <v>679</v>
      </c>
      <c r="I5" s="1">
        <f>VLOOKUP($B5, '[1]Imp of pig iron'!$B$2:$X$31, $A$1, FALSE)</f>
        <v>185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0</v>
      </c>
      <c r="L5" s="1">
        <f>VLOOKUP($B5, '[1]Imp of DRI'!$B$2:$X$31, $A$1, FALSE)</f>
        <v>0</v>
      </c>
      <c r="M5" s="1">
        <f>VLOOKUP($B5, '[1]Exp of scrap'!$B$2:$X$31, $A$1, FALSE)</f>
        <v>6030</v>
      </c>
      <c r="N5" s="1">
        <f>VLOOKUP($B5, '[1]Imp of scrap'!$B$2:$X$31, $A$1, FALSE)</f>
        <v>179</v>
      </c>
      <c r="O5" s="1">
        <f>VLOOKUP($B5, '[1]Pro of BOF steel'!$B$2:$X$31, $A$1, FALSE)</f>
        <v>78533</v>
      </c>
      <c r="P5" s="1">
        <f>VLOOKUP($B5, '[1]Pro of OHF steel'!$B$2:$X$31, $A$1, FALSE)</f>
        <v>0</v>
      </c>
      <c r="Q5" s="1">
        <f>VLOOKUP($B5, '[1]Pro of EAF steel'!$B$2:$X$31, $A$1, FALSE)</f>
        <v>29212</v>
      </c>
      <c r="R5" s="1">
        <f>VLOOKUP($B5, '[1]Exp of ingots and semis'!$B$2:$X$31, $A$1, FALSE)</f>
        <v>3967</v>
      </c>
      <c r="S5" s="1">
        <f>VLOOKUP($B5, '[1]Imp of ingots and semis'!$B$2:$X$31, $A$1, FALSE)</f>
        <v>12</v>
      </c>
      <c r="T5" s="1">
        <f>VLOOKUP($B5, '[1]Pro of hr long'!$B$2:$X$31, $A$1, FALSE)+VLOOKUP($B5, '[1]Pro of seamless tubes'!$B$2:$X$31, $A$1, FALSE)</f>
        <v>36249</v>
      </c>
      <c r="U5" s="1">
        <f>VLOOKUP($B5, '[1]Exp of long'!$B$2:$X$31, $A$1, FALSE)</f>
        <v>4583</v>
      </c>
      <c r="V5" s="1">
        <f>VLOOKUP($B5, '[1]Imp of long'!$B$2:$X$31, $A$1, FALSE)</f>
        <v>227</v>
      </c>
      <c r="W5" s="1">
        <f>VLOOKUP($B5, '[1]Pro of hr flat'!$B$2:$X$31, $A$1, FALSE)*parameters!$B$8</f>
        <v>60030.16216216216</v>
      </c>
      <c r="X5" s="1">
        <f>VLOOKUP($B5, '[1]Exp of flat'!$B$2:$X$31, $A$1, FALSE)</f>
        <v>23349</v>
      </c>
      <c r="Y5" s="1">
        <f>VLOOKUP($B5, '[1]Imp of flat'!$B$2:$X$31, $A$1, FALSE)</f>
        <v>2727</v>
      </c>
      <c r="Z5" s="1">
        <f>VLOOKUP($B5, '[1]Indirect exp'!$B$2:$X$31, $A$1, FALSE)</f>
        <v>21338</v>
      </c>
      <c r="AA5" s="1">
        <f>VLOOKUP($B5, '[1]Indirect imp'!$B$2:$X$31, $A$1, FALSE)</f>
        <v>3708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51570</v>
      </c>
      <c r="D6" s="1">
        <f>VLOOKUP($B6, '[1]Pro of iron ore'!$B$2:$X$31, $A$1, FALSE)*(1-VLOOKUP($B6, '[1]Foundry share'!$B$2:$X$31, $A$1, FALSE))</f>
        <v>32499</v>
      </c>
      <c r="E6" s="47">
        <f>VLOOKUP($B6, '[1]Iron content'!$B$2:$X$31, $A$1, FALSE)</f>
        <v>0.63019197207678879</v>
      </c>
      <c r="F6" s="1">
        <f>VLOOKUP($B6, '[1]Exp of usable iron ore'!$B$2:$X$31, $A$1, FALSE)*parameters!$B$12</f>
        <v>4390.1000000000004</v>
      </c>
      <c r="G6" s="1">
        <f>VLOOKUP($B6, '[1]Pro of pig iron'!$B$2:$X$31, $A$1, FALSE)*(1-VLOOKUP($B6, '[1]Foundry share'!$B$2:$X$31, $A$1, FALSE))</f>
        <v>40225</v>
      </c>
      <c r="H6" s="1">
        <f>VLOOKUP($B6, '[1]Exp of pig iron'!$B$2:$X$31, $A$1, FALSE)</f>
        <v>34</v>
      </c>
      <c r="I6" s="1">
        <f>VLOOKUP($B6, '[1]Imp of pig iron'!$B$2:$X$31, $A$1, FALSE)</f>
        <v>4623</v>
      </c>
      <c r="J6" s="1">
        <f>VLOOKUP($B6, '[1]Pro of DRI'!$B$2:$X$31, $A$1, FALSE)*(1-VLOOKUP($B6, '[1]Foundry share'!$B$2:$X$31, $A$1, FALSE))</f>
        <v>470</v>
      </c>
      <c r="K6" s="1">
        <f>VLOOKUP($B6, '[1]Exp of DRI'!$B$2:$X$31, $A$1, FALSE)</f>
        <v>0</v>
      </c>
      <c r="L6" s="1">
        <f>VLOOKUP($B6, '[1]Imp of DRI'!$B$2:$X$31, $A$1, FALSE)</f>
        <v>0</v>
      </c>
      <c r="M6" s="1">
        <f>VLOOKUP($B6, '[1]Exp of scrap'!$B$2:$X$31, $A$1, FALSE)</f>
        <v>8950</v>
      </c>
      <c r="N6" s="1">
        <f>VLOOKUP($B6, '[1]Imp of scrap'!$B$2:$X$31, $A$1, FALSE)</f>
        <v>3126</v>
      </c>
      <c r="O6" s="1">
        <f>VLOOKUP($B6, '[1]Pro of BOF steel'!$B$2:$X$31, $A$1, FALSE)</f>
        <v>45463</v>
      </c>
      <c r="P6" s="1">
        <f>VLOOKUP($B6, '[1]Pro of OHF steel'!$B$2:$X$31, $A$1, FALSE)</f>
        <v>0</v>
      </c>
      <c r="Q6" s="1">
        <f>VLOOKUP($B6, '[1]Pro of EAF steel'!$B$2:$X$31, $A$1, FALSE)</f>
        <v>46124</v>
      </c>
      <c r="R6" s="1">
        <f>VLOOKUP($B6, '[1]Exp of ingots and semis'!$B$2:$X$31, $A$1, FALSE)</f>
        <v>102</v>
      </c>
      <c r="S6" s="1">
        <f>VLOOKUP($B6, '[1]Imp of ingots and semis'!$B$2:$X$31, $A$1, FALSE)</f>
        <v>8024</v>
      </c>
      <c r="T6" s="1">
        <f>VLOOKUP($B6, '[1]Pro of hr long'!$B$2:$X$31, $A$1, FALSE)+VLOOKUP($B6, '[1]Pro of seamless tubes'!$B$2:$X$31, $A$1, FALSE)</f>
        <v>26533</v>
      </c>
      <c r="U6" s="1">
        <f>VLOOKUP($B6, '[1]Exp of long'!$B$2:$X$31, $A$1, FALSE)</f>
        <v>1370</v>
      </c>
      <c r="V6" s="1">
        <f>VLOOKUP($B6, '[1]Imp of long'!$B$2:$X$31, $A$1, FALSE)</f>
        <v>8370</v>
      </c>
      <c r="W6" s="1">
        <f>VLOOKUP($B6, '[1]Pro of hr flat'!$B$2:$X$31, $A$1, FALSE)*parameters!$B$8</f>
        <v>62614.486486486487</v>
      </c>
      <c r="X6" s="1">
        <f>VLOOKUP($B6, '[1]Exp of flat'!$B$2:$X$31, $A$1, FALSE)</f>
        <v>3148</v>
      </c>
      <c r="Y6" s="1">
        <f>VLOOKUP($B6, '[1]Imp of flat'!$B$2:$X$31, $A$1, FALSE)</f>
        <v>10066</v>
      </c>
      <c r="Z6" s="1">
        <f>VLOOKUP($B6, '[1]Indirect exp'!$B$2:$X$31, $A$1, FALSE)</f>
        <v>15030</v>
      </c>
      <c r="AA6" s="1">
        <f>VLOOKUP($B6, '[1]Indirect imp'!$B$2:$X$31, $A$1, FALSE)</f>
        <v>31626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84236.4</v>
      </c>
      <c r="D7" s="1">
        <f>VLOOKUP($B7, '[1]Pro of iron ore'!$B$2:$X$31, $A$1, FALSE)*(1-VLOOKUP($B7, '[1]Foundry share'!$B$2:$X$31, $A$1, FALSE))</f>
        <v>49000</v>
      </c>
      <c r="E7" s="47">
        <f>VLOOKUP($B7, '[1]Iron content'!$B$2:$X$31, $A$1, FALSE)</f>
        <v>0.58169627381986888</v>
      </c>
      <c r="F7" s="1">
        <f>VLOOKUP($B7, '[1]Exp of usable iron ore'!$B$2:$X$31, $A$1, FALSE)*parameters!$B$12</f>
        <v>8468.85</v>
      </c>
      <c r="G7" s="1">
        <f>VLOOKUP($B7, '[1]Pro of pig iron'!$B$2:$X$31, $A$1, FALSE)*(1-VLOOKUP($B7, '[1]Foundry share'!$B$2:$X$31, $A$1, FALSE))</f>
        <v>46251</v>
      </c>
      <c r="H7" s="1">
        <f>VLOOKUP($B7, '[1]Exp of pig iron'!$B$2:$X$31, $A$1, FALSE)</f>
        <v>4030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2910</v>
      </c>
      <c r="K7" s="1">
        <f>VLOOKUP($B7, '[1]Exp of DRI'!$B$2:$X$31, $A$1, FALSE)</f>
        <v>0</v>
      </c>
      <c r="L7" s="1">
        <f>VLOOKUP($B7, '[1]Imp of DRI'!$B$2:$X$31, $A$1, FALSE)</f>
        <v>0</v>
      </c>
      <c r="M7" s="1">
        <f>VLOOKUP($B7, '[1]Exp of scrap'!$B$2:$X$31, $A$1, FALSE)</f>
        <v>5760</v>
      </c>
      <c r="N7" s="1">
        <f>VLOOKUP($B7, '[1]Imp of scrap'!$B$2:$X$31, $A$1, FALSE)</f>
        <v>107</v>
      </c>
      <c r="O7" s="1">
        <f>VLOOKUP($B7, '[1]Pro of BOF steel'!$B$2:$X$31, $A$1, FALSE)</f>
        <v>36725</v>
      </c>
      <c r="P7" s="1">
        <f>VLOOKUP($B7, '[1]Pro of OHF steel'!$B$2:$X$31, $A$1, FALSE)</f>
        <v>14152</v>
      </c>
      <c r="Q7" s="1">
        <f>VLOOKUP($B7, '[1]Pro of EAF steel'!$B$2:$X$31, $A$1, FALSE)</f>
        <v>8900</v>
      </c>
      <c r="R7" s="1">
        <f>VLOOKUP($B7, '[1]Exp of ingots and semis'!$B$2:$X$31, $A$1, FALSE)</f>
        <v>11918</v>
      </c>
      <c r="S7" s="1">
        <f>VLOOKUP($B7, '[1]Imp of ingots and semis'!$B$2:$X$31, $A$1, FALSE)</f>
        <v>9</v>
      </c>
      <c r="T7" s="1">
        <f>VLOOKUP($B7, '[1]Pro of hr long'!$B$2:$X$31, $A$1, FALSE)+VLOOKUP($B7, '[1]Pro of seamless tubes'!$B$2:$X$31, $A$1, FALSE)</f>
        <v>21051</v>
      </c>
      <c r="U7" s="1">
        <f>VLOOKUP($B7, '[1]Exp of long'!$B$2:$X$31, $A$1, FALSE)</f>
        <v>3869</v>
      </c>
      <c r="V7" s="1">
        <f>VLOOKUP($B7, '[1]Imp of long'!$B$2:$X$31, $A$1, FALSE)</f>
        <v>450</v>
      </c>
      <c r="W7" s="1">
        <f>VLOOKUP($B7, '[1]Pro of hr flat'!$B$2:$X$31, $A$1, FALSE)*parameters!$B$8</f>
        <v>29105.709815078237</v>
      </c>
      <c r="X7" s="1">
        <f>VLOOKUP($B7, '[1]Exp of flat'!$B$2:$X$31, $A$1, FALSE)</f>
        <v>11023</v>
      </c>
      <c r="Y7" s="1">
        <f>VLOOKUP($B7, '[1]Imp of flat'!$B$2:$X$31, $A$1, FALSE)</f>
        <v>1034</v>
      </c>
      <c r="Z7" s="1">
        <f>VLOOKUP($B7, '[1]Indirect exp'!$B$2:$X$31, $A$1, FALSE)</f>
        <v>2101</v>
      </c>
      <c r="AA7" s="1">
        <f>VLOOKUP($B7, '[1]Indirect imp'!$B$2:$X$31, $A$1, FALSE)</f>
        <v>2780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26570</v>
      </c>
      <c r="H8" s="1">
        <f>VLOOKUP($B8, '[1]Exp of pig iron'!$B$2:$X$31, $A$1, FALSE)</f>
        <v>0</v>
      </c>
      <c r="I8" s="1">
        <f>VLOOKUP($B8, '[1]Imp of pig iron'!$B$2:$X$31, $A$1, FALSE)</f>
        <v>1365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0</v>
      </c>
      <c r="L8" s="1">
        <f>VLOOKUP($B8, '[1]Imp of DRI'!$B$2:$X$31, $A$1, FALSE)</f>
        <v>0</v>
      </c>
      <c r="M8" s="1">
        <f>VLOOKUP($B8, '[1]Exp of scrap'!$B$2:$X$31, $A$1, FALSE)</f>
        <v>121</v>
      </c>
      <c r="N8" s="1">
        <f>VLOOKUP($B8, '[1]Imp of scrap'!$B$2:$X$31, $A$1, FALSE)</f>
        <v>7223</v>
      </c>
      <c r="O8" s="1">
        <f>VLOOKUP($B8, '[1]Pro of BOF steel'!$B$2:$X$31, $A$1, FALSE)</f>
        <v>24891</v>
      </c>
      <c r="P8" s="1">
        <f>VLOOKUP($B8, '[1]Pro of OHF steel'!$B$2:$X$31, $A$1, FALSE)</f>
        <v>0</v>
      </c>
      <c r="Q8" s="1">
        <f>VLOOKUP($B8, '[1]Pro of EAF steel'!$B$2:$X$31, $A$1, FALSE)</f>
        <v>20499</v>
      </c>
      <c r="R8" s="1">
        <f>VLOOKUP($B8, '[1]Exp of ingots and semis'!$B$2:$X$31, $A$1, FALSE)</f>
        <v>199</v>
      </c>
      <c r="S8" s="1">
        <f>VLOOKUP($B8, '[1]Imp of ingots and semis'!$B$2:$X$31, $A$1, FALSE)</f>
        <v>3684</v>
      </c>
      <c r="T8" s="1">
        <f>VLOOKUP($B8, '[1]Pro of hr long'!$B$2:$X$31, $A$1, FALSE)+VLOOKUP($B8, '[1]Pro of seamless tubes'!$B$2:$X$31, $A$1, FALSE)</f>
        <v>19928</v>
      </c>
      <c r="U8" s="1">
        <f>VLOOKUP($B8, '[1]Exp of long'!$B$2:$X$31, $A$1, FALSE)</f>
        <v>2112</v>
      </c>
      <c r="V8" s="1">
        <f>VLOOKUP($B8, '[1]Imp of long'!$B$2:$X$31, $A$1, FALSE)</f>
        <v>2450</v>
      </c>
      <c r="W8" s="1">
        <f>VLOOKUP($B8, '[1]Pro of hr flat'!$B$2:$X$31, $A$1, FALSE)*parameters!$B$8</f>
        <v>25526.517780938833</v>
      </c>
      <c r="X8" s="1">
        <f>VLOOKUP($B8, '[1]Exp of flat'!$B$2:$X$31, $A$1, FALSE)</f>
        <v>9453</v>
      </c>
      <c r="Y8" s="1">
        <f>VLOOKUP($B8, '[1]Imp of flat'!$B$2:$X$31, $A$1, FALSE)</f>
        <v>7619</v>
      </c>
      <c r="Z8" s="1">
        <f>VLOOKUP($B8, '[1]Indirect exp'!$B$2:$X$31, $A$1, FALSE)</f>
        <v>13032</v>
      </c>
      <c r="AA8" s="1">
        <f>VLOOKUP($B8, '[1]Indirect imp'!$B$2:$X$31, $A$1, FALSE)</f>
        <v>2140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419</v>
      </c>
      <c r="D9" s="1">
        <f>VLOOKUP($B9, '[1]Pro of iron ore'!$B$2:$X$31, $A$1, FALSE)*(1-VLOOKUP($B9, '[1]Foundry share'!$B$2:$X$31, $A$1, FALSE))</f>
        <v>246</v>
      </c>
      <c r="E9" s="47">
        <f>VLOOKUP($B9, '[1]Iron content'!$B$2:$X$31, $A$1, FALSE)</f>
        <v>0.58711217183770881</v>
      </c>
      <c r="F9" s="1">
        <f>VLOOKUP($B9, '[1]Exp of usable iron ore'!$B$2:$X$31, $A$1, FALSE)*parameters!$B$12</f>
        <v>10.4</v>
      </c>
      <c r="G9" s="1">
        <f>VLOOKUP($B9, '[1]Pro of pig iron'!$B$2:$X$31, $A$1, FALSE)*(1-VLOOKUP($B9, '[1]Foundry share'!$B$2:$X$31, $A$1, FALSE))</f>
        <v>29427</v>
      </c>
      <c r="H9" s="1">
        <f>VLOOKUP($B9, '[1]Exp of pig iron'!$B$2:$X$31, $A$1, FALSE)</f>
        <v>67</v>
      </c>
      <c r="I9" s="1">
        <f>VLOOKUP($B9, '[1]Imp of pig iron'!$B$2:$X$31, $A$1, FALSE)</f>
        <v>230</v>
      </c>
      <c r="J9" s="1">
        <f>VLOOKUP($B9, '[1]Pro of DRI'!$B$2:$X$31, $A$1, FALSE)*(1-VLOOKUP($B9, '[1]Foundry share'!$B$2:$X$31, $A$1, FALSE))</f>
        <v>540</v>
      </c>
      <c r="K9" s="1">
        <f>VLOOKUP($B9, '[1]Exp of DRI'!$B$2:$X$31, $A$1, FALSE)</f>
        <v>0</v>
      </c>
      <c r="L9" s="1">
        <f>VLOOKUP($B9, '[1]Imp of DRI'!$B$2:$X$31, $A$1, FALSE)</f>
        <v>0</v>
      </c>
      <c r="M9" s="1">
        <f>VLOOKUP($B9, '[1]Exp of scrap'!$B$2:$X$31, $A$1, FALSE)</f>
        <v>6881</v>
      </c>
      <c r="N9" s="1">
        <f>VLOOKUP($B9, '[1]Imp of scrap'!$B$2:$X$31, $A$1, FALSE)</f>
        <v>3805</v>
      </c>
      <c r="O9" s="1">
        <f>VLOOKUP($B9, '[1]Pro of BOF steel'!$B$2:$X$31, $A$1, FALSE)</f>
        <v>31809</v>
      </c>
      <c r="P9" s="1">
        <f>VLOOKUP($B9, '[1]Pro of OHF steel'!$B$2:$X$31, $A$1, FALSE)</f>
        <v>0</v>
      </c>
      <c r="Q9" s="1">
        <f>VLOOKUP($B9, '[1]Pro of EAF steel'!$B$2:$X$31, $A$1, FALSE)</f>
        <v>13206</v>
      </c>
      <c r="R9" s="1">
        <f>VLOOKUP($B9, '[1]Exp of ingots and semis'!$B$2:$X$31, $A$1, FALSE)</f>
        <v>2011</v>
      </c>
      <c r="S9" s="1">
        <f>VLOOKUP($B9, '[1]Imp of ingots and semis'!$B$2:$X$31, $A$1, FALSE)</f>
        <v>1160</v>
      </c>
      <c r="T9" s="1">
        <f>VLOOKUP($B9, '[1]Pro of hr long'!$B$2:$X$31, $A$1, FALSE)+VLOOKUP($B9, '[1]Pro of seamless tubes'!$B$2:$X$31, $A$1, FALSE)</f>
        <v>13849</v>
      </c>
      <c r="U9" s="1">
        <f>VLOOKUP($B9, '[1]Exp of long'!$B$2:$X$31, $A$1, FALSE)</f>
        <v>6673</v>
      </c>
      <c r="V9" s="1">
        <f>VLOOKUP($B9, '[1]Imp of long'!$B$2:$X$31, $A$1, FALSE)</f>
        <v>5614</v>
      </c>
      <c r="W9" s="1">
        <f>VLOOKUP($B9, '[1]Pro of hr flat'!$B$2:$X$31, $A$1, FALSE)*parameters!$B$8</f>
        <v>24408.263157894737</v>
      </c>
      <c r="X9" s="1">
        <f>VLOOKUP($B9, '[1]Exp of flat'!$B$2:$X$31, $A$1, FALSE)</f>
        <v>12951</v>
      </c>
      <c r="Y9" s="1">
        <f>VLOOKUP($B9, '[1]Imp of flat'!$B$2:$X$31, $A$1, FALSE)</f>
        <v>9174</v>
      </c>
      <c r="Z9" s="1">
        <f>VLOOKUP($B9, '[1]Indirect exp'!$B$2:$X$31, $A$1, FALSE)</f>
        <v>21071</v>
      </c>
      <c r="AA9" s="1">
        <f>VLOOKUP($B9, '[1]Indirect imp'!$B$2:$X$31, $A$1, FALSE)</f>
        <v>13842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3433</v>
      </c>
      <c r="D10" s="1">
        <f>VLOOKUP($B10, '[1]Pro of iron ore'!$B$2:$X$31, $A$1, FALSE)*(1-VLOOKUP($B10, '[1]Foundry share'!$B$2:$X$31, $A$1, FALSE))</f>
        <v>1800</v>
      </c>
      <c r="E10" s="47">
        <f>VLOOKUP($B10, '[1]Iron content'!$B$2:$X$31, $A$1, FALSE)</f>
        <v>0.52432274978153215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5003</v>
      </c>
      <c r="H10" s="1">
        <f>VLOOKUP($B10, '[1]Exp of pig iron'!$B$2:$X$31, $A$1, FALSE)</f>
        <v>16</v>
      </c>
      <c r="I10" s="1">
        <f>VLOOKUP($B10, '[1]Imp of pig iron'!$B$2:$X$31, $A$1, FALSE)</f>
        <v>259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0</v>
      </c>
      <c r="M10" s="1">
        <f>VLOOKUP($B10, '[1]Exp of scrap'!$B$2:$X$31, $A$1, FALSE)</f>
        <v>0</v>
      </c>
      <c r="N10" s="1">
        <f>VLOOKUP($B10, '[1]Imp of scrap'!$B$2:$X$31, $A$1, FALSE)</f>
        <v>12818</v>
      </c>
      <c r="O10" s="1">
        <f>VLOOKUP($B10, '[1]Pro of BOF steel'!$B$2:$X$31, $A$1, FALSE)</f>
        <v>5133</v>
      </c>
      <c r="P10" s="1">
        <f>VLOOKUP($B10, '[1]Pro of OHF steel'!$B$2:$X$31, $A$1, FALSE)</f>
        <v>0</v>
      </c>
      <c r="Q10" s="1">
        <f>VLOOKUP($B10, '[1]Pro of EAF steel'!$B$2:$X$31, $A$1, FALSE)</f>
        <v>11334</v>
      </c>
      <c r="R10" s="1">
        <f>VLOOKUP($B10, '[1]Exp of ingots and semis'!$B$2:$X$31, $A$1, FALSE)</f>
        <v>1200</v>
      </c>
      <c r="S10" s="1">
        <f>VLOOKUP($B10, '[1]Imp of ingots and semis'!$B$2:$X$31, $A$1, FALSE)</f>
        <v>2581</v>
      </c>
      <c r="T10" s="1">
        <f>VLOOKUP($B10, '[1]Pro of hr long'!$B$2:$X$31, $A$1, FALSE)+VLOOKUP($B10, '[1]Pro of seamless tubes'!$B$2:$X$31, $A$1, FALSE)</f>
        <v>10200</v>
      </c>
      <c r="U10" s="1">
        <f>VLOOKUP($B10, '[1]Exp of long'!$B$2:$X$31, $A$1, FALSE)</f>
        <v>2781</v>
      </c>
      <c r="V10" s="1">
        <f>VLOOKUP($B10, '[1]Imp of long'!$B$2:$X$31, $A$1, FALSE)</f>
        <v>541</v>
      </c>
      <c r="W10" s="1">
        <f>VLOOKUP($B10, '[1]Pro of hr flat'!$B$2:$X$31, $A$1, FALSE)*parameters!$B$8</f>
        <v>6485.9610570322639</v>
      </c>
      <c r="X10" s="1">
        <f>VLOOKUP($B10, '[1]Exp of flat'!$B$2:$X$31, $A$1, FALSE)</f>
        <v>524</v>
      </c>
      <c r="Y10" s="1">
        <f>VLOOKUP($B10, '[1]Imp of flat'!$B$2:$X$31, $A$1, FALSE)</f>
        <v>3392</v>
      </c>
      <c r="Z10" s="1">
        <f>VLOOKUP($B10, '[1]Indirect exp'!$B$2:$X$31, $A$1, FALSE)</f>
        <v>1817</v>
      </c>
      <c r="AA10" s="1">
        <f>VLOOKUP($B10, '[1]Indirect imp'!$B$2:$X$31, $A$1, FALSE)</f>
        <v>1254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214560</v>
      </c>
      <c r="D11" s="1">
        <f>VLOOKUP($B11, '[1]Pro of iron ore'!$B$2:$X$31, $A$1, FALSE)*(1-VLOOKUP($B11, '[1]Foundry share'!$B$2:$X$31, $A$1, FALSE))</f>
        <v>142468</v>
      </c>
      <c r="E11" s="47">
        <f>VLOOKUP($B11, '[1]Iron content'!$B$2:$X$31, $A$1, FALSE)</f>
        <v>0.66400074571215506</v>
      </c>
      <c r="F11" s="1">
        <f>VLOOKUP($B11, '[1]Exp of usable iron ore'!$B$2:$X$31, $A$1, FALSE)*parameters!$B$12</f>
        <v>110509.75</v>
      </c>
      <c r="G11" s="1">
        <f>VLOOKUP($B11, '[1]Pro of pig iron'!$B$2:$X$31, $A$1, FALSE)*(1-VLOOKUP($B11, '[1]Foundry share'!$B$2:$X$31, $A$1, FALSE))</f>
        <v>29694</v>
      </c>
      <c r="H11" s="1">
        <f>VLOOKUP($B11, '[1]Exp of pig iron'!$B$2:$X$31, $A$1, FALSE)</f>
        <v>4401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361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13</v>
      </c>
      <c r="N11" s="1">
        <f>VLOOKUP($B11, '[1]Imp of scrap'!$B$2:$X$31, $A$1, FALSE)</f>
        <v>13</v>
      </c>
      <c r="O11" s="1">
        <f>VLOOKUP($B11, '[1]Pro of BOF steel'!$B$2:$X$31, $A$1, FALSE)</f>
        <v>23093</v>
      </c>
      <c r="P11" s="1">
        <f>VLOOKUP($B11, '[1]Pro of OHF steel'!$B$2:$X$31, $A$1, FALSE)</f>
        <v>0</v>
      </c>
      <c r="Q11" s="1">
        <f>VLOOKUP($B11, '[1]Pro of EAF steel'!$B$2:$X$31, $A$1, FALSE)</f>
        <v>5985</v>
      </c>
      <c r="R11" s="1">
        <f>VLOOKUP($B11, '[1]Exp of ingots and semis'!$B$2:$X$31, $A$1, FALSE)</f>
        <v>7780</v>
      </c>
      <c r="S11" s="1">
        <f>VLOOKUP($B11, '[1]Imp of ingots and semis'!$B$2:$X$31, $A$1, FALSE)</f>
        <v>4</v>
      </c>
      <c r="T11" s="1">
        <f>VLOOKUP($B11, '[1]Pro of hr long'!$B$2:$X$31, $A$1, FALSE)+VLOOKUP($B11, '[1]Pro of seamless tubes'!$B$2:$X$31, $A$1, FALSE)</f>
        <v>7624</v>
      </c>
      <c r="U11" s="1">
        <f>VLOOKUP($B11, '[1]Exp of long'!$B$2:$X$31, $A$1, FALSE)</f>
        <v>1111</v>
      </c>
      <c r="V11" s="1">
        <f>VLOOKUP($B11, '[1]Imp of long'!$B$2:$X$31, $A$1, FALSE)</f>
        <v>175</v>
      </c>
      <c r="W11" s="1">
        <f>VLOOKUP($B11, '[1]Pro of hr flat'!$B$2:$X$31, $A$1, FALSE)*parameters!$B$8</f>
        <v>11083.448079658607</v>
      </c>
      <c r="X11" s="1">
        <f>VLOOKUP($B11, '[1]Exp of flat'!$B$2:$X$31, $A$1, FALSE)</f>
        <v>2276</v>
      </c>
      <c r="Y11" s="1">
        <f>VLOOKUP($B11, '[1]Imp of flat'!$B$2:$X$31, $A$1, FALSE)</f>
        <v>397</v>
      </c>
      <c r="Z11" s="1">
        <f>VLOOKUP($B11, '[1]Indirect exp'!$B$2:$X$31, $A$1, FALSE)</f>
        <v>1765</v>
      </c>
      <c r="AA11" s="1">
        <f>VLOOKUP($B11, '[1]Indirect imp'!$B$2:$X$31, $A$1, FALSE)</f>
        <v>1004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9080.144830894531</v>
      </c>
      <c r="D12" s="1">
        <f>VLOOKUP($B12, '[1]Pro of iron ore'!$B$2:$X$31, $A$1, FALSE)*(1-VLOOKUP($B12, '[1]Foundry share'!$B$2:$X$31, $A$1, FALSE))</f>
        <v>4499.8947834521578</v>
      </c>
      <c r="E12" s="47">
        <f>VLOOKUP($B12, '[1]Iron content'!$B$2:$X$31, $A$1, FALSE)</f>
        <v>0.49557522123893805</v>
      </c>
      <c r="F12" s="1">
        <f>VLOOKUP($B12, '[1]Exp of usable iron ore'!$B$2:$X$31, $A$1, FALSE)*parameters!$B$12</f>
        <v>544.05000000000007</v>
      </c>
      <c r="G12" s="1">
        <f>VLOOKUP($B12, '[1]Pro of pig iron'!$B$2:$X$31, $A$1, FALSE)*(1-VLOOKUP($B12, '[1]Foundry share'!$B$2:$X$31, $A$1, FALSE))</f>
        <v>1753.351860266537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4242.7579386834623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0</v>
      </c>
      <c r="N12" s="1">
        <f>VLOOKUP($B12, '[1]Imp of scrap'!$B$2:$X$31, $A$1, FALSE)</f>
        <v>0</v>
      </c>
      <c r="O12" s="1">
        <f>VLOOKUP($B12, '[1]Pro of BOF steel'!$B$2:$X$31, $A$1, FALSE)</f>
        <v>2170</v>
      </c>
      <c r="P12" s="1">
        <f>VLOOKUP($B12, '[1]Pro of OHF steel'!$B$2:$X$31, $A$1, FALSE)</f>
        <v>0</v>
      </c>
      <c r="Q12" s="1">
        <f>VLOOKUP($B12, '[1]Pro of EAF steel'!$B$2:$X$31, $A$1, FALSE)</f>
        <v>5150</v>
      </c>
      <c r="R12" s="1">
        <f>VLOOKUP($B12, '[1]Exp of ingots and semis'!$B$2:$X$31, $A$1, FALSE)</f>
        <v>0</v>
      </c>
      <c r="S12" s="1">
        <f>VLOOKUP($B12, '[1]Imp of ingots and semis'!$B$2:$X$31, $A$1, FALSE)</f>
        <v>1233</v>
      </c>
      <c r="T12" s="1">
        <f>VLOOKUP($B12, '[1]Pro of hr long'!$B$2:$X$31, $A$1, FALSE)+VLOOKUP($B12, '[1]Pro of seamless tubes'!$B$2:$X$31, $A$1, FALSE)</f>
        <v>3711</v>
      </c>
      <c r="U12" s="1">
        <f>VLOOKUP($B12, '[1]Exp of long'!$B$2:$X$31, $A$1, FALSE)</f>
        <v>0</v>
      </c>
      <c r="V12" s="1">
        <f>VLOOKUP($B12, '[1]Imp of long'!$B$2:$X$31, $A$1, FALSE)</f>
        <v>1351</v>
      </c>
      <c r="W12" s="1">
        <f>VLOOKUP($B12, '[1]Pro of hr flat'!$B$2:$X$31, $A$1, FALSE)*parameters!$B$8</f>
        <v>3155.5960170697012</v>
      </c>
      <c r="X12" s="1">
        <f>VLOOKUP($B12, '[1]Exp of flat'!$B$2:$X$31, $A$1, FALSE)</f>
        <v>0</v>
      </c>
      <c r="Y12" s="1">
        <f>VLOOKUP($B12, '[1]Imp of flat'!$B$2:$X$31, $A$1, FALSE)</f>
        <v>2153</v>
      </c>
      <c r="Z12" s="1">
        <f>VLOOKUP($B12, '[1]Indirect exp'!$B$2:$X$31, $A$1, FALSE)</f>
        <v>88</v>
      </c>
      <c r="AA12" s="1">
        <f>VLOOKUP($B12, '[1]Indirect imp'!$B$2:$X$31, $A$1, FALSE)</f>
        <v>921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9775</v>
      </c>
      <c r="H13" s="1">
        <f>VLOOKUP($B13, '[1]Exp of pig iron'!$B$2:$X$31, $A$1, FALSE)</f>
        <v>59</v>
      </c>
      <c r="I13" s="1">
        <f>VLOOKUP($B13, '[1]Imp of pig iron'!$B$2:$X$31, $A$1, FALSE)</f>
        <v>1121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0</v>
      </c>
      <c r="M13" s="1">
        <f>VLOOKUP($B13, '[1]Exp of scrap'!$B$2:$X$31, $A$1, FALSE)</f>
        <v>153</v>
      </c>
      <c r="N13" s="1">
        <f>VLOOKUP($B13, '[1]Imp of scrap'!$B$2:$X$31, $A$1, FALSE)</f>
        <v>4046</v>
      </c>
      <c r="O13" s="1">
        <f>VLOOKUP($B13, '[1]Pro of BOF steel'!$B$2:$X$31, $A$1, FALSE)</f>
        <v>9327</v>
      </c>
      <c r="P13" s="1">
        <f>VLOOKUP($B13, '[1]Pro of OHF steel'!$B$2:$X$31, $A$1, FALSE)</f>
        <v>0</v>
      </c>
      <c r="Q13" s="1">
        <f>VLOOKUP($B13, '[1]Pro of EAF steel'!$B$2:$X$31, $A$1, FALSE)</f>
        <v>16739</v>
      </c>
      <c r="R13" s="1">
        <f>VLOOKUP($B13, '[1]Exp of ingots and semis'!$B$2:$X$31, $A$1, FALSE)</f>
        <v>787</v>
      </c>
      <c r="S13" s="1">
        <f>VLOOKUP($B13, '[1]Imp of ingots and semis'!$B$2:$X$31, $A$1, FALSE)</f>
        <v>2138</v>
      </c>
      <c r="T13" s="1">
        <f>VLOOKUP($B13, '[1]Pro of hr long'!$B$2:$X$31, $A$1, FALSE)+VLOOKUP($B13, '[1]Pro of seamless tubes'!$B$2:$X$31, $A$1, FALSE)</f>
        <v>14550</v>
      </c>
      <c r="U13" s="1">
        <f>VLOOKUP($B13, '[1]Exp of long'!$B$2:$X$31, $A$1, FALSE)</f>
        <v>4232</v>
      </c>
      <c r="V13" s="1">
        <f>VLOOKUP($B13, '[1]Imp of long'!$B$2:$X$31, $A$1, FALSE)</f>
        <v>2529</v>
      </c>
      <c r="W13" s="1">
        <f>VLOOKUP($B13, '[1]Pro of hr flat'!$B$2:$X$31, $A$1, FALSE)*parameters!$B$8</f>
        <v>9899.1280227596017</v>
      </c>
      <c r="X13" s="1">
        <f>VLOOKUP($B13, '[1]Exp of flat'!$B$2:$X$31, $A$1, FALSE)</f>
        <v>3848</v>
      </c>
      <c r="Y13" s="1">
        <f>VLOOKUP($B13, '[1]Imp of flat'!$B$2:$X$31, $A$1, FALSE)</f>
        <v>11097</v>
      </c>
      <c r="Z13" s="1">
        <f>VLOOKUP($B13, '[1]Indirect exp'!$B$2:$X$31, $A$1, FALSE)</f>
        <v>11040</v>
      </c>
      <c r="AA13" s="1">
        <f>VLOOKUP($B13, '[1]Indirect imp'!$B$2:$X$31, $A$1, FALSE)</f>
        <v>6450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58900</v>
      </c>
      <c r="D14" s="1">
        <f>VLOOKUP($B14, '[1]Pro of iron ore'!$B$2:$X$31, $A$1, FALSE)*(1-VLOOKUP($B14, '[1]Foundry share'!$B$2:$X$31, $A$1, FALSE))</f>
        <v>32300</v>
      </c>
      <c r="E14" s="47">
        <f>VLOOKUP($B14, '[1]Iron content'!$B$2:$X$31, $A$1, FALSE)</f>
        <v>0.54838709677419351</v>
      </c>
      <c r="F14" s="1">
        <f>VLOOKUP($B14, '[1]Exp of usable iron ore'!$B$2:$X$31, $A$1, FALSE)*parameters!$B$12</f>
        <v>12169.95</v>
      </c>
      <c r="G14" s="1">
        <f>VLOOKUP($B14, '[1]Pro of pig iron'!$B$2:$X$31, $A$1, FALSE)*(1-VLOOKUP($B14, '[1]Foundry share'!$B$2:$X$31, $A$1, FALSE))</f>
        <v>27634</v>
      </c>
      <c r="H14" s="1">
        <f>VLOOKUP($B14, '[1]Exp of pig iron'!$B$2:$X$31, $A$1, FALSE)</f>
        <v>545</v>
      </c>
      <c r="I14" s="1">
        <f>VLOOKUP($B14, '[1]Imp of pig iron'!$B$2:$X$31, $A$1, FALSE)</f>
        <v>0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0</v>
      </c>
      <c r="M14" s="1">
        <f>VLOOKUP($B14, '[1]Exp of scrap'!$B$2:$X$31, $A$1, FALSE)</f>
        <v>3814</v>
      </c>
      <c r="N14" s="1">
        <f>VLOOKUP($B14, '[1]Imp of scrap'!$B$2:$X$31, $A$1, FALSE)</f>
        <v>0</v>
      </c>
      <c r="O14" s="1">
        <f>VLOOKUP($B14, '[1]Pro of BOF steel'!$B$2:$X$31, $A$1, FALSE)</f>
        <v>16656</v>
      </c>
      <c r="P14" s="1">
        <f>VLOOKUP($B14, '[1]Pro of OHF steel'!$B$2:$X$31, $A$1, FALSE)</f>
        <v>16400</v>
      </c>
      <c r="Q14" s="1">
        <f>VLOOKUP($B14, '[1]Pro of EAF steel'!$B$2:$X$31, $A$1, FALSE)</f>
        <v>992</v>
      </c>
      <c r="R14" s="1">
        <f>VLOOKUP($B14, '[1]Exp of ingots and semis'!$B$2:$X$31, $A$1, FALSE)</f>
        <v>10452</v>
      </c>
      <c r="S14" s="1">
        <f>VLOOKUP($B14, '[1]Imp of ingots and semis'!$B$2:$X$31, $A$1, FALSE)</f>
        <v>200</v>
      </c>
      <c r="T14" s="1">
        <f>VLOOKUP($B14, '[1]Pro of hr long'!$B$2:$X$31, $A$1, FALSE)+VLOOKUP($B14, '[1]Pro of seamless tubes'!$B$2:$X$31, $A$1, FALSE)</f>
        <v>15650</v>
      </c>
      <c r="U14" s="1">
        <f>VLOOKUP($B14, '[1]Exp of long'!$B$2:$X$31, $A$1, FALSE)</f>
        <v>6544</v>
      </c>
      <c r="V14" s="1">
        <f>VLOOKUP($B14, '[1]Imp of long'!$B$2:$X$31, $A$1, FALSE)</f>
        <v>0</v>
      </c>
      <c r="W14" s="1">
        <f>VLOOKUP($B14, '[1]Pro of hr flat'!$B$2:$X$31, $A$1, FALSE)*parameters!$B$8</f>
        <v>10447.082503556188</v>
      </c>
      <c r="X14" s="1">
        <f>VLOOKUP($B14, '[1]Exp of flat'!$B$2:$X$31, $A$1, FALSE)</f>
        <v>7814</v>
      </c>
      <c r="Y14" s="1">
        <f>VLOOKUP($B14, '[1]Imp of flat'!$B$2:$X$31, $A$1, FALSE)</f>
        <v>0</v>
      </c>
      <c r="Z14" s="1">
        <f>VLOOKUP($B14, '[1]Indirect exp'!$B$2:$X$31, $A$1, FALSE)</f>
        <v>1221</v>
      </c>
      <c r="AA14" s="1">
        <f>VLOOKUP($B14, '[1]Indirect imp'!$B$2:$X$31, $A$1, FALSE)</f>
        <v>632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9900</v>
      </c>
      <c r="D15" s="1">
        <f>VLOOKUP($B15, '[1]Pro of iron ore'!$B$2:$X$31, $A$1, FALSE)*(1-VLOOKUP($B15, '[1]Foundry share'!$B$2:$X$31, $A$1, FALSE))</f>
        <v>5965</v>
      </c>
      <c r="E15" s="47">
        <f>VLOOKUP($B15, '[1]Iron content'!$B$2:$X$31, $A$1, FALSE)</f>
        <v>0.60252525252525257</v>
      </c>
      <c r="F15" s="1">
        <f>VLOOKUP($B15, '[1]Exp of usable iron ore'!$B$2:$X$31, $A$1, FALSE)*parameters!$B$12</f>
        <v>241.8</v>
      </c>
      <c r="G15" s="1">
        <f>VLOOKUP($B15, '[1]Pro of pig iron'!$B$2:$X$31, $A$1, FALSE)*(1-VLOOKUP($B15, '[1]Foundry share'!$B$2:$X$31, $A$1, FALSE))</f>
        <v>3996</v>
      </c>
      <c r="H15" s="1">
        <f>VLOOKUP($B15, '[1]Exp of pig iron'!$B$2:$X$31, $A$1, FALSE)</f>
        <v>3</v>
      </c>
      <c r="I15" s="1">
        <f>VLOOKUP($B15, '[1]Imp of pig iron'!$B$2:$X$31, $A$1, FALSE)</f>
        <v>1088</v>
      </c>
      <c r="J15" s="1">
        <f>VLOOKUP($B15, '[1]Pro of DRI'!$B$2:$X$31, $A$1, FALSE)*(1-VLOOKUP($B15, '[1]Foundry share'!$B$2:$X$31, $A$1, FALSE))</f>
        <v>4741</v>
      </c>
      <c r="K15" s="1">
        <f>VLOOKUP($B15, '[1]Exp of DRI'!$B$2:$X$31, $A$1, FALSE)</f>
        <v>0</v>
      </c>
      <c r="L15" s="1">
        <f>VLOOKUP($B15, '[1]Imp of DRI'!$B$2:$X$31, $A$1, FALSE)</f>
        <v>0</v>
      </c>
      <c r="M15" s="1">
        <f>VLOOKUP($B15, '[1]Exp of scrap'!$B$2:$X$31, $A$1, FALSE)</f>
        <v>221</v>
      </c>
      <c r="N15" s="1">
        <f>VLOOKUP($B15, '[1]Imp of scrap'!$B$2:$X$31, $A$1, FALSE)</f>
        <v>1823</v>
      </c>
      <c r="O15" s="1">
        <f>VLOOKUP($B15, '[1]Pro of BOF steel'!$B$2:$X$31, $A$1, FALSE)</f>
        <v>4117</v>
      </c>
      <c r="P15" s="1">
        <f>VLOOKUP($B15, '[1]Pro of OHF steel'!$B$2:$X$31, $A$1, FALSE)</f>
        <v>0</v>
      </c>
      <c r="Q15" s="1">
        <f>VLOOKUP($B15, '[1]Pro of EAF steel'!$B$2:$X$31, $A$1, FALSE)</f>
        <v>9894</v>
      </c>
      <c r="R15" s="1">
        <f>VLOOKUP($B15, '[1]Exp of ingots and semis'!$B$2:$X$31, $A$1, FALSE)</f>
        <v>1891</v>
      </c>
      <c r="S15" s="1">
        <f>VLOOKUP($B15, '[1]Imp of ingots and semis'!$B$2:$X$31, $A$1, FALSE)</f>
        <v>511</v>
      </c>
      <c r="T15" s="1">
        <f>VLOOKUP($B15, '[1]Pro of hr long'!$B$2:$X$31, $A$1, FALSE)+VLOOKUP($B15, '[1]Pro of seamless tubes'!$B$2:$X$31, $A$1, FALSE)</f>
        <v>6376</v>
      </c>
      <c r="U15" s="1">
        <f>VLOOKUP($B15, '[1]Exp of long'!$B$2:$X$31, $A$1, FALSE)</f>
        <v>772</v>
      </c>
      <c r="V15" s="1">
        <f>VLOOKUP($B15, '[1]Imp of long'!$B$2:$X$31, $A$1, FALSE)</f>
        <v>1288</v>
      </c>
      <c r="W15" s="1">
        <f>VLOOKUP($B15, '[1]Pro of hr flat'!$B$2:$X$31, $A$1, FALSE)*parameters!$B$8</f>
        <v>5178.3641536273117</v>
      </c>
      <c r="X15" s="1">
        <f>VLOOKUP($B15, '[1]Exp of flat'!$B$2:$X$31, $A$1, FALSE)</f>
        <v>1163</v>
      </c>
      <c r="Y15" s="1">
        <f>VLOOKUP($B15, '[1]Imp of flat'!$B$2:$X$31, $A$1, FALSE)</f>
        <v>3579</v>
      </c>
      <c r="Z15" s="1">
        <f>VLOOKUP($B15, '[1]Indirect exp'!$B$2:$X$31, $A$1, FALSE)</f>
        <v>5807</v>
      </c>
      <c r="AA15" s="1">
        <f>VLOOKUP($B15, '[1]Indirect imp'!$B$2:$X$31, $A$1, FALSE)</f>
        <v>6718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89.009454850684932</v>
      </c>
      <c r="D16" s="1">
        <f>VLOOKUP($B16, '[1]Pro of iron ore'!$B$2:$X$31, $A$1, FALSE)*(1-VLOOKUP($B16, '[1]Foundry share'!$B$2:$X$31, $A$1, FALSE))</f>
        <v>48.955200167876711</v>
      </c>
      <c r="E16" s="47">
        <f>VLOOKUP($B16, '[1]Iron content'!$B$2:$X$31, $A$1, FALSE)</f>
        <v>0.55000000000000004</v>
      </c>
      <c r="F16" s="1">
        <f>VLOOKUP($B16, '[1]Exp of usable iron ore'!$B$2:$X$31, $A$1, FALSE)*parameters!$B$12</f>
        <v>195</v>
      </c>
      <c r="G16" s="1">
        <f>VLOOKUP($B16, '[1]Pro of pig iron'!$B$2:$X$31, $A$1, FALSE)*(1-VLOOKUP($B16, '[1]Foundry share'!$B$2:$X$31, $A$1, FALSE))</f>
        <v>43.317934694000002</v>
      </c>
      <c r="H16" s="1">
        <f>VLOOKUP($B16, '[1]Exp of pig iron'!$B$2:$X$31, $A$1, FALSE)</f>
        <v>0</v>
      </c>
      <c r="I16" s="1">
        <f>VLOOKUP($B16, '[1]Imp of pig iron'!$B$2:$X$31, $A$1, FALSE)</f>
        <v>0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261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409</v>
      </c>
      <c r="R16" s="1">
        <f>VLOOKUP($B16, '[1]Exp of ingots and semis'!$B$2:$X$31, $A$1, FALSE)</f>
        <v>0</v>
      </c>
      <c r="S16" s="1">
        <f>VLOOKUP($B16, '[1]Imp of ingots and semis'!$B$2:$X$31, $A$1, FALSE)</f>
        <v>2207</v>
      </c>
      <c r="T16" s="1">
        <f>VLOOKUP($B16, '[1]Pro of hr long'!$B$2:$X$31, $A$1, FALSE)+VLOOKUP($B16, '[1]Pro of seamless tubes'!$B$2:$X$31, $A$1, FALSE)</f>
        <v>2123</v>
      </c>
      <c r="U16" s="1">
        <f>VLOOKUP($B16, '[1]Exp of long'!$B$2:$X$31, $A$1, FALSE)</f>
        <v>38</v>
      </c>
      <c r="V16" s="1">
        <f>VLOOKUP($B16, '[1]Imp of long'!$B$2:$X$31, $A$1, FALSE)</f>
        <v>233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2207</v>
      </c>
      <c r="Z16" s="1">
        <f>VLOOKUP($B16, '[1]Indirect exp'!$B$2:$X$31, $A$1, FALSE)</f>
        <v>66</v>
      </c>
      <c r="AA16" s="1">
        <f>VLOOKUP($B16, '[1]Indirect imp'!$B$2:$X$31, $A$1, FALSE)</f>
        <v>417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11.05</v>
      </c>
      <c r="G17" s="1">
        <f>VLOOKUP($B17, '[1]Pro of pig iron'!$B$2:$X$31, $A$1, FALSE)*(1-VLOOKUP($B17, '[1]Foundry share'!$B$2:$X$31, $A$1, FALSE))</f>
        <v>13510</v>
      </c>
      <c r="H17" s="1">
        <f>VLOOKUP($B17, '[1]Exp of pig iron'!$B$2:$X$31, $A$1, FALSE)</f>
        <v>3</v>
      </c>
      <c r="I17" s="1">
        <f>VLOOKUP($B17, '[1]Imp of pig iron'!$B$2:$X$31, $A$1, FALSE)</f>
        <v>227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0</v>
      </c>
      <c r="L17" s="1">
        <f>VLOOKUP($B17, '[1]Imp of DRI'!$B$2:$X$31, $A$1, FALSE)</f>
        <v>0</v>
      </c>
      <c r="M17" s="1">
        <f>VLOOKUP($B17, '[1]Exp of scrap'!$B$2:$X$31, $A$1, FALSE)</f>
        <v>4724</v>
      </c>
      <c r="N17" s="1">
        <f>VLOOKUP($B17, '[1]Imp of scrap'!$B$2:$X$31, $A$1, FALSE)</f>
        <v>2843</v>
      </c>
      <c r="O17" s="1">
        <f>VLOOKUP($B17, '[1]Pro of BOF steel'!$B$2:$X$31, $A$1, FALSE)</f>
        <v>12382</v>
      </c>
      <c r="P17" s="1">
        <f>VLOOKUP($B17, '[1]Pro of OHF steel'!$B$2:$X$31, $A$1, FALSE)</f>
        <v>0</v>
      </c>
      <c r="Q17" s="1">
        <f>VLOOKUP($B17, '[1]Pro of EAF steel'!$B$2:$X$31, $A$1, FALSE)</f>
        <v>7876</v>
      </c>
      <c r="R17" s="1">
        <f>VLOOKUP($B17, '[1]Exp of ingots and semis'!$B$2:$X$31, $A$1, FALSE)</f>
        <v>3418</v>
      </c>
      <c r="S17" s="1">
        <f>VLOOKUP($B17, '[1]Imp of ingots and semis'!$B$2:$X$31, $A$1, FALSE)</f>
        <v>1781</v>
      </c>
      <c r="T17" s="1">
        <f>VLOOKUP($B17, '[1]Pro of hr long'!$B$2:$X$31, $A$1, FALSE)+VLOOKUP($B17, '[1]Pro of seamless tubes'!$B$2:$X$31, $A$1, FALSE)</f>
        <v>5241</v>
      </c>
      <c r="U17" s="1">
        <f>VLOOKUP($B17, '[1]Exp of long'!$B$2:$X$31, $A$1, FALSE)</f>
        <v>3027</v>
      </c>
      <c r="V17" s="1">
        <f>VLOOKUP($B17, '[1]Imp of long'!$B$2:$X$31, $A$1, FALSE)</f>
        <v>3761</v>
      </c>
      <c r="W17" s="1">
        <f>VLOOKUP($B17, '[1]Pro of hr flat'!$B$2:$X$31, $A$1, FALSE)*parameters!$B$8</f>
        <v>11542.019914651493</v>
      </c>
      <c r="X17" s="1">
        <f>VLOOKUP($B17, '[1]Exp of flat'!$B$2:$X$31, $A$1, FALSE)</f>
        <v>9481</v>
      </c>
      <c r="Y17" s="1">
        <f>VLOOKUP($B17, '[1]Imp of flat'!$B$2:$X$31, $A$1, FALSE)</f>
        <v>9005</v>
      </c>
      <c r="Z17" s="1">
        <f>VLOOKUP($B17, '[1]Indirect exp'!$B$2:$X$31, $A$1, FALSE)</f>
        <v>9615</v>
      </c>
      <c r="AA17" s="1">
        <f>VLOOKUP($B17, '[1]Indirect imp'!$B$2:$X$31, $A$1, FALSE)</f>
        <v>9188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4021</v>
      </c>
      <c r="H18" s="1">
        <f>VLOOKUP($B18, '[1]Exp of pig iron'!$B$2:$X$31, $A$1, FALSE)</f>
        <v>4</v>
      </c>
      <c r="I18" s="1">
        <f>VLOOKUP($B18, '[1]Imp of pig iron'!$B$2:$X$31, $A$1, FALSE)</f>
        <v>397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0</v>
      </c>
      <c r="L18" s="1">
        <f>VLOOKUP($B18, '[1]Imp of DRI'!$B$2:$X$31, $A$1, FALSE)</f>
        <v>0</v>
      </c>
      <c r="M18" s="1">
        <f>VLOOKUP($B18, '[1]Exp of scrap'!$B$2:$X$31, $A$1, FALSE)</f>
        <v>94</v>
      </c>
      <c r="N18" s="1">
        <f>VLOOKUP($B18, '[1]Imp of scrap'!$B$2:$X$31, $A$1, FALSE)</f>
        <v>5534</v>
      </c>
      <c r="O18" s="1">
        <f>VLOOKUP($B18, '[1]Pro of BOF steel'!$B$2:$X$31, $A$1, FALSE)</f>
        <v>4196</v>
      </c>
      <c r="P18" s="1">
        <f>VLOOKUP($B18, '[1]Pro of OHF steel'!$B$2:$X$31, $A$1, FALSE)</f>
        <v>0</v>
      </c>
      <c r="Q18" s="1">
        <f>VLOOKUP($B18, '[1]Pro of EAF steel'!$B$2:$X$31, $A$1, FALSE)</f>
        <v>12212</v>
      </c>
      <c r="R18" s="1">
        <f>VLOOKUP($B18, '[1]Exp of ingots and semis'!$B$2:$X$31, $A$1, FALSE)</f>
        <v>242</v>
      </c>
      <c r="S18" s="1">
        <f>VLOOKUP($B18, '[1]Imp of ingots and semis'!$B$2:$X$31, $A$1, FALSE)</f>
        <v>1062</v>
      </c>
      <c r="T18" s="1">
        <f>VLOOKUP($B18, '[1]Pro of hr long'!$B$2:$X$31, $A$1, FALSE)+VLOOKUP($B18, '[1]Pro of seamless tubes'!$B$2:$X$31, $A$1, FALSE)</f>
        <v>10712</v>
      </c>
      <c r="U18" s="1">
        <f>VLOOKUP($B18, '[1]Exp of long'!$B$2:$X$31, $A$1, FALSE)</f>
        <v>3239</v>
      </c>
      <c r="V18" s="1">
        <f>VLOOKUP($B18, '[1]Imp of long'!$B$2:$X$31, $A$1, FALSE)</f>
        <v>2232</v>
      </c>
      <c r="W18" s="1">
        <f>VLOOKUP($B18, '[1]Pro of hr flat'!$B$2:$X$31, $A$1, FALSE)*parameters!$B$8</f>
        <v>5293.0071123755333</v>
      </c>
      <c r="X18" s="1">
        <f>VLOOKUP($B18, '[1]Exp of flat'!$B$2:$X$31, $A$1, FALSE)</f>
        <v>2133</v>
      </c>
      <c r="Y18" s="1">
        <f>VLOOKUP($B18, '[1]Imp of flat'!$B$2:$X$31, $A$1, FALSE)</f>
        <v>6674</v>
      </c>
      <c r="Z18" s="1">
        <f>VLOOKUP($B18, '[1]Indirect exp'!$B$2:$X$31, $A$1, FALSE)</f>
        <v>6327</v>
      </c>
      <c r="AA18" s="1">
        <f>VLOOKUP($B18, '[1]Indirect imp'!$B$2:$X$31, $A$1, FALSE)</f>
        <v>6213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30902</v>
      </c>
      <c r="D19" s="1">
        <f>VLOOKUP($B19, '[1]Pro of iron ore'!$B$2:$X$31, $A$1, FALSE)*(1-VLOOKUP($B19, '[1]Foundry share'!$B$2:$X$31, $A$1, FALSE))</f>
        <v>19684</v>
      </c>
      <c r="E19" s="47">
        <f>VLOOKUP($B19, '[1]Iron content'!$B$2:$X$31, $A$1, FALSE)</f>
        <v>0.63698142515047573</v>
      </c>
      <c r="F19" s="1">
        <f>VLOOKUP($B19, '[1]Exp of usable iron ore'!$B$2:$X$31, $A$1, FALSE)*parameters!$B$12</f>
        <v>16664.7</v>
      </c>
      <c r="G19" s="1">
        <f>VLOOKUP($B19, '[1]Pro of pig iron'!$B$2:$X$31, $A$1, FALSE)*(1-VLOOKUP($B19, '[1]Foundry share'!$B$2:$X$31, $A$1, FALSE))</f>
        <v>8670</v>
      </c>
      <c r="H19" s="1">
        <f>VLOOKUP($B19, '[1]Exp of pig iron'!$B$2:$X$31, $A$1, FALSE)</f>
        <v>111</v>
      </c>
      <c r="I19" s="1">
        <f>VLOOKUP($B19, '[1]Imp of pig iron'!$B$2:$X$31, $A$1, FALSE)</f>
        <v>55</v>
      </c>
      <c r="J19" s="1">
        <f>VLOOKUP($B19, '[1]Pro of DRI'!$B$2:$X$31, $A$1, FALSE)*(1-VLOOKUP($B19, '[1]Foundry share'!$B$2:$X$31, $A$1, FALSE))</f>
        <v>179</v>
      </c>
      <c r="K19" s="1">
        <f>VLOOKUP($B19, '[1]Exp of DRI'!$B$2:$X$31, $A$1, FALSE)</f>
        <v>0</v>
      </c>
      <c r="L19" s="1">
        <f>VLOOKUP($B19, '[1]Imp of DRI'!$B$2:$X$31, $A$1, FALSE)</f>
        <v>0</v>
      </c>
      <c r="M19" s="1">
        <f>VLOOKUP($B19, '[1]Exp of scrap'!$B$2:$X$31, $A$1, FALSE)</f>
        <v>2131</v>
      </c>
      <c r="N19" s="1">
        <f>VLOOKUP($B19, '[1]Imp of scrap'!$B$2:$X$31, $A$1, FALSE)</f>
        <v>1369</v>
      </c>
      <c r="O19" s="1">
        <f>VLOOKUP($B19, '[1]Pro of BOF steel'!$B$2:$X$31, $A$1, FALSE)</f>
        <v>9452</v>
      </c>
      <c r="P19" s="1">
        <f>VLOOKUP($B19, '[1]Pro of OHF steel'!$B$2:$X$31, $A$1, FALSE)</f>
        <v>0</v>
      </c>
      <c r="Q19" s="1">
        <f>VLOOKUP($B19, '[1]Pro of EAF steel'!$B$2:$X$31, $A$1, FALSE)</f>
        <v>6549</v>
      </c>
      <c r="R19" s="1">
        <f>VLOOKUP($B19, '[1]Exp of ingots and semis'!$B$2:$X$31, $A$1, FALSE)</f>
        <v>209</v>
      </c>
      <c r="S19" s="1">
        <f>VLOOKUP($B19, '[1]Imp of ingots and semis'!$B$2:$X$31, $A$1, FALSE)</f>
        <v>971</v>
      </c>
      <c r="T19" s="1">
        <f>VLOOKUP($B19, '[1]Pro of hr long'!$B$2:$X$31, $A$1, FALSE)+VLOOKUP($B19, '[1]Pro of seamless tubes'!$B$2:$X$31, $A$1, FALSE)</f>
        <v>3886</v>
      </c>
      <c r="U19" s="1">
        <f>VLOOKUP($B19, '[1]Exp of long'!$B$2:$X$31, $A$1, FALSE)</f>
        <v>1983</v>
      </c>
      <c r="V19" s="1">
        <f>VLOOKUP($B19, '[1]Imp of long'!$B$2:$X$31, $A$1, FALSE)</f>
        <v>2362</v>
      </c>
      <c r="W19" s="1">
        <f>VLOOKUP($B19, '[1]Pro of hr flat'!$B$2:$X$31, $A$1, FALSE)*parameters!$B$8</f>
        <v>10499.546230440967</v>
      </c>
      <c r="X19" s="1">
        <f>VLOOKUP($B19, '[1]Exp of flat'!$B$2:$X$31, $A$1, FALSE)</f>
        <v>2509</v>
      </c>
      <c r="Y19" s="1">
        <f>VLOOKUP($B19, '[1]Imp of flat'!$B$2:$X$31, $A$1, FALSE)</f>
        <v>3381</v>
      </c>
      <c r="Z19" s="1">
        <f>VLOOKUP($B19, '[1]Indirect exp'!$B$2:$X$31, $A$1, FALSE)</f>
        <v>7730</v>
      </c>
      <c r="AA19" s="1">
        <f>VLOOKUP($B19, '[1]Indirect imp'!$B$2:$X$31, $A$1, FALSE)</f>
        <v>8331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264.36308256356597</v>
      </c>
      <c r="D20" s="1">
        <f>VLOOKUP($B20, '[1]Pro of iron ore'!$B$2:$X$31, $A$1, FALSE)*(1-VLOOKUP($B20, '[1]Foundry share'!$B$2:$X$31, $A$1, FALSE))</f>
        <v>150.83039257483816</v>
      </c>
      <c r="E20" s="47">
        <f>VLOOKUP($B20, '[1]Iron content'!$B$2:$X$31, $A$1, FALSE)</f>
        <v>0.57054257013579446</v>
      </c>
      <c r="F20" s="1">
        <f>VLOOKUP($B20, '[1]Exp of usable iron ore'!$B$2:$X$31, $A$1, FALSE)*parameters!$B$12</f>
        <v>42.25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3</v>
      </c>
      <c r="I20" s="1">
        <f>VLOOKUP($B20, '[1]Imp of pig iron'!$B$2:$X$31, $A$1, FALSE)</f>
        <v>70</v>
      </c>
      <c r="J20" s="1">
        <f>VLOOKUP($B20, '[1]Pro of DRI'!$B$2:$X$31, $A$1, FALSE)*(1-VLOOKUP($B20, '[1]Foundry share'!$B$2:$X$31, $A$1, FALSE))</f>
        <v>1009.7256836259999</v>
      </c>
      <c r="K20" s="1">
        <f>VLOOKUP($B20, '[1]Exp of DRI'!$B$2:$X$31, $A$1, FALSE)</f>
        <v>0</v>
      </c>
      <c r="L20" s="1">
        <f>VLOOKUP($B20, '[1]Imp of DRI'!$B$2:$X$31, $A$1, FALSE)</f>
        <v>0</v>
      </c>
      <c r="M20" s="1">
        <f>VLOOKUP($B20, '[1]Exp of scrap'!$B$2:$X$31, $A$1, FALSE)</f>
        <v>0</v>
      </c>
      <c r="N20" s="1">
        <f>VLOOKUP($B20, '[1]Imp of scrap'!$B$2:$X$31, $A$1, FALSE)</f>
        <v>1318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2462</v>
      </c>
      <c r="R20" s="1">
        <f>VLOOKUP($B20, '[1]Exp of ingots and semis'!$B$2:$X$31, $A$1, FALSE)</f>
        <v>5</v>
      </c>
      <c r="S20" s="1">
        <f>VLOOKUP($B20, '[1]Imp of ingots and semis'!$B$2:$X$31, $A$1, FALSE)</f>
        <v>1296</v>
      </c>
      <c r="T20" s="1">
        <f>VLOOKUP($B20, '[1]Pro of hr long'!$B$2:$X$31, $A$1, FALSE)+VLOOKUP($B20, '[1]Pro of seamless tubes'!$B$2:$X$31, $A$1, FALSE)</f>
        <v>1766</v>
      </c>
      <c r="U20" s="1">
        <f>VLOOKUP($B20, '[1]Exp of long'!$B$2:$X$31, $A$1, FALSE)</f>
        <v>313</v>
      </c>
      <c r="V20" s="1">
        <f>VLOOKUP($B20, '[1]Imp of long'!$B$2:$X$31, $A$1, FALSE)</f>
        <v>370</v>
      </c>
      <c r="W20" s="1">
        <f>VLOOKUP($B20, '[1]Pro of hr flat'!$B$2:$X$31, $A$1, FALSE)*parameters!$B$8</f>
        <v>1974.1906116642958</v>
      </c>
      <c r="X20" s="1">
        <f>VLOOKUP($B20, '[1]Exp of flat'!$B$2:$X$31, $A$1, FALSE)</f>
        <v>554</v>
      </c>
      <c r="Y20" s="1">
        <f>VLOOKUP($B20, '[1]Imp of flat'!$B$2:$X$31, $A$1, FALSE)</f>
        <v>1458</v>
      </c>
      <c r="Z20" s="1">
        <f>VLOOKUP($B20, '[1]Indirect exp'!$B$2:$X$31, $A$1, FALSE)</f>
        <v>694</v>
      </c>
      <c r="AA20" s="1">
        <f>VLOOKUP($B20, '[1]Indirect imp'!$B$2:$X$31, $A$1, FALSE)</f>
        <v>1543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5294</v>
      </c>
      <c r="H21" s="1">
        <f>VLOOKUP($B21, '[1]Exp of pig iron'!$B$2:$X$31, $A$1, FALSE)</f>
        <v>45</v>
      </c>
      <c r="I21" s="1">
        <f>VLOOKUP($B21, '[1]Imp of pig iron'!$B$2:$X$31, $A$1, FALSE)</f>
        <v>220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1564</v>
      </c>
      <c r="N21" s="1">
        <f>VLOOKUP($B21, '[1]Imp of scrap'!$B$2:$X$31, $A$1, FALSE)</f>
        <v>0</v>
      </c>
      <c r="O21" s="1">
        <f>VLOOKUP($B21, '[1]Pro of BOF steel'!$B$2:$X$31, $A$1, FALSE)</f>
        <v>5799</v>
      </c>
      <c r="P21" s="1">
        <f>VLOOKUP($B21, '[1]Pro of OHF steel'!$B$2:$X$31, $A$1, FALSE)</f>
        <v>0</v>
      </c>
      <c r="Q21" s="1">
        <f>VLOOKUP($B21, '[1]Pro of EAF steel'!$B$2:$X$31, $A$1, FALSE)</f>
        <v>2561</v>
      </c>
      <c r="R21" s="1">
        <f>VLOOKUP($B21, '[1]Exp of ingots and semis'!$B$2:$X$31, $A$1, FALSE)</f>
        <v>779</v>
      </c>
      <c r="S21" s="1">
        <f>VLOOKUP($B21, '[1]Imp of ingots and semis'!$B$2:$X$31, $A$1, FALSE)</f>
        <v>23</v>
      </c>
      <c r="T21" s="1">
        <f>VLOOKUP($B21, '[1]Pro of hr long'!$B$2:$X$31, $A$1, FALSE)+VLOOKUP($B21, '[1]Pro of seamless tubes'!$B$2:$X$31, $A$1, FALSE)</f>
        <v>4251</v>
      </c>
      <c r="U21" s="1">
        <f>VLOOKUP($B21, '[1]Exp of long'!$B$2:$X$31, $A$1, FALSE)</f>
        <v>1751</v>
      </c>
      <c r="V21" s="1">
        <f>VLOOKUP($B21, '[1]Imp of long'!$B$2:$X$31, $A$1, FALSE)</f>
        <v>711</v>
      </c>
      <c r="W21" s="1">
        <f>VLOOKUP($B21, '[1]Pro of hr flat'!$B$2:$X$31, $A$1, FALSE)*parameters!$B$8</f>
        <v>2059.6870554765292</v>
      </c>
      <c r="X21" s="1">
        <f>VLOOKUP($B21, '[1]Exp of flat'!$B$2:$X$31, $A$1, FALSE)</f>
        <v>398</v>
      </c>
      <c r="Y21" s="1">
        <f>VLOOKUP($B21, '[1]Imp of flat'!$B$2:$X$31, $A$1, FALSE)</f>
        <v>1851</v>
      </c>
      <c r="Z21" s="1">
        <f>VLOOKUP($B21, '[1]Indirect exp'!$B$2:$X$31, $A$1, FALSE)</f>
        <v>4238</v>
      </c>
      <c r="AA21" s="1">
        <f>VLOOKUP($B21, '[1]Indirect imp'!$B$2:$X$31, $A$1, FALSE)</f>
        <v>3880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2109.1112743814051</v>
      </c>
      <c r="D22" s="1">
        <f>VLOOKUP($B22, '[1]Pro of iron ore'!$B$2:$X$31, $A$1, FALSE)*(1-VLOOKUP($B22, '[1]Foundry share'!$B$2:$X$31, $A$1, FALSE))</f>
        <v>1054.5556371907026</v>
      </c>
      <c r="E22" s="47">
        <f>VLOOKUP($B22, '[1]Iron content'!$B$2:$X$31, $A$1, FALSE)</f>
        <v>0.5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1008.7053920954545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FALSE)*(1-VLOOKUP($B22, '[1]Foundry share'!$B$2:$X$31, $A$1, FALSE))</f>
        <v>2320.0224018195454</v>
      </c>
      <c r="K22" s="1">
        <f>VLOOKUP($B22, '[1]Exp of DRI'!$B$2:$X$31, $A$1, FALSE)</f>
        <v>0</v>
      </c>
      <c r="L22" s="1">
        <f>VLOOKUP($B22, '[1]Imp of DRI'!$B$2:$X$31, $A$1, FALSE)</f>
        <v>0</v>
      </c>
      <c r="M22" s="1">
        <f>VLOOKUP($B22, '[1]Exp of scrap'!$B$2:$X$31, $A$1, FALSE)</f>
        <v>0</v>
      </c>
      <c r="N22" s="1">
        <f>VLOOKUP($B22, '[1]Imp of scrap'!$B$2:$X$31, $A$1, FALSE)</f>
        <v>0</v>
      </c>
      <c r="O22" s="1">
        <f>VLOOKUP($B22, '[1]Pro of BOF steel'!$B$2:$X$31, $A$1, FALSE)</f>
        <v>1150</v>
      </c>
      <c r="P22" s="1">
        <f>VLOOKUP($B22, '[1]Pro of OHF steel'!$B$2:$X$31, $A$1, FALSE)</f>
        <v>0</v>
      </c>
      <c r="Q22" s="1">
        <f>VLOOKUP($B22, '[1]Pro of EAF steel'!$B$2:$X$31, $A$1, FALSE)</f>
        <v>3165</v>
      </c>
      <c r="R22" s="1">
        <f>VLOOKUP($B22, '[1]Exp of ingots and semis'!$B$2:$X$31, $A$1, FALSE)</f>
        <v>0</v>
      </c>
      <c r="S22" s="1">
        <f>VLOOKUP($B22, '[1]Imp of ingots and semis'!$B$2:$X$31, $A$1, FALSE)</f>
        <v>2229</v>
      </c>
      <c r="T22" s="1">
        <f>VLOOKUP($B22, '[1]Pro of hr long'!$B$2:$X$31, $A$1, FALSE)+VLOOKUP($B22, '[1]Pro of seamless tubes'!$B$2:$X$31, $A$1, FALSE)</f>
        <v>3950.327699206623</v>
      </c>
      <c r="U22" s="1">
        <f>VLOOKUP($B22, '[1]Exp of long'!$B$2:$X$31, $A$1, FALSE)</f>
        <v>0</v>
      </c>
      <c r="V22" s="1">
        <f>VLOOKUP($B22, '[1]Imp of long'!$B$2:$X$31, $A$1, FALSE)</f>
        <v>117</v>
      </c>
      <c r="W22" s="1">
        <f>VLOOKUP($B22, '[1]Pro of hr flat'!$B$2:$X$31, $A$1, FALSE)*parameters!$B$8</f>
        <v>1343.8834692243997</v>
      </c>
      <c r="X22" s="1">
        <f>VLOOKUP($B22, '[1]Exp of flat'!$B$2:$X$31, $A$1, FALSE)</f>
        <v>0</v>
      </c>
      <c r="Y22" s="1">
        <f>VLOOKUP($B22, '[1]Imp of flat'!$B$2:$X$31, $A$1, FALSE)</f>
        <v>316</v>
      </c>
      <c r="Z22" s="1">
        <f>VLOOKUP($B22, '[1]Indirect exp'!$B$2:$X$31, $A$1, FALSE)</f>
        <v>41</v>
      </c>
      <c r="AA22" s="1">
        <f>VLOOKUP($B22, '[1]Indirect imp'!$B$2:$X$31, $A$1, FALSE)</f>
        <v>329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0</v>
      </c>
      <c r="J23" s="1">
        <f>VLOOKUP($B23, '[1]Pro of DRI'!$B$2:$X$31, $A$1, FALSE)*(1-VLOOKUP($B23, '[1]Foundry share'!$B$2:$X$31, $A$1, FALSE))</f>
        <v>2733.2892833570004</v>
      </c>
      <c r="K23" s="1">
        <f>VLOOKUP($B23, '[1]Exp of DRI'!$B$2:$X$31, $A$1, FALSE)</f>
        <v>0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3570</v>
      </c>
      <c r="R23" s="1">
        <f>VLOOKUP($B23, '[1]Exp of ingots and semis'!$B$2:$X$31, $A$1, FALSE)</f>
        <v>0</v>
      </c>
      <c r="S23" s="1">
        <f>VLOOKUP($B23, '[1]Imp of ingots and semis'!$B$2:$X$31, $A$1, FALSE)</f>
        <v>607</v>
      </c>
      <c r="T23" s="1">
        <f>VLOOKUP($B23, '[1]Pro of hr long'!$B$2:$X$31, $A$1, FALSE)+VLOOKUP($B23, '[1]Pro of seamless tubes'!$B$2:$X$31, $A$1, FALSE)</f>
        <v>2228.542661407515</v>
      </c>
      <c r="U23" s="1">
        <f>VLOOKUP($B23, '[1]Exp of long'!$B$2:$X$31, $A$1, FALSE)</f>
        <v>0</v>
      </c>
      <c r="V23" s="1">
        <f>VLOOKUP($B23, '[1]Imp of long'!$B$2:$X$31, $A$1, FALSE)</f>
        <v>471</v>
      </c>
      <c r="W23" s="1">
        <f>VLOOKUP($B23, '[1]Pro of hr flat'!$B$2:$X$31, $A$1, FALSE)*parameters!$B$8</f>
        <v>1047.476123686751</v>
      </c>
      <c r="X23" s="1">
        <f>VLOOKUP($B23, '[1]Exp of flat'!$B$2:$X$31, $A$1, FALSE)</f>
        <v>0</v>
      </c>
      <c r="Y23" s="1">
        <f>VLOOKUP($B23, '[1]Imp of flat'!$B$2:$X$31, $A$1, FALSE)</f>
        <v>905</v>
      </c>
      <c r="Z23" s="1">
        <f>VLOOKUP($B23, '[1]Indirect exp'!$B$2:$X$31, $A$1, FALSE)</f>
        <v>39</v>
      </c>
      <c r="AA23" s="1">
        <f>VLOOKUP($B23, '[1]Indirect imp'!$B$2:$X$31, $A$1, FALSE)</f>
        <v>1114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1900</v>
      </c>
      <c r="D24" s="1">
        <f>VLOOKUP($B24, '[1]Pro of iron ore'!$B$2:$X$31, $A$1, FALSE)*(1-VLOOKUP($B24, '[1]Foundry share'!$B$2:$X$31, $A$1, FALSE))</f>
        <v>575</v>
      </c>
      <c r="E24" s="47">
        <f>VLOOKUP($B24, '[1]Iron content'!$B$2:$X$31, $A$1, FALSE)</f>
        <v>0.30263157894736842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4669</v>
      </c>
      <c r="H24" s="1">
        <f>VLOOKUP($B24, '[1]Exp of pig iron'!$B$2:$X$31, $A$1, FALSE)</f>
        <v>0</v>
      </c>
      <c r="I24" s="1">
        <f>VLOOKUP($B24, '[1]Imp of pig iron'!$B$2:$X$31, $A$1, FALSE)</f>
        <v>30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0</v>
      </c>
      <c r="M24" s="1">
        <f>VLOOKUP($B24, '[1]Exp of scrap'!$B$2:$X$31, $A$1, FALSE)</f>
        <v>1071</v>
      </c>
      <c r="N24" s="1">
        <f>VLOOKUP($B24, '[1]Imp of scrap'!$B$2:$X$31, $A$1, FALSE)</f>
        <v>869</v>
      </c>
      <c r="O24" s="1">
        <f>VLOOKUP($B24, '[1]Pro of BOF steel'!$B$2:$X$31, $A$1, FALSE)</f>
        <v>5538</v>
      </c>
      <c r="P24" s="1">
        <f>VLOOKUP($B24, '[1]Pro of OHF steel'!$B$2:$X$31, $A$1, FALSE)</f>
        <v>0</v>
      </c>
      <c r="Q24" s="1">
        <f>VLOOKUP($B24, '[1]Pro of EAF steel'!$B$2:$X$31, $A$1, FALSE)</f>
        <v>651</v>
      </c>
      <c r="R24" s="1">
        <f>VLOOKUP($B24, '[1]Exp of ingots and semis'!$B$2:$X$31, $A$1, FALSE)</f>
        <v>221</v>
      </c>
      <c r="S24" s="1">
        <f>VLOOKUP($B24, '[1]Imp of ingots and semis'!$B$2:$X$31, $A$1, FALSE)</f>
        <v>119</v>
      </c>
      <c r="T24" s="1">
        <f>VLOOKUP($B24, '[1]Pro of hr long'!$B$2:$X$31, $A$1, FALSE)+VLOOKUP($B24, '[1]Pro of seamless tubes'!$B$2:$X$31, $A$1, FALSE)</f>
        <v>1517</v>
      </c>
      <c r="U24" s="1">
        <f>VLOOKUP($B24, '[1]Exp of long'!$B$2:$X$31, $A$1, FALSE)</f>
        <v>961</v>
      </c>
      <c r="V24" s="1">
        <f>VLOOKUP($B24, '[1]Imp of long'!$B$2:$X$31, $A$1, FALSE)</f>
        <v>877</v>
      </c>
      <c r="W24" s="1">
        <f>VLOOKUP($B24, '[1]Pro of hr flat'!$B$2:$X$31, $A$1, FALSE)*parameters!$B$8</f>
        <v>4047.4793741109529</v>
      </c>
      <c r="X24" s="1">
        <f>VLOOKUP($B24, '[1]Exp of flat'!$B$2:$X$31, $A$1, FALSE)</f>
        <v>3230</v>
      </c>
      <c r="Y24" s="1">
        <f>VLOOKUP($B24, '[1]Imp of flat'!$B$2:$X$31, $A$1, FALSE)</f>
        <v>1273</v>
      </c>
      <c r="Z24" s="1">
        <f>VLOOKUP($B24, '[1]Indirect exp'!$B$2:$X$31, $A$1, FALSE)</f>
        <v>2524</v>
      </c>
      <c r="AA24" s="1">
        <f>VLOOKUP($B24, '[1]Indirect imp'!$B$2:$X$31, $A$1, FALSE)</f>
        <v>2698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46.15</v>
      </c>
      <c r="G25" s="1">
        <f>VLOOKUP($B25, '[1]Pro of pig iron'!$B$2:$X$31, $A$1, FALSE)*(1-VLOOKUP($B25, '[1]Foundry share'!$B$2:$X$31, $A$1, FALSE))</f>
        <v>7988</v>
      </c>
      <c r="H25" s="1">
        <f>VLOOKUP($B25, '[1]Exp of pig iron'!$B$2:$X$31, $A$1, FALSE)</f>
        <v>173</v>
      </c>
      <c r="I25" s="1">
        <f>VLOOKUP($B25, '[1]Imp of pig iron'!$B$2:$X$31, $A$1, FALSE)</f>
        <v>271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0</v>
      </c>
      <c r="L25" s="1">
        <f>VLOOKUP($B25, '[1]Imp of DRI'!$B$2:$X$31, $A$1, FALSE)</f>
        <v>0</v>
      </c>
      <c r="M25" s="1">
        <f>VLOOKUP($B25, '[1]Exp of scrap'!$B$2:$X$31, $A$1, FALSE)</f>
        <v>1664.9787422497786</v>
      </c>
      <c r="N25" s="1">
        <f>VLOOKUP($B25, '[1]Imp of scrap'!$B$2:$X$31, $A$1, FALSE)</f>
        <v>3054.1106199976111</v>
      </c>
      <c r="O25" s="1">
        <f>VLOOKUP($B25, '[1]Pro of BOF steel'!$B$2:$X$31, $A$1, FALSE)</f>
        <v>8417</v>
      </c>
      <c r="P25" s="1">
        <f>VLOOKUP($B25, '[1]Pro of OHF steel'!$B$2:$X$31, $A$1, FALSE)</f>
        <v>0</v>
      </c>
      <c r="Q25" s="1">
        <f>VLOOKUP($B25, '[1]Pro of EAF steel'!$B$2:$X$31, $A$1, FALSE)</f>
        <v>2926</v>
      </c>
      <c r="R25" s="1">
        <f>VLOOKUP($B25, '[1]Exp of ingots and semis'!$B$2:$X$31, $A$1, FALSE)</f>
        <v>1083</v>
      </c>
      <c r="S25" s="1">
        <f>VLOOKUP($B25, '[1]Imp of ingots and semis'!$B$2:$X$31, $A$1, FALSE)</f>
        <v>3285</v>
      </c>
      <c r="T25" s="1">
        <f>VLOOKUP($B25, '[1]Pro of hr long'!$B$2:$X$31, $A$1, FALSE)+VLOOKUP($B25, '[1]Pro of seamless tubes'!$B$2:$X$31, $A$1, FALSE)</f>
        <v>1215</v>
      </c>
      <c r="U25" s="1">
        <f>VLOOKUP($B25, '[1]Exp of long'!$B$2:$X$31, $A$1, FALSE)</f>
        <v>1626.3260530421217</v>
      </c>
      <c r="V25" s="1">
        <f>VLOOKUP($B25, '[1]Imp of long'!$B$2:$X$31, $A$1, FALSE)</f>
        <v>2054.3115141955836</v>
      </c>
      <c r="W25" s="1">
        <f>VLOOKUP($B25, '[1]Pro of hr flat'!$B$2:$X$31, $A$1, FALSE)*parameters!$B$8</f>
        <v>11926.753911806543</v>
      </c>
      <c r="X25" s="1">
        <f>VLOOKUP($B25, '[1]Exp of flat'!$B$2:$X$31, $A$1, FALSE)</f>
        <v>13333.594239447837</v>
      </c>
      <c r="Y25" s="1">
        <f>VLOOKUP($B25, '[1]Imp of flat'!$B$2:$X$31, $A$1, FALSE)</f>
        <v>4194.1535667107</v>
      </c>
      <c r="Z25" s="1">
        <f>VLOOKUP($B25, '[1]Indirect exp'!$B$2:$X$31, $A$1, FALSE)</f>
        <v>5910</v>
      </c>
      <c r="AA25" s="1">
        <f>VLOOKUP($B25, '[1]Indirect imp'!$B$2:$X$31, $A$1, FALSE)</f>
        <v>5764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0.5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8561</v>
      </c>
      <c r="H26" s="1">
        <f>VLOOKUP($B26, '[1]Exp of pig iron'!$B$2:$X$31, $A$1, FALSE)</f>
        <v>3</v>
      </c>
      <c r="I26" s="1">
        <f>VLOOKUP($B26, '[1]Imp of pig iron'!$B$2:$X$31, $A$1, FALSE)</f>
        <v>128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0</v>
      </c>
      <c r="M26" s="1">
        <f>VLOOKUP($B26, '[1]Exp of scrap'!$B$2:$X$31, $A$1, FALSE)</f>
        <v>5555</v>
      </c>
      <c r="N26" s="1">
        <f>VLOOKUP($B26, '[1]Imp of scrap'!$B$2:$X$31, $A$1, FALSE)</f>
        <v>118</v>
      </c>
      <c r="O26" s="1">
        <f>VLOOKUP($B26, '[1]Pro of BOF steel'!$B$2:$X$31, $A$1, FALSE)</f>
        <v>8956</v>
      </c>
      <c r="P26" s="1">
        <f>VLOOKUP($B26, '[1]Pro of OHF steel'!$B$2:$X$31, $A$1, FALSE)</f>
        <v>0</v>
      </c>
      <c r="Q26" s="1">
        <f>VLOOKUP($B26, '[1]Pro of EAF steel'!$B$2:$X$31, $A$1, FALSE)</f>
        <v>2711</v>
      </c>
      <c r="R26" s="1">
        <f>VLOOKUP($B26, '[1]Exp of ingots and semis'!$B$2:$X$31, $A$1, FALSE)</f>
        <v>563</v>
      </c>
      <c r="S26" s="1">
        <f>VLOOKUP($B26, '[1]Imp of ingots and semis'!$B$2:$X$31, $A$1, FALSE)</f>
        <v>1456</v>
      </c>
      <c r="T26" s="1">
        <f>VLOOKUP($B26, '[1]Pro of hr long'!$B$2:$X$31, $A$1, FALSE)+VLOOKUP($B26, '[1]Pro of seamless tubes'!$B$2:$X$31, $A$1, FALSE)</f>
        <v>5088</v>
      </c>
      <c r="U26" s="1">
        <f>VLOOKUP($B26, '[1]Exp of long'!$B$2:$X$31, $A$1, FALSE)</f>
        <v>2786</v>
      </c>
      <c r="V26" s="1">
        <f>VLOOKUP($B26, '[1]Imp of long'!$B$2:$X$31, $A$1, FALSE)</f>
        <v>2165</v>
      </c>
      <c r="W26" s="1">
        <f>VLOOKUP($B26, '[1]Pro of hr flat'!$B$2:$X$31, $A$1, FALSE)*parameters!$B$8</f>
        <v>5685.5135135135133</v>
      </c>
      <c r="X26" s="1">
        <f>VLOOKUP($B26, '[1]Exp of flat'!$B$2:$X$31, $A$1, FALSE)</f>
        <v>2295</v>
      </c>
      <c r="Y26" s="1">
        <f>VLOOKUP($B26, '[1]Imp of flat'!$B$2:$X$31, $A$1, FALSE)</f>
        <v>4391</v>
      </c>
      <c r="Z26" s="1">
        <f>VLOOKUP($B26, '[1]Indirect exp'!$B$2:$X$31, $A$1, FALSE)</f>
        <v>5825</v>
      </c>
      <c r="AA26" s="1">
        <f>VLOOKUP($B26, '[1]Indirect imp'!$B$2:$X$31, $A$1, FALSE)</f>
        <v>9397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26.650000000000002</v>
      </c>
      <c r="G27" s="1">
        <f>VLOOKUP($B27, '[1]Pro of pig iron'!$B$2:$X$31, $A$1, FALSE)*(1-VLOOKUP($B27, '[1]Foundry share'!$B$2:$X$31, $A$1, FALSE))</f>
        <v>5367</v>
      </c>
      <c r="H27" s="1">
        <f>VLOOKUP($B27, '[1]Exp of pig iron'!$B$2:$X$31, $A$1, FALSE)</f>
        <v>5</v>
      </c>
      <c r="I27" s="1">
        <f>VLOOKUP($B27, '[1]Imp of pig iron'!$B$2:$X$31, $A$1, FALSE)</f>
        <v>144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0</v>
      </c>
      <c r="L27" s="1">
        <f>VLOOKUP($B27, '[1]Imp of DRI'!$B$2:$X$31, $A$1, FALSE)</f>
        <v>0</v>
      </c>
      <c r="M27" s="1">
        <f>VLOOKUP($B27, '[1]Exp of scrap'!$B$2:$X$31, $A$1, FALSE)</f>
        <v>3064</v>
      </c>
      <c r="N27" s="1">
        <f>VLOOKUP($B27, '[1]Imp of scrap'!$B$2:$X$31, $A$1, FALSE)</f>
        <v>1379</v>
      </c>
      <c r="O27" s="1">
        <f>VLOOKUP($B27, '[1]Pro of BOF steel'!$B$2:$X$31, $A$1, FALSE)</f>
        <v>5996</v>
      </c>
      <c r="P27" s="1">
        <f>VLOOKUP($B27, '[1]Pro of OHF steel'!$B$2:$X$31, $A$1, FALSE)</f>
        <v>0</v>
      </c>
      <c r="Q27" s="1">
        <f>VLOOKUP($B27, '[1]Pro of EAF steel'!$B$2:$X$31, $A$1, FALSE)</f>
        <v>122</v>
      </c>
      <c r="R27" s="1">
        <f>VLOOKUP($B27, '[1]Exp of ingots and semis'!$B$2:$X$31, $A$1, FALSE)</f>
        <v>539</v>
      </c>
      <c r="S27" s="1">
        <f>VLOOKUP($B27, '[1]Imp of ingots and semis'!$B$2:$X$31, $A$1, FALSE)</f>
        <v>102</v>
      </c>
      <c r="T27" s="1">
        <f>VLOOKUP($B27, '[1]Pro of hr long'!$B$2:$X$31, $A$1, FALSE)+VLOOKUP($B27, '[1]Pro of seamless tubes'!$B$2:$X$31, $A$1, FALSE)</f>
        <v>171</v>
      </c>
      <c r="U27" s="1">
        <f>VLOOKUP($B27, '[1]Exp of long'!$B$2:$X$31, $A$1, FALSE)</f>
        <v>643</v>
      </c>
      <c r="V27" s="1">
        <f>VLOOKUP($B27, '[1]Imp of long'!$B$2:$X$31, $A$1, FALSE)</f>
        <v>2173</v>
      </c>
      <c r="W27" s="1">
        <f>VLOOKUP($B27, '[1]Pro of hr flat'!$B$2:$X$31, $A$1, FALSE)*parameters!$B$8</f>
        <v>5188.0796586059741</v>
      </c>
      <c r="X27" s="1">
        <f>VLOOKUP($B27, '[1]Exp of flat'!$B$2:$X$31, $A$1, FALSE)</f>
        <v>5446</v>
      </c>
      <c r="Y27" s="1">
        <f>VLOOKUP($B27, '[1]Imp of flat'!$B$2:$X$31, $A$1, FALSE)</f>
        <v>2648</v>
      </c>
      <c r="Z27" s="1">
        <f>VLOOKUP($B27, '[1]Indirect exp'!$B$2:$X$31, $A$1, FALSE)</f>
        <v>3710</v>
      </c>
      <c r="AA27" s="1">
        <f>VLOOKUP($B27, '[1]Indirect imp'!$B$2:$X$31, $A$1, FALSE)</f>
        <v>3859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182704</v>
      </c>
      <c r="D28" s="1">
        <f>VLOOKUP($B28, '[1]Pro of iron ore'!$B$2:$X$31, $A$1, FALSE)*(1-VLOOKUP($B28, '[1]Foundry share'!$B$2:$X$31, $A$1, FALSE))</f>
        <v>113548</v>
      </c>
      <c r="E28" s="47">
        <f>VLOOKUP($B28, '[1]Iron content'!$B$2:$X$31, $A$1, FALSE)</f>
        <v>0.62148611962518607</v>
      </c>
      <c r="F28" s="1">
        <f>VLOOKUP($B28, '[1]Exp of usable iron ore'!$B$2:$X$31, $A$1, FALSE)*parameters!$B$12</f>
        <v>107628.95</v>
      </c>
      <c r="G28" s="1">
        <f>VLOOKUP($B28, '[1]Pro of pig iron'!$B$2:$X$31, $A$1, FALSE)*(1-VLOOKUP($B28, '[1]Foundry share'!$B$2:$X$31, $A$1, FALSE))</f>
        <v>6106</v>
      </c>
      <c r="H28" s="1">
        <f>VLOOKUP($B28, '[1]Exp of pig iron'!$B$2:$X$31, $A$1, FALSE)</f>
        <v>0</v>
      </c>
      <c r="I28" s="1">
        <f>VLOOKUP($B28, '[1]Imp of pig iron'!$B$2:$X$31, $A$1, FALSE)</f>
        <v>10</v>
      </c>
      <c r="J28" s="1">
        <f>VLOOKUP($B28, '[1]Pro of DRI'!$B$2:$X$31, $A$1, FALSE)*(1-VLOOKUP($B28, '[1]Foundry share'!$B$2:$X$31, $A$1, FALSE))</f>
        <v>1020</v>
      </c>
      <c r="K28" s="1">
        <f>VLOOKUP($B28, '[1]Exp of DRI'!$B$2:$X$31, $A$1, FALSE)</f>
        <v>0</v>
      </c>
      <c r="L28" s="1">
        <f>VLOOKUP($B28, '[1]Imp of DRI'!$B$2:$X$31, $A$1, FALSE)</f>
        <v>0</v>
      </c>
      <c r="M28" s="1">
        <f>VLOOKUP($B28, '[1]Exp of scrap'!$B$2:$X$31, $A$1, FALSE)</f>
        <v>674</v>
      </c>
      <c r="N28" s="1">
        <f>VLOOKUP($B28, '[1]Imp of scrap'!$B$2:$X$31, $A$1, FALSE)</f>
        <v>6</v>
      </c>
      <c r="O28" s="1">
        <f>VLOOKUP($B28, '[1]Pro of BOF steel'!$B$2:$X$31, $A$1, FALSE)</f>
        <v>6156</v>
      </c>
      <c r="P28" s="1">
        <f>VLOOKUP($B28, '[1]Pro of OHF steel'!$B$2:$X$31, $A$1, FALSE)</f>
        <v>0</v>
      </c>
      <c r="Q28" s="1">
        <f>VLOOKUP($B28, '[1]Pro of EAF steel'!$B$2:$X$31, $A$1, FALSE)</f>
        <v>1371</v>
      </c>
      <c r="R28" s="1">
        <f>VLOOKUP($B28, '[1]Exp of ingots and semis'!$B$2:$X$31, $A$1, FALSE)</f>
        <v>1</v>
      </c>
      <c r="S28" s="1">
        <f>VLOOKUP($B28, '[1]Imp of ingots and semis'!$B$2:$X$31, $A$1, FALSE)</f>
        <v>12</v>
      </c>
      <c r="T28" s="1">
        <f>VLOOKUP($B28, '[1]Pro of hr long'!$B$2:$X$31, $A$1, FALSE)+VLOOKUP($B28, '[1]Pro of seamless tubes'!$B$2:$X$31, $A$1, FALSE)</f>
        <v>1968</v>
      </c>
      <c r="U28" s="1">
        <f>VLOOKUP($B28, '[1]Exp of long'!$B$2:$X$31, $A$1, FALSE)</f>
        <v>192</v>
      </c>
      <c r="V28" s="1">
        <f>VLOOKUP($B28, '[1]Imp of long'!$B$2:$X$31, $A$1, FALSE)</f>
        <v>435</v>
      </c>
      <c r="W28" s="1">
        <f>VLOOKUP($B28, '[1]Pro of hr flat'!$B$2:$X$31, $A$1, FALSE)*parameters!$B$8</f>
        <v>3790.0184921763871</v>
      </c>
      <c r="X28" s="1">
        <f>VLOOKUP($B28, '[1]Exp of flat'!$B$2:$X$31, $A$1, FALSE)</f>
        <v>733</v>
      </c>
      <c r="Y28" s="1">
        <f>VLOOKUP($B28, '[1]Imp of flat'!$B$2:$X$31, $A$1, FALSE)</f>
        <v>598</v>
      </c>
      <c r="Z28" s="1">
        <f>VLOOKUP($B28, '[1]Indirect exp'!$B$2:$X$31, $A$1, FALSE)</f>
        <v>646</v>
      </c>
      <c r="AA28" s="1">
        <f>VLOOKUP($B28, '[1]Indirect imp'!$B$2:$X$31, $A$1, FALSE)</f>
        <v>2066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36484.014999999999</v>
      </c>
      <c r="D29" s="1">
        <f>VLOOKUP($B29, '[1]Pro of iron ore'!$B$2:$X$31, $A$1, FALSE)*(1-VLOOKUP($B29, '[1]Foundry share'!$B$2:$X$31, $A$1, FALSE))</f>
        <v>23350</v>
      </c>
      <c r="E29" s="47">
        <f>VLOOKUP($B29, '[1]Iron content'!$B$2:$X$31, $A$1, FALSE)</f>
        <v>0.64000631509443251</v>
      </c>
      <c r="F29" s="1">
        <f>VLOOKUP($B29, '[1]Exp of usable iron ore'!$B$2:$X$31, $A$1, FALSE)*parameters!$B$12</f>
        <v>15797.6</v>
      </c>
      <c r="G29" s="1">
        <f>VLOOKUP($B29, '[1]Pro of pig iron'!$B$2:$X$31, $A$1, FALSE)*(1-VLOOKUP($B29, '[1]Foundry share'!$B$2:$X$31, $A$1, FALSE))</f>
        <v>5823</v>
      </c>
      <c r="H29" s="1">
        <f>VLOOKUP($B29, '[1]Exp of pig iron'!$B$2:$X$31, $A$1, FALSE)</f>
        <v>433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1702</v>
      </c>
      <c r="K29" s="1">
        <f>VLOOKUP($B29, '[1]Exp of DRI'!$B$2:$X$31, $A$1, FALSE)</f>
        <v>0</v>
      </c>
      <c r="L29" s="1">
        <f>VLOOKUP($B29, '[1]Imp of DRI'!$B$2:$X$31, $A$1, FALSE)</f>
        <v>0</v>
      </c>
      <c r="M29" s="1">
        <f>VLOOKUP($B29, '[1]Exp of scrap'!$B$2:$X$31, $A$1, FALSE)</f>
        <v>456</v>
      </c>
      <c r="N29" s="1">
        <f>VLOOKUP($B29, '[1]Imp of scrap'!$B$2:$X$31, $A$1, FALSE)</f>
        <v>0</v>
      </c>
      <c r="O29" s="1">
        <f>VLOOKUP($B29, '[1]Pro of BOF steel'!$B$2:$X$31, $A$1, FALSE)</f>
        <v>4967</v>
      </c>
      <c r="P29" s="1">
        <f>VLOOKUP($B29, '[1]Pro of OHF steel'!$B$2:$X$31, $A$1, FALSE)</f>
        <v>0</v>
      </c>
      <c r="Q29" s="1">
        <f>VLOOKUP($B29, '[1]Pro of EAF steel'!$B$2:$X$31, $A$1, FALSE)</f>
        <v>4124</v>
      </c>
      <c r="R29" s="1">
        <f>VLOOKUP($B29, '[1]Exp of ingots and semis'!$B$2:$X$31, $A$1, FALSE)</f>
        <v>713</v>
      </c>
      <c r="S29" s="1">
        <f>VLOOKUP($B29, '[1]Imp of ingots and semis'!$B$2:$X$31, $A$1, FALSE)</f>
        <v>8</v>
      </c>
      <c r="T29" s="1">
        <f>VLOOKUP($B29, '[1]Pro of hr long'!$B$2:$X$31, $A$1, FALSE)+VLOOKUP($B29, '[1]Pro of seamless tubes'!$B$2:$X$31, $A$1, FALSE)</f>
        <v>2707</v>
      </c>
      <c r="U29" s="1">
        <f>VLOOKUP($B29, '[1]Exp of long'!$B$2:$X$31, $A$1, FALSE)</f>
        <v>1115</v>
      </c>
      <c r="V29" s="1">
        <f>VLOOKUP($B29, '[1]Imp of long'!$B$2:$X$31, $A$1, FALSE)</f>
        <v>57</v>
      </c>
      <c r="W29" s="1">
        <f>VLOOKUP($B29, '[1]Pro of hr flat'!$B$2:$X$31, $A$1, FALSE)*parameters!$B$8</f>
        <v>3921.1778093883358</v>
      </c>
      <c r="X29" s="1">
        <f>VLOOKUP($B29, '[1]Exp of flat'!$B$2:$X$31, $A$1, FALSE)</f>
        <v>1923</v>
      </c>
      <c r="Y29" s="1">
        <f>VLOOKUP($B29, '[1]Imp of flat'!$B$2:$X$31, $A$1, FALSE)</f>
        <v>137</v>
      </c>
      <c r="Z29" s="1">
        <f>VLOOKUP($B29, '[1]Indirect exp'!$B$2:$X$31, $A$1, FALSE)</f>
        <v>892</v>
      </c>
      <c r="AA29" s="1">
        <f>VLOOKUP($B29, '[1]Indirect imp'!$B$2:$X$31, $A$1, FALSE)</f>
        <v>643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404.35</v>
      </c>
      <c r="D30" s="1">
        <f>VLOOKUP($B30, '[1]Pro of iron ore'!$B$2:$X$31, $A$1, FALSE)*(1-VLOOKUP($B30, '[1]Foundry share'!$B$2:$X$31, $A$1, FALSE))</f>
        <v>259</v>
      </c>
      <c r="E30" s="47">
        <f>VLOOKUP($B30, '[1]Iron content'!$B$2:$X$31, $A$1, FALSE)</f>
        <v>0.64053419067639417</v>
      </c>
      <c r="F30" s="1">
        <f>VLOOKUP($B30, '[1]Exp of usable iron ore'!$B$2:$X$31, $A$1, FALSE)*parameters!$B$12</f>
        <v>139.1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0</v>
      </c>
      <c r="I30" s="1">
        <f>VLOOKUP($B30, '[1]Imp of pig iron'!$B$2:$X$31, $A$1, FALSE)</f>
        <v>215</v>
      </c>
      <c r="J30" s="1">
        <f>VLOOKUP($B30, '[1]Pro of DRI'!$B$2:$X$31, $A$1, FALSE)*(1-VLOOKUP($B30, '[1]Foundry share'!$B$2:$X$31, $A$1, FALSE))</f>
        <v>1060</v>
      </c>
      <c r="K30" s="1">
        <f>VLOOKUP($B30, '[1]Exp of DRI'!$B$2:$X$31, $A$1, FALSE)</f>
        <v>0</v>
      </c>
      <c r="L30" s="1">
        <f>VLOOKUP($B30, '[1]Imp of DRI'!$B$2:$X$31, $A$1, FALSE)</f>
        <v>0</v>
      </c>
      <c r="M30" s="1">
        <f>VLOOKUP($B30, '[1]Exp of scrap'!$B$2:$X$31, $A$1, FALSE)</f>
        <v>140</v>
      </c>
      <c r="N30" s="1">
        <f>VLOOKUP($B30, '[1]Imp of scrap'!$B$2:$X$31, $A$1, FALSE)</f>
        <v>3133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4722</v>
      </c>
      <c r="R30" s="1">
        <f>VLOOKUP($B30, '[1]Exp of ingots and semis'!$B$2:$X$31, $A$1, FALSE)</f>
        <v>20</v>
      </c>
      <c r="S30" s="1">
        <f>VLOOKUP($B30, '[1]Imp of ingots and semis'!$B$2:$X$31, $A$1, FALSE)</f>
        <v>307</v>
      </c>
      <c r="T30" s="1">
        <f>VLOOKUP($B30, '[1]Pro of hr long'!$B$2:$X$31, $A$1, FALSE)+VLOOKUP($B30, '[1]Pro of seamless tubes'!$B$2:$X$31, $A$1, FALSE)</f>
        <v>3205</v>
      </c>
      <c r="U30" s="1">
        <f>VLOOKUP($B30, '[1]Exp of long'!$B$2:$X$31, $A$1, FALSE)</f>
        <v>0</v>
      </c>
      <c r="V30" s="1">
        <f>VLOOKUP($B30, '[1]Imp of long'!$B$2:$X$31, $A$1, FALSE)</f>
        <v>1344</v>
      </c>
      <c r="W30" s="1">
        <f>VLOOKUP($B30, '[1]Pro of hr flat'!$B$2:$X$31, $A$1, FALSE)*parameters!$B$8</f>
        <v>1466.0697012802275</v>
      </c>
      <c r="X30" s="1">
        <f>VLOOKUP($B30, '[1]Exp of flat'!$B$2:$X$31, $A$1, FALSE)</f>
        <v>0</v>
      </c>
      <c r="Y30" s="1">
        <f>VLOOKUP($B30, '[1]Imp of flat'!$B$2:$X$31, $A$1, FALSE)</f>
        <v>1867</v>
      </c>
      <c r="Z30" s="1">
        <f>VLOOKUP($B30, '[1]Indirect exp'!$B$2:$X$31, $A$1, FALSE)</f>
        <v>780</v>
      </c>
      <c r="AA30" s="1">
        <f>VLOOKUP($B30, '[1]Indirect imp'!$B$2:$X$31, $A$1, FALSE)</f>
        <v>1255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570</v>
      </c>
      <c r="D31" s="1">
        <f>VLOOKUP($B31, '[1]Pro of iron ore'!$B$2:$X$31, $A$1, FALSE)*(1-VLOOKUP($B31, '[1]Foundry share'!$B$2:$X$31, $A$1, FALSE))</f>
        <v>285</v>
      </c>
      <c r="E31" s="47">
        <f>VLOOKUP($B31, '[1]Iron content'!$B$2:$X$31, $A$1, FALSE)</f>
        <v>0.5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17</v>
      </c>
      <c r="I31" s="1">
        <f>VLOOKUP($B31, '[1]Imp of pig iron'!$B$2:$X$31, $A$1, FALSE)</f>
        <v>204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87</v>
      </c>
      <c r="N31" s="1">
        <f>VLOOKUP($B31, '[1]Imp of scrap'!$B$2:$X$31, $A$1, FALSE)</f>
        <v>978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2538</v>
      </c>
      <c r="R31" s="1">
        <f>VLOOKUP($B31, '[1]Exp of ingots and semis'!$B$2:$X$31, $A$1, FALSE)</f>
        <v>1</v>
      </c>
      <c r="S31" s="1">
        <f>VLOOKUP($B31, '[1]Imp of ingots and semis'!$B$2:$X$31, $A$1, FALSE)</f>
        <v>5010</v>
      </c>
      <c r="T31" s="1">
        <f>VLOOKUP($B31, '[1]Pro of hr long'!$B$2:$X$31, $A$1, FALSE)+VLOOKUP($B31, '[1]Pro of seamless tubes'!$B$2:$X$31, $A$1, FALSE)</f>
        <v>3775</v>
      </c>
      <c r="U31" s="1">
        <f>VLOOKUP($B31, '[1]Exp of long'!$B$2:$X$31, $A$1, FALSE)</f>
        <v>491</v>
      </c>
      <c r="V31" s="1">
        <f>VLOOKUP($B31, '[1]Imp of long'!$B$2:$X$31, $A$1, FALSE)</f>
        <v>849</v>
      </c>
      <c r="W31" s="1">
        <f>VLOOKUP($B31, '[1]Pro of hr flat'!$B$2:$X$31, $A$1, FALSE)*parameters!$B$8</f>
        <v>2887.4480796586058</v>
      </c>
      <c r="X31" s="1">
        <f>VLOOKUP($B31, '[1]Exp of flat'!$B$2:$X$31, $A$1, FALSE)</f>
        <v>908</v>
      </c>
      <c r="Y31" s="1">
        <f>VLOOKUP($B31, '[1]Imp of flat'!$B$2:$X$31, $A$1, FALSE)</f>
        <v>3773</v>
      </c>
      <c r="Z31" s="1">
        <f>VLOOKUP($B31, '[1]Indirect exp'!$B$2:$X$31, $A$1, FALSE)</f>
        <v>1325</v>
      </c>
      <c r="AA31" s="1">
        <f>VLOOKUP($B31, '[1]Indirect imp'!$B$2:$X$31, $A$1, FALSE)</f>
        <v>1073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20300</v>
      </c>
      <c r="D32" s="1">
        <f>VLOOKUP($B32, '[1]Pro of iron ore'!$B$2:$X$31, $A$1, FALSE)*(1-VLOOKUP($B32, '[1]Foundry share'!$B$2:$X$31, $A$1, FALSE))</f>
        <v>13400</v>
      </c>
      <c r="E32" s="47">
        <f>VLOOKUP($B32, '[1]Iron content'!$B$2:$X$31, $A$1, FALSE)</f>
        <v>0.66009852216748766</v>
      </c>
      <c r="F32" s="1">
        <f>VLOOKUP($B32, '[1]Exp of usable iron ore'!$B$2:$X$31, $A$1, FALSE)*parameters!$B$12</f>
        <v>9251.4500000000007</v>
      </c>
      <c r="G32" s="1">
        <f>VLOOKUP($B32, '[1]Pro of pig iron'!$B$2:$X$31, $A$1, FALSE)*(1-VLOOKUP($B32, '[1]Foundry share'!$B$2:$X$31, $A$1, FALSE))</f>
        <v>3703</v>
      </c>
      <c r="H32" s="1">
        <f>VLOOKUP($B32, '[1]Exp of pig iron'!$B$2:$X$31, $A$1, FALSE)</f>
        <v>30</v>
      </c>
      <c r="I32" s="1">
        <f>VLOOKUP($B32, '[1]Imp of pig iron'!$B$2:$X$31, $A$1, FALSE)</f>
        <v>17</v>
      </c>
      <c r="J32" s="1">
        <f>VLOOKUP($B32, '[1]Pro of DRI'!$B$2:$X$31, $A$1, FALSE)*(1-VLOOKUP($B32, '[1]Foundry share'!$B$2:$X$31, $A$1, FALSE))</f>
        <v>112</v>
      </c>
      <c r="K32" s="1">
        <f>VLOOKUP($B32, '[1]Exp of DRI'!$B$2:$X$31, $A$1, FALSE)</f>
        <v>0</v>
      </c>
      <c r="L32" s="1">
        <f>VLOOKUP($B32, '[1]Imp of DRI'!$B$2:$X$31, $A$1, FALSE)</f>
        <v>0</v>
      </c>
      <c r="M32" s="1">
        <f>VLOOKUP($B32, '[1]Exp of scrap'!$B$2:$X$31, $A$1, FALSE)</f>
        <v>723</v>
      </c>
      <c r="N32" s="1">
        <f>VLOOKUP($B32, '[1]Imp of scrap'!$B$2:$X$31, $A$1, FALSE)</f>
        <v>429</v>
      </c>
      <c r="O32" s="1">
        <f>VLOOKUP($B32, '[1]Pro of BOF steel'!$B$2:$X$31, $A$1, FALSE)</f>
        <v>3813</v>
      </c>
      <c r="P32" s="1">
        <f>VLOOKUP($B32, '[1]Pro of OHF steel'!$B$2:$X$31, $A$1, FALSE)</f>
        <v>0</v>
      </c>
      <c r="Q32" s="1">
        <f>VLOOKUP($B32, '[1]Pro of EAF steel'!$B$2:$X$31, $A$1, FALSE)</f>
        <v>1940</v>
      </c>
      <c r="R32" s="1">
        <f>VLOOKUP($B32, '[1]Exp of ingots and semis'!$B$2:$X$31, $A$1, FALSE)</f>
        <v>298</v>
      </c>
      <c r="S32" s="1">
        <f>VLOOKUP($B32, '[1]Imp of ingots and semis'!$B$2:$X$31, $A$1, FALSE)</f>
        <v>426</v>
      </c>
      <c r="T32" s="1">
        <f>VLOOKUP($B32, '[1]Pro of hr long'!$B$2:$X$31, $A$1, FALSE)+VLOOKUP($B32, '[1]Pro of seamless tubes'!$B$2:$X$31, $A$1, FALSE)</f>
        <v>784</v>
      </c>
      <c r="U32" s="1">
        <f>VLOOKUP($B32, '[1]Exp of long'!$B$2:$X$31, $A$1, FALSE)</f>
        <v>749</v>
      </c>
      <c r="V32" s="1">
        <f>VLOOKUP($B32, '[1]Imp of long'!$B$2:$X$31, $A$1, FALSE)</f>
        <v>829</v>
      </c>
      <c r="W32" s="1">
        <f>VLOOKUP($B32, '[1]Pro of hr flat'!$B$2:$X$31, $A$1, FALSE)*parameters!$B$8</f>
        <v>4148.5206258890466</v>
      </c>
      <c r="X32" s="1">
        <f>VLOOKUP($B32, '[1]Exp of flat'!$B$2:$X$31, $A$1, FALSE)</f>
        <v>3183</v>
      </c>
      <c r="Y32" s="1">
        <f>VLOOKUP($B32, '[1]Imp of flat'!$B$2:$X$31, $A$1, FALSE)</f>
        <v>1445</v>
      </c>
      <c r="Z32" s="1">
        <f>VLOOKUP($B32, '[1]Indirect exp'!$B$2:$X$31, $A$1, FALSE)</f>
        <v>2163</v>
      </c>
      <c r="AA32" s="1">
        <f>VLOOKUP($B32, '[1]Indirect imp'!$B$2:$X$31, $A$1, FALSE)</f>
        <v>2042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tabSelected="1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145389.88079906601</v>
      </c>
      <c r="D2" s="9">
        <f ca="1">Q4/parameters!$B$3</f>
        <v>182.26700820839466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145572.14780727442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-77384.168926250946</v>
      </c>
      <c r="Q2" s="17" cm="1">
        <f t="array" aca="1" ref="Q2" ca="1">INDIRECT("'data'!$D$" &amp; $A$1)</f>
        <v>68187.978881023475</v>
      </c>
      <c r="R2" s="17">
        <f ca="1">SUM(L2:P2)</f>
        <v>68187.978881023475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134712.44029850746</v>
      </c>
      <c r="G3" s="14">
        <f ca="1">Q3-O3-P3-F3</f>
        <v>9998.679251524416</v>
      </c>
      <c r="H3" s="14"/>
      <c r="I3" s="14"/>
      <c r="J3" s="14"/>
      <c r="K3" s="13"/>
      <c r="L3" s="16">
        <f t="shared" ca="1" si="0"/>
        <v>144711.11955003187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375.16499999999996</v>
      </c>
      <c r="P3" s="13" cm="1">
        <f t="array" aca="1" ref="P3" ca="1">-INDIRECT("'data'!$I$" &amp; $A$1)*parameters!$B$13</f>
        <v>-612.36</v>
      </c>
      <c r="Q3" s="16" cm="1">
        <f t="array" aca="1" ref="Q3" ca="1">INDIRECT("'data'!$G$" &amp; $A$1)*parameters!$B$13</f>
        <v>144473.92455003189</v>
      </c>
      <c r="R3" s="16">
        <f t="shared" ref="R3:R10" ca="1" si="2">SUM(L3:P3)</f>
        <v>144473.92455003189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181.11872605668177</v>
      </c>
      <c r="H4" s="14"/>
      <c r="I4" s="14"/>
      <c r="J4" s="14"/>
      <c r="K4" s="13"/>
      <c r="L4" s="16">
        <f t="shared" ca="1" si="0"/>
        <v>181.11872605668177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181.11872605668177</v>
      </c>
      <c r="R4" s="16">
        <f t="shared" ca="1" si="2"/>
        <v>181.11872605668177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Q6/parameters!$B$5*15%</f>
        <v>23772.783582089553</v>
      </c>
      <c r="G5" s="14">
        <f ca="1">Q7/parameters!$B$7-(G3+G4)</f>
        <v>21041.95750831232</v>
      </c>
      <c r="H5" s="14"/>
      <c r="I5" s="14"/>
      <c r="J5" s="14"/>
      <c r="K5" s="13"/>
      <c r="L5" s="16">
        <f t="shared" ca="1" si="0"/>
        <v>44814.741090401876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-7695.94</v>
      </c>
      <c r="Q5" s="16">
        <f ca="1">SUM(L5:P5)</f>
        <v>37118.801090401874</v>
      </c>
      <c r="R5" s="16">
        <f t="shared" ca="1" si="2"/>
        <v>37118.801090401874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148659.13999999998</v>
      </c>
      <c r="I6" s="14"/>
      <c r="J6" s="14"/>
      <c r="K6" s="13"/>
      <c r="L6" s="16">
        <f t="shared" ca="1" si="0"/>
        <v>148659.13999999998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148659.13999999998</v>
      </c>
      <c r="R6" s="16">
        <f t="shared" ca="1" si="2"/>
        <v>148659.13999999998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29879.22</v>
      </c>
      <c r="I7" s="14"/>
      <c r="J7" s="14"/>
      <c r="K7" s="13"/>
      <c r="L7" s="16">
        <f t="shared" ca="1" si="0"/>
        <v>29879.22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29879.22</v>
      </c>
      <c r="R7" s="16">
        <f t="shared" ca="1" si="2"/>
        <v>29879.22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127409.05919847084</v>
      </c>
      <c r="J8" s="14">
        <f ca="1">Q10/J18</f>
        <v>54397.60080152913</v>
      </c>
      <c r="K8" s="13"/>
      <c r="L8" s="16">
        <f t="shared" ca="1" si="0"/>
        <v>181806.65999999997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1324.96</v>
      </c>
      <c r="P8" s="13" cm="1">
        <f t="array" aca="1" ref="P8" ca="1">-INDIRECT("'data'!$S$" &amp; $A$1)*parameters!$B$15</f>
        <v>-4593.26</v>
      </c>
      <c r="Q8" s="16">
        <f ca="1">SUM(Q6:Q7)</f>
        <v>178538.36</v>
      </c>
      <c r="R8" s="16">
        <f t="shared" ca="1" si="2"/>
        <v>178538.35999999996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115646.85999999999</v>
      </c>
      <c r="L9" s="16">
        <f t="shared" ca="1" si="0"/>
        <v>115646.85999999999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2179.52</v>
      </c>
      <c r="P9" s="13" cm="1">
        <f t="array" aca="1" ref="P9" ca="1">-INDIRECT("'data'!$V$" &amp; $A$1)*parameters!$B$15</f>
        <v>-1884.54</v>
      </c>
      <c r="Q9" s="16" cm="1">
        <f t="array" aca="1" ref="Q9" ca="1">INDIRECT("'data'!$T$" &amp; $A$1)*parameters!$B$15</f>
        <v>115941.84</v>
      </c>
      <c r="R9" s="16">
        <f t="shared" ca="1" si="2"/>
        <v>115941.84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68493.064295874821</v>
      </c>
      <c r="L10" s="16">
        <f t="shared" ca="1" si="0"/>
        <v>68493.064295874821</v>
      </c>
      <c r="M10" s="16"/>
      <c r="N10" s="16">
        <f t="shared" ca="1" si="3"/>
        <v>0</v>
      </c>
      <c r="O10" s="11" cm="1">
        <f t="array" aca="1" ref="O10" ca="1">INDIRECT("'data'!$X$" &amp; $A$1)*parameters!$B$15</f>
        <v>1760.08</v>
      </c>
      <c r="P10" s="13" cm="1">
        <f t="array" aca="1" ref="P10" ca="1">-INDIRECT("'data'!$Y$" &amp; $A$1)*parameters!$B$15</f>
        <v>-20751.5</v>
      </c>
      <c r="Q10" s="16" cm="1">
        <f t="array" aca="1" ref="Q10" ca="1">INDIRECT("'data'!$W$" &amp; $A$1)*parameters!$B$15</f>
        <v>49501.644295874823</v>
      </c>
      <c r="R10" s="16">
        <f t="shared" ca="1" si="2"/>
        <v>49501.644295874823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157424.00369445235</v>
      </c>
      <c r="N11" s="19"/>
      <c r="O11" s="21" cm="1">
        <f t="array" aca="1" ref="O11" ca="1">INDIRECT("'data'!$Z$" &amp; $A$1)*parameters!$B$15</f>
        <v>15398.74</v>
      </c>
      <c r="P11" s="27" cm="1">
        <f t="array" aca="1" ref="P11" ca="1">-INDIRECT("'data'!$AA$" &amp; $A$1)*parameters!$B$15</f>
        <v>-5210.66</v>
      </c>
      <c r="Q11" s="16">
        <f ca="1">K9*parameters!$B$10+K10*parameters!$B$11</f>
        <v>167612.08369445233</v>
      </c>
      <c r="R11" s="16">
        <f t="shared" ref="R11:R17" ca="1" si="4">SUM(L11:P11)</f>
        <v>167612.08369445233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-915.95624903411954</v>
      </c>
      <c r="D12" s="9">
        <f ca="1">-(D17-Q4)</f>
        <v>-1.1482821517128912</v>
      </c>
      <c r="E12" s="9">
        <f ca="1">-(E17-Q5)</f>
        <v>-4587.7169887013515</v>
      </c>
      <c r="F12" s="9">
        <f ca="1">-(F17-Q6)</f>
        <v>-9826.083880597027</v>
      </c>
      <c r="G12" s="9">
        <f ca="1">-(G17-Q7)</f>
        <v>-1342.5354858934152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-16673.440886377626</v>
      </c>
      <c r="M12" s="17"/>
      <c r="N12" s="17"/>
      <c r="O12" s="10"/>
      <c r="P12" s="12"/>
      <c r="Q12" s="9">
        <f t="shared" ref="Q12:Q17" ca="1" si="6">SUM(L12:P12)</f>
        <v>-16673.440886377626</v>
      </c>
      <c r="R12" s="17">
        <f t="shared" ca="1" si="4"/>
        <v>-16673.440886377626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-11467.219198470848</v>
      </c>
      <c r="J13" s="14">
        <f ca="1">-(J17-Q10)</f>
        <v>-4895.956505654307</v>
      </c>
      <c r="K13" s="13">
        <f ca="1">-(K17-Q11)</f>
        <v>-16527.840601422475</v>
      </c>
      <c r="L13" s="14">
        <f t="shared" ca="1" si="5"/>
        <v>-32891.01630554763</v>
      </c>
      <c r="M13" s="16">
        <f ca="1">-E15</f>
        <v>-8815.5017735555957</v>
      </c>
      <c r="N13" s="16"/>
      <c r="O13" s="11"/>
      <c r="P13" s="13"/>
      <c r="Q13" s="14">
        <f t="shared" ca="1" si="6"/>
        <v>-41706.518079103225</v>
      </c>
      <c r="R13" s="16">
        <f t="shared" ca="1" si="4"/>
        <v>-41706.518079103225</v>
      </c>
    </row>
    <row r="14" spans="1:20">
      <c r="A14" s="18" t="s">
        <v>78</v>
      </c>
      <c r="B14" s="11"/>
      <c r="C14" s="14"/>
      <c r="D14" s="14"/>
      <c r="E14" s="14">
        <f ca="1">-(I13+J13)-K13</f>
        <v>32891.01630554763</v>
      </c>
      <c r="F14" s="14"/>
      <c r="G14" s="14"/>
      <c r="H14" s="14"/>
      <c r="I14" s="14"/>
      <c r="J14" s="14"/>
      <c r="K14" s="13"/>
      <c r="L14" s="14">
        <f t="shared" ca="1" si="5"/>
        <v>32891.01630554763</v>
      </c>
      <c r="M14" s="16"/>
      <c r="N14" s="16"/>
      <c r="O14" s="11"/>
      <c r="P14" s="13"/>
      <c r="Q14" s="14">
        <f t="shared" ca="1" si="6"/>
        <v>32891.01630554763</v>
      </c>
      <c r="R14" s="16">
        <f t="shared" ca="1" si="4"/>
        <v>32891.01630554763</v>
      </c>
    </row>
    <row r="15" spans="1:20">
      <c r="A15" s="18" t="s">
        <v>79</v>
      </c>
      <c r="B15" s="11"/>
      <c r="C15" s="14"/>
      <c r="D15" s="14"/>
      <c r="E15" s="14">
        <f ca="1">E17-E14</f>
        <v>8815.5017735555957</v>
      </c>
      <c r="F15" s="14"/>
      <c r="G15" s="14"/>
      <c r="H15" s="14"/>
      <c r="I15" s="14"/>
      <c r="J15" s="14"/>
      <c r="K15" s="13"/>
      <c r="L15" s="14">
        <f t="shared" ca="1" si="5"/>
        <v>8815.5017735555957</v>
      </c>
      <c r="M15" s="16"/>
      <c r="N15" s="16"/>
      <c r="O15" s="11"/>
      <c r="P15" s="13"/>
      <c r="Q15" s="14">
        <f t="shared" ca="1" si="6"/>
        <v>8815.5017735555957</v>
      </c>
      <c r="R15" s="16">
        <f t="shared" ca="1" si="4"/>
        <v>8815.5017735555957</v>
      </c>
    </row>
    <row r="16" spans="1:20">
      <c r="A16" s="30" t="s">
        <v>89</v>
      </c>
      <c r="B16" s="21">
        <f ca="1">Q2</f>
        <v>68187.978881023475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68187.978881023475</v>
      </c>
      <c r="M16" s="19"/>
      <c r="N16" s="19"/>
      <c r="O16" s="21"/>
      <c r="P16" s="27"/>
      <c r="Q16" s="22">
        <f t="shared" ca="1" si="6"/>
        <v>68187.978881023475</v>
      </c>
      <c r="R16" s="19">
        <f t="shared" ca="1" si="4"/>
        <v>68187.978881023475</v>
      </c>
    </row>
    <row r="17" spans="1:18">
      <c r="A17" s="29" t="s">
        <v>88</v>
      </c>
      <c r="B17" s="9">
        <f ca="1">B16</f>
        <v>68187.978881023475</v>
      </c>
      <c r="C17" s="9">
        <f ca="1">SUM(C$2:C$11)</f>
        <v>145389.88079906601</v>
      </c>
      <c r="D17" s="9">
        <f ca="1">SUM(D$2:D$11)</f>
        <v>182.26700820839466</v>
      </c>
      <c r="E17" s="9">
        <f ca="1">$Q$5/parameters!$B$4</f>
        <v>41706.518079103225</v>
      </c>
      <c r="F17" s="9">
        <f t="shared" ref="F17:K17" ca="1" si="7">SUM(F$2:F$11)</f>
        <v>158485.22388059701</v>
      </c>
      <c r="G17" s="9">
        <f t="shared" ca="1" si="7"/>
        <v>31221.755485893416</v>
      </c>
      <c r="H17" s="9">
        <f t="shared" ca="1" si="7"/>
        <v>178538.36</v>
      </c>
      <c r="I17" s="9">
        <f t="shared" ca="1" si="7"/>
        <v>127409.05919847084</v>
      </c>
      <c r="J17" s="9">
        <f t="shared" ca="1" si="7"/>
        <v>54397.60080152913</v>
      </c>
      <c r="K17" s="9">
        <f t="shared" ca="1" si="7"/>
        <v>184139.92429587481</v>
      </c>
      <c r="L17" s="17">
        <f t="shared" ca="1" si="5"/>
        <v>989658.56842976622</v>
      </c>
      <c r="M17" s="17"/>
      <c r="N17" s="17"/>
      <c r="O17" s="9"/>
      <c r="P17" s="14"/>
      <c r="Q17" s="11">
        <f t="shared" ca="1" si="6"/>
        <v>989658.56842976622</v>
      </c>
      <c r="R17" s="17">
        <f t="shared" ca="1" si="4"/>
        <v>989658.56842976622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0.90999683012643673</v>
      </c>
      <c r="J18" s="39">
        <f ca="1">I18</f>
        <v>0.90999683012643673</v>
      </c>
      <c r="K18" s="40">
        <f ca="1">1-(-K13)/K17</f>
        <v>0.91024303575325871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19202.442567448437</v>
      </c>
      <c r="D2" s="9">
        <f ca="1">Q4/parameters!$B$3</f>
        <v>4406.244865319195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23608.687432767634</v>
      </c>
      <c r="M2" s="17"/>
      <c r="N2" s="17">
        <f ca="1">Q2-(L2+O2+P2)</f>
        <v>0</v>
      </c>
      <c r="O2" s="11" cm="1">
        <f t="array" aca="1" ref="O2" ca="1">INDIRECT("'data'!$F$" &amp; $A$1)</f>
        <v>35703.85</v>
      </c>
      <c r="P2" s="13">
        <f ca="1">IF(-(L2-Q2+O2)&lt;0, -(L2-Q2+O2), 0)</f>
        <v>-13389.477984245299</v>
      </c>
      <c r="Q2" s="17" cm="1">
        <f t="array" aca="1" ref="Q2" ca="1">INDIRECT("'data'!$D$" &amp; $A$1)</f>
        <v>45923.059448522334</v>
      </c>
      <c r="R2" s="17">
        <f ca="1">SUM(L2:P2)</f>
        <v>45923.059448522334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15019.701492537313</v>
      </c>
      <c r="G3" s="14">
        <f ca="1">Q3-O3-P3-F3</f>
        <v>3795.2756867361986</v>
      </c>
      <c r="H3" s="14"/>
      <c r="I3" s="14"/>
      <c r="J3" s="14"/>
      <c r="K3" s="13"/>
      <c r="L3" s="16">
        <f t="shared" ca="1" si="0"/>
        <v>18814.977179273512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267.435</v>
      </c>
      <c r="P3" s="13" cm="1">
        <f t="array" aca="1" ref="P3" ca="1">-INDIRECT("'data'!$I$" &amp; $A$1)*parameters!$B$13</f>
        <v>-0.94499999999999995</v>
      </c>
      <c r="Q3" s="16" cm="1">
        <f t="array" aca="1" ref="Q3" ca="1">INDIRECT("'data'!$G$" &amp; $A$1)*parameters!$B$13</f>
        <v>19081.467179273513</v>
      </c>
      <c r="R3" s="16">
        <f t="shared" ref="R3:R10" ca="1" si="2">SUM(L3:P3)</f>
        <v>19081.467179273513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4378.4855226676846</v>
      </c>
      <c r="H4" s="14"/>
      <c r="I4" s="14"/>
      <c r="J4" s="14"/>
      <c r="K4" s="13"/>
      <c r="L4" s="16">
        <f t="shared" ca="1" si="0"/>
        <v>4378.4855226676846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4378.4855226676846</v>
      </c>
      <c r="R4" s="16">
        <f t="shared" ca="1" si="2"/>
        <v>4378.4855226676846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3754.9253731343288</v>
      </c>
      <c r="G5" s="14">
        <f ca="1">Q7/parameters!$B$7-(G3+G4)</f>
        <v>2937.0015910140901</v>
      </c>
      <c r="H5" s="14"/>
      <c r="I5" s="14"/>
      <c r="J5" s="14"/>
      <c r="K5" s="13"/>
      <c r="L5" s="16">
        <f t="shared" ca="1" si="0"/>
        <v>6691.9269641484188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-1015.28</v>
      </c>
      <c r="Q5" s="16">
        <f ca="1">SUM(L5:P5)</f>
        <v>5676.6469641484191</v>
      </c>
      <c r="R5" s="16">
        <f t="shared" ca="1" si="2"/>
        <v>5676.6469641484191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17610.599999999999</v>
      </c>
      <c r="I6" s="14"/>
      <c r="J6" s="14"/>
      <c r="K6" s="13"/>
      <c r="L6" s="16">
        <f t="shared" ca="1" si="0"/>
        <v>17610.599999999999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17610.599999999999</v>
      </c>
      <c r="R6" s="16">
        <f t="shared" ca="1" si="2"/>
        <v>17610.599999999999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10633</v>
      </c>
      <c r="I7" s="14"/>
      <c r="J7" s="14"/>
      <c r="K7" s="13"/>
      <c r="L7" s="16">
        <f t="shared" ca="1" si="0"/>
        <v>10633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10633</v>
      </c>
      <c r="R7" s="16">
        <f t="shared" ca="1" si="2"/>
        <v>10633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13425</v>
      </c>
      <c r="J8" s="14">
        <f ca="1">Q10/J18</f>
        <v>17788.118065433853</v>
      </c>
      <c r="K8" s="13"/>
      <c r="L8" s="16">
        <f t="shared" ca="1" si="0"/>
        <v>31213.118065433853</v>
      </c>
      <c r="M8" s="16"/>
      <c r="N8" s="16">
        <f t="shared" ca="1" si="3"/>
        <v>-3099.8580654338548</v>
      </c>
      <c r="O8" s="11" cm="1">
        <f t="array" aca="1" ref="O8" ca="1">INDIRECT("'data'!$R$" &amp; $A$1)*parameters!$B$15</f>
        <v>339.08</v>
      </c>
      <c r="P8" s="13" cm="1">
        <f t="array" aca="1" ref="P8" ca="1">-INDIRECT("'data'!$S$" &amp; $A$1)*parameters!$B$15</f>
        <v>-208.74</v>
      </c>
      <c r="Q8" s="16">
        <f ca="1">SUM(Q6:Q7)</f>
        <v>28243.599999999999</v>
      </c>
      <c r="R8" s="16">
        <f t="shared" ca="1" si="2"/>
        <v>28243.599999999999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12828.199999999999</v>
      </c>
      <c r="L9" s="16">
        <f t="shared" ca="1" si="0"/>
        <v>12828.199999999999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464.52</v>
      </c>
      <c r="P9" s="13" cm="1">
        <f t="array" aca="1" ref="P9" ca="1">-INDIRECT("'data'!$V$" &amp; $A$1)*parameters!$B$15</f>
        <v>-136.22</v>
      </c>
      <c r="Q9" s="16" cm="1">
        <f t="array" aca="1" ref="Q9" ca="1">INDIRECT("'data'!$T$" &amp; $A$1)*parameters!$B$15</f>
        <v>13156.5</v>
      </c>
      <c r="R9" s="16">
        <f t="shared" ca="1" si="2"/>
        <v>13156.5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15958.435704125175</v>
      </c>
      <c r="L10" s="16">
        <f t="shared" ca="1" si="0"/>
        <v>15958.435704125175</v>
      </c>
      <c r="M10" s="16"/>
      <c r="N10" s="16">
        <f t="shared" ca="1" si="3"/>
        <v>0</v>
      </c>
      <c r="O10" s="11" cm="1">
        <f t="array" aca="1" ref="O10" ca="1">INDIRECT("'data'!$X$" &amp; $A$1)*parameters!$B$15</f>
        <v>2725.38</v>
      </c>
      <c r="P10" s="13" cm="1">
        <f t="array" aca="1" ref="P10" ca="1">-INDIRECT("'data'!$Y$" &amp; $A$1)*parameters!$B$15</f>
        <v>-1251.46</v>
      </c>
      <c r="Q10" s="16" cm="1">
        <f t="array" aca="1" ref="Q10" ca="1">INDIRECT("'data'!$W$" &amp; $A$1)*parameters!$B$15</f>
        <v>17432.355704125177</v>
      </c>
      <c r="R10" s="16">
        <f t="shared" ca="1" si="2"/>
        <v>17432.355704125177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25287.86270554765</v>
      </c>
      <c r="N11" s="19"/>
      <c r="O11" s="21" cm="1">
        <f t="array" aca="1" ref="O11" ca="1">INDIRECT("'data'!$Z$" &amp; $A$1)*parameters!$B$15</f>
        <v>1373.96</v>
      </c>
      <c r="P11" s="27" cm="1">
        <f t="array" aca="1" ref="P11" ca="1">-INDIRECT("'data'!$AA$" &amp; $A$1)*parameters!$B$15</f>
        <v>-879.06</v>
      </c>
      <c r="Q11" s="16">
        <f ca="1">K9*parameters!$B$10+K10*parameters!$B$11</f>
        <v>25782.762705547648</v>
      </c>
      <c r="R11" s="16">
        <f t="shared" ref="R11:R17" ca="1" si="4">SUM(L11:P11)</f>
        <v>25782.762705547648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-120.97538817492386</v>
      </c>
      <c r="D12" s="9">
        <f ca="1">-(D17-Q4)</f>
        <v>-27.759342651510451</v>
      </c>
      <c r="E12" s="9">
        <f ca="1">-(E17-Q5)</f>
        <v>-701.60805174868074</v>
      </c>
      <c r="F12" s="9">
        <f ca="1">-(F17-Q6)</f>
        <v>-1164.0268656716435</v>
      </c>
      <c r="G12" s="9">
        <f ca="1">-(G17-Q7)</f>
        <v>-477.76280041797327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-2492.1324486647318</v>
      </c>
      <c r="M12" s="17"/>
      <c r="N12" s="17"/>
      <c r="O12" s="10"/>
      <c r="P12" s="12"/>
      <c r="Q12" s="9">
        <f t="shared" ref="Q12:Q17" ca="1" si="6">SUM(L12:P12)</f>
        <v>-2492.1324486647318</v>
      </c>
      <c r="R12" s="17">
        <f t="shared" ca="1" si="4"/>
        <v>-2492.1324486647318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-268.5</v>
      </c>
      <c r="J13" s="14">
        <f ca="1">-(J17-Q10)</f>
        <v>-355.76236130867619</v>
      </c>
      <c r="K13" s="13">
        <f ca="1">-(K17-Q11)</f>
        <v>-3003.8729985775281</v>
      </c>
      <c r="L13" s="14">
        <f t="shared" ca="1" si="5"/>
        <v>-3628.1353598862042</v>
      </c>
      <c r="M13" s="16">
        <f ca="1">-E15</f>
        <v>-2750.1196560108956</v>
      </c>
      <c r="N13" s="16"/>
      <c r="O13" s="11"/>
      <c r="P13" s="13"/>
      <c r="Q13" s="14">
        <f t="shared" ca="1" si="6"/>
        <v>-6378.2550158970998</v>
      </c>
      <c r="R13" s="16">
        <f t="shared" ca="1" si="4"/>
        <v>-6378.2550158970998</v>
      </c>
    </row>
    <row r="14" spans="1:22">
      <c r="A14" s="18" t="s">
        <v>78</v>
      </c>
      <c r="B14" s="11"/>
      <c r="C14" s="14"/>
      <c r="D14" s="14"/>
      <c r="E14" s="14">
        <f ca="1">-(I13+J13)-K13</f>
        <v>3628.1353598862042</v>
      </c>
      <c r="F14" s="14"/>
      <c r="G14" s="14"/>
      <c r="H14" s="14"/>
      <c r="I14" s="14"/>
      <c r="J14" s="14"/>
      <c r="K14" s="13"/>
      <c r="L14" s="14">
        <f t="shared" ca="1" si="5"/>
        <v>3628.1353598862042</v>
      </c>
      <c r="M14" s="16"/>
      <c r="N14" s="16"/>
      <c r="O14" s="11"/>
      <c r="P14" s="13"/>
      <c r="Q14" s="14">
        <f t="shared" ca="1" si="6"/>
        <v>3628.1353598862042</v>
      </c>
      <c r="R14" s="16">
        <f t="shared" ca="1" si="4"/>
        <v>3628.1353598862042</v>
      </c>
    </row>
    <row r="15" spans="1:22">
      <c r="A15" s="18" t="s">
        <v>79</v>
      </c>
      <c r="B15" s="11"/>
      <c r="C15" s="14"/>
      <c r="D15" s="14"/>
      <c r="E15" s="14">
        <f ca="1">E17-E14</f>
        <v>2750.1196560108956</v>
      </c>
      <c r="F15" s="14"/>
      <c r="G15" s="14"/>
      <c r="H15" s="14"/>
      <c r="I15" s="14"/>
      <c r="J15" s="14"/>
      <c r="K15" s="13"/>
      <c r="L15" s="14">
        <f t="shared" ca="1" si="5"/>
        <v>2750.1196560108956</v>
      </c>
      <c r="M15" s="16"/>
      <c r="N15" s="16"/>
      <c r="O15" s="11"/>
      <c r="P15" s="13"/>
      <c r="Q15" s="14">
        <f t="shared" ca="1" si="6"/>
        <v>2750.1196560108956</v>
      </c>
      <c r="R15" s="16">
        <f t="shared" ca="1" si="4"/>
        <v>2750.1196560108956</v>
      </c>
    </row>
    <row r="16" spans="1:22">
      <c r="A16" s="30" t="s">
        <v>89</v>
      </c>
      <c r="B16" s="21">
        <f ca="1">Q2</f>
        <v>45923.059448522334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45923.059448522334</v>
      </c>
      <c r="M16" s="19"/>
      <c r="N16" s="19"/>
      <c r="O16" s="21"/>
      <c r="P16" s="27"/>
      <c r="Q16" s="22">
        <f t="shared" ca="1" si="6"/>
        <v>45923.059448522334</v>
      </c>
      <c r="R16" s="19">
        <f t="shared" ca="1" si="4"/>
        <v>45923.059448522334</v>
      </c>
    </row>
    <row r="17" spans="1:18">
      <c r="A17" s="29" t="s">
        <v>88</v>
      </c>
      <c r="B17" s="9">
        <f ca="1">B16</f>
        <v>45923.059448522334</v>
      </c>
      <c r="C17" s="9">
        <f ca="1">SUM(C$2:C$11)</f>
        <v>19202.442567448437</v>
      </c>
      <c r="D17" s="9">
        <f ca="1">SUM(D$2:D$11)</f>
        <v>4406.244865319195</v>
      </c>
      <c r="E17" s="9">
        <f ca="1">$Q$5/parameters!$B$4</f>
        <v>6378.2550158970998</v>
      </c>
      <c r="F17" s="9">
        <f t="shared" ref="F17:K17" ca="1" si="7">SUM(F$2:F$11)</f>
        <v>18774.626865671642</v>
      </c>
      <c r="G17" s="9">
        <f t="shared" ca="1" si="7"/>
        <v>11110.762800417973</v>
      </c>
      <c r="H17" s="9">
        <f t="shared" ca="1" si="7"/>
        <v>28243.599999999999</v>
      </c>
      <c r="I17" s="9">
        <f t="shared" ca="1" si="7"/>
        <v>13425</v>
      </c>
      <c r="J17" s="9">
        <f t="shared" ca="1" si="7"/>
        <v>17788.118065433853</v>
      </c>
      <c r="K17" s="9">
        <f t="shared" ca="1" si="7"/>
        <v>28786.635704125176</v>
      </c>
      <c r="L17" s="17">
        <f t="shared" ca="1" si="5"/>
        <v>194038.74533283571</v>
      </c>
      <c r="M17" s="17"/>
      <c r="N17" s="17"/>
      <c r="O17" s="9"/>
      <c r="P17" s="14"/>
      <c r="Q17" s="11">
        <f t="shared" ca="1" si="6"/>
        <v>194038.74533283571</v>
      </c>
      <c r="R17" s="17">
        <f t="shared" ca="1" si="4"/>
        <v>194038.74533283571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0.89565043204590011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77010.320016101439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77010.320016101439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-77010.320016101439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73023.968656716417</v>
      </c>
      <c r="G3" s="14">
        <f ca="1">Q3-O3-P3-F3</f>
        <v>3034.3563432835799</v>
      </c>
      <c r="H3" s="14"/>
      <c r="I3" s="14"/>
      <c r="J3" s="14"/>
      <c r="K3" s="13"/>
      <c r="L3" s="16">
        <f t="shared" ca="1" si="0"/>
        <v>76058.324999999997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641.65499999999997</v>
      </c>
      <c r="P3" s="13" cm="1">
        <f t="array" aca="1" ref="P3" ca="1">-INDIRECT("'data'!$I$" &amp; $A$1)*parameters!$B$13</f>
        <v>-174.82499999999999</v>
      </c>
      <c r="Q3" s="16" cm="1">
        <f t="array" aca="1" ref="Q3" ca="1">INDIRECT("'data'!$G$" &amp; $A$1)*parameters!$B$13</f>
        <v>76525.154999999999</v>
      </c>
      <c r="R3" s="16">
        <f t="shared" ref="R3:R10" ca="1" si="2">SUM(L3:P3)</f>
        <v>76525.154999999999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Q6/parameters!$B$5*11%</f>
        <v>9025.4343283582093</v>
      </c>
      <c r="G5" s="14">
        <f ca="1">Q7/parameters!$B$7-(G3+G4)</f>
        <v>26879.708442505344</v>
      </c>
      <c r="H5" s="14"/>
      <c r="I5" s="14"/>
      <c r="J5" s="14"/>
      <c r="K5" s="13"/>
      <c r="L5" s="16">
        <f t="shared" ca="1" si="0"/>
        <v>35905.142770863553</v>
      </c>
      <c r="M5" s="16"/>
      <c r="N5" s="16"/>
      <c r="O5" s="11" cm="1">
        <f t="array" aca="1" ref="O5" ca="1">INDIRECT("'data'!$M$" &amp; $A$1)*parameters!$B$15</f>
        <v>5909.4</v>
      </c>
      <c r="P5" s="13" cm="1">
        <f t="array" aca="1" ref="P5" ca="1">-INDIRECT("'data'!$N$" &amp; $A$1)*parameters!$B$15</f>
        <v>-175.42</v>
      </c>
      <c r="Q5" s="16">
        <f ca="1">SUM(L5:P5)</f>
        <v>41639.122770863556</v>
      </c>
      <c r="R5" s="16">
        <f t="shared" ca="1" si="2"/>
        <v>41639.122770863556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76962.34</v>
      </c>
      <c r="I6" s="14"/>
      <c r="J6" s="14"/>
      <c r="K6" s="13"/>
      <c r="L6" s="16">
        <f t="shared" ca="1" si="0"/>
        <v>76962.34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76962.34</v>
      </c>
      <c r="R6" s="16">
        <f t="shared" ca="1" si="2"/>
        <v>76962.34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28627.759999999998</v>
      </c>
      <c r="I7" s="14"/>
      <c r="J7" s="14"/>
      <c r="K7" s="13"/>
      <c r="L7" s="16">
        <f t="shared" ca="1" si="0"/>
        <v>28627.759999999998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28627.759999999998</v>
      </c>
      <c r="R7" s="16">
        <f t="shared" ca="1" si="2"/>
        <v>28627.759999999998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38295.285843783655</v>
      </c>
      <c r="J8" s="14">
        <f ca="1">Q10/J18</f>
        <v>63418.914156216328</v>
      </c>
      <c r="K8" s="13"/>
      <c r="L8" s="16">
        <f t="shared" ca="1" si="0"/>
        <v>101714.19999999998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3887.66</v>
      </c>
      <c r="P8" s="13" cm="1">
        <f t="array" aca="1" ref="P8" ca="1">-INDIRECT("'data'!$S$" &amp; $A$1)*parameters!$B$15</f>
        <v>-11.76</v>
      </c>
      <c r="Q8" s="16">
        <f ca="1">SUM(Q6:Q7)</f>
        <v>105590.09999999999</v>
      </c>
      <c r="R8" s="16">
        <f t="shared" ca="1" si="2"/>
        <v>105590.09999999999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31255.139999999996</v>
      </c>
      <c r="L9" s="16">
        <f t="shared" ca="1" si="0"/>
        <v>31255.139999999996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4491.34</v>
      </c>
      <c r="P9" s="13" cm="1">
        <f t="array" aca="1" ref="P9" ca="1">-INDIRECT("'data'!$V$" &amp; $A$1)*parameters!$B$15</f>
        <v>-222.46</v>
      </c>
      <c r="Q9" s="16" cm="1">
        <f t="array" aca="1" ref="Q9" ca="1">INDIRECT("'data'!$T$" &amp; $A$1)*parameters!$B$15</f>
        <v>35524.019999999997</v>
      </c>
      <c r="R9" s="16">
        <f t="shared" ca="1" si="2"/>
        <v>35524.019999999997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38619.998918918915</v>
      </c>
      <c r="L10" s="16">
        <f t="shared" ca="1" si="0"/>
        <v>38619.998918918915</v>
      </c>
      <c r="M10" s="16"/>
      <c r="N10" s="16">
        <f t="shared" ca="1" si="3"/>
        <v>0</v>
      </c>
      <c r="O10" s="11" cm="1">
        <f t="array" aca="1" ref="O10" ca="1">INDIRECT("'data'!$X$" &amp; $A$1)*parameters!$B$15</f>
        <v>22882.02</v>
      </c>
      <c r="P10" s="13" cm="1">
        <f t="array" aca="1" ref="P10" ca="1">-INDIRECT("'data'!$Y$" &amp; $A$1)*parameters!$B$15</f>
        <v>-2672.46</v>
      </c>
      <c r="Q10" s="16" cm="1">
        <f t="array" aca="1" ref="Q10" ca="1">INDIRECT("'data'!$W$" &amp; $A$1)*parameters!$B$15</f>
        <v>58829.558918918912</v>
      </c>
      <c r="R10" s="16">
        <f t="shared" ca="1" si="2"/>
        <v>58829.558918918912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45315.630670270271</v>
      </c>
      <c r="N11" s="19"/>
      <c r="O11" s="21" cm="1">
        <f t="array" aca="1" ref="O11" ca="1">INDIRECT("'data'!$Z$" &amp; $A$1)*parameters!$B$15</f>
        <v>20911.239999999998</v>
      </c>
      <c r="P11" s="27" cm="1">
        <f t="array" aca="1" ref="P11" ca="1">-INDIRECT("'data'!$AA$" &amp; $A$1)*parameters!$B$15</f>
        <v>-3633.84</v>
      </c>
      <c r="Q11" s="16">
        <f ca="1">K9*parameters!$B$10+K10*parameters!$B$11</f>
        <v>62593.030670270266</v>
      </c>
      <c r="R11" s="16">
        <f t="shared" ref="R11:R17" ca="1" si="4">SUM(L11:P11)</f>
        <v>62593.030670270266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-485.16501610144041</v>
      </c>
      <c r="D12" s="9">
        <f ca="1">-(D17-Q4)</f>
        <v>0</v>
      </c>
      <c r="E12" s="9">
        <f ca="1">-(E17-Q5)</f>
        <v>-5146.4084323539209</v>
      </c>
      <c r="F12" s="9">
        <f ca="1">-(F17-Q6)</f>
        <v>-5087.0629850746336</v>
      </c>
      <c r="G12" s="9">
        <f ca="1">-(G17-Q7)</f>
        <v>-1286.3047857889251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-12004.94121931892</v>
      </c>
      <c r="M12" s="17"/>
      <c r="N12" s="17"/>
      <c r="O12" s="10"/>
      <c r="P12" s="12"/>
      <c r="Q12" s="9">
        <f t="shared" ref="Q12:Q17" ca="1" si="6">SUM(L12:P12)</f>
        <v>-12004.94121931892</v>
      </c>
      <c r="R12" s="17">
        <f t="shared" ca="1" si="4"/>
        <v>-12004.94121931892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-2771.2658437836581</v>
      </c>
      <c r="J13" s="14">
        <f ca="1">-(J17-Q10)</f>
        <v>-4589.3552372974154</v>
      </c>
      <c r="K13" s="13">
        <f ca="1">-(K17-Q11)</f>
        <v>-7282.1082486486412</v>
      </c>
      <c r="L13" s="14">
        <f t="shared" ca="1" si="5"/>
        <v>-14642.729329729715</v>
      </c>
      <c r="M13" s="16">
        <f ca="1">-E15</f>
        <v>-32142.801873487762</v>
      </c>
      <c r="N13" s="16"/>
      <c r="O13" s="11"/>
      <c r="P13" s="13"/>
      <c r="Q13" s="14">
        <f t="shared" ca="1" si="6"/>
        <v>-46785.531203217477</v>
      </c>
      <c r="R13" s="16">
        <f t="shared" ca="1" si="4"/>
        <v>-46785.531203217477</v>
      </c>
    </row>
    <row r="14" spans="1:20">
      <c r="A14" s="18" t="s">
        <v>78</v>
      </c>
      <c r="B14" s="11"/>
      <c r="C14" s="14"/>
      <c r="D14" s="14"/>
      <c r="E14" s="14">
        <f ca="1">-(I13+J13)-K13</f>
        <v>14642.729329729715</v>
      </c>
      <c r="F14" s="14"/>
      <c r="G14" s="14"/>
      <c r="H14" s="14"/>
      <c r="I14" s="14"/>
      <c r="J14" s="14"/>
      <c r="K14" s="13"/>
      <c r="L14" s="14">
        <f t="shared" ca="1" si="5"/>
        <v>14642.729329729715</v>
      </c>
      <c r="M14" s="16"/>
      <c r="N14" s="16"/>
      <c r="O14" s="11"/>
      <c r="P14" s="13"/>
      <c r="Q14" s="14">
        <f t="shared" ca="1" si="6"/>
        <v>14642.729329729715</v>
      </c>
      <c r="R14" s="16">
        <f t="shared" ca="1" si="4"/>
        <v>14642.729329729715</v>
      </c>
    </row>
    <row r="15" spans="1:20">
      <c r="A15" s="18" t="s">
        <v>79</v>
      </c>
      <c r="B15" s="11"/>
      <c r="C15" s="14"/>
      <c r="D15" s="14"/>
      <c r="E15" s="14">
        <f ca="1">E17-E14</f>
        <v>32142.801873487762</v>
      </c>
      <c r="F15" s="14"/>
      <c r="G15" s="14"/>
      <c r="H15" s="14"/>
      <c r="I15" s="14"/>
      <c r="J15" s="14"/>
      <c r="K15" s="13"/>
      <c r="L15" s="14">
        <f t="shared" ca="1" si="5"/>
        <v>32142.801873487762</v>
      </c>
      <c r="M15" s="16"/>
      <c r="N15" s="16"/>
      <c r="O15" s="11"/>
      <c r="P15" s="13"/>
      <c r="Q15" s="14">
        <f t="shared" ca="1" si="6"/>
        <v>32142.801873487762</v>
      </c>
      <c r="R15" s="16">
        <f t="shared" ca="1" si="4"/>
        <v>32142.801873487762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77010.320016101439</v>
      </c>
      <c r="D17" s="9">
        <f ca="1">SUM(D$2:D$11)</f>
        <v>0</v>
      </c>
      <c r="E17" s="9">
        <f ca="1">$Q$5/parameters!$B$4</f>
        <v>46785.531203217477</v>
      </c>
      <c r="F17" s="9">
        <f t="shared" ref="F17:K17" ca="1" si="7">SUM(F$2:F$11)</f>
        <v>82049.40298507463</v>
      </c>
      <c r="G17" s="9">
        <f t="shared" ca="1" si="7"/>
        <v>29914.064785788923</v>
      </c>
      <c r="H17" s="9">
        <f t="shared" ca="1" si="7"/>
        <v>105590.09999999999</v>
      </c>
      <c r="I17" s="9">
        <f t="shared" ca="1" si="7"/>
        <v>38295.285843783655</v>
      </c>
      <c r="J17" s="9">
        <f t="shared" ca="1" si="7"/>
        <v>63418.914156216328</v>
      </c>
      <c r="K17" s="9">
        <f t="shared" ca="1" si="7"/>
        <v>69875.138918918907</v>
      </c>
      <c r="L17" s="17">
        <f t="shared" ca="1" si="5"/>
        <v>512938.75790910132</v>
      </c>
      <c r="M17" s="17"/>
      <c r="N17" s="17"/>
      <c r="O17" s="9"/>
      <c r="P17" s="14"/>
      <c r="Q17" s="11">
        <f t="shared" ca="1" si="6"/>
        <v>512938.75790910132</v>
      </c>
      <c r="R17" s="17">
        <f t="shared" ca="1" si="4"/>
        <v>512938.75790910132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0.92763428232163181</v>
      </c>
      <c r="J18" s="39">
        <f ca="1">I18</f>
        <v>0.92763428232163181</v>
      </c>
      <c r="K18" s="40">
        <f ca="1">1-(-K13)/K17</f>
        <v>0.89578398896496525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38253.622823789876</v>
      </c>
      <c r="D2" s="9">
        <f ca="1">Q4/parameters!$B$3</f>
        <v>435.14139076179936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38688.764214551673</v>
      </c>
      <c r="M2" s="17"/>
      <c r="N2" s="17">
        <f ca="1">Q2-(L2+O2+P2)</f>
        <v>0</v>
      </c>
      <c r="O2" s="11" cm="1">
        <f t="array" aca="1" ref="O2" ca="1">INDIRECT("'data'!$F$" &amp; $A$1)</f>
        <v>4390.1000000000004</v>
      </c>
      <c r="P2" s="13">
        <f ca="1">IF(-(L2-Q2+O2)&lt;0, -(L2-Q2+O2), 0)</f>
        <v>-10579.864214551673</v>
      </c>
      <c r="Q2" s="17" cm="1">
        <f t="array" aca="1" ref="Q2" ca="1">INDIRECT("'data'!$D$" &amp; $A$1)</f>
        <v>32499</v>
      </c>
      <c r="R2" s="17">
        <f ca="1">SUM(L2:P2)</f>
        <v>32499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38948.898507462691</v>
      </c>
      <c r="G3" s="14">
        <f ca="1">Q3-O3-P3-F3</f>
        <v>3400.3314925373124</v>
      </c>
      <c r="H3" s="14"/>
      <c r="I3" s="14"/>
      <c r="J3" s="14"/>
      <c r="K3" s="13"/>
      <c r="L3" s="16">
        <f t="shared" ca="1" si="0"/>
        <v>42349.23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32.129999999999995</v>
      </c>
      <c r="P3" s="13" cm="1">
        <f t="array" aca="1" ref="P3" ca="1">-INDIRECT("'data'!$I$" &amp; $A$1)*parameters!$B$13</f>
        <v>-4368.7349999999997</v>
      </c>
      <c r="Q3" s="16" cm="1">
        <f t="array" aca="1" ref="Q3" ca="1">INDIRECT("'data'!$G$" &amp; $A$1)*parameters!$B$13</f>
        <v>38012.625</v>
      </c>
      <c r="R3" s="16">
        <f t="shared" ref="R3:R10" ca="1" si="2">SUM(L3:P3)</f>
        <v>38012.625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432.40000000000003</v>
      </c>
      <c r="H4" s="14"/>
      <c r="I4" s="14"/>
      <c r="J4" s="14"/>
      <c r="K4" s="13"/>
      <c r="L4" s="16">
        <f t="shared" ca="1" si="0"/>
        <v>432.40000000000003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432.40000000000003</v>
      </c>
      <c r="R4" s="16">
        <f t="shared" ca="1" si="2"/>
        <v>432.40000000000003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Q6/parameters!$B$5*18%</f>
        <v>8549.7582089552234</v>
      </c>
      <c r="G5" s="14">
        <f ca="1">Q7/parameters!$B$7-(G3+G4)</f>
        <v>43399.786793774074</v>
      </c>
      <c r="H5" s="14"/>
      <c r="I5" s="14"/>
      <c r="J5" s="14"/>
      <c r="K5" s="13"/>
      <c r="L5" s="16">
        <f t="shared" ca="1" si="0"/>
        <v>51949.545002729297</v>
      </c>
      <c r="M5" s="16"/>
      <c r="N5" s="16"/>
      <c r="O5" s="11" cm="1">
        <f t="array" aca="1" ref="O5" ca="1">INDIRECT("'data'!$M$" &amp; $A$1)*parameters!$B$15</f>
        <v>8771</v>
      </c>
      <c r="P5" s="13" cm="1">
        <f t="array" aca="1" ref="P5" ca="1">-INDIRECT("'data'!$N$" &amp; $A$1)*parameters!$B$15</f>
        <v>-3063.48</v>
      </c>
      <c r="Q5" s="16">
        <f ca="1">SUM(L5:P5)</f>
        <v>57657.065002729294</v>
      </c>
      <c r="R5" s="16">
        <f t="shared" ca="1" si="2"/>
        <v>57657.065002729294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44553.74</v>
      </c>
      <c r="I6" s="14"/>
      <c r="J6" s="14"/>
      <c r="K6" s="13"/>
      <c r="L6" s="16">
        <f t="shared" ca="1" si="0"/>
        <v>44553.74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44553.74</v>
      </c>
      <c r="R6" s="16">
        <f t="shared" ca="1" si="2"/>
        <v>44553.74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45201.52</v>
      </c>
      <c r="I7" s="14"/>
      <c r="J7" s="14"/>
      <c r="K7" s="13"/>
      <c r="L7" s="16">
        <f t="shared" ca="1" si="0"/>
        <v>45201.52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45201.52</v>
      </c>
      <c r="R7" s="16">
        <f t="shared" ca="1" si="2"/>
        <v>45201.52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29024.563148532783</v>
      </c>
      <c r="J8" s="14">
        <f ca="1">Q10/J18</f>
        <v>68494.256851467217</v>
      </c>
      <c r="K8" s="13"/>
      <c r="L8" s="16">
        <f t="shared" ca="1" si="0"/>
        <v>97518.82</v>
      </c>
      <c r="M8" s="16"/>
      <c r="N8" s="16">
        <f t="shared" ca="1" si="3"/>
        <v>0</v>
      </c>
      <c r="O8" s="11" cm="1">
        <f t="array" aca="1" ref="O8" ca="1">INDIRECT("'data'!$R$" &amp; $A$1)*parameters!$B$15</f>
        <v>99.96</v>
      </c>
      <c r="P8" s="13" cm="1">
        <f t="array" aca="1" ref="P8" ca="1">-INDIRECT("'data'!$S$" &amp; $A$1)*parameters!$B$15</f>
        <v>-7863.5199999999995</v>
      </c>
      <c r="Q8" s="16">
        <f ca="1">SUM(Q6:Q7)</f>
        <v>89755.26</v>
      </c>
      <c r="R8" s="16">
        <f t="shared" ca="1" si="2"/>
        <v>89755.260000000009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32862.340000000004</v>
      </c>
      <c r="L9" s="16">
        <f t="shared" ca="1" si="0"/>
        <v>32862.340000000004</v>
      </c>
      <c r="M9" s="16"/>
      <c r="N9" s="16">
        <f t="shared" ca="1" si="3"/>
        <v>0</v>
      </c>
      <c r="O9" s="11" cm="1">
        <f t="array" aca="1" ref="O9" ca="1">INDIRECT("'data'!$U$" &amp; $A$1)*parameters!$B$15</f>
        <v>1342.6</v>
      </c>
      <c r="P9" s="13" cm="1">
        <f t="array" aca="1" ref="P9" ca="1">-INDIRECT("'data'!$V$" &amp; $A$1)*parameters!$B$15</f>
        <v>-8202.6</v>
      </c>
      <c r="Q9" s="16" cm="1">
        <f t="array" aca="1" ref="Q9" ca="1">INDIRECT("'data'!$T$" &amp; $A$1)*parameters!$B$15</f>
        <v>26002.34</v>
      </c>
      <c r="R9" s="16">
        <f t="shared" ca="1" si="2"/>
        <v>26002.340000000004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68141.836756756762</v>
      </c>
      <c r="L10" s="16">
        <f t="shared" ca="1" si="0"/>
        <v>68141.836756756762</v>
      </c>
      <c r="M10" s="16"/>
      <c r="N10" s="16">
        <f t="shared" ca="1" si="3"/>
        <v>0</v>
      </c>
      <c r="O10" s="11" cm="1">
        <f t="array" aca="1" ref="O10" ca="1">INDIRECT("'data'!$X$" &amp; $A$1)*parameters!$B$15</f>
        <v>3085.04</v>
      </c>
      <c r="P10" s="13" cm="1">
        <f t="array" aca="1" ref="P10" ca="1">-INDIRECT("'data'!$Y$" &amp; $A$1)*parameters!$B$15</f>
        <v>-9864.68</v>
      </c>
      <c r="Q10" s="16" cm="1">
        <f t="array" aca="1" ref="Q10" ca="1">INDIRECT("'data'!$W$" &amp; $A$1)*parameters!$B$15</f>
        <v>61362.196756756755</v>
      </c>
      <c r="R10" s="16">
        <f t="shared" ca="1" si="2"/>
        <v>61362.196756756755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105756.65921081082</v>
      </c>
      <c r="N11" s="19"/>
      <c r="O11" s="21" cm="1">
        <f t="array" aca="1" ref="O11" ca="1">INDIRECT("'data'!$Z$" &amp; $A$1)*parameters!$B$15</f>
        <v>14729.4</v>
      </c>
      <c r="P11" s="27" cm="1">
        <f t="array" aca="1" ref="P11" ca="1">-INDIRECT("'data'!$AA$" &amp; $A$1)*parameters!$B$15</f>
        <v>-30993.48</v>
      </c>
      <c r="Q11" s="16">
        <f ca="1">K9*parameters!$B$10+K10*parameters!$B$11</f>
        <v>89492.579210810814</v>
      </c>
      <c r="R11" s="16">
        <f t="shared" ref="R11:R17" ca="1" si="4">SUM(L11:P11)</f>
        <v>89492.579210810814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-240.99782378987584</v>
      </c>
      <c r="D12" s="9">
        <f ca="1">-(D17-Q4)</f>
        <v>-2.7413907617993232</v>
      </c>
      <c r="E12" s="9">
        <f ca="1">-(E17-Q5)</f>
        <v>-7126.1541014609247</v>
      </c>
      <c r="F12" s="9">
        <f ca="1">-(F17-Q6)</f>
        <v>-2944.9167164179162</v>
      </c>
      <c r="G12" s="9">
        <f ca="1">-(G17-Q7)</f>
        <v>-2030.998286311391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-12345.808318741907</v>
      </c>
      <c r="M12" s="17"/>
      <c r="N12" s="17"/>
      <c r="O12" s="10"/>
      <c r="P12" s="12"/>
      <c r="Q12" s="9">
        <f t="shared" ref="Q12:Q17" ca="1" si="6">SUM(L12:P12)</f>
        <v>-12345.808318741907</v>
      </c>
      <c r="R12" s="17">
        <f t="shared" ca="1" si="4"/>
        <v>-12345.808318741907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-3022.2231485327829</v>
      </c>
      <c r="J13" s="14">
        <f ca="1">-(J17-Q10)</f>
        <v>-7132.0600947104613</v>
      </c>
      <c r="K13" s="13">
        <f ca="1">-(K17-Q11)</f>
        <v>-11511.597545945944</v>
      </c>
      <c r="L13" s="14">
        <f t="shared" ca="1" si="5"/>
        <v>-21665.880789189188</v>
      </c>
      <c r="M13" s="16">
        <f ca="1">-E15</f>
        <v>-43117.338315001034</v>
      </c>
      <c r="N13" s="16"/>
      <c r="O13" s="11"/>
      <c r="P13" s="13"/>
      <c r="Q13" s="14">
        <f t="shared" ca="1" si="6"/>
        <v>-64783.219104190226</v>
      </c>
      <c r="R13" s="16">
        <f t="shared" ca="1" si="4"/>
        <v>-64783.219104190226</v>
      </c>
    </row>
    <row r="14" spans="1:20">
      <c r="A14" s="18" t="s">
        <v>78</v>
      </c>
      <c r="B14" s="11"/>
      <c r="C14" s="14"/>
      <c r="D14" s="14"/>
      <c r="E14" s="14">
        <f ca="1">-(I13+J13)-K13</f>
        <v>21665.880789189188</v>
      </c>
      <c r="F14" s="14"/>
      <c r="G14" s="14"/>
      <c r="H14" s="14"/>
      <c r="I14" s="14"/>
      <c r="J14" s="14"/>
      <c r="K14" s="13"/>
      <c r="L14" s="14">
        <f t="shared" ca="1" si="5"/>
        <v>21665.880789189188</v>
      </c>
      <c r="M14" s="16"/>
      <c r="N14" s="16"/>
      <c r="O14" s="11"/>
      <c r="P14" s="13"/>
      <c r="Q14" s="14">
        <f t="shared" ca="1" si="6"/>
        <v>21665.880789189188</v>
      </c>
      <c r="R14" s="16">
        <f t="shared" ca="1" si="4"/>
        <v>21665.880789189188</v>
      </c>
    </row>
    <row r="15" spans="1:20">
      <c r="A15" s="18" t="s">
        <v>79</v>
      </c>
      <c r="B15" s="11"/>
      <c r="C15" s="14"/>
      <c r="D15" s="14"/>
      <c r="E15" s="14">
        <f ca="1">E17-E14</f>
        <v>43117.338315001034</v>
      </c>
      <c r="F15" s="14"/>
      <c r="G15" s="14"/>
      <c r="H15" s="14"/>
      <c r="I15" s="14"/>
      <c r="J15" s="14"/>
      <c r="K15" s="13"/>
      <c r="L15" s="14">
        <f t="shared" ca="1" si="5"/>
        <v>43117.338315001034</v>
      </c>
      <c r="M15" s="16"/>
      <c r="N15" s="16"/>
      <c r="O15" s="11"/>
      <c r="P15" s="13"/>
      <c r="Q15" s="14">
        <f t="shared" ca="1" si="6"/>
        <v>43117.338315001034</v>
      </c>
      <c r="R15" s="16">
        <f t="shared" ca="1" si="4"/>
        <v>43117.338315001034</v>
      </c>
    </row>
    <row r="16" spans="1:20">
      <c r="A16" s="30" t="s">
        <v>89</v>
      </c>
      <c r="B16" s="21">
        <f ca="1">Q2</f>
        <v>32499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32499</v>
      </c>
      <c r="M16" s="19"/>
      <c r="N16" s="19"/>
      <c r="O16" s="21"/>
      <c r="P16" s="27"/>
      <c r="Q16" s="22">
        <f t="shared" ca="1" si="6"/>
        <v>32499</v>
      </c>
      <c r="R16" s="19">
        <f t="shared" ca="1" si="4"/>
        <v>32499</v>
      </c>
    </row>
    <row r="17" spans="1:18">
      <c r="A17" s="29" t="s">
        <v>88</v>
      </c>
      <c r="B17" s="9">
        <f ca="1">B16</f>
        <v>32499</v>
      </c>
      <c r="C17" s="9">
        <f ca="1">SUM(C$2:C$11)</f>
        <v>38253.622823789876</v>
      </c>
      <c r="D17" s="9">
        <f ca="1">SUM(D$2:D$11)</f>
        <v>435.14139076179936</v>
      </c>
      <c r="E17" s="9">
        <f ca="1">$Q$5/parameters!$B$4</f>
        <v>64783.219104190219</v>
      </c>
      <c r="F17" s="9">
        <f t="shared" ref="F17:K17" ca="1" si="7">SUM(F$2:F$11)</f>
        <v>47498.656716417914</v>
      </c>
      <c r="G17" s="9">
        <f t="shared" ca="1" si="7"/>
        <v>47232.518286311388</v>
      </c>
      <c r="H17" s="9">
        <f t="shared" ca="1" si="7"/>
        <v>89755.26</v>
      </c>
      <c r="I17" s="9">
        <f t="shared" ca="1" si="7"/>
        <v>29024.563148532783</v>
      </c>
      <c r="J17" s="9">
        <f t="shared" ca="1" si="7"/>
        <v>68494.256851467217</v>
      </c>
      <c r="K17" s="9">
        <f t="shared" ca="1" si="7"/>
        <v>101004.17675675676</v>
      </c>
      <c r="L17" s="17">
        <f t="shared" ca="1" si="5"/>
        <v>518980.41507822787</v>
      </c>
      <c r="M17" s="17"/>
      <c r="N17" s="17"/>
      <c r="O17" s="9"/>
      <c r="P17" s="14"/>
      <c r="Q17" s="11">
        <f t="shared" ca="1" si="6"/>
        <v>518980.41507822787</v>
      </c>
      <c r="R17" s="17">
        <f t="shared" ca="1" si="4"/>
        <v>518980.41507822787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0.8958736042617903</v>
      </c>
      <c r="J18" s="39">
        <f ca="1">I18</f>
        <v>0.8958736042617903</v>
      </c>
      <c r="K18" s="40">
        <f ca="1">1-(-K13)/K17</f>
        <v>0.88602849985433041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43984.296065210823</v>
      </c>
      <c r="D2" s="9">
        <f ca="1">Q4/parameters!$B$3</f>
        <v>2694.1732917379491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46678.469356948772</v>
      </c>
      <c r="M2" s="17"/>
      <c r="N2" s="17">
        <f ca="1">Q2-(L2+O2+P2)</f>
        <v>0</v>
      </c>
      <c r="O2" s="11" cm="1">
        <f t="array" aca="1" ref="O2" ca="1">INDIRECT("'data'!$F$" &amp; $A$1)</f>
        <v>8468.85</v>
      </c>
      <c r="P2" s="13">
        <f ca="1">IF(-(L2-Q2+O2)&lt;0, -(L2-Q2+O2), 0)</f>
        <v>-6147.3193569487721</v>
      </c>
      <c r="Q2" s="17" cm="1">
        <f t="array" aca="1" ref="Q2" ca="1">INDIRECT("'data'!$D$" &amp; $A$1)</f>
        <v>49000</v>
      </c>
      <c r="R2" s="17">
        <f ca="1">SUM(L2:P2)</f>
        <v>49000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39334.755223880595</v>
      </c>
      <c r="G3" s="14">
        <f ca="1">Q3-O3-P3-F3</f>
        <v>564.08977611940645</v>
      </c>
      <c r="H3" s="14"/>
      <c r="I3" s="14"/>
      <c r="J3" s="14"/>
      <c r="K3" s="13"/>
      <c r="L3" s="16">
        <f t="shared" ca="1" si="0"/>
        <v>39898.845000000001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3808.35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43707.195</v>
      </c>
      <c r="R3" s="16">
        <f t="shared" ref="R3:R10" ca="1" si="2">SUM(L3:P3)</f>
        <v>43707.195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2677.2000000000003</v>
      </c>
      <c r="H4" s="14"/>
      <c r="I4" s="14"/>
      <c r="J4" s="14"/>
      <c r="K4" s="13"/>
      <c r="L4" s="16">
        <f t="shared" ca="1" si="0"/>
        <v>2677.2000000000003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2677.2000000000003</v>
      </c>
      <c r="R4" s="16">
        <f t="shared" ca="1" si="2"/>
        <v>2677.2000000000003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Q6/parameters!$B$5*26%</f>
        <v>13820.319402985075</v>
      </c>
      <c r="G5" s="14">
        <f ca="1">Q7/parameters!$B$7-(G3+G4)</f>
        <v>5872.6078205368103</v>
      </c>
      <c r="H5" s="14"/>
      <c r="I5" s="14"/>
      <c r="J5" s="14"/>
      <c r="K5" s="13"/>
      <c r="L5" s="16">
        <f t="shared" ca="1" si="0"/>
        <v>19692.927223521885</v>
      </c>
      <c r="M5" s="16"/>
      <c r="N5" s="16"/>
      <c r="O5" s="11" cm="1">
        <f t="array" aca="1" ref="O5" ca="1">INDIRECT("'data'!$M$" &amp; $A$1)*parameters!$B$15</f>
        <v>5644.8</v>
      </c>
      <c r="P5" s="13" cm="1">
        <f t="array" aca="1" ref="P5" ca="1">-INDIRECT("'data'!$N$" &amp; $A$1)*parameters!$B$15</f>
        <v>-104.86</v>
      </c>
      <c r="Q5" s="16">
        <f ca="1">SUM(L5:P5)</f>
        <v>25232.867223521884</v>
      </c>
      <c r="R5" s="16">
        <f t="shared" ca="1" si="2"/>
        <v>25232.867223521884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49859.46</v>
      </c>
      <c r="I6" s="14"/>
      <c r="J6" s="14"/>
      <c r="K6" s="13"/>
      <c r="L6" s="16">
        <f t="shared" ca="1" si="0"/>
        <v>49859.46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49859.46</v>
      </c>
      <c r="R6" s="16">
        <f t="shared" ca="1" si="2"/>
        <v>49859.46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8722</v>
      </c>
      <c r="I7" s="14"/>
      <c r="J7" s="14"/>
      <c r="K7" s="13"/>
      <c r="L7" s="16">
        <f t="shared" ca="1" si="0"/>
        <v>8722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8722</v>
      </c>
      <c r="R7" s="16">
        <f t="shared" ca="1" si="2"/>
        <v>8722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21051</v>
      </c>
      <c r="J8" s="14">
        <f ca="1">Q10/J18</f>
        <v>29105.709815078237</v>
      </c>
      <c r="K8" s="13"/>
      <c r="L8" s="16">
        <f t="shared" ca="1" si="0"/>
        <v>50156.70981507824</v>
      </c>
      <c r="M8" s="16"/>
      <c r="N8" s="16">
        <f t="shared" ca="1" si="3"/>
        <v>-3246.0698150782409</v>
      </c>
      <c r="O8" s="11" cm="1">
        <f t="array" aca="1" ref="O8" ca="1">INDIRECT("'data'!$R$" &amp; $A$1)*parameters!$B$15</f>
        <v>11679.64</v>
      </c>
      <c r="P8" s="13" cm="1">
        <f t="array" aca="1" ref="P8" ca="1">-INDIRECT("'data'!$S$" &amp; $A$1)*parameters!$B$15</f>
        <v>-8.82</v>
      </c>
      <c r="Q8" s="16">
        <f ca="1">SUM(Q6:Q7)</f>
        <v>58581.46</v>
      </c>
      <c r="R8" s="16">
        <f t="shared" ca="1" si="2"/>
        <v>58581.46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17279.36</v>
      </c>
      <c r="L9" s="16">
        <f t="shared" ca="1" si="0"/>
        <v>17279.36</v>
      </c>
      <c r="M9" s="16"/>
      <c r="N9" s="16">
        <f t="shared" ca="1" si="3"/>
        <v>0</v>
      </c>
      <c r="O9" s="11" cm="1">
        <f t="array" aca="1" ref="O9" ca="1">INDIRECT("'data'!$U$" &amp; $A$1)*parameters!$B$15</f>
        <v>3791.62</v>
      </c>
      <c r="P9" s="13" cm="1">
        <f t="array" aca="1" ref="P9" ca="1">-INDIRECT("'data'!$V$" &amp; $A$1)*parameters!$B$15</f>
        <v>-441</v>
      </c>
      <c r="Q9" s="16" cm="1">
        <f t="array" aca="1" ref="Q9" ca="1">INDIRECT("'data'!$T$" &amp; $A$1)*parameters!$B$15</f>
        <v>20629.98</v>
      </c>
      <c r="R9" s="16">
        <f t="shared" ca="1" si="2"/>
        <v>20629.98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18734.37561877667</v>
      </c>
      <c r="L10" s="16">
        <f t="shared" ca="1" si="0"/>
        <v>18734.37561877667</v>
      </c>
      <c r="M10" s="16"/>
      <c r="N10" s="16">
        <f t="shared" ca="1" si="3"/>
        <v>0</v>
      </c>
      <c r="O10" s="11" cm="1">
        <f t="array" aca="1" ref="O10" ca="1">INDIRECT("'data'!$X$" &amp; $A$1)*parameters!$B$15</f>
        <v>10802.539999999999</v>
      </c>
      <c r="P10" s="13" cm="1">
        <f t="array" aca="1" ref="P10" ca="1">-INDIRECT("'data'!$Y$" &amp; $A$1)*parameters!$B$15</f>
        <v>-1013.3199999999999</v>
      </c>
      <c r="Q10" s="16" cm="1">
        <f t="array" aca="1" ref="Q10" ca="1">INDIRECT("'data'!$W$" &amp; $A$1)*parameters!$B$15</f>
        <v>28523.595618776671</v>
      </c>
      <c r="R10" s="16">
        <f t="shared" ca="1" si="2"/>
        <v>28523.595618776671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33019.581432147934</v>
      </c>
      <c r="N11" s="19"/>
      <c r="O11" s="21" cm="1">
        <f t="array" aca="1" ref="O11" ca="1">INDIRECT("'data'!$Z$" &amp; $A$1)*parameters!$B$15</f>
        <v>2058.98</v>
      </c>
      <c r="P11" s="27" cm="1">
        <f t="array" aca="1" ref="P11" ca="1">-INDIRECT("'data'!$AA$" &amp; $A$1)*parameters!$B$15</f>
        <v>-2724.4</v>
      </c>
      <c r="Q11" s="16">
        <f ca="1">K9*parameters!$B$10+K10*parameters!$B$11</f>
        <v>32354.161432147936</v>
      </c>
      <c r="R11" s="16">
        <f t="shared" ref="R11:R17" ca="1" si="4">SUM(L11:P11)</f>
        <v>32354.161432147936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-277.10106521082344</v>
      </c>
      <c r="D12" s="9">
        <f ca="1">-(D17-Q4)</f>
        <v>-16.973291737948784</v>
      </c>
      <c r="E12" s="9">
        <f ca="1">-(E17-Q5)</f>
        <v>-3118.6689826824804</v>
      </c>
      <c r="F12" s="9">
        <f ca="1">-(F17-Q6)</f>
        <v>-3295.6146268656667</v>
      </c>
      <c r="G12" s="9">
        <f ca="1">-(G17-Q7)</f>
        <v>-391.8975966562175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-7100.2555631531368</v>
      </c>
      <c r="M12" s="17"/>
      <c r="N12" s="17"/>
      <c r="O12" s="10"/>
      <c r="P12" s="12"/>
      <c r="Q12" s="9">
        <f t="shared" ref="Q12:Q17" ca="1" si="6">SUM(L12:P12)</f>
        <v>-7100.2555631531368</v>
      </c>
      <c r="R12" s="17">
        <f t="shared" ca="1" si="4"/>
        <v>-7100.2555631531368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-421.02000000000044</v>
      </c>
      <c r="J13" s="14">
        <f ca="1">-(J17-Q10)</f>
        <v>-582.11419630156524</v>
      </c>
      <c r="K13" s="13">
        <f ca="1">-(K17-Q11)</f>
        <v>-3659.5741866287353</v>
      </c>
      <c r="L13" s="14">
        <f t="shared" ca="1" si="5"/>
        <v>-4662.708382930301</v>
      </c>
      <c r="M13" s="16">
        <f ca="1">-E15</f>
        <v>-23688.827823274063</v>
      </c>
      <c r="N13" s="16"/>
      <c r="O13" s="11"/>
      <c r="P13" s="13"/>
      <c r="Q13" s="14">
        <f t="shared" ca="1" si="6"/>
        <v>-28351.536206204364</v>
      </c>
      <c r="R13" s="16">
        <f t="shared" ca="1" si="4"/>
        <v>-28351.536206204364</v>
      </c>
    </row>
    <row r="14" spans="1:20">
      <c r="A14" s="18" t="s">
        <v>78</v>
      </c>
      <c r="B14" s="11"/>
      <c r="C14" s="14"/>
      <c r="D14" s="14"/>
      <c r="E14" s="14">
        <f ca="1">-(I13+J13)-K13</f>
        <v>4662.708382930301</v>
      </c>
      <c r="F14" s="14"/>
      <c r="G14" s="14"/>
      <c r="H14" s="14"/>
      <c r="I14" s="14"/>
      <c r="J14" s="14"/>
      <c r="K14" s="13"/>
      <c r="L14" s="14">
        <f t="shared" ca="1" si="5"/>
        <v>4662.708382930301</v>
      </c>
      <c r="M14" s="16"/>
      <c r="N14" s="16"/>
      <c r="O14" s="11"/>
      <c r="P14" s="13"/>
      <c r="Q14" s="14">
        <f t="shared" ca="1" si="6"/>
        <v>4662.708382930301</v>
      </c>
      <c r="R14" s="16">
        <f t="shared" ca="1" si="4"/>
        <v>4662.708382930301</v>
      </c>
    </row>
    <row r="15" spans="1:20">
      <c r="A15" s="18" t="s">
        <v>79</v>
      </c>
      <c r="B15" s="11"/>
      <c r="C15" s="14"/>
      <c r="D15" s="14"/>
      <c r="E15" s="14">
        <f ca="1">E17-E14</f>
        <v>23688.827823274063</v>
      </c>
      <c r="F15" s="14"/>
      <c r="G15" s="14"/>
      <c r="H15" s="14"/>
      <c r="I15" s="14"/>
      <c r="J15" s="14"/>
      <c r="K15" s="13"/>
      <c r="L15" s="14">
        <f t="shared" ca="1" si="5"/>
        <v>23688.827823274063</v>
      </c>
      <c r="M15" s="16"/>
      <c r="N15" s="16"/>
      <c r="O15" s="11"/>
      <c r="P15" s="13"/>
      <c r="Q15" s="14">
        <f t="shared" ca="1" si="6"/>
        <v>23688.827823274063</v>
      </c>
      <c r="R15" s="16">
        <f t="shared" ca="1" si="4"/>
        <v>23688.827823274063</v>
      </c>
    </row>
    <row r="16" spans="1:20">
      <c r="A16" s="30" t="s">
        <v>89</v>
      </c>
      <c r="B16" s="21">
        <f ca="1">Q2</f>
        <v>49000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49000</v>
      </c>
      <c r="M16" s="19"/>
      <c r="N16" s="19"/>
      <c r="O16" s="21"/>
      <c r="P16" s="27"/>
      <c r="Q16" s="22">
        <f t="shared" ca="1" si="6"/>
        <v>49000</v>
      </c>
      <c r="R16" s="19">
        <f t="shared" ca="1" si="4"/>
        <v>49000</v>
      </c>
    </row>
    <row r="17" spans="1:18">
      <c r="A17" s="29" t="s">
        <v>88</v>
      </c>
      <c r="B17" s="9">
        <f ca="1">B16</f>
        <v>49000</v>
      </c>
      <c r="C17" s="9">
        <f ca="1">SUM(C$2:C$11)</f>
        <v>43984.296065210823</v>
      </c>
      <c r="D17" s="9">
        <f ca="1">SUM(D$2:D$11)</f>
        <v>2694.1732917379491</v>
      </c>
      <c r="E17" s="9">
        <f ca="1">$Q$5/parameters!$B$4</f>
        <v>28351.536206204364</v>
      </c>
      <c r="F17" s="9">
        <f t="shared" ref="F17:K17" ca="1" si="7">SUM(F$2:F$11)</f>
        <v>53155.074626865666</v>
      </c>
      <c r="G17" s="9">
        <f t="shared" ca="1" si="7"/>
        <v>9113.8975966562175</v>
      </c>
      <c r="H17" s="9">
        <f t="shared" ca="1" si="7"/>
        <v>58581.46</v>
      </c>
      <c r="I17" s="9">
        <f t="shared" ca="1" si="7"/>
        <v>21051</v>
      </c>
      <c r="J17" s="9">
        <f t="shared" ca="1" si="7"/>
        <v>29105.709815078237</v>
      </c>
      <c r="K17" s="9">
        <f t="shared" ca="1" si="7"/>
        <v>36013.735618776671</v>
      </c>
      <c r="L17" s="17">
        <f t="shared" ca="1" si="5"/>
        <v>331050.88322053</v>
      </c>
      <c r="M17" s="17"/>
      <c r="N17" s="17"/>
      <c r="O17" s="9"/>
      <c r="P17" s="14"/>
      <c r="Q17" s="11">
        <f t="shared" ca="1" si="6"/>
        <v>331050.88322053</v>
      </c>
      <c r="R17" s="17">
        <f t="shared" ca="1" si="4"/>
        <v>331050.88322053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0.89838393258152527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25267.837375465428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25267.837375465428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-25267.837375465428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20804.417910447763</v>
      </c>
      <c r="G3" s="14">
        <f ca="1">Q3-O3-P3-F3</f>
        <v>5594.1570895522345</v>
      </c>
      <c r="H3" s="14"/>
      <c r="I3" s="14"/>
      <c r="J3" s="14"/>
      <c r="K3" s="13"/>
      <c r="L3" s="16">
        <f t="shared" ca="1" si="0"/>
        <v>26398.574999999997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-1289.925</v>
      </c>
      <c r="Q3" s="16" cm="1">
        <f t="array" aca="1" ref="Q3" ca="1">INDIRECT("'data'!$G$" &amp; $A$1)*parameters!$B$13</f>
        <v>25108.649999999998</v>
      </c>
      <c r="R3" s="16">
        <f t="shared" ref="R3:R10" ca="1" si="2">SUM(L3:P3)</f>
        <v>25108.649999999998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5201.1044776119415</v>
      </c>
      <c r="G5" s="14">
        <f ca="1">Q7/parameters!$B$7-(G3+G4)</f>
        <v>15397.504352454038</v>
      </c>
      <c r="H5" s="14"/>
      <c r="I5" s="14"/>
      <c r="J5" s="14"/>
      <c r="K5" s="13"/>
      <c r="L5" s="16">
        <f t="shared" ca="1" si="0"/>
        <v>20598.608830065979</v>
      </c>
      <c r="M5" s="16"/>
      <c r="N5" s="16"/>
      <c r="O5" s="11" cm="1">
        <f t="array" aca="1" ref="O5" ca="1">INDIRECT("'data'!$M$" &amp; $A$1)*parameters!$B$15</f>
        <v>118.58</v>
      </c>
      <c r="P5" s="13" cm="1">
        <f t="array" aca="1" ref="P5" ca="1">-INDIRECT("'data'!$N$" &amp; $A$1)*parameters!$B$15</f>
        <v>-7078.54</v>
      </c>
      <c r="Q5" s="16">
        <f ca="1">SUM(L5:P5)</f>
        <v>13638.64883006598</v>
      </c>
      <c r="R5" s="16">
        <f t="shared" ca="1" si="2"/>
        <v>13638.64883006598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24393.18</v>
      </c>
      <c r="I6" s="14"/>
      <c r="J6" s="14"/>
      <c r="K6" s="13"/>
      <c r="L6" s="16">
        <f t="shared" ca="1" si="0"/>
        <v>24393.18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24393.18</v>
      </c>
      <c r="R6" s="16">
        <f t="shared" ca="1" si="2"/>
        <v>24393.18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20089.02</v>
      </c>
      <c r="I7" s="14"/>
      <c r="J7" s="14"/>
      <c r="K7" s="13"/>
      <c r="L7" s="16">
        <f t="shared" ca="1" si="0"/>
        <v>20089.02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20089.02</v>
      </c>
      <c r="R7" s="16">
        <f t="shared" ca="1" si="2"/>
        <v>20089.02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20999.043144623705</v>
      </c>
      <c r="J8" s="14">
        <f ca="1">Q10/J18</f>
        <v>26898.456855376295</v>
      </c>
      <c r="K8" s="13"/>
      <c r="L8" s="16">
        <f t="shared" ca="1" si="0"/>
        <v>47897.5</v>
      </c>
      <c r="M8" s="16"/>
      <c r="N8" s="16">
        <f t="shared" ca="1" si="3"/>
        <v>0</v>
      </c>
      <c r="O8" s="11" cm="1">
        <f t="array" aca="1" ref="O8" ca="1">INDIRECT("'data'!$R$" &amp; $A$1)*parameters!$B$15</f>
        <v>195.02</v>
      </c>
      <c r="P8" s="13" cm="1">
        <f t="array" aca="1" ref="P8" ca="1">-INDIRECT("'data'!$S$" &amp; $A$1)*parameters!$B$15</f>
        <v>-3610.3199999999997</v>
      </c>
      <c r="Q8" s="16">
        <f ca="1">SUM(Q6:Q7)</f>
        <v>44482.2</v>
      </c>
      <c r="R8" s="16">
        <f t="shared" ca="1" si="2"/>
        <v>44482.2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19860.68</v>
      </c>
      <c r="L9" s="16">
        <f t="shared" ca="1" si="0"/>
        <v>19860.68</v>
      </c>
      <c r="M9" s="16"/>
      <c r="N9" s="16">
        <f t="shared" ca="1" si="3"/>
        <v>0</v>
      </c>
      <c r="O9" s="11" cm="1">
        <f t="array" aca="1" ref="O9" ca="1">INDIRECT("'data'!$U$" &amp; $A$1)*parameters!$B$15</f>
        <v>2069.7599999999998</v>
      </c>
      <c r="P9" s="13" cm="1">
        <f t="array" aca="1" ref="P9" ca="1">-INDIRECT("'data'!$V$" &amp; $A$1)*parameters!$B$15</f>
        <v>-2401</v>
      </c>
      <c r="Q9" s="16" cm="1">
        <f t="array" aca="1" ref="Q9" ca="1">INDIRECT("'data'!$T$" &amp; $A$1)*parameters!$B$15</f>
        <v>19529.439999999999</v>
      </c>
      <c r="R9" s="16">
        <f t="shared" ca="1" si="2"/>
        <v>19529.439999999999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23218.667425320058</v>
      </c>
      <c r="L10" s="16">
        <f t="shared" ca="1" si="0"/>
        <v>23218.667425320058</v>
      </c>
      <c r="M10" s="16"/>
      <c r="N10" s="16">
        <f t="shared" ca="1" si="3"/>
        <v>0</v>
      </c>
      <c r="O10" s="11" cm="1">
        <f t="array" aca="1" ref="O10" ca="1">INDIRECT("'data'!$X$" &amp; $A$1)*parameters!$B$15</f>
        <v>9263.94</v>
      </c>
      <c r="P10" s="13" cm="1">
        <f t="array" aca="1" ref="P10" ca="1">-INDIRECT("'data'!$Y$" &amp; $A$1)*parameters!$B$15</f>
        <v>-7466.62</v>
      </c>
      <c r="Q10" s="16" cm="1">
        <f t="array" aca="1" ref="Q10" ca="1">INDIRECT("'data'!$W$" &amp; $A$1)*parameters!$B$15</f>
        <v>25015.987425320058</v>
      </c>
      <c r="R10" s="16">
        <f t="shared" ca="1" si="2"/>
        <v>25015.987425320058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27962.933185775244</v>
      </c>
      <c r="N11" s="19"/>
      <c r="O11" s="21" cm="1">
        <f t="array" aca="1" ref="O11" ca="1">INDIRECT("'data'!$Z$" &amp; $A$1)*parameters!$B$15</f>
        <v>12771.36</v>
      </c>
      <c r="P11" s="27" cm="1">
        <f t="array" aca="1" ref="P11" ca="1">-INDIRECT("'data'!$AA$" &amp; $A$1)*parameters!$B$15</f>
        <v>-2097.1999999999998</v>
      </c>
      <c r="Q11" s="16">
        <f ca="1">K9*parameters!$B$10+K10*parameters!$B$11</f>
        <v>38637.093185775244</v>
      </c>
      <c r="R11" s="16">
        <f t="shared" ref="R11:R17" ca="1" si="4">SUM(L11:P11)</f>
        <v>38637.093185775244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-159.1873754654298</v>
      </c>
      <c r="D12" s="9">
        <f ca="1">-(D17-Q4)</f>
        <v>0</v>
      </c>
      <c r="E12" s="9">
        <f ca="1">-(E17-Q5)</f>
        <v>-1685.6756980980426</v>
      </c>
      <c r="F12" s="9">
        <f ca="1">-(F17-Q6)</f>
        <v>-1612.3423880597038</v>
      </c>
      <c r="G12" s="9">
        <f ca="1">-(G17-Q7)</f>
        <v>-902.64144200627197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-4359.8469036294482</v>
      </c>
      <c r="M12" s="17"/>
      <c r="N12" s="17"/>
      <c r="O12" s="10"/>
      <c r="P12" s="12"/>
      <c r="Q12" s="9">
        <f t="shared" ref="Q12:Q17" ca="1" si="6">SUM(L12:P12)</f>
        <v>-4359.8469036294482</v>
      </c>
      <c r="R12" s="17">
        <f t="shared" ca="1" si="4"/>
        <v>-4359.8469036294482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-1469.6031446237066</v>
      </c>
      <c r="J13" s="14">
        <f ca="1">-(J17-Q10)</f>
        <v>-1882.4694300562369</v>
      </c>
      <c r="K13" s="13">
        <f ca="1">-(K17-Q11)</f>
        <v>-4442.2542395448108</v>
      </c>
      <c r="L13" s="14">
        <f t="shared" ca="1" si="5"/>
        <v>-7794.3268142247543</v>
      </c>
      <c r="M13" s="16">
        <f ca="1">-E15</f>
        <v>-7529.9977139392686</v>
      </c>
      <c r="N13" s="16"/>
      <c r="O13" s="11"/>
      <c r="P13" s="13"/>
      <c r="Q13" s="14">
        <f t="shared" ca="1" si="6"/>
        <v>-15324.324528164023</v>
      </c>
      <c r="R13" s="16">
        <f t="shared" ca="1" si="4"/>
        <v>-15324.324528164023</v>
      </c>
    </row>
    <row r="14" spans="1:20">
      <c r="A14" s="18" t="s">
        <v>78</v>
      </c>
      <c r="B14" s="11"/>
      <c r="C14" s="14"/>
      <c r="D14" s="14"/>
      <c r="E14" s="14">
        <f ca="1">-(I13+J13)-K13</f>
        <v>7794.3268142247543</v>
      </c>
      <c r="F14" s="14"/>
      <c r="G14" s="14"/>
      <c r="H14" s="14"/>
      <c r="I14" s="14"/>
      <c r="J14" s="14"/>
      <c r="K14" s="13"/>
      <c r="L14" s="14">
        <f t="shared" ca="1" si="5"/>
        <v>7794.3268142247543</v>
      </c>
      <c r="M14" s="16"/>
      <c r="N14" s="16"/>
      <c r="O14" s="11"/>
      <c r="P14" s="13"/>
      <c r="Q14" s="14">
        <f t="shared" ca="1" si="6"/>
        <v>7794.3268142247543</v>
      </c>
      <c r="R14" s="16">
        <f t="shared" ca="1" si="4"/>
        <v>7794.3268142247543</v>
      </c>
    </row>
    <row r="15" spans="1:20">
      <c r="A15" s="18" t="s">
        <v>79</v>
      </c>
      <c r="B15" s="11"/>
      <c r="C15" s="14"/>
      <c r="D15" s="14"/>
      <c r="E15" s="14">
        <f ca="1">E17-E14</f>
        <v>7529.9977139392686</v>
      </c>
      <c r="F15" s="14"/>
      <c r="G15" s="14"/>
      <c r="H15" s="14"/>
      <c r="I15" s="14"/>
      <c r="J15" s="14"/>
      <c r="K15" s="13"/>
      <c r="L15" s="14">
        <f t="shared" ca="1" si="5"/>
        <v>7529.9977139392686</v>
      </c>
      <c r="M15" s="16"/>
      <c r="N15" s="16"/>
      <c r="O15" s="11"/>
      <c r="P15" s="13"/>
      <c r="Q15" s="14">
        <f t="shared" ca="1" si="6"/>
        <v>7529.9977139392686</v>
      </c>
      <c r="R15" s="16">
        <f t="shared" ca="1" si="4"/>
        <v>7529.9977139392686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25267.837375465428</v>
      </c>
      <c r="D17" s="9">
        <f ca="1">SUM(D$2:D$11)</f>
        <v>0</v>
      </c>
      <c r="E17" s="9">
        <f ca="1">$Q$5/parameters!$B$4</f>
        <v>15324.324528164023</v>
      </c>
      <c r="F17" s="9">
        <f t="shared" ref="F17:K17" ca="1" si="7">SUM(F$2:F$11)</f>
        <v>26005.522388059704</v>
      </c>
      <c r="G17" s="9">
        <f t="shared" ca="1" si="7"/>
        <v>20991.661442006272</v>
      </c>
      <c r="H17" s="9">
        <f t="shared" ca="1" si="7"/>
        <v>44482.2</v>
      </c>
      <c r="I17" s="9">
        <f t="shared" ca="1" si="7"/>
        <v>20999.043144623705</v>
      </c>
      <c r="J17" s="9">
        <f t="shared" ca="1" si="7"/>
        <v>26898.456855376295</v>
      </c>
      <c r="K17" s="9">
        <f t="shared" ca="1" si="7"/>
        <v>43079.347425320055</v>
      </c>
      <c r="L17" s="17">
        <f t="shared" ca="1" si="5"/>
        <v>223048.39315901551</v>
      </c>
      <c r="M17" s="17"/>
      <c r="N17" s="17"/>
      <c r="O17" s="9"/>
      <c r="P17" s="14"/>
      <c r="Q17" s="11">
        <f t="shared" ca="1" si="6"/>
        <v>223048.39315901551</v>
      </c>
      <c r="R17" s="17">
        <f t="shared" ca="1" si="4"/>
        <v>223048.39315901551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0.93001570907291731</v>
      </c>
      <c r="J18" s="39">
        <f ca="1">I18</f>
        <v>0.93001570907291731</v>
      </c>
      <c r="K18" s="40">
        <f ca="1">1-(-K13)/K17</f>
        <v>0.89688204429638463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27984.819361980477</v>
      </c>
      <c r="D2" s="9">
        <f ca="1">Q4/parameters!$B$3</f>
        <v>499.94968300291839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28484.769044983397</v>
      </c>
      <c r="M2" s="17"/>
      <c r="N2" s="16">
        <v>0</v>
      </c>
      <c r="O2" s="11" cm="1">
        <f t="array" aca="1" ref="O2" ca="1">INDIRECT("'data'!$F$" &amp; $A$1)</f>
        <v>10.4</v>
      </c>
      <c r="P2" s="13">
        <f ca="1">IF(-(L2-Q2+O2)&lt;0, -(L2-Q2+O2), 0)</f>
        <v>-28249.169044983399</v>
      </c>
      <c r="Q2" s="17" cm="1">
        <f t="array" aca="1" ref="Q2" ca="1">INDIRECT("'data'!$D$" &amp; $A$1)</f>
        <v>246</v>
      </c>
      <c r="R2" s="17">
        <f ca="1">SUM(L2:P2)</f>
        <v>246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26586.626865671646</v>
      </c>
      <c r="G3" s="14">
        <f ca="1">Q3-O3-P3-F3</f>
        <v>1375.9231343283536</v>
      </c>
      <c r="H3" s="14"/>
      <c r="I3" s="14"/>
      <c r="J3" s="14"/>
      <c r="K3" s="13"/>
      <c r="L3" s="16">
        <f t="shared" ca="1" si="0"/>
        <v>27962.55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63.314999999999998</v>
      </c>
      <c r="P3" s="13" cm="1">
        <f t="array" aca="1" ref="P3" ca="1">-INDIRECT("'data'!$I$" &amp; $A$1)*parameters!$B$13</f>
        <v>-217.35</v>
      </c>
      <c r="Q3" s="16" cm="1">
        <f t="array" aca="1" ref="Q3" ca="1">INDIRECT("'data'!$G$" &amp; $A$1)*parameters!$B$13</f>
        <v>27808.514999999999</v>
      </c>
      <c r="R3" s="16">
        <f t="shared" ref="R3:R10" ca="1" si="2">SUM(L3:P3)</f>
        <v>27808.514999999999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496.8</v>
      </c>
      <c r="H4" s="14"/>
      <c r="I4" s="14"/>
      <c r="J4" s="14"/>
      <c r="K4" s="13"/>
      <c r="L4" s="16">
        <f t="shared" ca="1" si="0"/>
        <v>496.8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496.8</v>
      </c>
      <c r="R4" s="16">
        <f t="shared" ca="1" si="2"/>
        <v>496.8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6646.6567164179114</v>
      </c>
      <c r="G5" s="14">
        <f ca="1">Q7/parameters!$B$7-(G3+G4)</f>
        <v>11650.66244560895</v>
      </c>
      <c r="H5" s="14"/>
      <c r="I5" s="14"/>
      <c r="J5" s="14"/>
      <c r="K5" s="13"/>
      <c r="L5" s="16">
        <f t="shared" ca="1" si="0"/>
        <v>18297.319162026863</v>
      </c>
      <c r="M5" s="16"/>
      <c r="N5" s="16"/>
      <c r="O5" s="11" cm="1">
        <f t="array" aca="1" ref="O5" ca="1">INDIRECT("'data'!$M$" &amp; $A$1)*parameters!$B$15</f>
        <v>6743.38</v>
      </c>
      <c r="P5" s="13" cm="1">
        <f t="array" aca="1" ref="P5" ca="1">-INDIRECT("'data'!$N$" &amp; $A$1)*parameters!$B$15</f>
        <v>-3728.9</v>
      </c>
      <c r="Q5" s="16">
        <f ca="1">SUM(L5:P5)</f>
        <v>21311.799162026862</v>
      </c>
      <c r="R5" s="16">
        <f t="shared" ca="1" si="2"/>
        <v>21311.799162026862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31172.82</v>
      </c>
      <c r="I6" s="14"/>
      <c r="J6" s="14"/>
      <c r="K6" s="13"/>
      <c r="L6" s="16">
        <f t="shared" ca="1" si="0"/>
        <v>31172.82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31172.82</v>
      </c>
      <c r="R6" s="16">
        <f t="shared" ca="1" si="2"/>
        <v>31172.82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12941.88</v>
      </c>
      <c r="I7" s="14"/>
      <c r="J7" s="14"/>
      <c r="K7" s="13"/>
      <c r="L7" s="16">
        <f t="shared" ca="1" si="0"/>
        <v>12941.88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12941.88</v>
      </c>
      <c r="R7" s="16">
        <f t="shared" ca="1" si="2"/>
        <v>12941.88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15667.474403649529</v>
      </c>
      <c r="J8" s="14">
        <f ca="1">Q10/J18</f>
        <v>27613.245596350465</v>
      </c>
      <c r="K8" s="13"/>
      <c r="L8" s="16">
        <f t="shared" ca="1" si="0"/>
        <v>43280.719999999994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1970.78</v>
      </c>
      <c r="P8" s="13" cm="1">
        <f t="array" aca="1" ref="P8" ca="1">-INDIRECT("'data'!$S$" &amp; $A$1)*parameters!$B$15</f>
        <v>-1136.8</v>
      </c>
      <c r="Q8" s="16">
        <f ca="1">SUM(Q6:Q7)</f>
        <v>44114.7</v>
      </c>
      <c r="R8" s="16">
        <f t="shared" ca="1" si="2"/>
        <v>44114.69999999999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12534.2</v>
      </c>
      <c r="L9" s="16">
        <f t="shared" ca="1" si="0"/>
        <v>12534.2</v>
      </c>
      <c r="M9" s="16"/>
      <c r="N9" s="16">
        <f t="shared" ca="1" si="3"/>
        <v>0</v>
      </c>
      <c r="O9" s="11" cm="1">
        <f t="array" aca="1" ref="O9" ca="1">INDIRECT("'data'!$U$" &amp; $A$1)*parameters!$B$15</f>
        <v>6539.54</v>
      </c>
      <c r="P9" s="13" cm="1">
        <f t="array" aca="1" ref="P9" ca="1">-INDIRECT("'data'!$V$" &amp; $A$1)*parameters!$B$15</f>
        <v>-5501.72</v>
      </c>
      <c r="Q9" s="16" cm="1">
        <f t="array" aca="1" ref="Q9" ca="1">INDIRECT("'data'!$T$" &amp; $A$1)*parameters!$B$15</f>
        <v>13572.02</v>
      </c>
      <c r="R9" s="16">
        <f t="shared" ca="1" si="2"/>
        <v>13572.02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20218.637894736843</v>
      </c>
      <c r="L10" s="16">
        <f t="shared" ca="1" si="0"/>
        <v>20218.637894736843</v>
      </c>
      <c r="M10" s="16"/>
      <c r="N10" s="16">
        <f t="shared" ca="1" si="3"/>
        <v>0</v>
      </c>
      <c r="O10" s="11" cm="1">
        <f t="array" aca="1" ref="O10" ca="1">INDIRECT("'data'!$X$" &amp; $A$1)*parameters!$B$15</f>
        <v>12691.98</v>
      </c>
      <c r="P10" s="13" cm="1">
        <f t="array" aca="1" ref="P10" ca="1">-INDIRECT("'data'!$Y$" &amp; $A$1)*parameters!$B$15</f>
        <v>-8990.52</v>
      </c>
      <c r="Q10" s="16" cm="1">
        <f t="array" aca="1" ref="Q10" ca="1">INDIRECT("'data'!$W$" &amp; $A$1)*parameters!$B$15</f>
        <v>23920.097894736842</v>
      </c>
      <c r="R10" s="16">
        <f t="shared" ca="1" si="2"/>
        <v>23920.097894736846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22085.756589473684</v>
      </c>
      <c r="N11" s="19"/>
      <c r="O11" s="21" cm="1">
        <f t="array" aca="1" ref="O11" ca="1">INDIRECT("'data'!$Z$" &amp; $A$1)*parameters!$B$15</f>
        <v>20649.579999999998</v>
      </c>
      <c r="P11" s="27" cm="1">
        <f t="array" aca="1" ref="P11" ca="1">-INDIRECT("'data'!$AA$" &amp; $A$1)*parameters!$B$15</f>
        <v>-13565.16</v>
      </c>
      <c r="Q11" s="16">
        <f ca="1">K9*parameters!$B$10+K10*parameters!$B$11</f>
        <v>29170.176589473682</v>
      </c>
      <c r="R11" s="16">
        <f t="shared" ref="R11:R17" ca="1" si="4">SUM(L11:P11)</f>
        <v>29170.176589473678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-176.30436198047755</v>
      </c>
      <c r="D12" s="9">
        <f ca="1">-(D17-Q4)</f>
        <v>-3.1496830029183798</v>
      </c>
      <c r="E12" s="9">
        <f ca="1">-(E17-Q5)</f>
        <v>-2634.0425930595011</v>
      </c>
      <c r="F12" s="9">
        <f ca="1">-(F17-Q6)</f>
        <v>-2060.4635820895564</v>
      </c>
      <c r="G12" s="9">
        <f ca="1">-(G17-Q7)</f>
        <v>-581.50557993730399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-5455.4658000697573</v>
      </c>
      <c r="M12" s="17"/>
      <c r="N12" s="17"/>
      <c r="O12" s="10"/>
      <c r="P12" s="12"/>
      <c r="Q12" s="9">
        <f t="shared" ref="Q12:Q17" ca="1" si="6">SUM(L12:P12)</f>
        <v>-5455.4658000697573</v>
      </c>
      <c r="R12" s="17">
        <f t="shared" ca="1" si="4"/>
        <v>-5455.4658000697573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-2095.4544036495281</v>
      </c>
      <c r="J13" s="14">
        <f ca="1">-(J17-Q10)</f>
        <v>-3693.1477016136232</v>
      </c>
      <c r="K13" s="13">
        <f ca="1">-(K17-Q11)</f>
        <v>-3582.6613052631619</v>
      </c>
      <c r="L13" s="14">
        <f t="shared" ca="1" si="5"/>
        <v>-9371.2634105263132</v>
      </c>
      <c r="M13" s="16">
        <f ca="1">-E15</f>
        <v>-14574.57834456005</v>
      </c>
      <c r="N13" s="16"/>
      <c r="O13" s="11"/>
      <c r="P13" s="13"/>
      <c r="Q13" s="14">
        <f t="shared" ca="1" si="6"/>
        <v>-23945.841755086363</v>
      </c>
      <c r="R13" s="16">
        <f t="shared" ca="1" si="4"/>
        <v>-23945.841755086363</v>
      </c>
    </row>
    <row r="14" spans="1:20">
      <c r="A14" s="18" t="s">
        <v>78</v>
      </c>
      <c r="B14" s="11"/>
      <c r="C14" s="14"/>
      <c r="D14" s="14"/>
      <c r="E14" s="14">
        <f ca="1">-(I13+J13)-K13</f>
        <v>9371.2634105263132</v>
      </c>
      <c r="F14" s="14"/>
      <c r="G14" s="14"/>
      <c r="H14" s="14"/>
      <c r="I14" s="14"/>
      <c r="J14" s="14"/>
      <c r="K14" s="13"/>
      <c r="L14" s="14">
        <f t="shared" ca="1" si="5"/>
        <v>9371.2634105263132</v>
      </c>
      <c r="M14" s="16"/>
      <c r="N14" s="16"/>
      <c r="O14" s="11"/>
      <c r="P14" s="13"/>
      <c r="Q14" s="14">
        <f t="shared" ca="1" si="6"/>
        <v>9371.2634105263132</v>
      </c>
      <c r="R14" s="16">
        <f t="shared" ca="1" si="4"/>
        <v>9371.2634105263132</v>
      </c>
    </row>
    <row r="15" spans="1:20">
      <c r="A15" s="18" t="s">
        <v>79</v>
      </c>
      <c r="B15" s="11"/>
      <c r="C15" s="14"/>
      <c r="D15" s="14"/>
      <c r="E15" s="14">
        <f ca="1">E17-E14</f>
        <v>14574.57834456005</v>
      </c>
      <c r="F15" s="14"/>
      <c r="G15" s="14"/>
      <c r="H15" s="14"/>
      <c r="I15" s="14"/>
      <c r="J15" s="14"/>
      <c r="K15" s="13"/>
      <c r="L15" s="14">
        <f t="shared" ca="1" si="5"/>
        <v>14574.57834456005</v>
      </c>
      <c r="M15" s="16"/>
      <c r="N15" s="16"/>
      <c r="O15" s="11"/>
      <c r="P15" s="13"/>
      <c r="Q15" s="14">
        <f t="shared" ca="1" si="6"/>
        <v>14574.57834456005</v>
      </c>
      <c r="R15" s="16">
        <f t="shared" ca="1" si="4"/>
        <v>14574.57834456005</v>
      </c>
    </row>
    <row r="16" spans="1:20">
      <c r="A16" s="30" t="s">
        <v>89</v>
      </c>
      <c r="B16" s="21">
        <f ca="1">Q2</f>
        <v>246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246</v>
      </c>
      <c r="M16" s="19"/>
      <c r="N16" s="19"/>
      <c r="O16" s="21"/>
      <c r="P16" s="27"/>
      <c r="Q16" s="22">
        <f t="shared" ca="1" si="6"/>
        <v>246</v>
      </c>
      <c r="R16" s="19">
        <f t="shared" ca="1" si="4"/>
        <v>246</v>
      </c>
    </row>
    <row r="17" spans="1:18">
      <c r="A17" s="29" t="s">
        <v>88</v>
      </c>
      <c r="B17" s="9">
        <f ca="1">B16</f>
        <v>246</v>
      </c>
      <c r="C17" s="9">
        <f ca="1">SUM(C$2:C$11)</f>
        <v>27984.819361980477</v>
      </c>
      <c r="D17" s="9">
        <f ca="1">SUM(D$2:D$11)</f>
        <v>499.94968300291839</v>
      </c>
      <c r="E17" s="9">
        <f ca="1">$Q$5/parameters!$B$4</f>
        <v>23945.841755086363</v>
      </c>
      <c r="F17" s="9">
        <f t="shared" ref="F17:K17" ca="1" si="7">SUM(F$2:F$11)</f>
        <v>33233.283582089556</v>
      </c>
      <c r="G17" s="9">
        <f t="shared" ca="1" si="7"/>
        <v>13523.385579937303</v>
      </c>
      <c r="H17" s="9">
        <f t="shared" ca="1" si="7"/>
        <v>44114.7</v>
      </c>
      <c r="I17" s="9">
        <f t="shared" ca="1" si="7"/>
        <v>15667.474403649529</v>
      </c>
      <c r="J17" s="9">
        <f t="shared" ca="1" si="7"/>
        <v>27613.245596350465</v>
      </c>
      <c r="K17" s="9">
        <f t="shared" ca="1" si="7"/>
        <v>32752.837894736844</v>
      </c>
      <c r="L17" s="17">
        <f t="shared" ca="1" si="5"/>
        <v>219581.53785683346</v>
      </c>
      <c r="M17" s="17"/>
      <c r="N17" s="17"/>
      <c r="O17" s="9"/>
      <c r="P17" s="14"/>
      <c r="Q17" s="11">
        <f t="shared" ca="1" si="6"/>
        <v>219581.53785683346</v>
      </c>
      <c r="R17" s="17">
        <f t="shared" ca="1" si="4"/>
        <v>219581.53785683346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0.86625448686474826</v>
      </c>
      <c r="J18" s="39">
        <f ca="1">I18</f>
        <v>0.86625448686474826</v>
      </c>
      <c r="K18" s="40">
        <f ca="1">1-(-K13)/K17</f>
        <v>0.8906152402189591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4757.8091979470664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4757.8091979470664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-2957.8091979470664</v>
      </c>
      <c r="Q2" s="17" cm="1">
        <f t="array" aca="1" ref="Q2" ca="1">INDIRECT("'data'!$D$" &amp; $A$1)</f>
        <v>1800</v>
      </c>
      <c r="R2" s="17">
        <f ca="1">SUM(L2:P2)</f>
        <v>1800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4290.2686567164183</v>
      </c>
      <c r="G3" s="14">
        <f ca="1">Q3-O3-P3-F3</f>
        <v>667.20134328358199</v>
      </c>
      <c r="H3" s="14"/>
      <c r="I3" s="14"/>
      <c r="J3" s="14"/>
      <c r="K3" s="13"/>
      <c r="L3" s="16">
        <f t="shared" ca="1" si="0"/>
        <v>4957.47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15.12</v>
      </c>
      <c r="P3" s="13" cm="1">
        <f t="array" aca="1" ref="P3" ca="1">-INDIRECT("'data'!$I$" &amp; $A$1)*parameters!$B$13</f>
        <v>-244.755</v>
      </c>
      <c r="Q3" s="16" cm="1">
        <f t="array" aca="1" ref="Q3" ca="1">INDIRECT("'data'!$G$" &amp; $A$1)*parameters!$B$13</f>
        <v>4727.835</v>
      </c>
      <c r="R3" s="16">
        <f t="shared" ref="R3:R10" ca="1" si="2">SUM(L3:P3)</f>
        <v>4727.835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1072.5671641791048</v>
      </c>
      <c r="G5" s="14">
        <f ca="1">Q7/parameters!$B$7-(G3+G4)</f>
        <v>10939.193641042439</v>
      </c>
      <c r="H5" s="14"/>
      <c r="I5" s="14"/>
      <c r="J5" s="14"/>
      <c r="K5" s="13"/>
      <c r="L5" s="16">
        <f t="shared" ca="1" si="0"/>
        <v>12011.760805221544</v>
      </c>
      <c r="M5" s="16"/>
      <c r="N5" s="48">
        <f ca="1">$E$14*parameters!$B$4-$P$5-$L$5-$O$5</f>
        <v>3122.1657575870122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-12561.64</v>
      </c>
      <c r="Q5" s="16">
        <f ca="1">SUM(L5:P5)</f>
        <v>2572.2865628085565</v>
      </c>
      <c r="R5" s="16">
        <f t="shared" ca="1" si="2"/>
        <v>2572.2865628085565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5030.34</v>
      </c>
      <c r="I6" s="14"/>
      <c r="J6" s="14"/>
      <c r="K6" s="13"/>
      <c r="L6" s="16">
        <f t="shared" ca="1" si="0"/>
        <v>5030.34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5030.34</v>
      </c>
      <c r="R6" s="16">
        <f t="shared" ca="1" si="2"/>
        <v>5030.34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11107.32</v>
      </c>
      <c r="I7" s="14"/>
      <c r="J7" s="14"/>
      <c r="K7" s="13"/>
      <c r="L7" s="16">
        <f t="shared" ca="1" si="0"/>
        <v>11107.32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11107.32</v>
      </c>
      <c r="R7" s="16">
        <f t="shared" ca="1" si="2"/>
        <v>11107.32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10692.138582261048</v>
      </c>
      <c r="J8" s="14">
        <f ca="1">Q10/J18</f>
        <v>6798.9014177389527</v>
      </c>
      <c r="K8" s="13"/>
      <c r="L8" s="16">
        <f t="shared" ca="1" si="0"/>
        <v>17491.04</v>
      </c>
      <c r="M8" s="16"/>
      <c r="N8" s="16">
        <f t="shared" ca="1" si="3"/>
        <v>0</v>
      </c>
      <c r="O8" s="11" cm="1">
        <f t="array" aca="1" ref="O8" ca="1">INDIRECT("'data'!$R$" &amp; $A$1)*parameters!$B$15</f>
        <v>1176</v>
      </c>
      <c r="P8" s="13" cm="1">
        <f t="array" aca="1" ref="P8" ca="1">-INDIRECT("'data'!$S$" &amp; $A$1)*parameters!$B$15</f>
        <v>-2529.38</v>
      </c>
      <c r="Q8" s="16">
        <f ca="1">SUM(Q6:Q7)</f>
        <v>16137.66</v>
      </c>
      <c r="R8" s="16">
        <f t="shared" ca="1" si="2"/>
        <v>16137.66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7800.8</v>
      </c>
      <c r="L9" s="16">
        <f t="shared" ca="1" si="0"/>
        <v>7800.8</v>
      </c>
      <c r="M9" s="16"/>
      <c r="N9" s="16">
        <f t="shared" ca="1" si="3"/>
        <v>0</v>
      </c>
      <c r="O9" s="11" cm="1">
        <f t="array" aca="1" ref="O9" ca="1">INDIRECT("'data'!$U$" &amp; $A$1)*parameters!$B$15</f>
        <v>2725.38</v>
      </c>
      <c r="P9" s="13" cm="1">
        <f t="array" aca="1" ref="P9" ca="1">-INDIRECT("'data'!$V$" &amp; $A$1)*parameters!$B$15</f>
        <v>-530.17999999999995</v>
      </c>
      <c r="Q9" s="16" cm="1">
        <f t="array" aca="1" ref="Q9" ca="1">INDIRECT("'data'!$T$" &amp; $A$1)*parameters!$B$15</f>
        <v>9996</v>
      </c>
      <c r="R9" s="16">
        <f t="shared" ca="1" si="2"/>
        <v>9996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9166.8818358916178</v>
      </c>
      <c r="L10" s="16">
        <f t="shared" ca="1" si="0"/>
        <v>9166.8818358916178</v>
      </c>
      <c r="M10" s="16"/>
      <c r="N10" s="16">
        <f t="shared" ca="1" si="3"/>
        <v>0</v>
      </c>
      <c r="O10" s="11" cm="1">
        <f t="array" aca="1" ref="O10" ca="1">INDIRECT("'data'!$X$" &amp; $A$1)*parameters!$B$15</f>
        <v>513.52</v>
      </c>
      <c r="P10" s="13" cm="1">
        <f t="array" aca="1" ref="P10" ca="1">-INDIRECT("'data'!$Y$" &amp; $A$1)*parameters!$B$15</f>
        <v>-3324.16</v>
      </c>
      <c r="Q10" s="16" cm="1">
        <f t="array" aca="1" ref="Q10" ca="1">INDIRECT("'data'!$W$" &amp; $A$1)*parameters!$B$15</f>
        <v>6356.2418358916184</v>
      </c>
      <c r="R10" s="16">
        <f t="shared" ca="1" si="2"/>
        <v>6356.2418358916184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14664.53037886679</v>
      </c>
      <c r="N11" s="19"/>
      <c r="O11" s="21" cm="1">
        <f t="array" aca="1" ref="O11" ca="1">INDIRECT("'data'!$Z$" &amp; $A$1)*parameters!$B$15</f>
        <v>1780.6599999999999</v>
      </c>
      <c r="P11" s="27" cm="1">
        <f t="array" aca="1" ref="P11" ca="1">-INDIRECT("'data'!$AA$" &amp; $A$1)*parameters!$B$15</f>
        <v>-1228.92</v>
      </c>
      <c r="Q11" s="16">
        <f ca="1">K9*parameters!$B$10+K10*parameters!$B$11</f>
        <v>15216.27037886679</v>
      </c>
      <c r="R11" s="16">
        <f t="shared" ref="R11:R17" ca="1" si="4">SUM(L11:P11)</f>
        <v>15216.270378866791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-29.974197947066386</v>
      </c>
      <c r="D12" s="9">
        <f ca="1">-(D17-Q4)</f>
        <v>0</v>
      </c>
      <c r="E12" s="9">
        <f ca="1">-(E17-Q5)</f>
        <v>-317.92305832465308</v>
      </c>
      <c r="F12" s="9">
        <f ca="1">-(F17-Q6)</f>
        <v>-332.49582089552314</v>
      </c>
      <c r="G12" s="9">
        <f ca="1">-(G17-Q7)</f>
        <v>-499.07498432602006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-1179.4680614932627</v>
      </c>
      <c r="M12" s="17"/>
      <c r="N12" s="17"/>
      <c r="O12" s="10"/>
      <c r="P12" s="12"/>
      <c r="Q12" s="9">
        <f t="shared" ref="Q12:Q17" ca="1" si="6">SUM(L12:P12)</f>
        <v>-1179.4680614932627</v>
      </c>
      <c r="R12" s="17">
        <f t="shared" ca="1" si="4"/>
        <v>-1179.4680614932627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-696.13858226104821</v>
      </c>
      <c r="J13" s="14">
        <f ca="1">-(J17-Q10)</f>
        <v>-442.65958184733427</v>
      </c>
      <c r="K13" s="13">
        <f ca="1">-(K17-Q11)</f>
        <v>-1751.4114570248275</v>
      </c>
      <c r="L13" s="14">
        <f t="shared" ca="1" si="5"/>
        <v>-2890.20962113321</v>
      </c>
      <c r="M13" s="16">
        <f ca="1">-E15</f>
        <v>0</v>
      </c>
      <c r="N13" s="16"/>
      <c r="O13" s="11"/>
      <c r="P13" s="13"/>
      <c r="Q13" s="14">
        <f t="shared" ca="1" si="6"/>
        <v>-2890.20962113321</v>
      </c>
      <c r="R13" s="16">
        <f t="shared" ca="1" si="4"/>
        <v>-2890.20962113321</v>
      </c>
    </row>
    <row r="14" spans="1:20">
      <c r="A14" s="18" t="s">
        <v>78</v>
      </c>
      <c r="B14" s="11"/>
      <c r="C14" s="14"/>
      <c r="D14" s="14"/>
      <c r="E14" s="14">
        <f ca="1">-(I13+J13)-K13</f>
        <v>2890.20962113321</v>
      </c>
      <c r="F14" s="14"/>
      <c r="G14" s="14"/>
      <c r="H14" s="14"/>
      <c r="I14" s="14"/>
      <c r="J14" s="14"/>
      <c r="K14" s="13"/>
      <c r="L14" s="14">
        <f t="shared" ca="1" si="5"/>
        <v>2890.20962113321</v>
      </c>
      <c r="M14" s="16"/>
      <c r="N14" s="16"/>
      <c r="O14" s="11"/>
      <c r="P14" s="13"/>
      <c r="Q14" s="14">
        <f t="shared" ca="1" si="6"/>
        <v>2890.20962113321</v>
      </c>
      <c r="R14" s="16">
        <f t="shared" ca="1" si="4"/>
        <v>2890.20962113321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1800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1800</v>
      </c>
      <c r="M16" s="19"/>
      <c r="N16" s="19"/>
      <c r="O16" s="21"/>
      <c r="P16" s="27"/>
      <c r="Q16" s="22">
        <f t="shared" ca="1" si="6"/>
        <v>1800</v>
      </c>
      <c r="R16" s="19">
        <f t="shared" ca="1" si="4"/>
        <v>1800</v>
      </c>
    </row>
    <row r="17" spans="1:18">
      <c r="A17" s="29" t="s">
        <v>88</v>
      </c>
      <c r="B17" s="9">
        <f ca="1">B16</f>
        <v>1800</v>
      </c>
      <c r="C17" s="9">
        <f ca="1">SUM(C$2:C$11)</f>
        <v>4757.8091979470664</v>
      </c>
      <c r="D17" s="9">
        <f ca="1">SUM(D$2:D$11)</f>
        <v>0</v>
      </c>
      <c r="E17" s="9">
        <f ca="1">$Q$5/parameters!$B$4</f>
        <v>2890.2096211332096</v>
      </c>
      <c r="F17" s="9">
        <f t="shared" ref="F17:K17" ca="1" si="7">SUM(F$2:F$11)</f>
        <v>5362.8358208955233</v>
      </c>
      <c r="G17" s="9">
        <f t="shared" ca="1" si="7"/>
        <v>11606.39498432602</v>
      </c>
      <c r="H17" s="9">
        <f t="shared" ca="1" si="7"/>
        <v>16137.66</v>
      </c>
      <c r="I17" s="9">
        <f t="shared" ca="1" si="7"/>
        <v>10692.138582261048</v>
      </c>
      <c r="J17" s="9">
        <f t="shared" ca="1" si="7"/>
        <v>6798.9014177389527</v>
      </c>
      <c r="K17" s="9">
        <f t="shared" ca="1" si="7"/>
        <v>16967.681835891617</v>
      </c>
      <c r="L17" s="17">
        <f t="shared" ca="1" si="5"/>
        <v>77013.631460193428</v>
      </c>
      <c r="M17" s="17"/>
      <c r="N17" s="17"/>
      <c r="O17" s="9"/>
      <c r="P17" s="14"/>
      <c r="Q17" s="11">
        <f t="shared" ca="1" si="6"/>
        <v>77013.631460193428</v>
      </c>
      <c r="R17" s="17">
        <f t="shared" ca="1" si="4"/>
        <v>77013.631460193428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0.93489248414568926</v>
      </c>
      <c r="J18" s="39">
        <f ca="1">I18</f>
        <v>0.93489248414568926</v>
      </c>
      <c r="K18" s="40">
        <f ca="1">1-(-K13)/K17</f>
        <v>0.89677956753526111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28238.734024353424</v>
      </c>
      <c r="D2" s="9">
        <f ca="1">Q4/parameters!$B$3</f>
        <v>334.22562141491397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28572.959645768336</v>
      </c>
      <c r="M2" s="17"/>
      <c r="N2" s="17">
        <f ca="1">Q2-(L2+O2+P2)</f>
        <v>3385.2903542316635</v>
      </c>
      <c r="O2" s="11" cm="1">
        <f t="array" aca="1" ref="O2" ca="1">INDIRECT("'data'!$F$" &amp; $A$1)</f>
        <v>110509.75</v>
      </c>
      <c r="P2" s="13">
        <f ca="1">IF(-(L2-Q2+O2)&lt;0, -(L2-Q2+O2), 0)</f>
        <v>0</v>
      </c>
      <c r="Q2" s="17" cm="1">
        <f t="array" aca="1" ref="Q2" ca="1">INDIRECT("'data'!$D$" &amp; $A$1)</f>
        <v>142468</v>
      </c>
      <c r="R2" s="17">
        <f ca="1">SUM(L2:P2)</f>
        <v>142468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19301.61194029851</v>
      </c>
      <c r="G3" s="14">
        <f ca="1">Q3-O3-P3-F3</f>
        <v>4600.2730597014888</v>
      </c>
      <c r="H3" s="14"/>
      <c r="I3" s="14"/>
      <c r="J3" s="14"/>
      <c r="K3" s="13"/>
      <c r="L3" s="16">
        <f t="shared" ca="1" si="0"/>
        <v>23901.884999999998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4158.9449999999997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28060.829999999998</v>
      </c>
      <c r="R3" s="16">
        <f t="shared" ref="R3:R10" ca="1" si="2">SUM(L3:P3)</f>
        <v>28060.829999999998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332.12</v>
      </c>
      <c r="H4" s="14"/>
      <c r="I4" s="14"/>
      <c r="J4" s="14"/>
      <c r="K4" s="13"/>
      <c r="L4" s="16">
        <f t="shared" ca="1" si="0"/>
        <v>332.12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332.12</v>
      </c>
      <c r="R4" s="16">
        <f t="shared" ca="1" si="2"/>
        <v>332.12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4825.4029850746274</v>
      </c>
      <c r="G5" s="14">
        <f ca="1">Q7/parameters!$B$7-(G3+G4)</f>
        <v>1196.4470656903613</v>
      </c>
      <c r="H5" s="14"/>
      <c r="I5" s="14"/>
      <c r="J5" s="14"/>
      <c r="K5" s="13"/>
      <c r="L5" s="16">
        <f t="shared" ca="1" si="0"/>
        <v>6021.8500507649887</v>
      </c>
      <c r="M5" s="16"/>
      <c r="N5" s="16"/>
      <c r="O5" s="11" cm="1">
        <f t="array" aca="1" ref="O5" ca="1">INDIRECT("'data'!$M$" &amp; $A$1)*parameters!$B$15</f>
        <v>12.74</v>
      </c>
      <c r="P5" s="13" cm="1">
        <f t="array" aca="1" ref="P5" ca="1">-INDIRECT("'data'!$N$" &amp; $A$1)*parameters!$B$15</f>
        <v>-12.74</v>
      </c>
      <c r="Q5" s="16">
        <f ca="1">SUM(L5:P5)</f>
        <v>6021.8500507649887</v>
      </c>
      <c r="R5" s="16">
        <f t="shared" ca="1" si="2"/>
        <v>6021.8500507649887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22631.14</v>
      </c>
      <c r="I6" s="14"/>
      <c r="J6" s="14"/>
      <c r="K6" s="13"/>
      <c r="L6" s="16">
        <f t="shared" ca="1" si="0"/>
        <v>22631.14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22631.14</v>
      </c>
      <c r="R6" s="16">
        <f t="shared" ca="1" si="2"/>
        <v>22631.14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5865.3</v>
      </c>
      <c r="I7" s="14"/>
      <c r="J7" s="14"/>
      <c r="K7" s="13"/>
      <c r="L7" s="16">
        <f t="shared" ca="1" si="0"/>
        <v>5865.3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5865.3</v>
      </c>
      <c r="R7" s="16">
        <f t="shared" ca="1" si="2"/>
        <v>5865.3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8507.7514775016007</v>
      </c>
      <c r="J8" s="14">
        <f ca="1">Q10/J18</f>
        <v>12368.208522498398</v>
      </c>
      <c r="K8" s="13"/>
      <c r="L8" s="16">
        <f t="shared" ca="1" si="0"/>
        <v>20875.96</v>
      </c>
      <c r="M8" s="16"/>
      <c r="N8" s="16">
        <f t="shared" ca="1" si="3"/>
        <v>0</v>
      </c>
      <c r="O8" s="11" cm="1">
        <f t="array" aca="1" ref="O8" ca="1">INDIRECT("'data'!$R$" &amp; $A$1)*parameters!$B$15</f>
        <v>7624.4</v>
      </c>
      <c r="P8" s="13" cm="1">
        <f t="array" aca="1" ref="P8" ca="1">-INDIRECT("'data'!$S$" &amp; $A$1)*parameters!$B$15</f>
        <v>-3.92</v>
      </c>
      <c r="Q8" s="16">
        <f ca="1">SUM(Q6:Q7)</f>
        <v>28496.44</v>
      </c>
      <c r="R8" s="16">
        <f t="shared" ca="1" si="2"/>
        <v>28496.440000000002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6554.24</v>
      </c>
      <c r="L9" s="16">
        <f t="shared" ca="1" si="0"/>
        <v>6554.24</v>
      </c>
      <c r="M9" s="16"/>
      <c r="N9" s="16">
        <f t="shared" ca="1" si="3"/>
        <v>0</v>
      </c>
      <c r="O9" s="11" cm="1">
        <f t="array" aca="1" ref="O9" ca="1">INDIRECT("'data'!$U$" &amp; $A$1)*parameters!$B$15</f>
        <v>1088.78</v>
      </c>
      <c r="P9" s="13" cm="1">
        <f t="array" aca="1" ref="P9" ca="1">-INDIRECT("'data'!$V$" &amp; $A$1)*parameters!$B$15</f>
        <v>-171.5</v>
      </c>
      <c r="Q9" s="16" cm="1">
        <f t="array" aca="1" ref="Q9" ca="1">INDIRECT("'data'!$T$" &amp; $A$1)*parameters!$B$15</f>
        <v>7471.5199999999995</v>
      </c>
      <c r="R9" s="16">
        <f t="shared" ca="1" si="2"/>
        <v>7471.5199999999995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9020.3591180654348</v>
      </c>
      <c r="L10" s="16">
        <f t="shared" ca="1" si="0"/>
        <v>9020.3591180654348</v>
      </c>
      <c r="M10" s="16"/>
      <c r="N10" s="16">
        <f t="shared" ca="1" si="3"/>
        <v>0</v>
      </c>
      <c r="O10" s="11" cm="1">
        <f t="array" aca="1" ref="O10" ca="1">INDIRECT("'data'!$X$" &amp; $A$1)*parameters!$B$15</f>
        <v>2230.48</v>
      </c>
      <c r="P10" s="13" cm="1">
        <f t="array" aca="1" ref="P10" ca="1">-INDIRECT("'data'!$Y$" &amp; $A$1)*parameters!$B$15</f>
        <v>-389.06</v>
      </c>
      <c r="Q10" s="16" cm="1">
        <f t="array" aca="1" ref="Q10" ca="1">INDIRECT("'data'!$W$" &amp; $A$1)*parameters!$B$15</f>
        <v>10861.779118065435</v>
      </c>
      <c r="R10" s="16">
        <f t="shared" ca="1" si="2"/>
        <v>10861.779118065435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13172.714441536273</v>
      </c>
      <c r="N11" s="19"/>
      <c r="O11" s="21" cm="1">
        <f t="array" aca="1" ref="O11" ca="1">INDIRECT("'data'!$Z$" &amp; $A$1)*parameters!$B$15</f>
        <v>1729.7</v>
      </c>
      <c r="P11" s="27" cm="1">
        <f t="array" aca="1" ref="P11" ca="1">-INDIRECT("'data'!$AA$" &amp; $A$1)*parameters!$B$15</f>
        <v>-983.92</v>
      </c>
      <c r="Q11" s="16">
        <f ca="1">K9*parameters!$B$10+K10*parameters!$B$11</f>
        <v>13918.494441536273</v>
      </c>
      <c r="R11" s="16">
        <f t="shared" ref="R11:R17" ca="1" si="4">SUM(L11:P11)</f>
        <v>13918.494441536273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-177.90402435342548</v>
      </c>
      <c r="D12" s="9">
        <f ca="1">-(D17-Q4)</f>
        <v>-2.1056214149139691</v>
      </c>
      <c r="E12" s="9">
        <f ca="1">-(E17-Q5)</f>
        <v>-744.27360177994251</v>
      </c>
      <c r="F12" s="9">
        <f ca="1">-(F17-Q6)</f>
        <v>-1495.8749253731366</v>
      </c>
      <c r="G12" s="9">
        <f ca="1">-(G17-Q7)</f>
        <v>-263.54012539184987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-2683.6982983132684</v>
      </c>
      <c r="M12" s="17"/>
      <c r="N12" s="17"/>
      <c r="O12" s="10"/>
      <c r="P12" s="12"/>
      <c r="Q12" s="9">
        <f t="shared" ref="Q12:Q17" ca="1" si="6">SUM(L12:P12)</f>
        <v>-2683.6982983132684</v>
      </c>
      <c r="R12" s="17">
        <f t="shared" ca="1" si="4"/>
        <v>-2683.6982983132684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-1036.2314775016011</v>
      </c>
      <c r="J13" s="14">
        <f ca="1">-(J17-Q10)</f>
        <v>-1506.4294044329636</v>
      </c>
      <c r="K13" s="13">
        <f ca="1">-(K17-Q11)</f>
        <v>-1656.1046765291612</v>
      </c>
      <c r="L13" s="14">
        <f t="shared" ca="1" si="5"/>
        <v>-4198.7655584637259</v>
      </c>
      <c r="M13" s="16">
        <f ca="1">-E15</f>
        <v>-2567.3580940812053</v>
      </c>
      <c r="N13" s="16"/>
      <c r="O13" s="11"/>
      <c r="P13" s="13"/>
      <c r="Q13" s="14">
        <f t="shared" ca="1" si="6"/>
        <v>-6766.1236525449312</v>
      </c>
      <c r="R13" s="16">
        <f t="shared" ca="1" si="4"/>
        <v>-6766.1236525449312</v>
      </c>
    </row>
    <row r="14" spans="1:19">
      <c r="A14" s="18" t="s">
        <v>78</v>
      </c>
      <c r="B14" s="11"/>
      <c r="C14" s="14"/>
      <c r="D14" s="14"/>
      <c r="E14" s="14">
        <f ca="1">-(I13+J13)-K13</f>
        <v>4198.7655584637259</v>
      </c>
      <c r="F14" s="14"/>
      <c r="G14" s="14"/>
      <c r="H14" s="14"/>
      <c r="I14" s="14"/>
      <c r="J14" s="14"/>
      <c r="K14" s="13"/>
      <c r="L14" s="14">
        <f t="shared" ca="1" si="5"/>
        <v>4198.7655584637259</v>
      </c>
      <c r="M14" s="16"/>
      <c r="N14" s="16"/>
      <c r="O14" s="11"/>
      <c r="P14" s="13"/>
      <c r="Q14" s="14">
        <f t="shared" ca="1" si="6"/>
        <v>4198.7655584637259</v>
      </c>
      <c r="R14" s="16">
        <f t="shared" ca="1" si="4"/>
        <v>4198.7655584637259</v>
      </c>
    </row>
    <row r="15" spans="1:19">
      <c r="A15" s="18" t="s">
        <v>79</v>
      </c>
      <c r="B15" s="11"/>
      <c r="C15" s="14"/>
      <c r="D15" s="14"/>
      <c r="E15" s="14">
        <f ca="1">E17-E14</f>
        <v>2567.3580940812053</v>
      </c>
      <c r="F15" s="14"/>
      <c r="G15" s="14"/>
      <c r="H15" s="14"/>
      <c r="I15" s="14"/>
      <c r="J15" s="14"/>
      <c r="K15" s="13"/>
      <c r="L15" s="14">
        <f t="shared" ca="1" si="5"/>
        <v>2567.3580940812053</v>
      </c>
      <c r="M15" s="16"/>
      <c r="N15" s="16"/>
      <c r="O15" s="11"/>
      <c r="P15" s="13"/>
      <c r="Q15" s="14">
        <f t="shared" ca="1" si="6"/>
        <v>2567.3580940812053</v>
      </c>
      <c r="R15" s="16">
        <f t="shared" ca="1" si="4"/>
        <v>2567.3580940812053</v>
      </c>
    </row>
    <row r="16" spans="1:19">
      <c r="A16" s="30" t="s">
        <v>89</v>
      </c>
      <c r="B16" s="21">
        <f ca="1">Q2</f>
        <v>142468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142468</v>
      </c>
      <c r="M16" s="19"/>
      <c r="N16" s="19"/>
      <c r="O16" s="21"/>
      <c r="P16" s="27"/>
      <c r="Q16" s="22">
        <f t="shared" ca="1" si="6"/>
        <v>142468</v>
      </c>
      <c r="R16" s="19">
        <f t="shared" ca="1" si="4"/>
        <v>142468</v>
      </c>
    </row>
    <row r="17" spans="1:18">
      <c r="A17" s="29" t="s">
        <v>88</v>
      </c>
      <c r="B17" s="9">
        <f ca="1">B16</f>
        <v>142468</v>
      </c>
      <c r="C17" s="9">
        <f ca="1">SUM(C$2:C$11)</f>
        <v>28238.734024353424</v>
      </c>
      <c r="D17" s="9">
        <f ca="1">SUM(D$2:D$11)</f>
        <v>334.22562141491397</v>
      </c>
      <c r="E17" s="9">
        <f ca="1">$Q$5/parameters!$B$4</f>
        <v>6766.1236525449312</v>
      </c>
      <c r="F17" s="9">
        <f t="shared" ref="F17:K17" ca="1" si="7">SUM(F$2:F$11)</f>
        <v>24127.014925373136</v>
      </c>
      <c r="G17" s="9">
        <f t="shared" ca="1" si="7"/>
        <v>6128.8401253918501</v>
      </c>
      <c r="H17" s="9">
        <f t="shared" ca="1" si="7"/>
        <v>28496.44</v>
      </c>
      <c r="I17" s="9">
        <f t="shared" ca="1" si="7"/>
        <v>8507.7514775016007</v>
      </c>
      <c r="J17" s="9">
        <f t="shared" ca="1" si="7"/>
        <v>12368.208522498398</v>
      </c>
      <c r="K17" s="9">
        <f t="shared" ca="1" si="7"/>
        <v>15574.599118065435</v>
      </c>
      <c r="L17" s="17">
        <f t="shared" ca="1" si="5"/>
        <v>273009.93746714364</v>
      </c>
      <c r="M17" s="17"/>
      <c r="N17" s="17"/>
      <c r="O17" s="9"/>
      <c r="P17" s="14"/>
      <c r="Q17" s="11">
        <f t="shared" ca="1" si="6"/>
        <v>273009.93746714364</v>
      </c>
      <c r="R17" s="17">
        <f t="shared" ca="1" si="4"/>
        <v>273009.93746714364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0.87820148716827562</v>
      </c>
      <c r="J18" s="39">
        <f ca="1">I18</f>
        <v>0.87820148716827562</v>
      </c>
      <c r="K18" s="40">
        <f ca="1">1-(-K13)/K17</f>
        <v>0.89366630473280062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1667.4222682418006</v>
      </c>
      <c r="D2" s="9">
        <f ca="1">Q4/parameters!$B$3</f>
        <v>3928.0842342646524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5595.5065025064532</v>
      </c>
      <c r="M2" s="17"/>
      <c r="N2" s="17">
        <f ca="1">Q2-(L2+O2+P2)</f>
        <v>0</v>
      </c>
      <c r="O2" s="11" cm="1">
        <f t="array" aca="1" ref="O2" ca="1">INDIRECT("'data'!$F$" &amp; $A$1)</f>
        <v>544.05000000000007</v>
      </c>
      <c r="P2" s="13">
        <f ca="1">IF(-(L2-Q2+O2)&lt;0, -(L2-Q2+O2), 0)</f>
        <v>-1639.6617190542956</v>
      </c>
      <c r="Q2" s="17" cm="1">
        <f t="array" aca="1" ref="Q2" ca="1">INDIRECT("'data'!$D$" &amp; $A$1)</f>
        <v>4499.8947834521578</v>
      </c>
      <c r="R2" s="17">
        <f ca="1">SUM(L2:P2)</f>
        <v>4499.8947834521578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1655.0298507462685</v>
      </c>
      <c r="G3" s="14">
        <f ca="1">Q3-O3-P3-F3</f>
        <v>1.8876572056087753</v>
      </c>
      <c r="H3" s="14"/>
      <c r="I3" s="14"/>
      <c r="J3" s="14"/>
      <c r="K3" s="13"/>
      <c r="L3" s="16">
        <f t="shared" ca="1" si="0"/>
        <v>1656.9175079518773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1656.9175079518773</v>
      </c>
      <c r="R3" s="16">
        <f t="shared" ref="R3:R10" ca="1" si="2">SUM(L3:P3)</f>
        <v>1656.9175079518773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3903.3373035887853</v>
      </c>
      <c r="H4" s="14"/>
      <c r="I4" s="14"/>
      <c r="J4" s="14"/>
      <c r="K4" s="13"/>
      <c r="L4" s="16">
        <f t="shared" ca="1" si="0"/>
        <v>3903.3373035887853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3903.3373035887853</v>
      </c>
      <c r="R4" s="16">
        <f t="shared" ca="1" si="2"/>
        <v>3903.3373035887853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Q6/parameters!$B$5*27%</f>
        <v>612.13432835820902</v>
      </c>
      <c r="G5" s="14">
        <f ca="1">Q7/parameters!$B$7-(G3+G4)</f>
        <v>1368.547244012294</v>
      </c>
      <c r="H5" s="14"/>
      <c r="I5" s="14"/>
      <c r="J5" s="14"/>
      <c r="K5" s="13"/>
      <c r="L5" s="16">
        <f t="shared" ca="1" si="0"/>
        <v>1980.6815723705031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1980.6815723705031</v>
      </c>
      <c r="R5" s="16">
        <f t="shared" ca="1" si="2"/>
        <v>1980.6815723705031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2126.6</v>
      </c>
      <c r="I6" s="14"/>
      <c r="J6" s="14"/>
      <c r="K6" s="13"/>
      <c r="L6" s="16">
        <f t="shared" ca="1" si="0"/>
        <v>2126.6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2126.6</v>
      </c>
      <c r="R6" s="16">
        <f t="shared" ca="1" si="2"/>
        <v>2126.6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5047</v>
      </c>
      <c r="I7" s="14"/>
      <c r="J7" s="14"/>
      <c r="K7" s="13"/>
      <c r="L7" s="16">
        <f t="shared" ca="1" si="0"/>
        <v>5047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5047</v>
      </c>
      <c r="R7" s="16">
        <f t="shared" ca="1" si="2"/>
        <v>5047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3711</v>
      </c>
      <c r="J8" s="14">
        <f ca="1">Q10/J18</f>
        <v>3155.5960170697012</v>
      </c>
      <c r="K8" s="13"/>
      <c r="L8" s="16">
        <f t="shared" ca="1" si="0"/>
        <v>6866.5960170697017</v>
      </c>
      <c r="M8" s="16"/>
      <c r="N8" s="16">
        <f t="shared" ca="1" si="3"/>
        <v>1515.3439829302988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-1208.3399999999999</v>
      </c>
      <c r="Q8" s="16">
        <f ca="1">SUM(Q6:Q7)</f>
        <v>7173.6</v>
      </c>
      <c r="R8" s="16">
        <f t="shared" ca="1" si="2"/>
        <v>7173.6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4960.76</v>
      </c>
      <c r="L9" s="16">
        <f t="shared" ca="1" si="0"/>
        <v>4960.76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-1323.98</v>
      </c>
      <c r="Q9" s="16" cm="1">
        <f t="array" aca="1" ref="Q9" ca="1">INDIRECT("'data'!$T$" &amp; $A$1)*parameters!$B$15</f>
        <v>3636.7799999999997</v>
      </c>
      <c r="R9" s="16">
        <f t="shared" ca="1" si="2"/>
        <v>3636.78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5202.4240967283076</v>
      </c>
      <c r="L10" s="16">
        <f t="shared" ca="1" si="0"/>
        <v>5202.4240967283076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-2109.94</v>
      </c>
      <c r="Q10" s="16" cm="1">
        <f t="array" aca="1" ref="Q10" ca="1">INDIRECT("'data'!$W$" &amp; $A$1)*parameters!$B$15</f>
        <v>3092.4840967283071</v>
      </c>
      <c r="R10" s="16">
        <f t="shared" ca="1" si="2"/>
        <v>3092.4840967283076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9953.539123186345</v>
      </c>
      <c r="N11" s="19"/>
      <c r="O11" s="21" cm="1">
        <f t="array" aca="1" ref="O11" ca="1">INDIRECT("'data'!$Z$" &amp; $A$1)*parameters!$B$15</f>
        <v>86.24</v>
      </c>
      <c r="P11" s="27" cm="1">
        <f t="array" aca="1" ref="P11" ca="1">-INDIRECT("'data'!$AA$" &amp; $A$1)*parameters!$B$15</f>
        <v>-902.57999999999993</v>
      </c>
      <c r="Q11" s="16">
        <f ca="1">K9*parameters!$B$10+K10*parameters!$B$11</f>
        <v>9137.1991231863449</v>
      </c>
      <c r="R11" s="16">
        <f t="shared" ref="R11:R17" ca="1" si="4">SUM(L11:P11)</f>
        <v>9137.1991231863449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-10.504760289923297</v>
      </c>
      <c r="D12" s="9">
        <f ca="1">-(D17-Q4)</f>
        <v>-24.746930675867134</v>
      </c>
      <c r="E12" s="9">
        <f ca="1">-(E17-Q5)</f>
        <v>-244.80334040534308</v>
      </c>
      <c r="F12" s="9">
        <f ca="1">-(F17-Q6)</f>
        <v>-140.56417910447772</v>
      </c>
      <c r="G12" s="9">
        <f ca="1">-(G17-Q7)</f>
        <v>-226.77220480668802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-647.39141528229925</v>
      </c>
      <c r="M12" s="17"/>
      <c r="N12" s="17"/>
      <c r="O12" s="10"/>
      <c r="P12" s="12"/>
      <c r="Q12" s="9">
        <f t="shared" ref="Q12:Q17" ca="1" si="6">SUM(L12:P12)</f>
        <v>-647.39141528229925</v>
      </c>
      <c r="R12" s="17">
        <f t="shared" ca="1" si="4"/>
        <v>-647.39141528229925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-74.220000000000255</v>
      </c>
      <c r="J13" s="14">
        <f ca="1">-(J17-Q10)</f>
        <v>-63.111920341394125</v>
      </c>
      <c r="K13" s="13">
        <f ca="1">-(K17-Q11)</f>
        <v>-1025.984973541963</v>
      </c>
      <c r="L13" s="14">
        <f t="shared" ca="1" si="5"/>
        <v>-1163.3168938833574</v>
      </c>
      <c r="M13" s="16">
        <f ca="1">-E15</f>
        <v>-1062.1680188924888</v>
      </c>
      <c r="N13" s="16"/>
      <c r="O13" s="11"/>
      <c r="P13" s="13"/>
      <c r="Q13" s="14">
        <f t="shared" ca="1" si="6"/>
        <v>-2225.4849127758462</v>
      </c>
      <c r="R13" s="16">
        <f t="shared" ca="1" si="4"/>
        <v>-2225.4849127758462</v>
      </c>
    </row>
    <row r="14" spans="1:22">
      <c r="A14" s="18" t="s">
        <v>78</v>
      </c>
      <c r="B14" s="11"/>
      <c r="C14" s="14"/>
      <c r="D14" s="14"/>
      <c r="E14" s="14">
        <f ca="1">-(I13+J13)-K13</f>
        <v>1163.3168938833574</v>
      </c>
      <c r="F14" s="14"/>
      <c r="G14" s="14"/>
      <c r="H14" s="14"/>
      <c r="I14" s="14"/>
      <c r="J14" s="14"/>
      <c r="K14" s="13"/>
      <c r="L14" s="14">
        <f t="shared" ca="1" si="5"/>
        <v>1163.3168938833574</v>
      </c>
      <c r="M14" s="16"/>
      <c r="N14" s="16"/>
      <c r="O14" s="11"/>
      <c r="P14" s="13"/>
      <c r="Q14" s="14">
        <f t="shared" ca="1" si="6"/>
        <v>1163.3168938833574</v>
      </c>
      <c r="R14" s="16">
        <f t="shared" ca="1" si="4"/>
        <v>1163.3168938833574</v>
      </c>
    </row>
    <row r="15" spans="1:22">
      <c r="A15" s="18" t="s">
        <v>79</v>
      </c>
      <c r="B15" s="11"/>
      <c r="C15" s="14"/>
      <c r="D15" s="14"/>
      <c r="E15" s="14">
        <f ca="1">E17-E14</f>
        <v>1062.1680188924888</v>
      </c>
      <c r="F15" s="14"/>
      <c r="G15" s="14"/>
      <c r="H15" s="14"/>
      <c r="I15" s="14"/>
      <c r="J15" s="14"/>
      <c r="K15" s="13"/>
      <c r="L15" s="14">
        <f t="shared" ca="1" si="5"/>
        <v>1062.1680188924888</v>
      </c>
      <c r="M15" s="16"/>
      <c r="N15" s="16"/>
      <c r="O15" s="11"/>
      <c r="P15" s="13"/>
      <c r="Q15" s="14">
        <f t="shared" ca="1" si="6"/>
        <v>1062.1680188924888</v>
      </c>
      <c r="R15" s="16">
        <f t="shared" ca="1" si="4"/>
        <v>1062.1680188924888</v>
      </c>
    </row>
    <row r="16" spans="1:22">
      <c r="A16" s="30" t="s">
        <v>89</v>
      </c>
      <c r="B16" s="21">
        <f ca="1">Q2</f>
        <v>4499.8947834521578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4499.8947834521578</v>
      </c>
      <c r="M16" s="19"/>
      <c r="N16" s="19"/>
      <c r="O16" s="21"/>
      <c r="P16" s="27"/>
      <c r="Q16" s="22">
        <f t="shared" ca="1" si="6"/>
        <v>4499.8947834521578</v>
      </c>
      <c r="R16" s="19">
        <f t="shared" ca="1" si="4"/>
        <v>4499.8947834521578</v>
      </c>
    </row>
    <row r="17" spans="1:18">
      <c r="A17" s="29" t="s">
        <v>88</v>
      </c>
      <c r="B17" s="9">
        <f ca="1">B16</f>
        <v>4499.8947834521578</v>
      </c>
      <c r="C17" s="9">
        <f ca="1">SUM(C$2:C$11)</f>
        <v>1667.4222682418006</v>
      </c>
      <c r="D17" s="9">
        <f ca="1">SUM(D$2:D$11)</f>
        <v>3928.0842342646524</v>
      </c>
      <c r="E17" s="9">
        <f ca="1">$Q$5/parameters!$B$4</f>
        <v>2225.4849127758462</v>
      </c>
      <c r="F17" s="9">
        <f t="shared" ref="F17:K17" ca="1" si="7">SUM(F$2:F$11)</f>
        <v>2267.1641791044776</v>
      </c>
      <c r="G17" s="9">
        <f t="shared" ca="1" si="7"/>
        <v>5273.772204806688</v>
      </c>
      <c r="H17" s="9">
        <f t="shared" ca="1" si="7"/>
        <v>7173.6</v>
      </c>
      <c r="I17" s="9">
        <f t="shared" ca="1" si="7"/>
        <v>3711</v>
      </c>
      <c r="J17" s="9">
        <f t="shared" ca="1" si="7"/>
        <v>3155.5960170697012</v>
      </c>
      <c r="K17" s="9">
        <f t="shared" ca="1" si="7"/>
        <v>10163.184096728308</v>
      </c>
      <c r="L17" s="17">
        <f t="shared" ca="1" si="5"/>
        <v>44065.20269644363</v>
      </c>
      <c r="M17" s="17"/>
      <c r="N17" s="17"/>
      <c r="O17" s="9"/>
      <c r="P17" s="14"/>
      <c r="Q17" s="11">
        <f t="shared" ca="1" si="6"/>
        <v>44065.20269644363</v>
      </c>
      <c r="R17" s="17">
        <f t="shared" ca="1" si="4"/>
        <v>44065.20269644363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0.89904886462971345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9295.9394183355143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9295.9394183355143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-9295.9394183355143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7795.7014925373132</v>
      </c>
      <c r="G3" s="14">
        <f ca="1">Q3-O3-P3-F3</f>
        <v>2445.2635074626869</v>
      </c>
      <c r="H3" s="14"/>
      <c r="I3" s="14"/>
      <c r="J3" s="14"/>
      <c r="K3" s="13"/>
      <c r="L3" s="16">
        <f t="shared" ca="1" si="0"/>
        <v>10240.965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55.754999999999995</v>
      </c>
      <c r="P3" s="13" cm="1">
        <f t="array" aca="1" ref="P3" ca="1">-INDIRECT("'data'!$I$" &amp; $A$1)*parameters!$B$13</f>
        <v>-1059.345</v>
      </c>
      <c r="Q3" s="16" cm="1">
        <f t="array" aca="1" ref="Q3" ca="1">INDIRECT("'data'!$G$" &amp; $A$1)*parameters!$B$13</f>
        <v>9237.375</v>
      </c>
      <c r="R3" s="16">
        <f t="shared" ref="R3:R10" ca="1" si="2">SUM(L3:P3)</f>
        <v>9237.375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1948.9253731343285</v>
      </c>
      <c r="G5" s="14">
        <f ca="1">Q7/parameters!$B$7-(G3+G4)</f>
        <v>14696.03220831579</v>
      </c>
      <c r="H5" s="14"/>
      <c r="I5" s="14"/>
      <c r="J5" s="14"/>
      <c r="K5" s="13"/>
      <c r="L5" s="16">
        <f t="shared" ca="1" si="0"/>
        <v>16644.957581450119</v>
      </c>
      <c r="M5" s="16"/>
      <c r="N5" s="16"/>
      <c r="O5" s="11" cm="1">
        <f t="array" aca="1" ref="O5" ca="1">INDIRECT("'data'!$M$" &amp; $A$1)*parameters!$B$15</f>
        <v>149.94</v>
      </c>
      <c r="P5" s="13" cm="1">
        <f t="array" aca="1" ref="P5" ca="1">-INDIRECT("'data'!$N$" &amp; $A$1)*parameters!$B$15</f>
        <v>-3965.08</v>
      </c>
      <c r="Q5" s="16">
        <f ca="1">SUM(L5:P5)</f>
        <v>12829.817581450117</v>
      </c>
      <c r="R5" s="16">
        <f t="shared" ca="1" si="2"/>
        <v>12829.817581450117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9140.4599999999991</v>
      </c>
      <c r="I6" s="14"/>
      <c r="J6" s="14"/>
      <c r="K6" s="13"/>
      <c r="L6" s="16">
        <f t="shared" ca="1" si="0"/>
        <v>9140.4599999999991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9140.4599999999991</v>
      </c>
      <c r="R6" s="16">
        <f t="shared" ca="1" si="2"/>
        <v>9140.4599999999991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16404.22</v>
      </c>
      <c r="I7" s="14"/>
      <c r="J7" s="14"/>
      <c r="K7" s="13"/>
      <c r="L7" s="16">
        <f t="shared" ca="1" si="0"/>
        <v>16404.22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16404.22</v>
      </c>
      <c r="R7" s="16">
        <f t="shared" ca="1" si="2"/>
        <v>16404.22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15989.895534764117</v>
      </c>
      <c r="J8" s="14">
        <f ca="1">Q10/J18</f>
        <v>10878.764465235883</v>
      </c>
      <c r="K8" s="13"/>
      <c r="L8" s="16">
        <f t="shared" ca="1" si="0"/>
        <v>26868.66</v>
      </c>
      <c r="M8" s="16"/>
      <c r="N8" s="16">
        <f t="shared" ca="1" si="3"/>
        <v>0</v>
      </c>
      <c r="O8" s="11" cm="1">
        <f t="array" aca="1" ref="O8" ca="1">INDIRECT("'data'!$R$" &amp; $A$1)*parameters!$B$15</f>
        <v>771.26</v>
      </c>
      <c r="P8" s="13" cm="1">
        <f t="array" aca="1" ref="P8" ca="1">-INDIRECT("'data'!$S$" &amp; $A$1)*parameters!$B$15</f>
        <v>-2095.2399999999998</v>
      </c>
      <c r="Q8" s="16">
        <f ca="1">SUM(Q6:Q7)</f>
        <v>25544.68</v>
      </c>
      <c r="R8" s="16">
        <f t="shared" ca="1" si="2"/>
        <v>25544.68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12590.06</v>
      </c>
      <c r="L9" s="16">
        <f t="shared" ca="1" si="0"/>
        <v>12590.06</v>
      </c>
      <c r="M9" s="16"/>
      <c r="N9" s="16">
        <f t="shared" ca="1" si="3"/>
        <v>0</v>
      </c>
      <c r="O9" s="11" cm="1">
        <f t="array" aca="1" ref="O9" ca="1">INDIRECT("'data'!$U$" &amp; $A$1)*parameters!$B$15</f>
        <v>4147.3599999999997</v>
      </c>
      <c r="P9" s="13" cm="1">
        <f t="array" aca="1" ref="P9" ca="1">-INDIRECT("'data'!$V$" &amp; $A$1)*parameters!$B$15</f>
        <v>-2478.42</v>
      </c>
      <c r="Q9" s="16" cm="1">
        <f t="array" aca="1" ref="Q9" ca="1">INDIRECT("'data'!$T$" &amp; $A$1)*parameters!$B$15</f>
        <v>14259</v>
      </c>
      <c r="R9" s="16">
        <f t="shared" ca="1" si="2"/>
        <v>14258.999999999998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16805.165462304409</v>
      </c>
      <c r="L10" s="16">
        <f t="shared" ca="1" si="0"/>
        <v>16805.165462304409</v>
      </c>
      <c r="M10" s="16"/>
      <c r="N10" s="16">
        <f t="shared" ca="1" si="3"/>
        <v>0</v>
      </c>
      <c r="O10" s="11" cm="1">
        <f t="array" aca="1" ref="O10" ca="1">INDIRECT("'data'!$X$" &amp; $A$1)*parameters!$B$15</f>
        <v>3771.04</v>
      </c>
      <c r="P10" s="13" cm="1">
        <f t="array" aca="1" ref="P10" ca="1">-INDIRECT("'data'!$Y$" &amp; $A$1)*parameters!$B$15</f>
        <v>-10875.06</v>
      </c>
      <c r="Q10" s="16" cm="1">
        <f t="array" aca="1" ref="Q10" ca="1">INDIRECT("'data'!$W$" &amp; $A$1)*parameters!$B$15</f>
        <v>9701.1454623044101</v>
      </c>
      <c r="R10" s="16">
        <f t="shared" ca="1" si="2"/>
        <v>9701.1454623044101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21788.89869758179</v>
      </c>
      <c r="N11" s="19"/>
      <c r="O11" s="21" cm="1">
        <f t="array" aca="1" ref="O11" ca="1">INDIRECT("'data'!$Z$" &amp; $A$1)*parameters!$B$15</f>
        <v>10819.199999999999</v>
      </c>
      <c r="P11" s="27" cm="1">
        <f t="array" aca="1" ref="P11" ca="1">-INDIRECT("'data'!$AA$" &amp; $A$1)*parameters!$B$15</f>
        <v>-6321</v>
      </c>
      <c r="Q11" s="16">
        <f ca="1">K9*parameters!$B$10+K10*parameters!$B$11</f>
        <v>26287.098697581787</v>
      </c>
      <c r="R11" s="16">
        <f t="shared" ref="R11:R17" ca="1" si="4">SUM(L11:P11)</f>
        <v>26287.098697581787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-58.564418335514347</v>
      </c>
      <c r="D12" s="9">
        <f ca="1">-(D17-Q4)</f>
        <v>0</v>
      </c>
      <c r="E12" s="9">
        <f ca="1">-(E17-Q5)</f>
        <v>-1585.7077909657455</v>
      </c>
      <c r="F12" s="9">
        <f ca="1">-(F17-Q6)</f>
        <v>-604.16686567164288</v>
      </c>
      <c r="G12" s="9">
        <f ca="1">-(G17-Q7)</f>
        <v>-737.07571577847557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-2985.5147907513783</v>
      </c>
      <c r="M12" s="17"/>
      <c r="N12" s="17"/>
      <c r="O12" s="10"/>
      <c r="P12" s="12"/>
      <c r="Q12" s="9">
        <f t="shared" ref="Q12:Q17" ca="1" si="6">SUM(L12:P12)</f>
        <v>-2985.5147907513783</v>
      </c>
      <c r="R12" s="17">
        <f t="shared" ca="1" si="4"/>
        <v>-2985.5147907513783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-1730.8955347641167</v>
      </c>
      <c r="J13" s="14">
        <f ca="1">-(J17-Q10)</f>
        <v>-1177.619002931473</v>
      </c>
      <c r="K13" s="13">
        <f ca="1">-(K17-Q11)</f>
        <v>-3108.1267647226196</v>
      </c>
      <c r="L13" s="14">
        <f t="shared" ca="1" si="5"/>
        <v>-6016.6413024182093</v>
      </c>
      <c r="M13" s="16">
        <f ca="1">-E15</f>
        <v>-8398.8840699976536</v>
      </c>
      <c r="N13" s="16"/>
      <c r="O13" s="11"/>
      <c r="P13" s="13"/>
      <c r="Q13" s="14">
        <f t="shared" ca="1" si="6"/>
        <v>-14415.525372415863</v>
      </c>
      <c r="R13" s="16">
        <f t="shared" ca="1" si="4"/>
        <v>-14415.525372415863</v>
      </c>
    </row>
    <row r="14" spans="1:20">
      <c r="A14" s="18" t="s">
        <v>78</v>
      </c>
      <c r="B14" s="11"/>
      <c r="C14" s="14"/>
      <c r="D14" s="14"/>
      <c r="E14" s="14">
        <f ca="1">-(I13+J13)-K13</f>
        <v>6016.6413024182093</v>
      </c>
      <c r="F14" s="14"/>
      <c r="G14" s="14"/>
      <c r="H14" s="14"/>
      <c r="I14" s="14"/>
      <c r="J14" s="14"/>
      <c r="K14" s="13"/>
      <c r="L14" s="14">
        <f t="shared" ca="1" si="5"/>
        <v>6016.6413024182093</v>
      </c>
      <c r="M14" s="16"/>
      <c r="N14" s="16"/>
      <c r="O14" s="11"/>
      <c r="P14" s="13"/>
      <c r="Q14" s="14">
        <f t="shared" ca="1" si="6"/>
        <v>6016.6413024182093</v>
      </c>
      <c r="R14" s="16">
        <f t="shared" ca="1" si="4"/>
        <v>6016.6413024182093</v>
      </c>
    </row>
    <row r="15" spans="1:20">
      <c r="A15" s="18" t="s">
        <v>79</v>
      </c>
      <c r="B15" s="11"/>
      <c r="C15" s="14"/>
      <c r="D15" s="14"/>
      <c r="E15" s="14">
        <f ca="1">E17-E14</f>
        <v>8398.8840699976536</v>
      </c>
      <c r="F15" s="14"/>
      <c r="G15" s="14"/>
      <c r="H15" s="14"/>
      <c r="I15" s="14"/>
      <c r="J15" s="14"/>
      <c r="K15" s="13"/>
      <c r="L15" s="14">
        <f t="shared" ca="1" si="5"/>
        <v>8398.8840699976536</v>
      </c>
      <c r="M15" s="16"/>
      <c r="N15" s="16"/>
      <c r="O15" s="11"/>
      <c r="P15" s="13"/>
      <c r="Q15" s="14">
        <f t="shared" ca="1" si="6"/>
        <v>8398.8840699976536</v>
      </c>
      <c r="R15" s="16">
        <f t="shared" ca="1" si="4"/>
        <v>8398.8840699976536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9295.9394183355143</v>
      </c>
      <c r="D17" s="9">
        <f ca="1">SUM(D$2:D$11)</f>
        <v>0</v>
      </c>
      <c r="E17" s="9">
        <f ca="1">$Q$5/parameters!$B$4</f>
        <v>14415.525372415863</v>
      </c>
      <c r="F17" s="9">
        <f t="shared" ref="F17:K17" ca="1" si="7">SUM(F$2:F$11)</f>
        <v>9744.626865671642</v>
      </c>
      <c r="G17" s="9">
        <f t="shared" ca="1" si="7"/>
        <v>17141.295715778477</v>
      </c>
      <c r="H17" s="9">
        <f t="shared" ca="1" si="7"/>
        <v>25544.68</v>
      </c>
      <c r="I17" s="9">
        <f t="shared" ca="1" si="7"/>
        <v>15989.895534764117</v>
      </c>
      <c r="J17" s="9">
        <f t="shared" ca="1" si="7"/>
        <v>10878.764465235883</v>
      </c>
      <c r="K17" s="9">
        <f t="shared" ca="1" si="7"/>
        <v>29395.225462304406</v>
      </c>
      <c r="L17" s="17">
        <f t="shared" ca="1" si="5"/>
        <v>132405.95283450591</v>
      </c>
      <c r="M17" s="17"/>
      <c r="N17" s="17"/>
      <c r="O17" s="9"/>
      <c r="P17" s="14"/>
      <c r="Q17" s="11">
        <f t="shared" ca="1" si="6"/>
        <v>132405.95283450591</v>
      </c>
      <c r="R17" s="17">
        <f t="shared" ca="1" si="4"/>
        <v>132405.95283450591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0.89175066647552981</v>
      </c>
      <c r="J18" s="39">
        <f ca="1">I18</f>
        <v>0.89175066647552981</v>
      </c>
      <c r="K18" s="40">
        <f ca="1">1-(-K13)/K17</f>
        <v>0.89426423115181097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26279.692059977857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26279.692059977857</v>
      </c>
      <c r="M2" s="17"/>
      <c r="N2" s="17">
        <f ca="1">Q2-(L2+O2+P2)</f>
        <v>0</v>
      </c>
      <c r="O2" s="11" cm="1">
        <f t="array" aca="1" ref="O2" ca="1">INDIRECT("'data'!$F$" &amp; $A$1)</f>
        <v>12169.95</v>
      </c>
      <c r="P2" s="13">
        <f ca="1">IF(-(L2-Q2+O2)&lt;0, -(L2-Q2+O2), 0)</f>
        <v>-6149.6420599778576</v>
      </c>
      <c r="Q2" s="17" cm="1">
        <f t="array" aca="1" ref="Q2" ca="1">INDIRECT("'data'!$D$" &amp; $A$1)</f>
        <v>32300</v>
      </c>
      <c r="R2" s="17">
        <f ca="1">SUM(L2:P2)</f>
        <v>32300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25556.728358208959</v>
      </c>
      <c r="G3" s="14">
        <f ca="1">Q3-O3-P3-F3</f>
        <v>42.3766417910374</v>
      </c>
      <c r="H3" s="14"/>
      <c r="I3" s="14"/>
      <c r="J3" s="14"/>
      <c r="K3" s="13"/>
      <c r="L3" s="16">
        <f t="shared" ca="1" si="0"/>
        <v>25599.104999999996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515.02499999999998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26114.129999999997</v>
      </c>
      <c r="R3" s="16">
        <f t="shared" ref="R3:R10" ca="1" si="2">SUM(L3:P3)</f>
        <v>26114.129999999997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Q6/parameters!$B$5*26%</f>
        <v>8979.3910447761209</v>
      </c>
      <c r="G5" s="14">
        <f ca="1">Q7/parameters!$B$7-(G3+G4)</f>
        <v>973.46452853289156</v>
      </c>
      <c r="H5" s="14"/>
      <c r="I5" s="14"/>
      <c r="J5" s="14"/>
      <c r="K5" s="13"/>
      <c r="L5" s="16">
        <f t="shared" ca="1" si="0"/>
        <v>9952.8555733090125</v>
      </c>
      <c r="M5" s="16"/>
      <c r="N5" s="16"/>
      <c r="O5" s="11" cm="1">
        <f t="array" aca="1" ref="O5" ca="1">INDIRECT("'data'!$M$" &amp; $A$1)*parameters!$B$15</f>
        <v>3737.72</v>
      </c>
      <c r="P5" s="13" cm="1">
        <f t="array" aca="1" ref="P5" ca="1">-INDIRECT("'data'!$N$" &amp; $A$1)*parameters!$B$15</f>
        <v>0</v>
      </c>
      <c r="Q5" s="16">
        <f ca="1">SUM(L5:P5)</f>
        <v>13690.575573309012</v>
      </c>
      <c r="R5" s="16">
        <f t="shared" ca="1" si="2"/>
        <v>13690.575573309012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32394.880000000001</v>
      </c>
      <c r="I6" s="14"/>
      <c r="J6" s="14"/>
      <c r="K6" s="13"/>
      <c r="L6" s="16">
        <f t="shared" ca="1" si="0"/>
        <v>32394.880000000001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32394.880000000001</v>
      </c>
      <c r="R6" s="16">
        <f t="shared" ca="1" si="2"/>
        <v>32394.880000000001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972.16</v>
      </c>
      <c r="I7" s="14"/>
      <c r="J7" s="14"/>
      <c r="K7" s="13"/>
      <c r="L7" s="16">
        <f t="shared" ca="1" si="0"/>
        <v>972.16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972.16</v>
      </c>
      <c r="R7" s="16">
        <f t="shared" ca="1" si="2"/>
        <v>972.16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15650</v>
      </c>
      <c r="J8" s="14">
        <f ca="1">Q10/J18</f>
        <v>10447.082503556188</v>
      </c>
      <c r="K8" s="13"/>
      <c r="L8" s="16">
        <f t="shared" ca="1" si="0"/>
        <v>26097.082503556187</v>
      </c>
      <c r="M8" s="16"/>
      <c r="N8" s="16">
        <f t="shared" ca="1" si="3"/>
        <v>-2777.0025035561848</v>
      </c>
      <c r="O8" s="11" cm="1">
        <f t="array" aca="1" ref="O8" ca="1">INDIRECT("'data'!$R$" &amp; $A$1)*parameters!$B$15</f>
        <v>10242.959999999999</v>
      </c>
      <c r="P8" s="13" cm="1">
        <f t="array" aca="1" ref="P8" ca="1">-INDIRECT("'data'!$S$" &amp; $A$1)*parameters!$B$15</f>
        <v>-196</v>
      </c>
      <c r="Q8" s="16">
        <f ca="1">SUM(Q6:Q7)</f>
        <v>33367.040000000001</v>
      </c>
      <c r="R8" s="16">
        <f t="shared" ca="1" si="2"/>
        <v>33367.040000000001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8923.880000000001</v>
      </c>
      <c r="L9" s="16">
        <f t="shared" ca="1" si="0"/>
        <v>8923.880000000001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6413.12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15337</v>
      </c>
      <c r="R9" s="16">
        <f t="shared" ca="1" si="2"/>
        <v>15337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2580.420853485065</v>
      </c>
      <c r="L10" s="16">
        <f t="shared" ca="1" si="0"/>
        <v>2580.420853485065</v>
      </c>
      <c r="M10" s="16"/>
      <c r="N10" s="16">
        <f t="shared" ca="1" si="3"/>
        <v>0</v>
      </c>
      <c r="O10" s="11" cm="1">
        <f t="array" aca="1" ref="O10" ca="1">INDIRECT("'data'!$X$" &amp; $A$1)*parameters!$B$15</f>
        <v>7657.72</v>
      </c>
      <c r="P10" s="13" cm="1">
        <f t="array" aca="1" ref="P10" ca="1">-INDIRECT("'data'!$Y$" &amp; $A$1)*parameters!$B$15</f>
        <v>0</v>
      </c>
      <c r="Q10" s="16" cm="1">
        <f t="array" aca="1" ref="Q10" ca="1">INDIRECT("'data'!$W$" &amp; $A$1)*parameters!$B$15</f>
        <v>10238.140853485065</v>
      </c>
      <c r="R10" s="16">
        <f t="shared" ca="1" si="2"/>
        <v>10238.140853485065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10030.389133997158</v>
      </c>
      <c r="N11" s="19"/>
      <c r="O11" s="21" cm="1">
        <f t="array" aca="1" ref="O11" ca="1">INDIRECT("'data'!$Z$" &amp; $A$1)*parameters!$B$15</f>
        <v>1196.58</v>
      </c>
      <c r="P11" s="27" cm="1">
        <f t="array" aca="1" ref="P11" ca="1">-INDIRECT("'data'!$AA$" &amp; $A$1)*parameters!$B$15</f>
        <v>-619.36</v>
      </c>
      <c r="Q11" s="16">
        <f ca="1">K9*parameters!$B$10+K10*parameters!$B$11</f>
        <v>10607.609133997157</v>
      </c>
      <c r="R11" s="16">
        <f t="shared" ref="R11:R17" ca="1" si="4">SUM(L11:P11)</f>
        <v>10607.609133997157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-165.56205997785946</v>
      </c>
      <c r="D12" s="9">
        <f ca="1">-(D17-Q4)</f>
        <v>0</v>
      </c>
      <c r="E12" s="9">
        <f ca="1">-(E17-Q5)</f>
        <v>-1692.0936101842599</v>
      </c>
      <c r="F12" s="9">
        <f ca="1">-(F17-Q6)</f>
        <v>-2141.2394029850802</v>
      </c>
      <c r="G12" s="9">
        <f ca="1">-(G17-Q7)</f>
        <v>-43.681170323928995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-4042.5762434711287</v>
      </c>
      <c r="M12" s="17"/>
      <c r="N12" s="17"/>
      <c r="O12" s="10"/>
      <c r="P12" s="12"/>
      <c r="Q12" s="9">
        <f t="shared" ref="Q12:Q17" ca="1" si="6">SUM(L12:P12)</f>
        <v>-4042.5762434711287</v>
      </c>
      <c r="R12" s="17">
        <f t="shared" ca="1" si="4"/>
        <v>-4042.5762434711287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-313</v>
      </c>
      <c r="J13" s="14">
        <f ca="1">-(J17-Q10)</f>
        <v>-208.94165007112315</v>
      </c>
      <c r="K13" s="13">
        <f ca="1">-(K17-Q11)</f>
        <v>-896.69171948790972</v>
      </c>
      <c r="L13" s="14">
        <f t="shared" ca="1" si="5"/>
        <v>-1418.6333695590329</v>
      </c>
      <c r="M13" s="16">
        <f ca="1">-E15</f>
        <v>-13964.035813934239</v>
      </c>
      <c r="N13" s="16"/>
      <c r="O13" s="11"/>
      <c r="P13" s="13"/>
      <c r="Q13" s="14">
        <f t="shared" ca="1" si="6"/>
        <v>-15382.669183493272</v>
      </c>
      <c r="R13" s="16">
        <f t="shared" ca="1" si="4"/>
        <v>-15382.669183493272</v>
      </c>
    </row>
    <row r="14" spans="1:20">
      <c r="A14" s="18" t="s">
        <v>78</v>
      </c>
      <c r="B14" s="11"/>
      <c r="C14" s="14"/>
      <c r="D14" s="14"/>
      <c r="E14" s="14">
        <f ca="1">-(I13+J13)-K13</f>
        <v>1418.6333695590329</v>
      </c>
      <c r="F14" s="14"/>
      <c r="G14" s="14"/>
      <c r="H14" s="14"/>
      <c r="I14" s="14"/>
      <c r="J14" s="14"/>
      <c r="K14" s="13"/>
      <c r="L14" s="14">
        <f t="shared" ca="1" si="5"/>
        <v>1418.6333695590329</v>
      </c>
      <c r="M14" s="16"/>
      <c r="N14" s="16"/>
      <c r="O14" s="11"/>
      <c r="P14" s="13"/>
      <c r="Q14" s="14">
        <f t="shared" ca="1" si="6"/>
        <v>1418.6333695590329</v>
      </c>
      <c r="R14" s="16">
        <f t="shared" ca="1" si="4"/>
        <v>1418.6333695590329</v>
      </c>
    </row>
    <row r="15" spans="1:20">
      <c r="A15" s="18" t="s">
        <v>79</v>
      </c>
      <c r="B15" s="11"/>
      <c r="C15" s="14"/>
      <c r="D15" s="14"/>
      <c r="E15" s="14">
        <f ca="1">E17-E14</f>
        <v>13964.035813934239</v>
      </c>
      <c r="F15" s="14"/>
      <c r="G15" s="14"/>
      <c r="H15" s="14"/>
      <c r="I15" s="14"/>
      <c r="J15" s="14"/>
      <c r="K15" s="13"/>
      <c r="L15" s="14">
        <f t="shared" ca="1" si="5"/>
        <v>13964.035813934239</v>
      </c>
      <c r="M15" s="16"/>
      <c r="N15" s="16"/>
      <c r="O15" s="11"/>
      <c r="P15" s="13"/>
      <c r="Q15" s="14">
        <f t="shared" ca="1" si="6"/>
        <v>13964.035813934239</v>
      </c>
      <c r="R15" s="16">
        <f t="shared" ca="1" si="4"/>
        <v>13964.035813934239</v>
      </c>
    </row>
    <row r="16" spans="1:20">
      <c r="A16" s="30" t="s">
        <v>89</v>
      </c>
      <c r="B16" s="21">
        <f ca="1">Q2</f>
        <v>32300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32300</v>
      </c>
      <c r="M16" s="19"/>
      <c r="N16" s="19"/>
      <c r="O16" s="21"/>
      <c r="P16" s="27"/>
      <c r="Q16" s="22">
        <f t="shared" ca="1" si="6"/>
        <v>32300</v>
      </c>
      <c r="R16" s="19">
        <f t="shared" ca="1" si="4"/>
        <v>32300</v>
      </c>
    </row>
    <row r="17" spans="1:18">
      <c r="A17" s="29" t="s">
        <v>88</v>
      </c>
      <c r="B17" s="9">
        <f ca="1">B16</f>
        <v>32300</v>
      </c>
      <c r="C17" s="9">
        <f ca="1">SUM(C$2:C$11)</f>
        <v>26279.692059977857</v>
      </c>
      <c r="D17" s="9">
        <f ca="1">SUM(D$2:D$11)</f>
        <v>0</v>
      </c>
      <c r="E17" s="9">
        <f ca="1">$Q$5/parameters!$B$4</f>
        <v>15382.669183493272</v>
      </c>
      <c r="F17" s="9">
        <f t="shared" ref="F17:K17" ca="1" si="7">SUM(F$2:F$11)</f>
        <v>34536.119402985081</v>
      </c>
      <c r="G17" s="9">
        <f t="shared" ca="1" si="7"/>
        <v>1015.841170323929</v>
      </c>
      <c r="H17" s="9">
        <f t="shared" ca="1" si="7"/>
        <v>33367.040000000001</v>
      </c>
      <c r="I17" s="9">
        <f t="shared" ca="1" si="7"/>
        <v>15650</v>
      </c>
      <c r="J17" s="9">
        <f t="shared" ca="1" si="7"/>
        <v>10447.082503556188</v>
      </c>
      <c r="K17" s="9">
        <f t="shared" ca="1" si="7"/>
        <v>11504.300853485067</v>
      </c>
      <c r="L17" s="17">
        <f t="shared" ca="1" si="5"/>
        <v>180482.7451738214</v>
      </c>
      <c r="M17" s="17"/>
      <c r="N17" s="17"/>
      <c r="O17" s="9"/>
      <c r="P17" s="14"/>
      <c r="Q17" s="11">
        <f t="shared" ca="1" si="6"/>
        <v>180482.7451738214</v>
      </c>
      <c r="R17" s="17">
        <f t="shared" ca="1" si="4"/>
        <v>180482.7451738214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0.92205595708006283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3800.161014390661</v>
      </c>
      <c r="D2" s="9">
        <f ca="1">Q4/parameters!$B$3</f>
        <v>4389.3730502163635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8189.5340646070244</v>
      </c>
      <c r="M2" s="17"/>
      <c r="N2" s="17">
        <f ca="1">Q2-(L2+O2+P2)</f>
        <v>0</v>
      </c>
      <c r="O2" s="11" cm="1">
        <f t="array" aca="1" ref="O2" ca="1">INDIRECT("'data'!$F$" &amp; $A$1)</f>
        <v>241.8</v>
      </c>
      <c r="P2" s="13">
        <f ca="1">IF(-(L2-Q2+O2)&lt;0, -(L2-Q2+O2), 0)</f>
        <v>-2466.3340646070246</v>
      </c>
      <c r="Q2" s="17" cm="1">
        <f t="array" aca="1" ref="Q2" ca="1">INDIRECT("'data'!$D$" &amp; $A$1)</f>
        <v>5965</v>
      </c>
      <c r="R2" s="17">
        <f ca="1">SUM(L2:P2)</f>
        <v>5965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3441.0746268656717</v>
      </c>
      <c r="G3" s="14">
        <f ca="1">Q3-O3-P3-F3</f>
        <v>1360.4703731343284</v>
      </c>
      <c r="H3" s="14"/>
      <c r="I3" s="14"/>
      <c r="J3" s="14"/>
      <c r="K3" s="13"/>
      <c r="L3" s="16">
        <f t="shared" ca="1" si="0"/>
        <v>4801.5450000000001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-1028.1599999999999</v>
      </c>
      <c r="Q3" s="16" cm="1">
        <f t="array" aca="1" ref="Q3" ca="1">INDIRECT("'data'!$G$" &amp; $A$1)*parameters!$B$13</f>
        <v>3776.22</v>
      </c>
      <c r="R3" s="16">
        <f t="shared" ref="R3:R10" ca="1" si="2">SUM(L3:P3)</f>
        <v>3776.2200000000003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4361.72</v>
      </c>
      <c r="H4" s="14"/>
      <c r="I4" s="14"/>
      <c r="J4" s="14"/>
      <c r="K4" s="13"/>
      <c r="L4" s="16">
        <f t="shared" ca="1" si="0"/>
        <v>4361.72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4361.72</v>
      </c>
      <c r="R4" s="16">
        <f t="shared" ca="1" si="2"/>
        <v>4361.72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860.26865671641792</v>
      </c>
      <c r="G5" s="14">
        <f ca="1">Q7/parameters!$B$7-(G3+G4)</f>
        <v>4409.5964607214701</v>
      </c>
      <c r="H5" s="14"/>
      <c r="I5" s="14"/>
      <c r="J5" s="14"/>
      <c r="K5" s="13"/>
      <c r="L5" s="16">
        <f t="shared" ca="1" si="0"/>
        <v>5269.8651174378883</v>
      </c>
      <c r="M5" s="16"/>
      <c r="N5" s="16"/>
      <c r="O5" s="11" cm="1">
        <f t="array" aca="1" ref="O5" ca="1">INDIRECT("'data'!$M$" &amp; $A$1)*parameters!$B$15</f>
        <v>216.57999999999998</v>
      </c>
      <c r="P5" s="13" cm="1">
        <f t="array" aca="1" ref="P5" ca="1">-INDIRECT("'data'!$N$" &amp; $A$1)*parameters!$B$15</f>
        <v>-1786.54</v>
      </c>
      <c r="Q5" s="16">
        <f ca="1">SUM(L5:P5)</f>
        <v>3699.9051174378883</v>
      </c>
      <c r="R5" s="16">
        <f t="shared" ca="1" si="2"/>
        <v>3699.9051174378883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4034.66</v>
      </c>
      <c r="I6" s="14"/>
      <c r="J6" s="14"/>
      <c r="K6" s="13"/>
      <c r="L6" s="16">
        <f t="shared" ca="1" si="0"/>
        <v>4034.66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4034.66</v>
      </c>
      <c r="R6" s="16">
        <f t="shared" ca="1" si="2"/>
        <v>4034.66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9696.119999999999</v>
      </c>
      <c r="I7" s="14"/>
      <c r="J7" s="14"/>
      <c r="K7" s="13"/>
      <c r="L7" s="16">
        <f t="shared" ca="1" si="0"/>
        <v>9696.119999999999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9696.119999999999</v>
      </c>
      <c r="R7" s="16">
        <f t="shared" ca="1" si="2"/>
        <v>9696.119999999999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6830.7134716039627</v>
      </c>
      <c r="J8" s="14">
        <f ca="1">Q10/J18</f>
        <v>5547.6665283960374</v>
      </c>
      <c r="K8" s="13"/>
      <c r="L8" s="16">
        <f t="shared" ca="1" si="0"/>
        <v>12378.380000000001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1853.18</v>
      </c>
      <c r="P8" s="13" cm="1">
        <f t="array" aca="1" ref="P8" ca="1">-INDIRECT("'data'!$S$" &amp; $A$1)*parameters!$B$15</f>
        <v>-500.78</v>
      </c>
      <c r="Q8" s="16">
        <f ca="1">SUM(Q6:Q7)</f>
        <v>13730.779999999999</v>
      </c>
      <c r="R8" s="16">
        <f t="shared" ca="1" si="2"/>
        <v>13730.78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6754.16</v>
      </c>
      <c r="L9" s="16">
        <f t="shared" ca="1" si="0"/>
        <v>6754.16</v>
      </c>
      <c r="M9" s="16"/>
      <c r="N9" s="16">
        <f t="shared" ca="1" si="3"/>
        <v>0</v>
      </c>
      <c r="O9" s="11" cm="1">
        <f t="array" aca="1" ref="O9" ca="1">INDIRECT("'data'!$U$" &amp; $A$1)*parameters!$B$15</f>
        <v>756.56</v>
      </c>
      <c r="P9" s="13" cm="1">
        <f t="array" aca="1" ref="P9" ca="1">-INDIRECT("'data'!$V$" &amp; $A$1)*parameters!$B$15</f>
        <v>-1262.24</v>
      </c>
      <c r="Q9" s="16" cm="1">
        <f t="array" aca="1" ref="Q9" ca="1">INDIRECT("'data'!$T$" &amp; $A$1)*parameters!$B$15</f>
        <v>6248.48</v>
      </c>
      <c r="R9" s="16">
        <f t="shared" ca="1" si="2"/>
        <v>6248.48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7442.4768705547658</v>
      </c>
      <c r="L10" s="16">
        <f t="shared" ca="1" si="0"/>
        <v>7442.4768705547658</v>
      </c>
      <c r="M10" s="16"/>
      <c r="N10" s="16">
        <f t="shared" ca="1" si="3"/>
        <v>0</v>
      </c>
      <c r="O10" s="11" cm="1">
        <f t="array" aca="1" ref="O10" ca="1">INDIRECT("'data'!$X$" &amp; $A$1)*parameters!$B$15</f>
        <v>1139.74</v>
      </c>
      <c r="P10" s="13" cm="1">
        <f t="array" aca="1" ref="P10" ca="1">-INDIRECT("'data'!$Y$" &amp; $A$1)*parameters!$B$15</f>
        <v>-3507.42</v>
      </c>
      <c r="Q10" s="16" cm="1">
        <f t="array" aca="1" ref="Q10" ca="1">INDIRECT("'data'!$W$" &amp; $A$1)*parameters!$B$15</f>
        <v>5074.7968705547655</v>
      </c>
      <c r="R10" s="16">
        <f t="shared" ca="1" si="2"/>
        <v>5074.7968705547664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13642.220508677099</v>
      </c>
      <c r="N11" s="19"/>
      <c r="O11" s="21" cm="1">
        <f t="array" aca="1" ref="O11" ca="1">INDIRECT("'data'!$Z$" &amp; $A$1)*parameters!$B$15</f>
        <v>5690.86</v>
      </c>
      <c r="P11" s="27" cm="1">
        <f t="array" aca="1" ref="P11" ca="1">-INDIRECT("'data'!$AA$" &amp; $A$1)*parameters!$B$15</f>
        <v>-6583.64</v>
      </c>
      <c r="Q11" s="16">
        <f ca="1">K9*parameters!$B$10+K10*parameters!$B$11</f>
        <v>12749.440508677098</v>
      </c>
      <c r="R11" s="16">
        <f t="shared" ref="R11:R17" ca="1" si="4">SUM(L11:P11)</f>
        <v>12749.4405086771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-23.941014390661167</v>
      </c>
      <c r="D12" s="9">
        <f ca="1">-(D17-Q4)</f>
        <v>-27.653050216363226</v>
      </c>
      <c r="E12" s="9">
        <f ca="1">-(E17-Q5)</f>
        <v>-457.29164372827836</v>
      </c>
      <c r="F12" s="9">
        <f ca="1">-(F17-Q6)</f>
        <v>-266.68328358208964</v>
      </c>
      <c r="G12" s="9">
        <f ca="1">-(G17-Q7)</f>
        <v>-435.66683385579927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-1211.2358257731917</v>
      </c>
      <c r="M12" s="17"/>
      <c r="N12" s="17"/>
      <c r="O12" s="10"/>
      <c r="P12" s="12"/>
      <c r="Q12" s="9">
        <f t="shared" ref="Q12:Q17" ca="1" si="6">SUM(L12:P12)</f>
        <v>-1211.2358257731917</v>
      </c>
      <c r="R12" s="17">
        <f t="shared" ca="1" si="4"/>
        <v>-1211.2358257731917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-582.23347160396315</v>
      </c>
      <c r="J13" s="14">
        <f ca="1">-(J17-Q10)</f>
        <v>-472.86965784127187</v>
      </c>
      <c r="K13" s="13">
        <f ca="1">-(K17-Q11)</f>
        <v>-1447.1963618776663</v>
      </c>
      <c r="L13" s="14">
        <f t="shared" ca="1" si="5"/>
        <v>-2502.2994913229013</v>
      </c>
      <c r="M13" s="16">
        <f ca="1">-E15</f>
        <v>-1654.8972698432653</v>
      </c>
      <c r="N13" s="16"/>
      <c r="O13" s="11"/>
      <c r="P13" s="13"/>
      <c r="Q13" s="14">
        <f t="shared" ca="1" si="6"/>
        <v>-4157.1967611661667</v>
      </c>
      <c r="R13" s="16">
        <f t="shared" ca="1" si="4"/>
        <v>-4157.1967611661667</v>
      </c>
    </row>
    <row r="14" spans="1:20">
      <c r="A14" s="18" t="s">
        <v>78</v>
      </c>
      <c r="B14" s="11"/>
      <c r="C14" s="14"/>
      <c r="D14" s="14"/>
      <c r="E14" s="14">
        <f ca="1">-(I13+J13)-K13</f>
        <v>2502.2994913229013</v>
      </c>
      <c r="F14" s="14"/>
      <c r="G14" s="14"/>
      <c r="H14" s="14"/>
      <c r="I14" s="14"/>
      <c r="J14" s="14"/>
      <c r="K14" s="13"/>
      <c r="L14" s="14">
        <f t="shared" ca="1" si="5"/>
        <v>2502.2994913229013</v>
      </c>
      <c r="M14" s="16"/>
      <c r="N14" s="16"/>
      <c r="O14" s="11"/>
      <c r="P14" s="13"/>
      <c r="Q14" s="14">
        <f t="shared" ca="1" si="6"/>
        <v>2502.2994913229013</v>
      </c>
      <c r="R14" s="16">
        <f t="shared" ca="1" si="4"/>
        <v>2502.2994913229013</v>
      </c>
    </row>
    <row r="15" spans="1:20">
      <c r="A15" s="18" t="s">
        <v>79</v>
      </c>
      <c r="B15" s="11"/>
      <c r="C15" s="14"/>
      <c r="D15" s="14"/>
      <c r="E15" s="14">
        <f ca="1">E17-E14</f>
        <v>1654.8972698432653</v>
      </c>
      <c r="F15" s="14"/>
      <c r="G15" s="14"/>
      <c r="H15" s="14"/>
      <c r="I15" s="14"/>
      <c r="J15" s="14"/>
      <c r="K15" s="13"/>
      <c r="L15" s="14">
        <f t="shared" ca="1" si="5"/>
        <v>1654.8972698432653</v>
      </c>
      <c r="M15" s="16"/>
      <c r="N15" s="16"/>
      <c r="O15" s="11"/>
      <c r="P15" s="13"/>
      <c r="Q15" s="14">
        <f t="shared" ca="1" si="6"/>
        <v>1654.8972698432653</v>
      </c>
      <c r="R15" s="16">
        <f t="shared" ca="1" si="4"/>
        <v>1654.8972698432653</v>
      </c>
    </row>
    <row r="16" spans="1:20">
      <c r="A16" s="30" t="s">
        <v>89</v>
      </c>
      <c r="B16" s="21">
        <f ca="1">Q2</f>
        <v>5965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5965</v>
      </c>
      <c r="M16" s="19"/>
      <c r="N16" s="19"/>
      <c r="O16" s="21"/>
      <c r="P16" s="27"/>
      <c r="Q16" s="22">
        <f t="shared" ca="1" si="6"/>
        <v>5965</v>
      </c>
      <c r="R16" s="19">
        <f t="shared" ca="1" si="4"/>
        <v>5965</v>
      </c>
    </row>
    <row r="17" spans="1:18">
      <c r="A17" s="29" t="s">
        <v>88</v>
      </c>
      <c r="B17" s="9">
        <f ca="1">B16</f>
        <v>5965</v>
      </c>
      <c r="C17" s="9">
        <f ca="1">SUM(C$2:C$11)</f>
        <v>3800.161014390661</v>
      </c>
      <c r="D17" s="9">
        <f ca="1">SUM(D$2:D$11)</f>
        <v>4389.3730502163635</v>
      </c>
      <c r="E17" s="9">
        <f ca="1">$Q$5/parameters!$B$4</f>
        <v>4157.1967611661667</v>
      </c>
      <c r="F17" s="9">
        <f t="shared" ref="F17:K17" ca="1" si="7">SUM(F$2:F$11)</f>
        <v>4301.3432835820895</v>
      </c>
      <c r="G17" s="9">
        <f t="shared" ca="1" si="7"/>
        <v>10131.786833855798</v>
      </c>
      <c r="H17" s="9">
        <f t="shared" ca="1" si="7"/>
        <v>13730.779999999999</v>
      </c>
      <c r="I17" s="9">
        <f t="shared" ca="1" si="7"/>
        <v>6830.7134716039627</v>
      </c>
      <c r="J17" s="9">
        <f t="shared" ca="1" si="7"/>
        <v>5547.6665283960374</v>
      </c>
      <c r="K17" s="9">
        <f t="shared" ca="1" si="7"/>
        <v>14196.636870554765</v>
      </c>
      <c r="L17" s="17">
        <f t="shared" ca="1" si="5"/>
        <v>73050.657813765851</v>
      </c>
      <c r="M17" s="17"/>
      <c r="N17" s="17"/>
      <c r="O17" s="9"/>
      <c r="P17" s="14"/>
      <c r="Q17" s="11">
        <f t="shared" ca="1" si="6"/>
        <v>73050.657813765851</v>
      </c>
      <c r="R17" s="17">
        <f t="shared" ca="1" si="4"/>
        <v>73050.657813765851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0.91476242210650871</v>
      </c>
      <c r="J18" s="39">
        <f ca="1">I18</f>
        <v>0.91476242210650871</v>
      </c>
      <c r="K18" s="40">
        <f ca="1">1-(-K13)/K17</f>
        <v>0.89806061991489727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3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41.194976638653515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41.194976638653515</v>
      </c>
      <c r="M2" s="17"/>
      <c r="N2" s="17">
        <f ca="1">Q2-(L2+O2+P2)</f>
        <v>0</v>
      </c>
      <c r="O2" s="11" cm="1">
        <f t="array" aca="1" ref="O2" ca="1">INDIRECT("'data'!$F$" &amp; $A$1)</f>
        <v>195</v>
      </c>
      <c r="P2" s="13">
        <f ca="1">IF(-(L2-Q2+O2)&lt;0, -(L2-Q2+O2), 0)</f>
        <v>-187.2397764707768</v>
      </c>
      <c r="Q2" s="17" cm="1">
        <f t="array" aca="1" ref="Q2" ca="1">INDIRECT("'data'!$D$" &amp; $A$1)</f>
        <v>48.955200167876711</v>
      </c>
      <c r="R2" s="17">
        <f ca="1">SUM(L2:P2)</f>
        <v>48.955200167876711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40.935448285829999</v>
      </c>
      <c r="H3" s="14"/>
      <c r="I3" s="14"/>
      <c r="J3" s="14"/>
      <c r="K3" s="13"/>
      <c r="L3" s="16">
        <f t="shared" ca="1" si="0"/>
        <v>40.935448285829999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40.935448285829999</v>
      </c>
      <c r="R3" s="16">
        <f t="shared" ref="R3:R10" ca="1" si="2">SUM(L3:P3)</f>
        <v>40.935448285829999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377.89422778522544</v>
      </c>
      <c r="H5" s="14"/>
      <c r="I5" s="14"/>
      <c r="J5" s="14"/>
      <c r="K5" s="13"/>
      <c r="L5" s="16">
        <f t="shared" ca="1" si="0"/>
        <v>377.89422778522544</v>
      </c>
      <c r="M5" s="16"/>
      <c r="N5" s="48">
        <f ca="1">$E$14*parameters!$B$4-$P$5-$L$5-$O$5</f>
        <v>698.67830421477515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-255.78</v>
      </c>
      <c r="Q5" s="16">
        <f ca="1">SUM(L5:P5)</f>
        <v>820.79253200000062</v>
      </c>
      <c r="R5" s="16">
        <f t="shared" ca="1" si="2"/>
        <v>820.79253200000062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400.82</v>
      </c>
      <c r="I7" s="14"/>
      <c r="J7" s="14"/>
      <c r="K7" s="13"/>
      <c r="L7" s="16">
        <f t="shared" ca="1" si="0"/>
        <v>400.82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400.82</v>
      </c>
      <c r="R7" s="16">
        <f t="shared" ca="1" si="2"/>
        <v>400.82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2563.6800000000003</v>
      </c>
      <c r="J8" s="14">
        <f ca="1">Q10/J18</f>
        <v>0</v>
      </c>
      <c r="K8" s="13"/>
      <c r="L8" s="16">
        <f t="shared" ca="1" si="0"/>
        <v>2563.6800000000003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-2162.86</v>
      </c>
      <c r="Q8" s="16">
        <f ca="1">SUM(Q6:Q7)</f>
        <v>400.82</v>
      </c>
      <c r="R8" s="16">
        <f t="shared" ca="1" si="2"/>
        <v>400.82000000000016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2271.64</v>
      </c>
      <c r="L9" s="16">
        <f t="shared" ca="1" si="0"/>
        <v>2271.64</v>
      </c>
      <c r="M9" s="16"/>
      <c r="N9" s="16">
        <f t="shared" ca="1" si="3"/>
        <v>0</v>
      </c>
      <c r="O9" s="11" cm="1">
        <f t="array" aca="1" ref="O9" ca="1">INDIRECT("'data'!$U$" &amp; $A$1)*parameters!$B$15</f>
        <v>37.24</v>
      </c>
      <c r="P9" s="13" cm="1">
        <f t="array" aca="1" ref="P9" ca="1">-INDIRECT("'data'!$V$" &amp; $A$1)*parameters!$B$15</f>
        <v>-228.34</v>
      </c>
      <c r="Q9" s="16" cm="1">
        <f t="array" aca="1" ref="Q9" ca="1">INDIRECT("'data'!$T$" &amp; $A$1)*parameters!$B$15</f>
        <v>2080.54</v>
      </c>
      <c r="R9" s="16">
        <f t="shared" ca="1" si="2"/>
        <v>2080.5399999999995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2162.86</v>
      </c>
      <c r="L10" s="16">
        <f t="shared" ca="1" si="0"/>
        <v>2162.86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-2162.86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4339.3811999999998</v>
      </c>
      <c r="N11" s="19"/>
      <c r="O11" s="21" cm="1">
        <f t="array" aca="1" ref="O11" ca="1">INDIRECT("'data'!$Z$" &amp; $A$1)*parameters!$B$15</f>
        <v>64.679999999999993</v>
      </c>
      <c r="P11" s="27" cm="1">
        <f t="array" aca="1" ref="P11" ca="1">-INDIRECT("'data'!$AA$" &amp; $A$1)*parameters!$B$15</f>
        <v>-408.65999999999997</v>
      </c>
      <c r="Q11" s="16">
        <f ca="1">K9*parameters!$B$10+K10*parameters!$B$11</f>
        <v>3995.4011999999998</v>
      </c>
      <c r="R11" s="16">
        <f t="shared" ref="R11:R17" ca="1" si="4">SUM(L11:P11)</f>
        <v>3995.4012000000002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-0.25952835282351572</v>
      </c>
      <c r="D12" s="9">
        <f ca="1">-(D17-Q4)</f>
        <v>0</v>
      </c>
      <c r="E12" s="9">
        <f ca="1">-(E17-Q5)</f>
        <v>-101.44626800000003</v>
      </c>
      <c r="F12" s="9">
        <f ca="1">-(F17-Q6)</f>
        <v>0</v>
      </c>
      <c r="G12" s="9">
        <f ca="1">-(G17-Q7)</f>
        <v>-18.009676071055424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-119.71547242387896</v>
      </c>
      <c r="M12" s="17"/>
      <c r="N12" s="17"/>
      <c r="O12" s="10"/>
      <c r="P12" s="12"/>
      <c r="Q12" s="9">
        <f t="shared" ref="Q12:Q17" ca="1" si="6">SUM(L12:P12)</f>
        <v>-119.71547242387896</v>
      </c>
      <c r="R12" s="17">
        <f t="shared" ca="1" si="4"/>
        <v>-119.71547242387896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-483.14000000000033</v>
      </c>
      <c r="J13" s="14">
        <f ca="1">-(J17-Q10)</f>
        <v>0</v>
      </c>
      <c r="K13" s="13">
        <f ca="1">-(K17-Q11)</f>
        <v>-439.09880000000021</v>
      </c>
      <c r="L13" s="14">
        <f t="shared" ca="1" si="5"/>
        <v>-922.23880000000054</v>
      </c>
      <c r="M13" s="16">
        <f ca="1">-E15</f>
        <v>0</v>
      </c>
      <c r="N13" s="16"/>
      <c r="O13" s="11"/>
      <c r="P13" s="13"/>
      <c r="Q13" s="14">
        <f t="shared" ca="1" si="6"/>
        <v>-922.23880000000054</v>
      </c>
      <c r="R13" s="16">
        <f t="shared" ca="1" si="4"/>
        <v>-922.23880000000054</v>
      </c>
    </row>
    <row r="14" spans="1:20">
      <c r="A14" s="18" t="s">
        <v>78</v>
      </c>
      <c r="B14" s="11"/>
      <c r="C14" s="14"/>
      <c r="D14" s="14"/>
      <c r="E14" s="14">
        <f ca="1">-(I13+J13)-K13</f>
        <v>922.23880000000054</v>
      </c>
      <c r="F14" s="14"/>
      <c r="G14" s="14"/>
      <c r="H14" s="14"/>
      <c r="I14" s="14"/>
      <c r="J14" s="14"/>
      <c r="K14" s="13"/>
      <c r="L14" s="14">
        <f t="shared" ca="1" si="5"/>
        <v>922.23880000000054</v>
      </c>
      <c r="M14" s="16"/>
      <c r="N14" s="16"/>
      <c r="O14" s="11"/>
      <c r="P14" s="13"/>
      <c r="Q14" s="14">
        <f t="shared" ca="1" si="6"/>
        <v>922.23880000000054</v>
      </c>
      <c r="R14" s="16">
        <f t="shared" ca="1" si="4"/>
        <v>922.23880000000054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48.955200167876711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48.955200167876711</v>
      </c>
      <c r="M16" s="19"/>
      <c r="N16" s="19"/>
      <c r="O16" s="21"/>
      <c r="P16" s="27"/>
      <c r="Q16" s="22">
        <f t="shared" ca="1" si="6"/>
        <v>48.955200167876711</v>
      </c>
      <c r="R16" s="19">
        <f t="shared" ca="1" si="4"/>
        <v>48.955200167876711</v>
      </c>
    </row>
    <row r="17" spans="1:18">
      <c r="A17" s="29" t="s">
        <v>88</v>
      </c>
      <c r="B17" s="9">
        <f ca="1">B16</f>
        <v>48.955200167876711</v>
      </c>
      <c r="C17" s="9">
        <f ca="1">SUM(C$2:C$11)</f>
        <v>41.194976638653515</v>
      </c>
      <c r="D17" s="9">
        <f ca="1">SUM(D$2:D$11)</f>
        <v>0</v>
      </c>
      <c r="E17" s="9">
        <f ca="1">$Q$5/parameters!$B$4</f>
        <v>922.23880000000065</v>
      </c>
      <c r="F17" s="9">
        <f t="shared" ref="F17:K17" ca="1" si="7">SUM(F$2:F$11)</f>
        <v>0</v>
      </c>
      <c r="G17" s="9">
        <f t="shared" ca="1" si="7"/>
        <v>418.82967607105542</v>
      </c>
      <c r="H17" s="9">
        <f t="shared" ca="1" si="7"/>
        <v>400.82</v>
      </c>
      <c r="I17" s="9">
        <f t="shared" ca="1" si="7"/>
        <v>2563.6800000000003</v>
      </c>
      <c r="J17" s="9">
        <f t="shared" ca="1" si="7"/>
        <v>0</v>
      </c>
      <c r="K17" s="9">
        <f t="shared" ca="1" si="7"/>
        <v>4434.5</v>
      </c>
      <c r="L17" s="17">
        <f t="shared" ca="1" si="5"/>
        <v>8830.2186528775856</v>
      </c>
      <c r="M17" s="17"/>
      <c r="N17" s="17"/>
      <c r="O17" s="9"/>
      <c r="P17" s="14"/>
      <c r="Q17" s="11">
        <f t="shared" ca="1" si="6"/>
        <v>8830.2186528775856</v>
      </c>
      <c r="R17" s="17">
        <f t="shared" ca="1" si="4"/>
        <v>8830.2186528775856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0.81154434250764518</v>
      </c>
      <c r="J18" s="39">
        <f ca="1">I18</f>
        <v>0.81154434250764518</v>
      </c>
      <c r="K18" s="40">
        <f ca="1">1-(-K13)/K17</f>
        <v>0.90098121546961318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12847.891717822278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12847.891717822278</v>
      </c>
      <c r="M2" s="17"/>
      <c r="N2" s="17">
        <f ca="1">Q2-(L2+O2+P2)</f>
        <v>0</v>
      </c>
      <c r="O2" s="11" cm="1">
        <f t="array" aca="1" ref="O2" ca="1">INDIRECT("'data'!$F$" &amp; $A$1)</f>
        <v>11.05</v>
      </c>
      <c r="P2" s="13">
        <f ca="1">IF(-(L2-Q2+O2)&lt;0, -(L2-Q2+O2), 0)</f>
        <v>-12858.941717822277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10349.13432835821</v>
      </c>
      <c r="G3" s="14">
        <f ca="1">Q3-O3-P3-F3</f>
        <v>2629.4956716417892</v>
      </c>
      <c r="H3" s="14"/>
      <c r="I3" s="14"/>
      <c r="J3" s="14"/>
      <c r="K3" s="13"/>
      <c r="L3" s="16">
        <f t="shared" ca="1" si="0"/>
        <v>12978.63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-214.51499999999999</v>
      </c>
      <c r="Q3" s="16" cm="1">
        <f t="array" aca="1" ref="Q3" ca="1">INDIRECT("'data'!$G$" &amp; $A$1)*parameters!$B$13</f>
        <v>12766.949999999999</v>
      </c>
      <c r="R3" s="16">
        <f t="shared" ref="R3:R10" ca="1" si="2">SUM(L3:P3)</f>
        <v>12766.949999999999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2587.2835820895525</v>
      </c>
      <c r="G5" s="14">
        <f ca="1">Q7/parameters!$B$7-(G3+G4)</f>
        <v>5435.7916846800499</v>
      </c>
      <c r="H5" s="14"/>
      <c r="I5" s="14"/>
      <c r="J5" s="14"/>
      <c r="K5" s="13"/>
      <c r="L5" s="16">
        <f t="shared" ca="1" si="0"/>
        <v>8023.0752667696024</v>
      </c>
      <c r="M5" s="16"/>
      <c r="N5" s="16"/>
      <c r="O5" s="11" cm="1">
        <f t="array" aca="1" ref="O5" ca="1">INDIRECT("'data'!$M$" &amp; $A$1)*parameters!$B$15</f>
        <v>4629.5199999999995</v>
      </c>
      <c r="P5" s="13" cm="1">
        <f t="array" aca="1" ref="P5" ca="1">-INDIRECT("'data'!$N$" &amp; $A$1)*parameters!$B$15</f>
        <v>-2786.14</v>
      </c>
      <c r="Q5" s="16">
        <f ca="1">SUM(L5:P5)</f>
        <v>9866.4552667696025</v>
      </c>
      <c r="R5" s="16">
        <f t="shared" ca="1" si="2"/>
        <v>9866.4552667696025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12134.36</v>
      </c>
      <c r="I6" s="14"/>
      <c r="J6" s="14"/>
      <c r="K6" s="13"/>
      <c r="L6" s="16">
        <f t="shared" ca="1" si="0"/>
        <v>12134.36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12134.36</v>
      </c>
      <c r="R6" s="16">
        <f t="shared" ca="1" si="2"/>
        <v>12134.36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7718.48</v>
      </c>
      <c r="I7" s="14"/>
      <c r="J7" s="14"/>
      <c r="K7" s="13"/>
      <c r="L7" s="16">
        <f t="shared" ca="1" si="0"/>
        <v>7718.48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7718.48</v>
      </c>
      <c r="R7" s="16">
        <f t="shared" ca="1" si="2"/>
        <v>7718.48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5698.6649760515429</v>
      </c>
      <c r="J8" s="14">
        <f ca="1">Q10/J18</f>
        <v>12549.915023948461</v>
      </c>
      <c r="K8" s="13"/>
      <c r="L8" s="16">
        <f t="shared" ca="1" si="0"/>
        <v>18248.580000000002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3349.64</v>
      </c>
      <c r="P8" s="13" cm="1">
        <f t="array" aca="1" ref="P8" ca="1">-INDIRECT("'data'!$S$" &amp; $A$1)*parameters!$B$15</f>
        <v>-1745.3799999999999</v>
      </c>
      <c r="Q8" s="16">
        <f ca="1">SUM(Q6:Q7)</f>
        <v>19852.84</v>
      </c>
      <c r="R8" s="16">
        <f t="shared" ca="1" si="2"/>
        <v>19852.84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5855.5</v>
      </c>
      <c r="L9" s="16">
        <f t="shared" ca="1" si="0"/>
        <v>5855.5</v>
      </c>
      <c r="M9" s="16"/>
      <c r="N9" s="16">
        <f t="shared" ca="1" si="3"/>
        <v>0</v>
      </c>
      <c r="O9" s="11" cm="1">
        <f t="array" aca="1" ref="O9" ca="1">INDIRECT("'data'!$U$" &amp; $A$1)*parameters!$B$15</f>
        <v>2966.46</v>
      </c>
      <c r="P9" s="13" cm="1">
        <f t="array" aca="1" ref="P9" ca="1">-INDIRECT("'data'!$V$" &amp; $A$1)*parameters!$B$15</f>
        <v>-3685.7799999999997</v>
      </c>
      <c r="Q9" s="16" cm="1">
        <f t="array" aca="1" ref="Q9" ca="1">INDIRECT("'data'!$T$" &amp; $A$1)*parameters!$B$15</f>
        <v>5136.18</v>
      </c>
      <c r="R9" s="16">
        <f t="shared" ca="1" si="2"/>
        <v>5136.1799999999994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10844.699516358463</v>
      </c>
      <c r="L10" s="16">
        <f t="shared" ca="1" si="0"/>
        <v>10844.699516358463</v>
      </c>
      <c r="M10" s="16"/>
      <c r="N10" s="16">
        <f t="shared" ca="1" si="3"/>
        <v>0</v>
      </c>
      <c r="O10" s="11" cm="1">
        <f t="array" aca="1" ref="O10" ca="1">INDIRECT("'data'!$X$" &amp; $A$1)*parameters!$B$15</f>
        <v>9291.3799999999992</v>
      </c>
      <c r="P10" s="13" cm="1">
        <f t="array" aca="1" ref="P10" ca="1">-INDIRECT("'data'!$Y$" &amp; $A$1)*parameters!$B$15</f>
        <v>-8824.9</v>
      </c>
      <c r="Q10" s="16" cm="1">
        <f t="array" aca="1" ref="Q10" ca="1">INDIRECT("'data'!$W$" &amp; $A$1)*parameters!$B$15</f>
        <v>11311.179516358463</v>
      </c>
      <c r="R10" s="16">
        <f t="shared" ca="1" si="2"/>
        <v>11311.179516358463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14412.151584068277</v>
      </c>
      <c r="N11" s="19"/>
      <c r="O11" s="21" cm="1">
        <f t="array" aca="1" ref="O11" ca="1">INDIRECT("'data'!$Z$" &amp; $A$1)*parameters!$B$15</f>
        <v>9422.7000000000007</v>
      </c>
      <c r="P11" s="27" cm="1">
        <f t="array" aca="1" ref="P11" ca="1">-INDIRECT("'data'!$AA$" &amp; $A$1)*parameters!$B$15</f>
        <v>-9004.24</v>
      </c>
      <c r="Q11" s="16">
        <f ca="1">K9*parameters!$B$10+K10*parameters!$B$11</f>
        <v>14830.611584068278</v>
      </c>
      <c r="R11" s="16">
        <f t="shared" ref="R11:R17" ca="1" si="4">SUM(L11:P11)</f>
        <v>14830.611584068278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-80.941717822279315</v>
      </c>
      <c r="D12" s="9">
        <f ca="1">-(D17-Q4)</f>
        <v>0</v>
      </c>
      <c r="E12" s="9">
        <f ca="1">-(E17-Q5)</f>
        <v>-1219.4495273535467</v>
      </c>
      <c r="F12" s="9">
        <f ca="1">-(F17-Q6)</f>
        <v>-802.05791044776197</v>
      </c>
      <c r="G12" s="9">
        <f ca="1">-(G17-Q7)</f>
        <v>-346.80735632183951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-2449.2565119454275</v>
      </c>
      <c r="M12" s="17"/>
      <c r="N12" s="17"/>
      <c r="O12" s="10"/>
      <c r="P12" s="12"/>
      <c r="Q12" s="9">
        <f t="shared" ref="Q12:Q17" ca="1" si="6">SUM(L12:P12)</f>
        <v>-2449.2565119454275</v>
      </c>
      <c r="R12" s="17">
        <f t="shared" ca="1" si="4"/>
        <v>-2449.2565119454275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-562.48497605154262</v>
      </c>
      <c r="J13" s="14">
        <f ca="1">-(J17-Q10)</f>
        <v>-1238.7355075899977</v>
      </c>
      <c r="K13" s="13">
        <f ca="1">-(K17-Q11)</f>
        <v>-1869.5879322901874</v>
      </c>
      <c r="L13" s="14">
        <f t="shared" ca="1" si="5"/>
        <v>-3670.8084159317277</v>
      </c>
      <c r="M13" s="16">
        <f ca="1">-E15</f>
        <v>-7415.0963781914215</v>
      </c>
      <c r="N13" s="16"/>
      <c r="O13" s="11"/>
      <c r="P13" s="13"/>
      <c r="Q13" s="14">
        <f t="shared" ca="1" si="6"/>
        <v>-11085.904794123149</v>
      </c>
      <c r="R13" s="16">
        <f t="shared" ca="1" si="4"/>
        <v>-11085.904794123149</v>
      </c>
    </row>
    <row r="14" spans="1:20">
      <c r="A14" s="18" t="s">
        <v>78</v>
      </c>
      <c r="B14" s="11"/>
      <c r="C14" s="14"/>
      <c r="D14" s="14"/>
      <c r="E14" s="14">
        <f ca="1">-(I13+J13)-K13</f>
        <v>3670.8084159317277</v>
      </c>
      <c r="F14" s="14"/>
      <c r="G14" s="14"/>
      <c r="H14" s="14"/>
      <c r="I14" s="14"/>
      <c r="J14" s="14"/>
      <c r="K14" s="13"/>
      <c r="L14" s="14">
        <f t="shared" ca="1" si="5"/>
        <v>3670.8084159317277</v>
      </c>
      <c r="M14" s="16"/>
      <c r="N14" s="16"/>
      <c r="O14" s="11"/>
      <c r="P14" s="13"/>
      <c r="Q14" s="14">
        <f t="shared" ca="1" si="6"/>
        <v>3670.8084159317277</v>
      </c>
      <c r="R14" s="16">
        <f t="shared" ca="1" si="4"/>
        <v>3670.8084159317277</v>
      </c>
    </row>
    <row r="15" spans="1:20">
      <c r="A15" s="18" t="s">
        <v>79</v>
      </c>
      <c r="B15" s="11"/>
      <c r="C15" s="14"/>
      <c r="D15" s="14"/>
      <c r="E15" s="14">
        <f ca="1">E17-E14</f>
        <v>7415.0963781914215</v>
      </c>
      <c r="F15" s="14"/>
      <c r="G15" s="14"/>
      <c r="H15" s="14"/>
      <c r="I15" s="14"/>
      <c r="J15" s="14"/>
      <c r="K15" s="13"/>
      <c r="L15" s="14">
        <f t="shared" ca="1" si="5"/>
        <v>7415.0963781914215</v>
      </c>
      <c r="M15" s="16"/>
      <c r="N15" s="16"/>
      <c r="O15" s="11"/>
      <c r="P15" s="13"/>
      <c r="Q15" s="14">
        <f t="shared" ca="1" si="6"/>
        <v>7415.0963781914215</v>
      </c>
      <c r="R15" s="16">
        <f t="shared" ca="1" si="4"/>
        <v>7415.0963781914215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12847.891717822278</v>
      </c>
      <c r="D17" s="9">
        <f ca="1">SUM(D$2:D$11)</f>
        <v>0</v>
      </c>
      <c r="E17" s="9">
        <f ca="1">$Q$5/parameters!$B$4</f>
        <v>11085.904794123149</v>
      </c>
      <c r="F17" s="9">
        <f t="shared" ref="F17:K17" ca="1" si="7">SUM(F$2:F$11)</f>
        <v>12936.417910447763</v>
      </c>
      <c r="G17" s="9">
        <f t="shared" ca="1" si="7"/>
        <v>8065.2873563218391</v>
      </c>
      <c r="H17" s="9">
        <f t="shared" ca="1" si="7"/>
        <v>19852.84</v>
      </c>
      <c r="I17" s="9">
        <f t="shared" ca="1" si="7"/>
        <v>5698.6649760515429</v>
      </c>
      <c r="J17" s="9">
        <f t="shared" ca="1" si="7"/>
        <v>12549.915023948461</v>
      </c>
      <c r="K17" s="9">
        <f t="shared" ca="1" si="7"/>
        <v>16700.199516358465</v>
      </c>
      <c r="L17" s="17">
        <f t="shared" ca="1" si="5"/>
        <v>99737.121295073492</v>
      </c>
      <c r="M17" s="17"/>
      <c r="N17" s="17"/>
      <c r="O17" s="9"/>
      <c r="P17" s="14"/>
      <c r="Q17" s="11">
        <f t="shared" ca="1" si="6"/>
        <v>99737.121295073492</v>
      </c>
      <c r="R17" s="17">
        <f t="shared" ca="1" si="4"/>
        <v>99737.121295073492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0.90129530716134953</v>
      </c>
      <c r="J18" s="39">
        <f ca="1">I18</f>
        <v>0.90129530716134953</v>
      </c>
      <c r="K18" s="40">
        <f ca="1">1-(-K13)/K17</f>
        <v>0.8880499642858245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3823.9357955117234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3823.9357955117234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-3823.9357955117234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3507.1044776119402</v>
      </c>
      <c r="G3" s="14">
        <f ca="1">Q3-O3-P3-F3</f>
        <v>664.12552238805938</v>
      </c>
      <c r="H3" s="14"/>
      <c r="I3" s="14"/>
      <c r="J3" s="14"/>
      <c r="K3" s="13"/>
      <c r="L3" s="16">
        <f t="shared" ca="1" si="0"/>
        <v>4171.2299999999996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3.78</v>
      </c>
      <c r="P3" s="13" cm="1">
        <f t="array" aca="1" ref="P3" ca="1">-INDIRECT("'data'!$I$" &amp; $A$1)*parameters!$B$13</f>
        <v>-375.16499999999996</v>
      </c>
      <c r="Q3" s="16" cm="1">
        <f t="array" aca="1" ref="Q3" ca="1">INDIRECT("'data'!$G$" &amp; $A$1)*parameters!$B$13</f>
        <v>3799.8449999999998</v>
      </c>
      <c r="R3" s="16">
        <f t="shared" ref="R3:R10" ca="1" si="2">SUM(L3:P3)</f>
        <v>3799.8449999999993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876.77611940298505</v>
      </c>
      <c r="G5" s="14">
        <f ca="1">Q7/parameters!$B$7-(G3+G4)</f>
        <v>11841.370820349663</v>
      </c>
      <c r="H5" s="14"/>
      <c r="I5" s="14"/>
      <c r="J5" s="14"/>
      <c r="K5" s="13"/>
      <c r="L5" s="16">
        <f t="shared" ca="1" si="0"/>
        <v>12718.146939752647</v>
      </c>
      <c r="M5" s="16"/>
      <c r="N5" s="16"/>
      <c r="O5" s="11" cm="1">
        <f t="array" aca="1" ref="O5" ca="1">INDIRECT("'data'!$M$" &amp; $A$1)*parameters!$B$15</f>
        <v>92.12</v>
      </c>
      <c r="P5" s="13" cm="1">
        <f t="array" aca="1" ref="P5" ca="1">-INDIRECT("'data'!$N$" &amp; $A$1)*parameters!$B$15</f>
        <v>-5423.32</v>
      </c>
      <c r="Q5" s="16">
        <f ca="1">SUM(L5:P5)</f>
        <v>7386.9469397526482</v>
      </c>
      <c r="R5" s="16">
        <f t="shared" ca="1" si="2"/>
        <v>7386.9469397526482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4112.08</v>
      </c>
      <c r="I6" s="14"/>
      <c r="J6" s="14"/>
      <c r="K6" s="13"/>
      <c r="L6" s="16">
        <f t="shared" ca="1" si="0"/>
        <v>4112.08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4112.08</v>
      </c>
      <c r="R6" s="16">
        <f t="shared" ca="1" si="2"/>
        <v>4112.08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11967.76</v>
      </c>
      <c r="I7" s="14"/>
      <c r="J7" s="14"/>
      <c r="K7" s="13"/>
      <c r="L7" s="16">
        <f t="shared" ca="1" si="0"/>
        <v>11967.76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11967.76</v>
      </c>
      <c r="R7" s="16">
        <f t="shared" ca="1" si="2"/>
        <v>11967.76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11299.926829782997</v>
      </c>
      <c r="J8" s="14">
        <f ca="1">Q10/J18</f>
        <v>5583.5131702170011</v>
      </c>
      <c r="K8" s="13"/>
      <c r="L8" s="16">
        <f t="shared" ca="1" si="0"/>
        <v>16883.439999999999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237.16</v>
      </c>
      <c r="P8" s="13" cm="1">
        <f t="array" aca="1" ref="P8" ca="1">-INDIRECT("'data'!$S$" &amp; $A$1)*parameters!$B$15</f>
        <v>-1040.76</v>
      </c>
      <c r="Q8" s="16">
        <f ca="1">SUM(Q6:Q7)</f>
        <v>16079.84</v>
      </c>
      <c r="R8" s="16">
        <f t="shared" ca="1" si="2"/>
        <v>16079.839999999998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9510.9000000000015</v>
      </c>
      <c r="L9" s="16">
        <f t="shared" ca="1" si="0"/>
        <v>9510.9000000000015</v>
      </c>
      <c r="M9" s="16"/>
      <c r="N9" s="16">
        <f t="shared" ca="1" si="3"/>
        <v>0</v>
      </c>
      <c r="O9" s="11" cm="1">
        <f t="array" aca="1" ref="O9" ca="1">INDIRECT("'data'!$U$" &amp; $A$1)*parameters!$B$15</f>
        <v>3174.22</v>
      </c>
      <c r="P9" s="13" cm="1">
        <f t="array" aca="1" ref="P9" ca="1">-INDIRECT("'data'!$V$" &amp; $A$1)*parameters!$B$15</f>
        <v>-2187.36</v>
      </c>
      <c r="Q9" s="16" cm="1">
        <f t="array" aca="1" ref="Q9" ca="1">INDIRECT("'data'!$T$" &amp; $A$1)*parameters!$B$15</f>
        <v>10497.76</v>
      </c>
      <c r="R9" s="16">
        <f t="shared" ca="1" si="2"/>
        <v>10497.76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9637.3269701280224</v>
      </c>
      <c r="L10" s="16">
        <f t="shared" ca="1" si="0"/>
        <v>9637.3269701280224</v>
      </c>
      <c r="M10" s="16"/>
      <c r="N10" s="16">
        <f t="shared" ca="1" si="3"/>
        <v>0</v>
      </c>
      <c r="O10" s="11" cm="1">
        <f t="array" aca="1" ref="O10" ca="1">INDIRECT("'data'!$X$" &amp; $A$1)*parameters!$B$15</f>
        <v>2090.34</v>
      </c>
      <c r="P10" s="13" cm="1">
        <f t="array" aca="1" ref="P10" ca="1">-INDIRECT("'data'!$Y$" &amp; $A$1)*parameters!$B$15</f>
        <v>-6540.5199999999995</v>
      </c>
      <c r="Q10" s="16" cm="1">
        <f t="array" aca="1" ref="Q10" ca="1">INDIRECT("'data'!$W$" &amp; $A$1)*parameters!$B$15</f>
        <v>5187.146970128023</v>
      </c>
      <c r="R10" s="16">
        <f t="shared" ca="1" si="2"/>
        <v>5187.146970128023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17116.627194310102</v>
      </c>
      <c r="N11" s="19"/>
      <c r="O11" s="21" cm="1">
        <f t="array" aca="1" ref="O11" ca="1">INDIRECT("'data'!$Z$" &amp; $A$1)*parameters!$B$15</f>
        <v>6200.46</v>
      </c>
      <c r="P11" s="27" cm="1">
        <f t="array" aca="1" ref="P11" ca="1">-INDIRECT("'data'!$AA$" &amp; $A$1)*parameters!$B$15</f>
        <v>-6088.74</v>
      </c>
      <c r="Q11" s="16">
        <f ca="1">K9*parameters!$B$10+K10*parameters!$B$11</f>
        <v>17228.347194310099</v>
      </c>
      <c r="R11" s="16">
        <f t="shared" ref="R11:R17" ca="1" si="4">SUM(L11:P11)</f>
        <v>17228.347194310103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-24.090795511723627</v>
      </c>
      <c r="D12" s="9">
        <f ca="1">-(D17-Q4)</f>
        <v>0</v>
      </c>
      <c r="E12" s="9">
        <f ca="1">-(E17-Q5)</f>
        <v>-912.99344199190091</v>
      </c>
      <c r="F12" s="9">
        <f ca="1">-(F17-Q6)</f>
        <v>-271.80059701492519</v>
      </c>
      <c r="G12" s="9">
        <f ca="1">-(G17-Q7)</f>
        <v>-537.73634273772223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-1746.6211772562719</v>
      </c>
      <c r="M12" s="17"/>
      <c r="N12" s="17"/>
      <c r="O12" s="10"/>
      <c r="P12" s="12"/>
      <c r="Q12" s="9">
        <f t="shared" ref="Q12:Q17" ca="1" si="6">SUM(L12:P12)</f>
        <v>-1746.6211772562719</v>
      </c>
      <c r="R12" s="17">
        <f t="shared" ca="1" si="4"/>
        <v>-1746.6211772562719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-802.1668297829965</v>
      </c>
      <c r="J13" s="14">
        <f ca="1">-(J17-Q10)</f>
        <v>-396.36620008897808</v>
      </c>
      <c r="K13" s="13">
        <f ca="1">-(K17-Q11)</f>
        <v>-1919.8797758179244</v>
      </c>
      <c r="L13" s="14">
        <f t="shared" ca="1" si="5"/>
        <v>-3118.412805689899</v>
      </c>
      <c r="M13" s="16">
        <f ca="1">-E15</f>
        <v>-5181.5275760546501</v>
      </c>
      <c r="N13" s="16"/>
      <c r="O13" s="11"/>
      <c r="P13" s="13"/>
      <c r="Q13" s="14">
        <f t="shared" ca="1" si="6"/>
        <v>-8299.9403817445491</v>
      </c>
      <c r="R13" s="16">
        <f t="shared" ca="1" si="4"/>
        <v>-8299.9403817445491</v>
      </c>
    </row>
    <row r="14" spans="1:20">
      <c r="A14" s="18" t="s">
        <v>78</v>
      </c>
      <c r="B14" s="11"/>
      <c r="C14" s="14"/>
      <c r="D14" s="14"/>
      <c r="E14" s="14">
        <f ca="1">-(I13+J13)-K13</f>
        <v>3118.412805689899</v>
      </c>
      <c r="F14" s="14"/>
      <c r="G14" s="14"/>
      <c r="H14" s="14"/>
      <c r="I14" s="14"/>
      <c r="J14" s="14"/>
      <c r="K14" s="13"/>
      <c r="L14" s="14">
        <f t="shared" ca="1" si="5"/>
        <v>3118.412805689899</v>
      </c>
      <c r="M14" s="16"/>
      <c r="N14" s="16"/>
      <c r="O14" s="11"/>
      <c r="P14" s="13"/>
      <c r="Q14" s="14">
        <f t="shared" ca="1" si="6"/>
        <v>3118.412805689899</v>
      </c>
      <c r="R14" s="16">
        <f t="shared" ca="1" si="4"/>
        <v>3118.412805689899</v>
      </c>
    </row>
    <row r="15" spans="1:20">
      <c r="A15" s="18" t="s">
        <v>79</v>
      </c>
      <c r="B15" s="11"/>
      <c r="C15" s="14"/>
      <c r="D15" s="14"/>
      <c r="E15" s="14">
        <f ca="1">E17-E14</f>
        <v>5181.5275760546501</v>
      </c>
      <c r="F15" s="14"/>
      <c r="G15" s="14"/>
      <c r="H15" s="14"/>
      <c r="I15" s="14"/>
      <c r="J15" s="14"/>
      <c r="K15" s="13"/>
      <c r="L15" s="14">
        <f t="shared" ca="1" si="5"/>
        <v>5181.5275760546501</v>
      </c>
      <c r="M15" s="16"/>
      <c r="N15" s="16"/>
      <c r="O15" s="11"/>
      <c r="P15" s="13"/>
      <c r="Q15" s="14">
        <f t="shared" ca="1" si="6"/>
        <v>5181.5275760546501</v>
      </c>
      <c r="R15" s="16">
        <f t="shared" ca="1" si="4"/>
        <v>5181.5275760546501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3823.9357955117234</v>
      </c>
      <c r="D17" s="9">
        <f ca="1">SUM(D$2:D$11)</f>
        <v>0</v>
      </c>
      <c r="E17" s="9">
        <f ca="1">$Q$5/parameters!$B$4</f>
        <v>8299.9403817445491</v>
      </c>
      <c r="F17" s="9">
        <f t="shared" ref="F17:K17" ca="1" si="7">SUM(F$2:F$11)</f>
        <v>4383.8805970149251</v>
      </c>
      <c r="G17" s="9">
        <f t="shared" ca="1" si="7"/>
        <v>12505.496342737722</v>
      </c>
      <c r="H17" s="9">
        <f t="shared" ca="1" si="7"/>
        <v>16079.84</v>
      </c>
      <c r="I17" s="9">
        <f t="shared" ca="1" si="7"/>
        <v>11299.926829782997</v>
      </c>
      <c r="J17" s="9">
        <f t="shared" ca="1" si="7"/>
        <v>5583.5131702170011</v>
      </c>
      <c r="K17" s="9">
        <f t="shared" ca="1" si="7"/>
        <v>19148.226970128024</v>
      </c>
      <c r="L17" s="17">
        <f t="shared" ca="1" si="5"/>
        <v>81124.760087136936</v>
      </c>
      <c r="M17" s="17"/>
      <c r="N17" s="17"/>
      <c r="O17" s="9"/>
      <c r="P17" s="14"/>
      <c r="Q17" s="11">
        <f t="shared" ca="1" si="6"/>
        <v>81124.760087136936</v>
      </c>
      <c r="R17" s="17">
        <f t="shared" ca="1" si="4"/>
        <v>81124.760087136936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0.92901132530621877</v>
      </c>
      <c r="J18" s="39">
        <f ca="1">I18</f>
        <v>0.92901132530621877</v>
      </c>
      <c r="K18" s="40">
        <f ca="1">1-(-K13)/K17</f>
        <v>0.89973589832557288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8245.0940927845422</v>
      </c>
      <c r="D2" s="9">
        <f ca="1">Q4/parameters!$B$3</f>
        <v>165.72406158800442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8410.8181543725459</v>
      </c>
      <c r="M2" s="17"/>
      <c r="N2" s="17">
        <f ca="1">Q2-(L2+O2+P2)</f>
        <v>0</v>
      </c>
      <c r="O2" s="11" cm="1">
        <f t="array" aca="1" ref="O2" ca="1">INDIRECT("'data'!$F$" &amp; $A$1)</f>
        <v>16664.7</v>
      </c>
      <c r="P2" s="13">
        <f ca="1">IF(-(L2-Q2+O2)&lt;0, -(L2-Q2+O2), 0)</f>
        <v>-5391.5181543725466</v>
      </c>
      <c r="Q2" s="17" cm="1">
        <f t="array" aca="1" ref="Q2" ca="1">INDIRECT("'data'!$D$" &amp; $A$1)</f>
        <v>19684</v>
      </c>
      <c r="R2" s="17">
        <f ca="1">SUM(L2:P2)</f>
        <v>19684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7900.179104477611</v>
      </c>
      <c r="G3" s="14">
        <f ca="1">Q3-O3-P3-F3</f>
        <v>240.0508955223886</v>
      </c>
      <c r="H3" s="14"/>
      <c r="I3" s="14"/>
      <c r="J3" s="14"/>
      <c r="K3" s="13"/>
      <c r="L3" s="16">
        <f t="shared" ca="1" si="0"/>
        <v>8140.23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104.895</v>
      </c>
      <c r="P3" s="13" cm="1">
        <f t="array" aca="1" ref="P3" ca="1">-INDIRECT("'data'!$I$" &amp; $A$1)*parameters!$B$13</f>
        <v>-51.974999999999994</v>
      </c>
      <c r="Q3" s="16" cm="1">
        <f t="array" aca="1" ref="Q3" ca="1">INDIRECT("'data'!$G$" &amp; $A$1)*parameters!$B$13</f>
        <v>8193.15</v>
      </c>
      <c r="R3" s="16">
        <f t="shared" ref="R3:R10" ca="1" si="2">SUM(L3:P3)</f>
        <v>8193.15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164.68</v>
      </c>
      <c r="H4" s="14"/>
      <c r="I4" s="14"/>
      <c r="J4" s="14"/>
      <c r="K4" s="13"/>
      <c r="L4" s="16">
        <f t="shared" ca="1" si="0"/>
        <v>164.68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164.68</v>
      </c>
      <c r="R4" s="16">
        <f t="shared" ca="1" si="2"/>
        <v>164.68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1975.0447761194027</v>
      </c>
      <c r="G5" s="14">
        <f ca="1">Q7/parameters!$B$7-(G3+G4)</f>
        <v>6301.66408880363</v>
      </c>
      <c r="H5" s="14"/>
      <c r="I5" s="14"/>
      <c r="J5" s="14"/>
      <c r="K5" s="13"/>
      <c r="L5" s="16">
        <f t="shared" ca="1" si="0"/>
        <v>8276.7088649230318</v>
      </c>
      <c r="M5" s="16"/>
      <c r="N5" s="16"/>
      <c r="O5" s="11" cm="1">
        <f t="array" aca="1" ref="O5" ca="1">INDIRECT("'data'!$M$" &amp; $A$1)*parameters!$B$15</f>
        <v>2088.38</v>
      </c>
      <c r="P5" s="13" cm="1">
        <f t="array" aca="1" ref="P5" ca="1">-INDIRECT("'data'!$N$" &amp; $A$1)*parameters!$B$15</f>
        <v>-1341.62</v>
      </c>
      <c r="Q5" s="16">
        <f ca="1">SUM(L5:P5)</f>
        <v>9023.4688649230338</v>
      </c>
      <c r="R5" s="16">
        <f t="shared" ca="1" si="2"/>
        <v>9023.4688649230338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9262.9599999999991</v>
      </c>
      <c r="I6" s="14"/>
      <c r="J6" s="14"/>
      <c r="K6" s="13"/>
      <c r="L6" s="16">
        <f t="shared" ca="1" si="0"/>
        <v>9262.9599999999991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9262.9599999999991</v>
      </c>
      <c r="R6" s="16">
        <f t="shared" ca="1" si="2"/>
        <v>9262.9599999999991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6418.0199999999995</v>
      </c>
      <c r="I7" s="14"/>
      <c r="J7" s="14"/>
      <c r="K7" s="13"/>
      <c r="L7" s="16">
        <f t="shared" ca="1" si="0"/>
        <v>6418.0199999999995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6418.0199999999995</v>
      </c>
      <c r="R7" s="16">
        <f t="shared" ca="1" si="2"/>
        <v>6418.0199999999995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4437.6624020652935</v>
      </c>
      <c r="J8" s="14">
        <f ca="1">Q10/J18</f>
        <v>11990.077597934704</v>
      </c>
      <c r="K8" s="13"/>
      <c r="L8" s="16">
        <f t="shared" ca="1" si="0"/>
        <v>16427.739999999998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204.82</v>
      </c>
      <c r="P8" s="13" cm="1">
        <f t="array" aca="1" ref="P8" ca="1">-INDIRECT("'data'!$S$" &amp; $A$1)*parameters!$B$15</f>
        <v>-951.57999999999993</v>
      </c>
      <c r="Q8" s="16">
        <f ca="1">SUM(Q6:Q7)</f>
        <v>15680.98</v>
      </c>
      <c r="R8" s="16">
        <f t="shared" ca="1" si="2"/>
        <v>15680.979999999998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4179.7</v>
      </c>
      <c r="L9" s="16">
        <f t="shared" ca="1" si="0"/>
        <v>4179.7</v>
      </c>
      <c r="M9" s="16"/>
      <c r="N9" s="16">
        <f t="shared" ca="1" si="3"/>
        <v>0</v>
      </c>
      <c r="O9" s="11" cm="1">
        <f t="array" aca="1" ref="O9" ca="1">INDIRECT("'data'!$U$" &amp; $A$1)*parameters!$B$15</f>
        <v>1943.34</v>
      </c>
      <c r="P9" s="13" cm="1">
        <f t="array" aca="1" ref="P9" ca="1">-INDIRECT("'data'!$V$" &amp; $A$1)*parameters!$B$15</f>
        <v>-2314.7599999999998</v>
      </c>
      <c r="Q9" s="16" cm="1">
        <f t="array" aca="1" ref="Q9" ca="1">INDIRECT("'data'!$T$" &amp; $A$1)*parameters!$B$15</f>
        <v>3808.2799999999997</v>
      </c>
      <c r="R9" s="16">
        <f t="shared" ca="1" si="2"/>
        <v>3808.28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11144.115305832147</v>
      </c>
      <c r="L10" s="16">
        <f t="shared" ca="1" si="0"/>
        <v>11144.115305832147</v>
      </c>
      <c r="M10" s="16"/>
      <c r="N10" s="16">
        <f t="shared" ca="1" si="3"/>
        <v>0</v>
      </c>
      <c r="O10" s="11" cm="1">
        <f t="array" aca="1" ref="O10" ca="1">INDIRECT("'data'!$X$" &amp; $A$1)*parameters!$B$15</f>
        <v>2458.8200000000002</v>
      </c>
      <c r="P10" s="13" cm="1">
        <f t="array" aca="1" ref="P10" ca="1">-INDIRECT("'data'!$Y$" &amp; $A$1)*parameters!$B$15</f>
        <v>-3313.38</v>
      </c>
      <c r="Q10" s="16" cm="1">
        <f t="array" aca="1" ref="Q10" ca="1">INDIRECT("'data'!$W$" &amp; $A$1)*parameters!$B$15</f>
        <v>10289.555305832147</v>
      </c>
      <c r="R10" s="16">
        <f t="shared" ca="1" si="2"/>
        <v>10289.555305832146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14101.837163015647</v>
      </c>
      <c r="N11" s="19"/>
      <c r="O11" s="21" cm="1">
        <f t="array" aca="1" ref="O11" ca="1">INDIRECT("'data'!$Z$" &amp; $A$1)*parameters!$B$15</f>
        <v>7575.4</v>
      </c>
      <c r="P11" s="27" cm="1">
        <f t="array" aca="1" ref="P11" ca="1">-INDIRECT("'data'!$AA$" &amp; $A$1)*parameters!$B$15</f>
        <v>-8164.38</v>
      </c>
      <c r="Q11" s="16">
        <f ca="1">K9*parameters!$B$10+K10*parameters!$B$11</f>
        <v>13512.857163015646</v>
      </c>
      <c r="R11" s="16">
        <f t="shared" ref="R11:R17" ca="1" si="4">SUM(L11:P11)</f>
        <v>13512.857163015648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-51.94409278454259</v>
      </c>
      <c r="D12" s="9">
        <f ca="1">-(D17-Q4)</f>
        <v>-1.0440615880044106</v>
      </c>
      <c r="E12" s="9">
        <f ca="1">-(E17-Q5)</f>
        <v>-1115.2601967882401</v>
      </c>
      <c r="F12" s="9">
        <f ca="1">-(F17-Q6)</f>
        <v>-612.26388059701458</v>
      </c>
      <c r="G12" s="9">
        <f ca="1">-(G17-Q7)</f>
        <v>-288.37498432601933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-2068.8872160838209</v>
      </c>
      <c r="M12" s="17"/>
      <c r="N12" s="17"/>
      <c r="O12" s="10"/>
      <c r="P12" s="12"/>
      <c r="Q12" s="9">
        <f t="shared" ref="Q12:Q17" ca="1" si="6">SUM(L12:P12)</f>
        <v>-2068.8872160838209</v>
      </c>
      <c r="R12" s="17">
        <f t="shared" ca="1" si="4"/>
        <v>-2068.8872160838209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-629.38240206529372</v>
      </c>
      <c r="J13" s="14">
        <f ca="1">-(J17-Q10)</f>
        <v>-1700.5222921025561</v>
      </c>
      <c r="K13" s="13">
        <f ca="1">-(K17-Q11)</f>
        <v>-1810.958142816502</v>
      </c>
      <c r="L13" s="14">
        <f t="shared" ca="1" si="5"/>
        <v>-4140.8628369843518</v>
      </c>
      <c r="M13" s="16">
        <f ca="1">-E15</f>
        <v>-5997.8662247269222</v>
      </c>
      <c r="N13" s="16"/>
      <c r="O13" s="11"/>
      <c r="P13" s="13"/>
      <c r="Q13" s="14">
        <f t="shared" ca="1" si="6"/>
        <v>-10138.729061711274</v>
      </c>
      <c r="R13" s="16">
        <f t="shared" ca="1" si="4"/>
        <v>-10138.729061711274</v>
      </c>
    </row>
    <row r="14" spans="1:20">
      <c r="A14" s="18" t="s">
        <v>78</v>
      </c>
      <c r="B14" s="11"/>
      <c r="C14" s="14"/>
      <c r="D14" s="14"/>
      <c r="E14" s="14">
        <f ca="1">-(I13+J13)-K13</f>
        <v>4140.8628369843518</v>
      </c>
      <c r="F14" s="14"/>
      <c r="G14" s="14"/>
      <c r="H14" s="14"/>
      <c r="I14" s="14"/>
      <c r="J14" s="14"/>
      <c r="K14" s="13"/>
      <c r="L14" s="14">
        <f t="shared" ca="1" si="5"/>
        <v>4140.8628369843518</v>
      </c>
      <c r="M14" s="16"/>
      <c r="N14" s="16"/>
      <c r="O14" s="11"/>
      <c r="P14" s="13"/>
      <c r="Q14" s="14">
        <f t="shared" ca="1" si="6"/>
        <v>4140.8628369843518</v>
      </c>
      <c r="R14" s="16">
        <f t="shared" ca="1" si="4"/>
        <v>4140.8628369843518</v>
      </c>
    </row>
    <row r="15" spans="1:20">
      <c r="A15" s="18" t="s">
        <v>79</v>
      </c>
      <c r="B15" s="11"/>
      <c r="C15" s="14"/>
      <c r="D15" s="14"/>
      <c r="E15" s="14">
        <f ca="1">E17-E14</f>
        <v>5997.8662247269222</v>
      </c>
      <c r="F15" s="14"/>
      <c r="G15" s="14"/>
      <c r="H15" s="14"/>
      <c r="I15" s="14"/>
      <c r="J15" s="14"/>
      <c r="K15" s="13"/>
      <c r="L15" s="14">
        <f t="shared" ca="1" si="5"/>
        <v>5997.8662247269222</v>
      </c>
      <c r="M15" s="16"/>
      <c r="N15" s="16"/>
      <c r="O15" s="11"/>
      <c r="P15" s="13"/>
      <c r="Q15" s="14">
        <f t="shared" ca="1" si="6"/>
        <v>5997.8662247269222</v>
      </c>
      <c r="R15" s="16">
        <f t="shared" ca="1" si="4"/>
        <v>5997.8662247269222</v>
      </c>
    </row>
    <row r="16" spans="1:20">
      <c r="A16" s="30" t="s">
        <v>89</v>
      </c>
      <c r="B16" s="21">
        <f ca="1">Q2</f>
        <v>19684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19684</v>
      </c>
      <c r="M16" s="19"/>
      <c r="N16" s="19"/>
      <c r="O16" s="21"/>
      <c r="P16" s="27"/>
      <c r="Q16" s="22">
        <f t="shared" ca="1" si="6"/>
        <v>19684</v>
      </c>
      <c r="R16" s="19">
        <f t="shared" ca="1" si="4"/>
        <v>19684</v>
      </c>
    </row>
    <row r="17" spans="1:18">
      <c r="A17" s="29" t="s">
        <v>88</v>
      </c>
      <c r="B17" s="9">
        <f ca="1">B16</f>
        <v>19684</v>
      </c>
      <c r="C17" s="9">
        <f ca="1">SUM(C$2:C$11)</f>
        <v>8245.0940927845422</v>
      </c>
      <c r="D17" s="9">
        <f ca="1">SUM(D$2:D$11)</f>
        <v>165.72406158800442</v>
      </c>
      <c r="E17" s="9">
        <f ca="1">$Q$5/parameters!$B$4</f>
        <v>10138.729061711274</v>
      </c>
      <c r="F17" s="9">
        <f t="shared" ref="F17:K17" ca="1" si="7">SUM(F$2:F$11)</f>
        <v>9875.2238805970137</v>
      </c>
      <c r="G17" s="9">
        <f t="shared" ca="1" si="7"/>
        <v>6706.3949843260189</v>
      </c>
      <c r="H17" s="9">
        <f t="shared" ca="1" si="7"/>
        <v>15680.98</v>
      </c>
      <c r="I17" s="9">
        <f t="shared" ca="1" si="7"/>
        <v>4437.6624020652935</v>
      </c>
      <c r="J17" s="9">
        <f t="shared" ca="1" si="7"/>
        <v>11990.077597934704</v>
      </c>
      <c r="K17" s="9">
        <f t="shared" ca="1" si="7"/>
        <v>15323.815305832148</v>
      </c>
      <c r="L17" s="17">
        <f t="shared" ca="1" si="5"/>
        <v>102247.70138683901</v>
      </c>
      <c r="M17" s="17"/>
      <c r="N17" s="17"/>
      <c r="O17" s="9"/>
      <c r="P17" s="14"/>
      <c r="Q17" s="11">
        <f t="shared" ca="1" si="6"/>
        <v>102247.70138683901</v>
      </c>
      <c r="R17" s="17">
        <f t="shared" ca="1" si="4"/>
        <v>102247.70138683901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0.85817253656511183</v>
      </c>
      <c r="J18" s="39">
        <f ca="1">I18</f>
        <v>0.85817253656511183</v>
      </c>
      <c r="K18" s="40">
        <f ca="1">1-(-K13)/K17</f>
        <v>0.8818206754210054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934.83710268282175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934.83710268282175</v>
      </c>
      <c r="M2" s="17"/>
      <c r="N2" s="17">
        <f ca="1">Q2-(L2+O2+P2)</f>
        <v>0</v>
      </c>
      <c r="O2" s="11" cm="1">
        <f t="array" aca="1" ref="O2" ca="1">INDIRECT("'data'!$F$" &amp; $A$1)</f>
        <v>42.25</v>
      </c>
      <c r="P2" s="13">
        <f ca="1">IF(-(L2-Q2+O2)&lt;0, -(L2-Q2+O2), 0)</f>
        <v>-826.25671010798362</v>
      </c>
      <c r="Q2" s="17" cm="1">
        <f t="array" aca="1" ref="Q2" ca="1">INDIRECT("'data'!$D$" &amp; $A$1)</f>
        <v>150.83039257483816</v>
      </c>
      <c r="R2" s="17">
        <f ca="1">SUM(L2:P2)</f>
        <v>150.83039257483813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63.314999999999991</v>
      </c>
      <c r="H3" s="14"/>
      <c r="I3" s="14"/>
      <c r="J3" s="14"/>
      <c r="K3" s="13"/>
      <c r="L3" s="16">
        <f t="shared" ca="1" si="0"/>
        <v>63.314999999999991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-66.149999999999991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928.94762893591997</v>
      </c>
      <c r="H4" s="14"/>
      <c r="I4" s="14"/>
      <c r="J4" s="14"/>
      <c r="K4" s="13"/>
      <c r="L4" s="16">
        <f t="shared" ca="1" si="0"/>
        <v>928.94762893591997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928.94762893591997</v>
      </c>
      <c r="R4" s="16">
        <f t="shared" ca="1" si="2"/>
        <v>928.94762893591997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1528.9076949930245</v>
      </c>
      <c r="H5" s="14"/>
      <c r="I5" s="14"/>
      <c r="J5" s="14"/>
      <c r="K5" s="13"/>
      <c r="L5" s="16">
        <f t="shared" ca="1" si="0"/>
        <v>1528.9076949930245</v>
      </c>
      <c r="M5" s="16"/>
      <c r="N5" s="48">
        <f ca="1">$E$14*parameters!$B$4-$P$5-$L$5-$O$5</f>
        <v>220.7559887224802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-1291.6399999999999</v>
      </c>
      <c r="Q5" s="16">
        <f ca="1">SUM(L5:P5)</f>
        <v>458.02368371550483</v>
      </c>
      <c r="R5" s="16">
        <f t="shared" ca="1" si="2"/>
        <v>458.02368371550483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2412.7599999999998</v>
      </c>
      <c r="I7" s="14"/>
      <c r="J7" s="14"/>
      <c r="K7" s="13"/>
      <c r="L7" s="16">
        <f t="shared" ca="1" si="0"/>
        <v>2412.7599999999998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2412.7599999999998</v>
      </c>
      <c r="R7" s="16">
        <f t="shared" ca="1" si="2"/>
        <v>2412.7599999999998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1736.6072252423978</v>
      </c>
      <c r="J8" s="14">
        <f ca="1">Q10/J18</f>
        <v>1941.3327747576018</v>
      </c>
      <c r="K8" s="13"/>
      <c r="L8" s="16">
        <f t="shared" ca="1" si="0"/>
        <v>3677.9399999999996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4.9000000000000004</v>
      </c>
      <c r="P8" s="13" cm="1">
        <f t="array" aca="1" ref="P8" ca="1">-INDIRECT("'data'!$S$" &amp; $A$1)*parameters!$B$15</f>
        <v>-1270.08</v>
      </c>
      <c r="Q8" s="16">
        <f ca="1">SUM(Q6:Q7)</f>
        <v>2412.7599999999998</v>
      </c>
      <c r="R8" s="16">
        <f t="shared" ca="1" si="2"/>
        <v>2412.7599999999998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1786.54</v>
      </c>
      <c r="L9" s="16">
        <f t="shared" ca="1" si="0"/>
        <v>1786.54</v>
      </c>
      <c r="M9" s="16"/>
      <c r="N9" s="16">
        <f t="shared" ca="1" si="3"/>
        <v>0</v>
      </c>
      <c r="O9" s="11" cm="1">
        <f t="array" aca="1" ref="O9" ca="1">INDIRECT("'data'!$U$" &amp; $A$1)*parameters!$B$15</f>
        <v>306.74</v>
      </c>
      <c r="P9" s="13" cm="1">
        <f t="array" aca="1" ref="P9" ca="1">-INDIRECT("'data'!$V$" &amp; $A$1)*parameters!$B$15</f>
        <v>-362.59999999999997</v>
      </c>
      <c r="Q9" s="16" cm="1">
        <f t="array" aca="1" ref="Q9" ca="1">INDIRECT("'data'!$T$" &amp; $A$1)*parameters!$B$15</f>
        <v>1730.68</v>
      </c>
      <c r="R9" s="16">
        <f t="shared" ca="1" si="2"/>
        <v>1730.6799999999998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2820.6267994310101</v>
      </c>
      <c r="L10" s="16">
        <f t="shared" ca="1" si="0"/>
        <v>2820.6267994310101</v>
      </c>
      <c r="M10" s="16"/>
      <c r="N10" s="16">
        <f t="shared" ca="1" si="3"/>
        <v>0</v>
      </c>
      <c r="O10" s="11" cm="1">
        <f t="array" aca="1" ref="O10" ca="1">INDIRECT("'data'!$X$" &amp; $A$1)*parameters!$B$15</f>
        <v>542.91999999999996</v>
      </c>
      <c r="P10" s="13" cm="1">
        <f t="array" aca="1" ref="P10" ca="1">-INDIRECT("'data'!$Y$" &amp; $A$1)*parameters!$B$15</f>
        <v>-1428.84</v>
      </c>
      <c r="Q10" s="16" cm="1">
        <f t="array" aca="1" ref="Q10" ca="1">INDIRECT("'data'!$W$" &amp; $A$1)*parameters!$B$15</f>
        <v>1934.7067994310098</v>
      </c>
      <c r="R10" s="16">
        <f t="shared" ca="1" si="2"/>
        <v>1934.7067994310103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4937.1066475106691</v>
      </c>
      <c r="N11" s="19"/>
      <c r="O11" s="21" cm="1">
        <f t="array" aca="1" ref="O11" ca="1">INDIRECT("'data'!$Z$" &amp; $A$1)*parameters!$B$15</f>
        <v>680.12</v>
      </c>
      <c r="P11" s="27" cm="1">
        <f t="array" aca="1" ref="P11" ca="1">-INDIRECT("'data'!$AA$" &amp; $A$1)*parameters!$B$15</f>
        <v>-1512.1399999999999</v>
      </c>
      <c r="Q11" s="16">
        <f ca="1">K9*parameters!$B$10+K10*parameters!$B$11</f>
        <v>4105.0866475106686</v>
      </c>
      <c r="R11" s="16">
        <f t="shared" ref="R11:R17" ca="1" si="4">SUM(L11:P11)</f>
        <v>4105.0866475106686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-5.8894737469017855</v>
      </c>
      <c r="E12" s="9">
        <f ca="1">-(E17-Q5)</f>
        <v>-56.609668773826456</v>
      </c>
      <c r="F12" s="9">
        <f ca="1">-(F17-Q6)</f>
        <v>0</v>
      </c>
      <c r="G12" s="9">
        <f ca="1">-(G17-Q7)</f>
        <v>-108.41032392894476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-170.909466449673</v>
      </c>
      <c r="M12" s="17"/>
      <c r="N12" s="17"/>
      <c r="O12" s="10"/>
      <c r="P12" s="12"/>
      <c r="Q12" s="9">
        <f t="shared" ref="Q12:Q17" ca="1" si="6">SUM(L12:P12)</f>
        <v>-170.909466449673</v>
      </c>
      <c r="R12" s="17">
        <f t="shared" ca="1" si="4"/>
        <v>-170.909466449673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-5.9272252423977534</v>
      </c>
      <c r="J13" s="14">
        <f ca="1">-(J17-Q10)</f>
        <v>-6.6259753265919699</v>
      </c>
      <c r="K13" s="13">
        <f ca="1">-(K17-Q11)</f>
        <v>-502.08015192034145</v>
      </c>
      <c r="L13" s="14">
        <f t="shared" ca="1" si="5"/>
        <v>-514.63335248933117</v>
      </c>
      <c r="M13" s="16">
        <f ca="1">-E15</f>
        <v>0</v>
      </c>
      <c r="N13" s="16"/>
      <c r="O13" s="11"/>
      <c r="P13" s="13"/>
      <c r="Q13" s="14">
        <f t="shared" ca="1" si="6"/>
        <v>-514.63335248933117</v>
      </c>
      <c r="R13" s="16">
        <f t="shared" ca="1" si="4"/>
        <v>-514.63335248933117</v>
      </c>
    </row>
    <row r="14" spans="1:19">
      <c r="A14" s="18" t="s">
        <v>78</v>
      </c>
      <c r="B14" s="11"/>
      <c r="C14" s="14"/>
      <c r="D14" s="14"/>
      <c r="E14" s="14">
        <f ca="1">-(I13+J13)-K13</f>
        <v>514.63335248933117</v>
      </c>
      <c r="F14" s="14"/>
      <c r="G14" s="14"/>
      <c r="H14" s="14"/>
      <c r="I14" s="14"/>
      <c r="J14" s="14"/>
      <c r="K14" s="13"/>
      <c r="L14" s="14">
        <f t="shared" ca="1" si="5"/>
        <v>514.63335248933117</v>
      </c>
      <c r="M14" s="16"/>
      <c r="N14" s="16"/>
      <c r="O14" s="11"/>
      <c r="P14" s="13"/>
      <c r="Q14" s="14">
        <f t="shared" ca="1" si="6"/>
        <v>514.63335248933117</v>
      </c>
      <c r="R14" s="16">
        <f t="shared" ca="1" si="4"/>
        <v>514.63335248933117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150.83039257483816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150.83039257483816</v>
      </c>
      <c r="M16" s="19"/>
      <c r="N16" s="19"/>
      <c r="O16" s="21"/>
      <c r="P16" s="27"/>
      <c r="Q16" s="22">
        <f t="shared" ca="1" si="6"/>
        <v>150.83039257483816</v>
      </c>
      <c r="R16" s="19">
        <f t="shared" ca="1" si="4"/>
        <v>150.83039257483816</v>
      </c>
    </row>
    <row r="17" spans="1:18">
      <c r="A17" s="29" t="s">
        <v>88</v>
      </c>
      <c r="B17" s="9">
        <f ca="1">B16</f>
        <v>150.83039257483816</v>
      </c>
      <c r="C17" s="9">
        <f ca="1">SUM(C$2:C$11)</f>
        <v>0</v>
      </c>
      <c r="D17" s="9">
        <f ca="1">SUM(D$2:D$11)</f>
        <v>934.83710268282175</v>
      </c>
      <c r="E17" s="9">
        <f ca="1">$Q$5/parameters!$B$4</f>
        <v>514.63335248933129</v>
      </c>
      <c r="F17" s="9">
        <f t="shared" ref="F17:K17" ca="1" si="7">SUM(F$2:F$11)</f>
        <v>0</v>
      </c>
      <c r="G17" s="9">
        <f t="shared" ca="1" si="7"/>
        <v>2521.1703239289445</v>
      </c>
      <c r="H17" s="9">
        <f t="shared" ca="1" si="7"/>
        <v>2412.7599999999998</v>
      </c>
      <c r="I17" s="9">
        <f t="shared" ca="1" si="7"/>
        <v>1736.6072252423978</v>
      </c>
      <c r="J17" s="9">
        <f t="shared" ca="1" si="7"/>
        <v>1941.3327747576018</v>
      </c>
      <c r="K17" s="9">
        <f t="shared" ca="1" si="7"/>
        <v>4607.1667994310101</v>
      </c>
      <c r="L17" s="17">
        <f t="shared" ca="1" si="5"/>
        <v>14819.337971106946</v>
      </c>
      <c r="M17" s="17"/>
      <c r="N17" s="17"/>
      <c r="O17" s="9"/>
      <c r="P17" s="14"/>
      <c r="Q17" s="11">
        <f t="shared" ca="1" si="6"/>
        <v>14819.337971106946</v>
      </c>
      <c r="R17" s="17">
        <f t="shared" ca="1" si="4"/>
        <v>14819.337971106946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0.99658689359560249</v>
      </c>
      <c r="J18" s="39">
        <f ca="1">I18</f>
        <v>0.99658689359560249</v>
      </c>
      <c r="K18" s="40">
        <f ca="1">1-(-K13)/K17</f>
        <v>0.89102192870847463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5034.5476501962357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5034.5476501962357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-5034.5476501962357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4846.9253731343288</v>
      </c>
      <c r="G3" s="14">
        <f ca="1">Q3-O3-P3-F3</f>
        <v>321.27962686567116</v>
      </c>
      <c r="H3" s="14"/>
      <c r="I3" s="14"/>
      <c r="J3" s="14"/>
      <c r="K3" s="13"/>
      <c r="L3" s="16">
        <f t="shared" ca="1" si="0"/>
        <v>5168.2049999999999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42.524999999999999</v>
      </c>
      <c r="P3" s="13" cm="1">
        <f t="array" aca="1" ref="P3" ca="1">-INDIRECT("'data'!$I$" &amp; $A$1)*parameters!$B$13</f>
        <v>-207.89999999999998</v>
      </c>
      <c r="Q3" s="16" cm="1">
        <f t="array" aca="1" ref="Q3" ca="1">INDIRECT("'data'!$G$" &amp; $A$1)*parameters!$B$13</f>
        <v>5002.83</v>
      </c>
      <c r="R3" s="16">
        <f t="shared" ref="R3:R10" ca="1" si="2">SUM(L3:P3)</f>
        <v>5002.83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1211.7313432835822</v>
      </c>
      <c r="G5" s="14">
        <f ca="1">Q7/parameters!$B$7-(G3+G4)</f>
        <v>2301.2700074081008</v>
      </c>
      <c r="H5" s="14"/>
      <c r="I5" s="14"/>
      <c r="J5" s="14"/>
      <c r="K5" s="13"/>
      <c r="L5" s="16">
        <f t="shared" ca="1" si="0"/>
        <v>3513.001350691683</v>
      </c>
      <c r="M5" s="16"/>
      <c r="N5" s="16"/>
      <c r="O5" s="11" cm="1">
        <f t="array" aca="1" ref="O5" ca="1">INDIRECT("'data'!$M$" &amp; $A$1)*parameters!$B$15</f>
        <v>1532.72</v>
      </c>
      <c r="P5" s="13" cm="1">
        <f t="array" aca="1" ref="P5" ca="1">-INDIRECT("'data'!$N$" &amp; $A$1)*parameters!$B$15</f>
        <v>0</v>
      </c>
      <c r="Q5" s="16">
        <f ca="1">SUM(L5:P5)</f>
        <v>5045.7213506916833</v>
      </c>
      <c r="R5" s="16">
        <f t="shared" ca="1" si="2"/>
        <v>5045.7213506916833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5683.0199999999995</v>
      </c>
      <c r="I6" s="14"/>
      <c r="J6" s="14"/>
      <c r="K6" s="13"/>
      <c r="L6" s="16">
        <f t="shared" ca="1" si="0"/>
        <v>5683.0199999999995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5683.0199999999995</v>
      </c>
      <c r="R6" s="16">
        <f t="shared" ca="1" si="2"/>
        <v>5683.0199999999995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2509.7799999999997</v>
      </c>
      <c r="I7" s="14"/>
      <c r="J7" s="14"/>
      <c r="K7" s="13"/>
      <c r="L7" s="16">
        <f t="shared" ca="1" si="0"/>
        <v>2509.7799999999997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2509.7799999999997</v>
      </c>
      <c r="R7" s="16">
        <f t="shared" ca="1" si="2"/>
        <v>2509.7799999999997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5019.7564292954685</v>
      </c>
      <c r="J8" s="14">
        <f ca="1">Q10/J18</f>
        <v>2432.1635707045307</v>
      </c>
      <c r="K8" s="13"/>
      <c r="L8" s="16">
        <f t="shared" ca="1" si="0"/>
        <v>7451.9199999999992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763.42</v>
      </c>
      <c r="P8" s="13" cm="1">
        <f t="array" aca="1" ref="P8" ca="1">-INDIRECT("'data'!$S$" &amp; $A$1)*parameters!$B$15</f>
        <v>-22.54</v>
      </c>
      <c r="Q8" s="16">
        <f ca="1">SUM(Q6:Q7)</f>
        <v>8192.7999999999993</v>
      </c>
      <c r="R8" s="16">
        <f t="shared" ca="1" si="2"/>
        <v>8192.7999999999975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3146.7799999999997</v>
      </c>
      <c r="L9" s="16">
        <f t="shared" ca="1" si="0"/>
        <v>3146.7799999999997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1715.98</v>
      </c>
      <c r="P9" s="13" cm="1">
        <f t="array" aca="1" ref="P9" ca="1">-INDIRECT("'data'!$V$" &amp; $A$1)*parameters!$B$15</f>
        <v>-696.78</v>
      </c>
      <c r="Q9" s="16" cm="1">
        <f t="array" aca="1" ref="Q9" ca="1">INDIRECT("'data'!$T$" &amp; $A$1)*parameters!$B$15</f>
        <v>4165.9799999999996</v>
      </c>
      <c r="R9" s="16">
        <f t="shared" ca="1" si="2"/>
        <v>4165.9800000000005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3442.4333143669983</v>
      </c>
      <c r="L10" s="16">
        <f t="shared" ca="1" si="0"/>
        <v>3442.4333143669983</v>
      </c>
      <c r="M10" s="16"/>
      <c r="N10" s="16">
        <f t="shared" ca="1" si="3"/>
        <v>0</v>
      </c>
      <c r="O10" s="11" cm="1">
        <f t="array" aca="1" ref="O10" ca="1">INDIRECT("'data'!$X$" &amp; $A$1)*parameters!$B$15</f>
        <v>390.04</v>
      </c>
      <c r="P10" s="13" cm="1">
        <f t="array" aca="1" ref="P10" ca="1">-INDIRECT("'data'!$Y$" &amp; $A$1)*parameters!$B$15</f>
        <v>-1813.98</v>
      </c>
      <c r="Q10" s="16" cm="1">
        <f t="array" aca="1" ref="Q10" ca="1">INDIRECT("'data'!$W$" &amp; $A$1)*parameters!$B$15</f>
        <v>2018.4933143669984</v>
      </c>
      <c r="R10" s="16">
        <f t="shared" ca="1" si="2"/>
        <v>2018.4933143669982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5567.6258503556182</v>
      </c>
      <c r="N11" s="19"/>
      <c r="O11" s="21" cm="1">
        <f t="array" aca="1" ref="O11" ca="1">INDIRECT("'data'!$Z$" &amp; $A$1)*parameters!$B$15</f>
        <v>4153.24</v>
      </c>
      <c r="P11" s="27" cm="1">
        <f t="array" aca="1" ref="P11" ca="1">-INDIRECT("'data'!$AA$" &amp; $A$1)*parameters!$B$15</f>
        <v>-3802.4</v>
      </c>
      <c r="Q11" s="16">
        <f ca="1">K9*parameters!$B$10+K10*parameters!$B$11</f>
        <v>5918.4658503556184</v>
      </c>
      <c r="R11" s="16">
        <f t="shared" ref="R11:R17" ca="1" si="4">SUM(L11:P11)</f>
        <v>5918.4658503556184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-31.717650196235809</v>
      </c>
      <c r="D12" s="9">
        <f ca="1">-(D17-Q4)</f>
        <v>0</v>
      </c>
      <c r="E12" s="9">
        <f ca="1">-(E17-Q5)</f>
        <v>-623.62848154616313</v>
      </c>
      <c r="F12" s="9">
        <f ca="1">-(F17-Q6)</f>
        <v>-375.63671641791097</v>
      </c>
      <c r="G12" s="9">
        <f ca="1">-(G17-Q7)</f>
        <v>-112.76963427377223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-1143.7524824340821</v>
      </c>
      <c r="M12" s="17"/>
      <c r="N12" s="17"/>
      <c r="O12" s="10"/>
      <c r="P12" s="12"/>
      <c r="Q12" s="9">
        <f t="shared" ref="Q12:Q17" ca="1" si="6">SUM(L12:P12)</f>
        <v>-1143.7524824340821</v>
      </c>
      <c r="R12" s="17">
        <f t="shared" ca="1" si="4"/>
        <v>-1143.7524824340821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-853.77642929546892</v>
      </c>
      <c r="J13" s="14">
        <f ca="1">-(J17-Q10)</f>
        <v>-413.67025633753224</v>
      </c>
      <c r="K13" s="13">
        <f ca="1">-(K17-Q11)</f>
        <v>-670.74746401137963</v>
      </c>
      <c r="L13" s="14">
        <f t="shared" ca="1" si="5"/>
        <v>-1938.1941496443808</v>
      </c>
      <c r="M13" s="16">
        <f ca="1">-E15</f>
        <v>-3731.1556825934658</v>
      </c>
      <c r="N13" s="16"/>
      <c r="O13" s="11"/>
      <c r="P13" s="13"/>
      <c r="Q13" s="14">
        <f t="shared" ca="1" si="6"/>
        <v>-5669.3498322378464</v>
      </c>
      <c r="R13" s="16">
        <f t="shared" ca="1" si="4"/>
        <v>-5669.3498322378464</v>
      </c>
    </row>
    <row r="14" spans="1:20">
      <c r="A14" s="18" t="s">
        <v>78</v>
      </c>
      <c r="B14" s="11"/>
      <c r="C14" s="14"/>
      <c r="D14" s="14"/>
      <c r="E14" s="14">
        <f ca="1">-(I13+J13)-K13</f>
        <v>1938.1941496443808</v>
      </c>
      <c r="F14" s="14"/>
      <c r="G14" s="14"/>
      <c r="H14" s="14"/>
      <c r="I14" s="14"/>
      <c r="J14" s="14"/>
      <c r="K14" s="13"/>
      <c r="L14" s="14">
        <f t="shared" ca="1" si="5"/>
        <v>1938.1941496443808</v>
      </c>
      <c r="M14" s="16"/>
      <c r="N14" s="16"/>
      <c r="O14" s="11"/>
      <c r="P14" s="13"/>
      <c r="Q14" s="14">
        <f t="shared" ca="1" si="6"/>
        <v>1938.1941496443808</v>
      </c>
      <c r="R14" s="16">
        <f t="shared" ca="1" si="4"/>
        <v>1938.1941496443808</v>
      </c>
    </row>
    <row r="15" spans="1:20">
      <c r="A15" s="18" t="s">
        <v>79</v>
      </c>
      <c r="B15" s="11"/>
      <c r="C15" s="14"/>
      <c r="D15" s="14"/>
      <c r="E15" s="14">
        <f ca="1">E17-E14</f>
        <v>3731.1556825934658</v>
      </c>
      <c r="F15" s="14"/>
      <c r="G15" s="14"/>
      <c r="H15" s="14"/>
      <c r="I15" s="14"/>
      <c r="J15" s="14"/>
      <c r="K15" s="13"/>
      <c r="L15" s="14">
        <f t="shared" ca="1" si="5"/>
        <v>3731.1556825934658</v>
      </c>
      <c r="M15" s="16"/>
      <c r="N15" s="16"/>
      <c r="O15" s="11"/>
      <c r="P15" s="13"/>
      <c r="Q15" s="14">
        <f t="shared" ca="1" si="6"/>
        <v>3731.1556825934658</v>
      </c>
      <c r="R15" s="16">
        <f t="shared" ca="1" si="4"/>
        <v>3731.1556825934658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5034.5476501962357</v>
      </c>
      <c r="D17" s="9">
        <f ca="1">SUM(D$2:D$11)</f>
        <v>0</v>
      </c>
      <c r="E17" s="9">
        <f ca="1">$Q$5/parameters!$B$4</f>
        <v>5669.3498322378464</v>
      </c>
      <c r="F17" s="9">
        <f t="shared" ref="F17:K17" ca="1" si="7">SUM(F$2:F$11)</f>
        <v>6058.6567164179105</v>
      </c>
      <c r="G17" s="9">
        <f t="shared" ca="1" si="7"/>
        <v>2622.549634273772</v>
      </c>
      <c r="H17" s="9">
        <f t="shared" ca="1" si="7"/>
        <v>8192.7999999999993</v>
      </c>
      <c r="I17" s="9">
        <f t="shared" ca="1" si="7"/>
        <v>5019.7564292954685</v>
      </c>
      <c r="J17" s="9">
        <f t="shared" ca="1" si="7"/>
        <v>2432.1635707045307</v>
      </c>
      <c r="K17" s="9">
        <f t="shared" ca="1" si="7"/>
        <v>6589.213314366998</v>
      </c>
      <c r="L17" s="17">
        <f t="shared" ca="1" si="5"/>
        <v>41619.03714749276</v>
      </c>
      <c r="M17" s="17"/>
      <c r="N17" s="17"/>
      <c r="O17" s="9"/>
      <c r="P17" s="14"/>
      <c r="Q17" s="11">
        <f t="shared" ca="1" si="6"/>
        <v>41619.03714749276</v>
      </c>
      <c r="R17" s="17">
        <f t="shared" ca="1" si="4"/>
        <v>41619.03714749276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0.82991676163552464</v>
      </c>
      <c r="J18" s="39">
        <f ca="1">I18</f>
        <v>0.82991676163552464</v>
      </c>
      <c r="K18" s="40">
        <f ca="1">1-(-K13)/K17</f>
        <v>0.89820522845285733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959.26999650820619</v>
      </c>
      <c r="D2" s="9">
        <f ca="1">Q4/parameters!$B$3</f>
        <v>2147.9527117580574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3107.2227082662635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-2052.6670710755607</v>
      </c>
      <c r="Q2" s="17" cm="1">
        <f t="array" aca="1" ref="Q2" ca="1">INDIRECT("'data'!$D$" &amp; $A$1)</f>
        <v>1054.5556371907026</v>
      </c>
      <c r="R2" s="17">
        <f ca="1">SUM(L2:P2)</f>
        <v>1054.5556371907028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949.17910447761199</v>
      </c>
      <c r="G3" s="14">
        <f ca="1">Q3-O3-P3-F3</f>
        <v>4.047491052592477</v>
      </c>
      <c r="H3" s="14"/>
      <c r="I3" s="14"/>
      <c r="J3" s="14"/>
      <c r="K3" s="13"/>
      <c r="L3" s="16">
        <f t="shared" ca="1" si="0"/>
        <v>953.22659553020446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953.22659553020446</v>
      </c>
      <c r="R3" s="16">
        <f t="shared" ref="R3:R10" ca="1" si="2">SUM(L3:P3)</f>
        <v>953.22659553020446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2134.4206096739817</v>
      </c>
      <c r="H4" s="14"/>
      <c r="I4" s="14"/>
      <c r="J4" s="14"/>
      <c r="K4" s="13"/>
      <c r="L4" s="16">
        <f t="shared" ca="1" si="0"/>
        <v>2134.4206096739817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2134.4206096739817</v>
      </c>
      <c r="R4" s="16">
        <f t="shared" ca="1" si="2"/>
        <v>2134.4206096739817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Q6/parameters!$B$5*21%</f>
        <v>252.31343283582089</v>
      </c>
      <c r="G5" s="14">
        <f ca="1">Q7/parameters!$B$7-(G3+G4)</f>
        <v>1102.5977299944288</v>
      </c>
      <c r="H5" s="14"/>
      <c r="I5" s="14"/>
      <c r="J5" s="14"/>
      <c r="K5" s="13"/>
      <c r="L5" s="16">
        <f t="shared" ca="1" si="0"/>
        <v>1354.9111628302499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1354.9111628302499</v>
      </c>
      <c r="R5" s="16">
        <f t="shared" ca="1" si="2"/>
        <v>1354.9111628302499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1127</v>
      </c>
      <c r="I6" s="14"/>
      <c r="J6" s="14"/>
      <c r="K6" s="13"/>
      <c r="L6" s="16">
        <f t="shared" ca="1" si="0"/>
        <v>1127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1127</v>
      </c>
      <c r="R6" s="16">
        <f t="shared" ca="1" si="2"/>
        <v>1127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3101.7</v>
      </c>
      <c r="I7" s="14"/>
      <c r="J7" s="14"/>
      <c r="K7" s="13"/>
      <c r="L7" s="16">
        <f t="shared" ca="1" si="0"/>
        <v>3101.7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3101.7</v>
      </c>
      <c r="R7" s="16">
        <f t="shared" ca="1" si="2"/>
        <v>3101.7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3950.327699206623</v>
      </c>
      <c r="J8" s="14">
        <f ca="1">Q10/J18</f>
        <v>1343.8834692243997</v>
      </c>
      <c r="K8" s="13"/>
      <c r="L8" s="16">
        <f t="shared" ca="1" si="0"/>
        <v>5294.211168431023</v>
      </c>
      <c r="M8" s="16"/>
      <c r="N8" s="16">
        <f t="shared" ca="1" si="3"/>
        <v>1118.9088315689769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-2184.42</v>
      </c>
      <c r="Q8" s="16">
        <f ca="1">SUM(Q6:Q7)</f>
        <v>4228.7</v>
      </c>
      <c r="R8" s="16">
        <f t="shared" ca="1" si="2"/>
        <v>4228.7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3985.9811452224903</v>
      </c>
      <c r="L9" s="16">
        <f t="shared" ca="1" si="0"/>
        <v>3985.9811452224903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-114.66</v>
      </c>
      <c r="Q9" s="16" cm="1">
        <f t="array" aca="1" ref="Q9" ca="1">INDIRECT("'data'!$T$" &amp; $A$1)*parameters!$B$15</f>
        <v>3871.3211452224905</v>
      </c>
      <c r="R9" s="16">
        <f t="shared" ca="1" si="2"/>
        <v>3871.3211452224905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1626.6857998399119</v>
      </c>
      <c r="L10" s="16">
        <f t="shared" ca="1" si="0"/>
        <v>1626.6857998399119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-309.68</v>
      </c>
      <c r="Q10" s="16" cm="1">
        <f t="array" aca="1" ref="Q10" ca="1">INDIRECT("'data'!$W$" &amp; $A$1)*parameters!$B$15</f>
        <v>1317.0057998399118</v>
      </c>
      <c r="R10" s="16">
        <f t="shared" ca="1" si="2"/>
        <v>1317.0057998399118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5428.0120643714654</v>
      </c>
      <c r="N11" s="19"/>
      <c r="O11" s="21" cm="1">
        <f t="array" aca="1" ref="O11" ca="1">INDIRECT("'data'!$Z$" &amp; $A$1)*parameters!$B$15</f>
        <v>40.18</v>
      </c>
      <c r="P11" s="27" cm="1">
        <f t="array" aca="1" ref="P11" ca="1">-INDIRECT("'data'!$AA$" &amp; $A$1)*parameters!$B$15</f>
        <v>-322.42</v>
      </c>
      <c r="Q11" s="16">
        <f ca="1">K9*parameters!$B$10+K10*parameters!$B$11</f>
        <v>5145.7720643714656</v>
      </c>
      <c r="R11" s="16">
        <f t="shared" ref="R11:R17" ca="1" si="4">SUM(L11:P11)</f>
        <v>5145.7720643714656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-6.0434009780017277</v>
      </c>
      <c r="D12" s="9">
        <f ca="1">-(D17-Q4)</f>
        <v>-13.532102084075632</v>
      </c>
      <c r="E12" s="9">
        <f ca="1">-(E17-Q5)</f>
        <v>-167.46093023744652</v>
      </c>
      <c r="F12" s="9">
        <f ca="1">-(F17-Q6)</f>
        <v>-74.492537313432877</v>
      </c>
      <c r="G12" s="9">
        <f ca="1">-(G17-Q7)</f>
        <v>-139.36583072100348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-400.89480133396023</v>
      </c>
      <c r="M12" s="17"/>
      <c r="N12" s="17"/>
      <c r="O12" s="10"/>
      <c r="P12" s="12"/>
      <c r="Q12" s="9">
        <f t="shared" ref="Q12:Q17" ca="1" si="6">SUM(L12:P12)</f>
        <v>-400.89480133396023</v>
      </c>
      <c r="R12" s="17">
        <f t="shared" ca="1" si="4"/>
        <v>-400.89480133396023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-79.006553984132552</v>
      </c>
      <c r="J13" s="14">
        <f ca="1">-(J17-Q10)</f>
        <v>-26.877669384487945</v>
      </c>
      <c r="K13" s="13">
        <f ca="1">-(K17-Q11)</f>
        <v>-466.89488069093659</v>
      </c>
      <c r="L13" s="14">
        <f t="shared" ca="1" si="5"/>
        <v>-572.77910405955708</v>
      </c>
      <c r="M13" s="16">
        <f ca="1">-E15</f>
        <v>-949.59298900813928</v>
      </c>
      <c r="N13" s="16"/>
      <c r="O13" s="11"/>
      <c r="P13" s="13"/>
      <c r="Q13" s="14">
        <f t="shared" ca="1" si="6"/>
        <v>-1522.3720930676964</v>
      </c>
      <c r="R13" s="16">
        <f t="shared" ca="1" si="4"/>
        <v>-1522.3720930676964</v>
      </c>
    </row>
    <row r="14" spans="1:19">
      <c r="A14" s="18" t="s">
        <v>78</v>
      </c>
      <c r="B14" s="11"/>
      <c r="C14" s="14"/>
      <c r="D14" s="14"/>
      <c r="E14" s="14">
        <f ca="1">-(I13+J13)-K13</f>
        <v>572.77910405955708</v>
      </c>
      <c r="F14" s="14"/>
      <c r="G14" s="14"/>
      <c r="H14" s="14"/>
      <c r="I14" s="14"/>
      <c r="J14" s="14"/>
      <c r="K14" s="13"/>
      <c r="L14" s="14">
        <f t="shared" ca="1" si="5"/>
        <v>572.77910405955708</v>
      </c>
      <c r="M14" s="16"/>
      <c r="N14" s="16"/>
      <c r="O14" s="11"/>
      <c r="P14" s="13"/>
      <c r="Q14" s="14">
        <f t="shared" ca="1" si="6"/>
        <v>572.77910405955708</v>
      </c>
      <c r="R14" s="16">
        <f t="shared" ca="1" si="4"/>
        <v>572.77910405955708</v>
      </c>
    </row>
    <row r="15" spans="1:19">
      <c r="A15" s="18" t="s">
        <v>79</v>
      </c>
      <c r="B15" s="11"/>
      <c r="C15" s="14"/>
      <c r="D15" s="14"/>
      <c r="E15" s="14">
        <f ca="1">E17-E14</f>
        <v>949.59298900813928</v>
      </c>
      <c r="F15" s="14"/>
      <c r="G15" s="14"/>
      <c r="H15" s="14"/>
      <c r="I15" s="14"/>
      <c r="J15" s="14"/>
      <c r="K15" s="13"/>
      <c r="L15" s="14">
        <f t="shared" ca="1" si="5"/>
        <v>949.59298900813928</v>
      </c>
      <c r="M15" s="16"/>
      <c r="N15" s="16"/>
      <c r="O15" s="11"/>
      <c r="P15" s="13"/>
      <c r="Q15" s="14">
        <f t="shared" ca="1" si="6"/>
        <v>949.59298900813928</v>
      </c>
      <c r="R15" s="16">
        <f t="shared" ca="1" si="4"/>
        <v>949.59298900813928</v>
      </c>
    </row>
    <row r="16" spans="1:19">
      <c r="A16" s="30" t="s">
        <v>89</v>
      </c>
      <c r="B16" s="21">
        <f ca="1">Q2</f>
        <v>1054.5556371907026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1054.5556371907026</v>
      </c>
      <c r="M16" s="19"/>
      <c r="N16" s="19"/>
      <c r="O16" s="21"/>
      <c r="P16" s="27"/>
      <c r="Q16" s="22">
        <f t="shared" ca="1" si="6"/>
        <v>1054.5556371907026</v>
      </c>
      <c r="R16" s="19">
        <f t="shared" ca="1" si="4"/>
        <v>1054.5556371907026</v>
      </c>
    </row>
    <row r="17" spans="1:18">
      <c r="A17" s="29" t="s">
        <v>88</v>
      </c>
      <c r="B17" s="9">
        <f ca="1">B16</f>
        <v>1054.5556371907026</v>
      </c>
      <c r="C17" s="9">
        <f ca="1">SUM(C$2:C$11)</f>
        <v>959.26999650820619</v>
      </c>
      <c r="D17" s="9">
        <f ca="1">SUM(D$2:D$11)</f>
        <v>2147.9527117580574</v>
      </c>
      <c r="E17" s="9">
        <f ca="1">$Q$5/parameters!$B$4</f>
        <v>1522.3720930676964</v>
      </c>
      <c r="F17" s="9">
        <f t="shared" ref="F17:K17" ca="1" si="7">SUM(F$2:F$11)</f>
        <v>1201.4925373134329</v>
      </c>
      <c r="G17" s="9">
        <f t="shared" ca="1" si="7"/>
        <v>3241.0658307210033</v>
      </c>
      <c r="H17" s="9">
        <f t="shared" ca="1" si="7"/>
        <v>4228.7</v>
      </c>
      <c r="I17" s="9">
        <f t="shared" ca="1" si="7"/>
        <v>3950.327699206623</v>
      </c>
      <c r="J17" s="9">
        <f t="shared" ca="1" si="7"/>
        <v>1343.8834692243997</v>
      </c>
      <c r="K17" s="9">
        <f t="shared" ca="1" si="7"/>
        <v>5612.6669450624022</v>
      </c>
      <c r="L17" s="17">
        <f t="shared" ca="1" si="5"/>
        <v>25262.286920052524</v>
      </c>
      <c r="M17" s="17"/>
      <c r="N17" s="17"/>
      <c r="O17" s="9"/>
      <c r="P17" s="14"/>
      <c r="Q17" s="11">
        <f t="shared" ca="1" si="6"/>
        <v>25262.286920052524</v>
      </c>
      <c r="R17" s="17">
        <f t="shared" ca="1" si="4"/>
        <v>25262.286920052524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0.91681407693330619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2530.5687236474191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2530.5687236474191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-2530.5687236474191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0</v>
      </c>
      <c r="H3" s="14"/>
      <c r="I3" s="14"/>
      <c r="J3" s="14"/>
      <c r="K3" s="13"/>
      <c r="L3" s="16">
        <f t="shared" ca="1" si="0"/>
        <v>0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2514.6261406884405</v>
      </c>
      <c r="H4" s="14"/>
      <c r="I4" s="14"/>
      <c r="J4" s="14"/>
      <c r="K4" s="13"/>
      <c r="L4" s="16">
        <f t="shared" ca="1" si="0"/>
        <v>2514.6261406884405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2514.6261406884405</v>
      </c>
      <c r="R4" s="16">
        <f t="shared" ca="1" si="2"/>
        <v>2514.6261406884405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1141.173232352312</v>
      </c>
      <c r="H5" s="14"/>
      <c r="I5" s="14"/>
      <c r="J5" s="14"/>
      <c r="K5" s="13"/>
      <c r="L5" s="16">
        <f t="shared" ca="1" si="0"/>
        <v>1141.173232352312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1141.173232352312</v>
      </c>
      <c r="R5" s="16">
        <f t="shared" ca="1" si="2"/>
        <v>1141.173232352312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3498.6</v>
      </c>
      <c r="I7" s="14"/>
      <c r="J7" s="14"/>
      <c r="K7" s="13"/>
      <c r="L7" s="16">
        <f t="shared" ca="1" si="0"/>
        <v>3498.6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3498.6</v>
      </c>
      <c r="R7" s="16">
        <f t="shared" ca="1" si="2"/>
        <v>3498.6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2228.542661407515</v>
      </c>
      <c r="J8" s="14">
        <f ca="1">Q10/J18</f>
        <v>1047.476123686751</v>
      </c>
      <c r="K8" s="13"/>
      <c r="L8" s="16">
        <f t="shared" ca="1" si="0"/>
        <v>3276.0187850942657</v>
      </c>
      <c r="M8" s="16"/>
      <c r="N8" s="16">
        <f t="shared" ca="1" si="3"/>
        <v>817.44121490573434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-594.86</v>
      </c>
      <c r="Q8" s="16">
        <f ca="1">SUM(Q6:Q7)</f>
        <v>3498.6</v>
      </c>
      <c r="R8" s="16">
        <f t="shared" ca="1" si="2"/>
        <v>3498.6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2645.5518081793643</v>
      </c>
      <c r="L9" s="16">
        <f t="shared" ca="1" si="0"/>
        <v>2645.5518081793643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-461.58</v>
      </c>
      <c r="Q9" s="16" cm="1">
        <f t="array" aca="1" ref="Q9" ca="1">INDIRECT("'data'!$T$" &amp; $A$1)*parameters!$B$15</f>
        <v>2183.9718081793644</v>
      </c>
      <c r="R9" s="16">
        <f t="shared" ca="1" si="2"/>
        <v>2183.9718081793644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1913.4266012130161</v>
      </c>
      <c r="L10" s="16">
        <f t="shared" ca="1" si="0"/>
        <v>1913.4266012130161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-886.9</v>
      </c>
      <c r="Q10" s="16" cm="1">
        <f t="array" aca="1" ref="Q10" ca="1">INDIRECT("'data'!$W$" &amp; $A$1)*parameters!$B$15</f>
        <v>1026.526601213016</v>
      </c>
      <c r="R10" s="16">
        <f t="shared" ca="1" si="2"/>
        <v>1026.526601213016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5185.865576731796</v>
      </c>
      <c r="N11" s="19"/>
      <c r="O11" s="21" cm="1">
        <f t="array" aca="1" ref="O11" ca="1">INDIRECT("'data'!$Z$" &amp; $A$1)*parameters!$B$15</f>
        <v>38.22</v>
      </c>
      <c r="P11" s="27" cm="1">
        <f t="array" aca="1" ref="P11" ca="1">-INDIRECT("'data'!$AA$" &amp; $A$1)*parameters!$B$15</f>
        <v>-1091.72</v>
      </c>
      <c r="Q11" s="16">
        <f ca="1">K9*parameters!$B$10+K10*parameters!$B$11</f>
        <v>4132.365576731796</v>
      </c>
      <c r="R11" s="16">
        <f t="shared" ref="R11:R17" ca="1" si="4">SUM(L11:P11)</f>
        <v>4132.365576731796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-15.942582958978619</v>
      </c>
      <c r="E12" s="9">
        <f ca="1">-(E17-Q5)</f>
        <v>-141.0438826502857</v>
      </c>
      <c r="F12" s="9">
        <f ca="1">-(F17-Q6)</f>
        <v>0</v>
      </c>
      <c r="G12" s="9">
        <f ca="1">-(G17-Q7)</f>
        <v>-157.19937304075256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-314.18583865001688</v>
      </c>
      <c r="M12" s="17"/>
      <c r="N12" s="17"/>
      <c r="O12" s="10"/>
      <c r="P12" s="12"/>
      <c r="Q12" s="9">
        <f t="shared" ref="Q12:Q17" ca="1" si="6">SUM(L12:P12)</f>
        <v>-314.18583865001688</v>
      </c>
      <c r="R12" s="17">
        <f t="shared" ca="1" si="4"/>
        <v>-314.18583865001688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-44.570853228150554</v>
      </c>
      <c r="J13" s="14">
        <f ca="1">-(J17-Q10)</f>
        <v>-20.949522473734987</v>
      </c>
      <c r="K13" s="13">
        <f ca="1">-(K17-Q11)</f>
        <v>-426.6128326605849</v>
      </c>
      <c r="L13" s="14">
        <f t="shared" ca="1" si="5"/>
        <v>-492.13320836247044</v>
      </c>
      <c r="M13" s="16">
        <f ca="1">-E15</f>
        <v>-790.08390664012722</v>
      </c>
      <c r="N13" s="16"/>
      <c r="O13" s="11"/>
      <c r="P13" s="13"/>
      <c r="Q13" s="14">
        <f t="shared" ca="1" si="6"/>
        <v>-1282.2171150025977</v>
      </c>
      <c r="R13" s="16">
        <f t="shared" ca="1" si="4"/>
        <v>-1282.2171150025977</v>
      </c>
    </row>
    <row r="14" spans="1:22">
      <c r="A14" s="18" t="s">
        <v>78</v>
      </c>
      <c r="B14" s="11"/>
      <c r="C14" s="14"/>
      <c r="D14" s="14"/>
      <c r="E14" s="14">
        <f ca="1">-(I13+J13)-K13</f>
        <v>492.13320836247044</v>
      </c>
      <c r="F14" s="14"/>
      <c r="G14" s="14"/>
      <c r="H14" s="14"/>
      <c r="I14" s="14"/>
      <c r="J14" s="14"/>
      <c r="K14" s="13"/>
      <c r="L14" s="14">
        <f t="shared" ca="1" si="5"/>
        <v>492.13320836247044</v>
      </c>
      <c r="M14" s="16"/>
      <c r="N14" s="16"/>
      <c r="O14" s="11"/>
      <c r="P14" s="13"/>
      <c r="Q14" s="14">
        <f t="shared" ca="1" si="6"/>
        <v>492.13320836247044</v>
      </c>
      <c r="R14" s="16">
        <f t="shared" ca="1" si="4"/>
        <v>492.13320836247044</v>
      </c>
    </row>
    <row r="15" spans="1:22">
      <c r="A15" s="18" t="s">
        <v>79</v>
      </c>
      <c r="B15" s="11"/>
      <c r="C15" s="14"/>
      <c r="D15" s="14"/>
      <c r="E15" s="14">
        <f ca="1">E17-E14</f>
        <v>790.08390664012722</v>
      </c>
      <c r="F15" s="14"/>
      <c r="G15" s="14"/>
      <c r="H15" s="14"/>
      <c r="I15" s="14"/>
      <c r="J15" s="14"/>
      <c r="K15" s="13"/>
      <c r="L15" s="14">
        <f t="shared" ca="1" si="5"/>
        <v>790.08390664012722</v>
      </c>
      <c r="M15" s="16"/>
      <c r="N15" s="16"/>
      <c r="O15" s="11"/>
      <c r="P15" s="13"/>
      <c r="Q15" s="14">
        <f t="shared" ca="1" si="6"/>
        <v>790.08390664012722</v>
      </c>
      <c r="R15" s="16">
        <f t="shared" ca="1" si="4"/>
        <v>790.08390664012722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2530.5687236474191</v>
      </c>
      <c r="E17" s="9">
        <f ca="1">$Q$5/parameters!$B$4</f>
        <v>1282.2171150025977</v>
      </c>
      <c r="F17" s="9">
        <f t="shared" ref="F17:K17" ca="1" si="7">SUM(F$2:F$11)</f>
        <v>0</v>
      </c>
      <c r="G17" s="9">
        <f t="shared" ca="1" si="7"/>
        <v>3655.7993730407525</v>
      </c>
      <c r="H17" s="9">
        <f t="shared" ca="1" si="7"/>
        <v>3498.6</v>
      </c>
      <c r="I17" s="9">
        <f t="shared" ca="1" si="7"/>
        <v>2228.542661407515</v>
      </c>
      <c r="J17" s="9">
        <f t="shared" ca="1" si="7"/>
        <v>1047.476123686751</v>
      </c>
      <c r="K17" s="9">
        <f t="shared" ca="1" si="7"/>
        <v>4558.9784093923809</v>
      </c>
      <c r="L17" s="17">
        <f t="shared" ca="1" si="5"/>
        <v>18802.182406177417</v>
      </c>
      <c r="M17" s="17"/>
      <c r="N17" s="17"/>
      <c r="O17" s="9"/>
      <c r="P17" s="14"/>
      <c r="Q17" s="11">
        <f t="shared" ca="1" si="6"/>
        <v>18802.182406177417</v>
      </c>
      <c r="R17" s="17">
        <f t="shared" ca="1" si="4"/>
        <v>18802.182406177417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0.90642359003462714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4440.1781221696683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4440.1781221696683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-3865.1781221696683</v>
      </c>
      <c r="Q2" s="17" cm="1">
        <f t="array" aca="1" ref="Q2" ca="1">INDIRECT("'data'!$D$" &amp; $A$1)</f>
        <v>575</v>
      </c>
      <c r="R2" s="17">
        <f ca="1">SUM(L2:P2)</f>
        <v>575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4397.3373134328358</v>
      </c>
      <c r="G3" s="14">
        <f ca="1">Q3-O3-P3-F3</f>
        <v>43.217686567164492</v>
      </c>
      <c r="H3" s="14"/>
      <c r="I3" s="14"/>
      <c r="J3" s="14"/>
      <c r="K3" s="13"/>
      <c r="L3" s="16">
        <f t="shared" ca="1" si="0"/>
        <v>4440.5550000000003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-28.349999999999998</v>
      </c>
      <c r="Q3" s="16" cm="1">
        <f t="array" aca="1" ref="Q3" ca="1">INDIRECT("'data'!$G$" &amp; $A$1)*parameters!$B$13</f>
        <v>4412.2049999999999</v>
      </c>
      <c r="R3" s="16">
        <f t="shared" ref="R3:R10" ca="1" si="2">SUM(L3:P3)</f>
        <v>4412.2049999999999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Q6/parameters!$B$5*24%</f>
        <v>1388.6328358208955</v>
      </c>
      <c r="G5" s="14">
        <f ca="1">Q7/parameters!$B$7-(G3+G4)</f>
        <v>623.42808145791389</v>
      </c>
      <c r="H5" s="14"/>
      <c r="I5" s="14"/>
      <c r="J5" s="14"/>
      <c r="K5" s="13"/>
      <c r="L5" s="16">
        <f t="shared" ca="1" si="0"/>
        <v>2012.0609172788095</v>
      </c>
      <c r="M5" s="16"/>
      <c r="N5" s="16"/>
      <c r="O5" s="11" cm="1">
        <f t="array" aca="1" ref="O5" ca="1">INDIRECT("'data'!$M$" &amp; $A$1)*parameters!$B$15</f>
        <v>1049.58</v>
      </c>
      <c r="P5" s="13" cm="1">
        <f t="array" aca="1" ref="P5" ca="1">-INDIRECT("'data'!$N$" &amp; $A$1)*parameters!$B$15</f>
        <v>-851.62</v>
      </c>
      <c r="Q5" s="16">
        <f ca="1">SUM(L5:P5)</f>
        <v>2210.0209172788095</v>
      </c>
      <c r="R5" s="16">
        <f t="shared" ca="1" si="2"/>
        <v>2210.0209172788095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5427.24</v>
      </c>
      <c r="I6" s="14"/>
      <c r="J6" s="14"/>
      <c r="K6" s="13"/>
      <c r="L6" s="16">
        <f t="shared" ca="1" si="0"/>
        <v>5427.24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5427.24</v>
      </c>
      <c r="R6" s="16">
        <f t="shared" ca="1" si="2"/>
        <v>5427.24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637.98</v>
      </c>
      <c r="I7" s="14"/>
      <c r="J7" s="14"/>
      <c r="K7" s="13"/>
      <c r="L7" s="16">
        <f t="shared" ca="1" si="0"/>
        <v>637.98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637.98</v>
      </c>
      <c r="R7" s="16">
        <f t="shared" ca="1" si="2"/>
        <v>637.98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1626.2616520967558</v>
      </c>
      <c r="J8" s="14">
        <f ca="1">Q10/J18</f>
        <v>4338.9983479032444</v>
      </c>
      <c r="K8" s="13"/>
      <c r="L8" s="16">
        <f t="shared" ca="1" si="0"/>
        <v>5965.26</v>
      </c>
      <c r="M8" s="16"/>
      <c r="N8" s="16">
        <f t="shared" ca="1" si="3"/>
        <v>0</v>
      </c>
      <c r="O8" s="11" cm="1">
        <f t="array" aca="1" ref="O8" ca="1">INDIRECT("'data'!$R$" &amp; $A$1)*parameters!$B$15</f>
        <v>216.57999999999998</v>
      </c>
      <c r="P8" s="13" cm="1">
        <f t="array" aca="1" ref="P8" ca="1">-INDIRECT("'data'!$S$" &amp; $A$1)*parameters!$B$15</f>
        <v>-116.62</v>
      </c>
      <c r="Q8" s="16">
        <f ca="1">SUM(Q6:Q7)</f>
        <v>6065.2199999999993</v>
      </c>
      <c r="R8" s="16">
        <f t="shared" ca="1" si="2"/>
        <v>6065.22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1404.3400000000001</v>
      </c>
      <c r="L9" s="16">
        <f t="shared" ca="1" si="0"/>
        <v>1404.3400000000001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941.78</v>
      </c>
      <c r="P9" s="13" cm="1">
        <f t="array" aca="1" ref="P9" ca="1">-INDIRECT("'data'!$V$" &amp; $A$1)*parameters!$B$15</f>
        <v>-859.46</v>
      </c>
      <c r="Q9" s="16" cm="1">
        <f t="array" aca="1" ref="Q9" ca="1">INDIRECT("'data'!$T$" &amp; $A$1)*parameters!$B$15</f>
        <v>1486.66</v>
      </c>
      <c r="R9" s="16">
        <f t="shared" ca="1" si="2"/>
        <v>1486.6599999999999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2048.6697866287336</v>
      </c>
      <c r="L10" s="16">
        <f t="shared" ca="1" si="0"/>
        <v>2048.6697866287336</v>
      </c>
      <c r="M10" s="16"/>
      <c r="N10" s="16">
        <f t="shared" ca="1" si="3"/>
        <v>0</v>
      </c>
      <c r="O10" s="11" cm="1">
        <f t="array" aca="1" ref="O10" ca="1">INDIRECT("'data'!$X$" &amp; $A$1)*parameters!$B$15</f>
        <v>3165.4</v>
      </c>
      <c r="P10" s="13" cm="1">
        <f t="array" aca="1" ref="P10" ca="1">-INDIRECT("'data'!$Y$" &amp; $A$1)*parameters!$B$15</f>
        <v>-1247.54</v>
      </c>
      <c r="Q10" s="16" cm="1">
        <f t="array" aca="1" ref="Q10" ca="1">INDIRECT("'data'!$W$" &amp; $A$1)*parameters!$B$15</f>
        <v>3966.5297866287337</v>
      </c>
      <c r="R10" s="16">
        <f t="shared" ca="1" si="2"/>
        <v>3966.5297866287337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3252.4556165007111</v>
      </c>
      <c r="N11" s="19"/>
      <c r="O11" s="21" cm="1">
        <f t="array" aca="1" ref="O11" ca="1">INDIRECT("'data'!$Z$" &amp; $A$1)*parameters!$B$15</f>
        <v>2473.52</v>
      </c>
      <c r="P11" s="27" cm="1">
        <f t="array" aca="1" ref="P11" ca="1">-INDIRECT("'data'!$AA$" &amp; $A$1)*parameters!$B$15</f>
        <v>-2644.04</v>
      </c>
      <c r="Q11" s="16">
        <f ca="1">K9*parameters!$B$10+K10*parameters!$B$11</f>
        <v>3081.9356165007111</v>
      </c>
      <c r="R11" s="16">
        <f t="shared" ref="R11:R17" ca="1" si="4">SUM(L11:P11)</f>
        <v>3081.9356165007111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-27.973122169668386</v>
      </c>
      <c r="D12" s="9">
        <f ca="1">-(D17-Q4)</f>
        <v>0</v>
      </c>
      <c r="E12" s="9">
        <f ca="1">-(E17-Q5)</f>
        <v>-273.14865269738084</v>
      </c>
      <c r="F12" s="9">
        <f ca="1">-(F17-Q6)</f>
        <v>-358.73014925373172</v>
      </c>
      <c r="G12" s="9">
        <f ca="1">-(G17-Q7)</f>
        <v>-28.665768025078364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-688.51769214585931</v>
      </c>
      <c r="M12" s="17"/>
      <c r="N12" s="17"/>
      <c r="O12" s="10"/>
      <c r="P12" s="12"/>
      <c r="Q12" s="9">
        <f t="shared" ref="Q12:Q17" ca="1" si="6">SUM(L12:P12)</f>
        <v>-688.51769214585931</v>
      </c>
      <c r="R12" s="17">
        <f t="shared" ca="1" si="4"/>
        <v>-688.51769214585931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-139.60165209675574</v>
      </c>
      <c r="J13" s="14">
        <f ca="1">-(J17-Q10)</f>
        <v>-372.46856127451065</v>
      </c>
      <c r="K13" s="13">
        <f ca="1">-(K17-Q11)</f>
        <v>-371.07417012802262</v>
      </c>
      <c r="L13" s="14">
        <f t="shared" ca="1" si="5"/>
        <v>-883.14438349928901</v>
      </c>
      <c r="M13" s="16">
        <f ca="1">-E15</f>
        <v>-1600.0251864769014</v>
      </c>
      <c r="N13" s="16"/>
      <c r="O13" s="11"/>
      <c r="P13" s="13"/>
      <c r="Q13" s="14">
        <f t="shared" ca="1" si="6"/>
        <v>-2483.1695699761904</v>
      </c>
      <c r="R13" s="16">
        <f t="shared" ca="1" si="4"/>
        <v>-2483.1695699761904</v>
      </c>
    </row>
    <row r="14" spans="1:20">
      <c r="A14" s="18" t="s">
        <v>78</v>
      </c>
      <c r="B14" s="11"/>
      <c r="C14" s="14"/>
      <c r="D14" s="14"/>
      <c r="E14" s="14">
        <f ca="1">-(I13+J13)-K13</f>
        <v>883.14438349928901</v>
      </c>
      <c r="F14" s="14"/>
      <c r="G14" s="14"/>
      <c r="H14" s="14"/>
      <c r="I14" s="14"/>
      <c r="J14" s="14"/>
      <c r="K14" s="13"/>
      <c r="L14" s="14">
        <f t="shared" ca="1" si="5"/>
        <v>883.14438349928901</v>
      </c>
      <c r="M14" s="16"/>
      <c r="N14" s="16"/>
      <c r="O14" s="11"/>
      <c r="P14" s="13"/>
      <c r="Q14" s="14">
        <f t="shared" ca="1" si="6"/>
        <v>883.14438349928901</v>
      </c>
      <c r="R14" s="16">
        <f t="shared" ca="1" si="4"/>
        <v>883.14438349928901</v>
      </c>
    </row>
    <row r="15" spans="1:20">
      <c r="A15" s="18" t="s">
        <v>79</v>
      </c>
      <c r="B15" s="11"/>
      <c r="C15" s="14"/>
      <c r="D15" s="14"/>
      <c r="E15" s="14">
        <f ca="1">E17-E14</f>
        <v>1600.0251864769014</v>
      </c>
      <c r="F15" s="14"/>
      <c r="G15" s="14"/>
      <c r="H15" s="14"/>
      <c r="I15" s="14"/>
      <c r="J15" s="14"/>
      <c r="K15" s="13"/>
      <c r="L15" s="14">
        <f t="shared" ca="1" si="5"/>
        <v>1600.0251864769014</v>
      </c>
      <c r="M15" s="16"/>
      <c r="N15" s="16"/>
      <c r="O15" s="11"/>
      <c r="P15" s="13"/>
      <c r="Q15" s="14">
        <f t="shared" ca="1" si="6"/>
        <v>1600.0251864769014</v>
      </c>
      <c r="R15" s="16">
        <f t="shared" ca="1" si="4"/>
        <v>1600.0251864769014</v>
      </c>
    </row>
    <row r="16" spans="1:20">
      <c r="A16" s="30" t="s">
        <v>89</v>
      </c>
      <c r="B16" s="21">
        <f ca="1">Q2</f>
        <v>575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575</v>
      </c>
      <c r="M16" s="19"/>
      <c r="N16" s="19"/>
      <c r="O16" s="21"/>
      <c r="P16" s="27"/>
      <c r="Q16" s="22">
        <f t="shared" ca="1" si="6"/>
        <v>575</v>
      </c>
      <c r="R16" s="19">
        <f t="shared" ca="1" si="4"/>
        <v>575</v>
      </c>
    </row>
    <row r="17" spans="1:18">
      <c r="A17" s="29" t="s">
        <v>88</v>
      </c>
      <c r="B17" s="9">
        <f ca="1">B16</f>
        <v>575</v>
      </c>
      <c r="C17" s="9">
        <f ca="1">SUM(C$2:C$11)</f>
        <v>4440.1781221696683</v>
      </c>
      <c r="D17" s="9">
        <f ca="1">SUM(D$2:D$11)</f>
        <v>0</v>
      </c>
      <c r="E17" s="9">
        <f ca="1">$Q$5/parameters!$B$4</f>
        <v>2483.1695699761904</v>
      </c>
      <c r="F17" s="9">
        <f t="shared" ref="F17:K17" ca="1" si="7">SUM(F$2:F$11)</f>
        <v>5785.9701492537315</v>
      </c>
      <c r="G17" s="9">
        <f t="shared" ca="1" si="7"/>
        <v>666.64576802507838</v>
      </c>
      <c r="H17" s="9">
        <f t="shared" ca="1" si="7"/>
        <v>6065.2199999999993</v>
      </c>
      <c r="I17" s="9">
        <f t="shared" ca="1" si="7"/>
        <v>1626.2616520967558</v>
      </c>
      <c r="J17" s="9">
        <f t="shared" ca="1" si="7"/>
        <v>4338.9983479032444</v>
      </c>
      <c r="K17" s="9">
        <f t="shared" ca="1" si="7"/>
        <v>3453.0097866287338</v>
      </c>
      <c r="L17" s="17">
        <f t="shared" ca="1" si="5"/>
        <v>29434.453396053403</v>
      </c>
      <c r="M17" s="17"/>
      <c r="N17" s="17"/>
      <c r="O17" s="9"/>
      <c r="P17" s="14"/>
      <c r="Q17" s="11">
        <f t="shared" ca="1" si="6"/>
        <v>29434.453396053403</v>
      </c>
      <c r="R17" s="17">
        <f t="shared" ca="1" si="4"/>
        <v>29434.453396053403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0.91415793890437869</v>
      </c>
      <c r="J18" s="39">
        <f ca="1">I18</f>
        <v>0.91415793890437869</v>
      </c>
      <c r="K18" s="40">
        <f ca="1">1-(-K13)/K17</f>
        <v>0.89253602130959719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7596.5180638019519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7596.5180638019519</v>
      </c>
      <c r="M2" s="17"/>
      <c r="N2" s="17">
        <f ca="1">Q2-(L2+O2+P2)</f>
        <v>0</v>
      </c>
      <c r="O2" s="11" cm="1">
        <f t="array" aca="1" ref="O2" ca="1">INDIRECT("'data'!$F$" &amp; $A$1)</f>
        <v>46.15</v>
      </c>
      <c r="P2" s="13">
        <f ca="1">IF(-(L2-Q2+O2)&lt;0, -(L2-Q2+O2), 0)</f>
        <v>-7642.6680638019516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7035.1044776119406</v>
      </c>
      <c r="G3" s="14">
        <f ca="1">Q3-O3-P3-F3</f>
        <v>606.1655223880598</v>
      </c>
      <c r="H3" s="14"/>
      <c r="I3" s="14"/>
      <c r="J3" s="14"/>
      <c r="K3" s="13"/>
      <c r="L3" s="16">
        <f t="shared" ca="1" si="0"/>
        <v>7641.27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163.48499999999999</v>
      </c>
      <c r="P3" s="13" cm="1">
        <f t="array" aca="1" ref="P3" ca="1">-INDIRECT("'data'!$I$" &amp; $A$1)*parameters!$B$13</f>
        <v>-256.09499999999997</v>
      </c>
      <c r="Q3" s="16" cm="1">
        <f t="array" aca="1" ref="Q3" ca="1">INDIRECT("'data'!$G$" &amp; $A$1)*parameters!$B$13</f>
        <v>7548.66</v>
      </c>
      <c r="R3" s="16">
        <f t="shared" ref="R3:R10" ca="1" si="2">SUM(L3:P3)</f>
        <v>7548.66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1758.7761194029854</v>
      </c>
      <c r="G5" s="14">
        <f ca="1">Q7/parameters!$B$7-(G3+G4)</f>
        <v>2390.1563166924002</v>
      </c>
      <c r="H5" s="14"/>
      <c r="I5" s="14"/>
      <c r="J5" s="14"/>
      <c r="K5" s="13"/>
      <c r="L5" s="16">
        <f t="shared" ca="1" si="0"/>
        <v>4148.9324360953851</v>
      </c>
      <c r="M5" s="16"/>
      <c r="N5" s="16"/>
      <c r="O5" s="11" cm="1">
        <f t="array" aca="1" ref="O5" ca="1">INDIRECT("'data'!$M$" &amp; $A$1)*parameters!$B$15</f>
        <v>1631.6791674047831</v>
      </c>
      <c r="P5" s="13" cm="1">
        <f t="array" aca="1" ref="P5" ca="1">-INDIRECT("'data'!$N$" &amp; $A$1)*parameters!$B$15</f>
        <v>-2993.0284075976588</v>
      </c>
      <c r="Q5" s="16">
        <f ca="1">SUM(L5:P5)</f>
        <v>2787.5831959025099</v>
      </c>
      <c r="R5" s="16">
        <f t="shared" ca="1" si="2"/>
        <v>2787.5831959025099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8248.66</v>
      </c>
      <c r="I6" s="14"/>
      <c r="J6" s="14"/>
      <c r="K6" s="13"/>
      <c r="L6" s="16">
        <f t="shared" ca="1" si="0"/>
        <v>8248.66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8248.66</v>
      </c>
      <c r="R6" s="16">
        <f t="shared" ca="1" si="2"/>
        <v>8248.66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2867.48</v>
      </c>
      <c r="I7" s="14"/>
      <c r="J7" s="14"/>
      <c r="K7" s="13"/>
      <c r="L7" s="16">
        <f t="shared" ca="1" si="0"/>
        <v>2867.48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2867.48</v>
      </c>
      <c r="R7" s="16">
        <f t="shared" ca="1" si="2"/>
        <v>2867.48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1227.2358475310198</v>
      </c>
      <c r="J8" s="14">
        <f ca="1">Q10/J18</f>
        <v>12046.864152468977</v>
      </c>
      <c r="K8" s="13"/>
      <c r="L8" s="16">
        <f t="shared" ca="1" si="0"/>
        <v>13274.099999999997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1061.3399999999999</v>
      </c>
      <c r="P8" s="13" cm="1">
        <f t="array" aca="1" ref="P8" ca="1">-INDIRECT("'data'!$S$" &amp; $A$1)*parameters!$B$15</f>
        <v>-3219.2999999999997</v>
      </c>
      <c r="Q8" s="16">
        <f ca="1">SUM(Q6:Q7)</f>
        <v>11116.14</v>
      </c>
      <c r="R8" s="16">
        <f t="shared" ca="1" si="2"/>
        <v>11116.139999999998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1610.1257519303929</v>
      </c>
      <c r="L9" s="16">
        <f t="shared" ca="1" si="0"/>
        <v>1610.1257519303929</v>
      </c>
      <c r="M9" s="16"/>
      <c r="N9" s="16">
        <f t="shared" ca="1" si="3"/>
        <v>0</v>
      </c>
      <c r="O9" s="11" cm="1">
        <f t="array" aca="1" ref="O9" ca="1">INDIRECT("'data'!$U$" &amp; $A$1)*parameters!$B$15</f>
        <v>1593.7995319812792</v>
      </c>
      <c r="P9" s="13" cm="1">
        <f t="array" aca="1" ref="P9" ca="1">-INDIRECT("'data'!$V$" &amp; $A$1)*parameters!$B$15</f>
        <v>-2013.225283911672</v>
      </c>
      <c r="Q9" s="16" cm="1">
        <f t="array" aca="1" ref="Q9" ca="1">INDIRECT("'data'!$T$" &amp; $A$1)*parameters!$B$15</f>
        <v>1190.7</v>
      </c>
      <c r="R9" s="16">
        <f t="shared" ca="1" si="2"/>
        <v>1190.7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2731.5669742880182</v>
      </c>
      <c r="L10" s="16">
        <f t="shared" ca="1" si="0"/>
        <v>2731.5669742880182</v>
      </c>
      <c r="M10" s="16"/>
      <c r="N10" s="16">
        <f t="shared" ca="1" si="3"/>
        <v>0</v>
      </c>
      <c r="O10" s="11" cm="1">
        <f t="array" aca="1" ref="O10" ca="1">INDIRECT("'data'!$X$" &amp; $A$1)*parameters!$B$15</f>
        <v>13066.92235465888</v>
      </c>
      <c r="P10" s="13" cm="1">
        <f t="array" aca="1" ref="P10" ca="1">-INDIRECT("'data'!$Y$" &amp; $A$1)*parameters!$B$15</f>
        <v>-4110.270495376486</v>
      </c>
      <c r="Q10" s="16" cm="1">
        <f t="array" aca="1" ref="Q10" ca="1">INDIRECT("'data'!$W$" &amp; $A$1)*parameters!$B$15</f>
        <v>11688.218833570412</v>
      </c>
      <c r="R10" s="16">
        <f t="shared" ca="1" si="2"/>
        <v>11688.218833570412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3719.5858047022648</v>
      </c>
      <c r="N11" s="19"/>
      <c r="O11" s="21" cm="1">
        <f t="array" aca="1" ref="O11" ca="1">INDIRECT("'data'!$Z$" &amp; $A$1)*parameters!$B$15</f>
        <v>5791.8</v>
      </c>
      <c r="P11" s="27" cm="1">
        <f t="array" aca="1" ref="P11" ca="1">-INDIRECT("'data'!$AA$" &amp; $A$1)*parameters!$B$15</f>
        <v>-5648.72</v>
      </c>
      <c r="Q11" s="16">
        <f ca="1">K9*parameters!$B$10+K10*parameters!$B$11</f>
        <v>3862.6658047022647</v>
      </c>
      <c r="R11" s="16">
        <f t="shared" ref="R11:R17" ca="1" si="4">SUM(L11:P11)</f>
        <v>3862.6658047022656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-47.858063801952085</v>
      </c>
      <c r="D12" s="9">
        <f ca="1">-(D17-Q4)</f>
        <v>0</v>
      </c>
      <c r="E12" s="9">
        <f ca="1">-(E17-Q5)</f>
        <v>-344.53275454974846</v>
      </c>
      <c r="F12" s="9">
        <f ca="1">-(F17-Q6)</f>
        <v>-545.22059701492617</v>
      </c>
      <c r="G12" s="9">
        <f ca="1">-(G17-Q7)</f>
        <v>-128.84183908045998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-1066.4532544470867</v>
      </c>
      <c r="M12" s="17"/>
      <c r="N12" s="17"/>
      <c r="O12" s="10"/>
      <c r="P12" s="12"/>
      <c r="Q12" s="9">
        <f t="shared" ref="Q12:Q17" ca="1" si="6">SUM(L12:P12)</f>
        <v>-1066.4532544470867</v>
      </c>
      <c r="R12" s="17">
        <f t="shared" ca="1" si="4"/>
        <v>-1066.4532544470867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-36.535847531019726</v>
      </c>
      <c r="J13" s="14">
        <f ca="1">-(J17-Q10)</f>
        <v>-358.64531889856517</v>
      </c>
      <c r="K13" s="13">
        <f ca="1">-(K17-Q11)</f>
        <v>-479.0269215161461</v>
      </c>
      <c r="L13" s="14">
        <f t="shared" ca="1" si="5"/>
        <v>-874.20808794573099</v>
      </c>
      <c r="M13" s="16">
        <f ca="1">-E15</f>
        <v>-2257.9078625065276</v>
      </c>
      <c r="N13" s="16"/>
      <c r="O13" s="11"/>
      <c r="P13" s="13"/>
      <c r="Q13" s="14">
        <f t="shared" ca="1" si="6"/>
        <v>-3132.1159504522584</v>
      </c>
      <c r="R13" s="16">
        <f t="shared" ca="1" si="4"/>
        <v>-3132.1159504522584</v>
      </c>
    </row>
    <row r="14" spans="1:20">
      <c r="A14" s="18" t="s">
        <v>78</v>
      </c>
      <c r="B14" s="11"/>
      <c r="C14" s="14"/>
      <c r="D14" s="14"/>
      <c r="E14" s="14">
        <f ca="1">-(I13+J13)-K13</f>
        <v>874.20808794573099</v>
      </c>
      <c r="F14" s="14"/>
      <c r="G14" s="14"/>
      <c r="H14" s="14"/>
      <c r="I14" s="14"/>
      <c r="J14" s="14"/>
      <c r="K14" s="13"/>
      <c r="L14" s="14">
        <f t="shared" ca="1" si="5"/>
        <v>874.20808794573099</v>
      </c>
      <c r="M14" s="16"/>
      <c r="N14" s="16"/>
      <c r="O14" s="11"/>
      <c r="P14" s="13"/>
      <c r="Q14" s="14">
        <f t="shared" ca="1" si="6"/>
        <v>874.20808794573099</v>
      </c>
      <c r="R14" s="16">
        <f t="shared" ca="1" si="4"/>
        <v>874.20808794573099</v>
      </c>
    </row>
    <row r="15" spans="1:20">
      <c r="A15" s="18" t="s">
        <v>79</v>
      </c>
      <c r="B15" s="11"/>
      <c r="C15" s="14"/>
      <c r="D15" s="14"/>
      <c r="E15" s="14">
        <f ca="1">E17-E14</f>
        <v>2257.9078625065276</v>
      </c>
      <c r="F15" s="14"/>
      <c r="G15" s="14"/>
      <c r="H15" s="14"/>
      <c r="I15" s="14"/>
      <c r="J15" s="14"/>
      <c r="K15" s="13"/>
      <c r="L15" s="14">
        <f t="shared" ca="1" si="5"/>
        <v>2257.9078625065276</v>
      </c>
      <c r="M15" s="16"/>
      <c r="N15" s="16"/>
      <c r="O15" s="11"/>
      <c r="P15" s="13"/>
      <c r="Q15" s="14">
        <f t="shared" ca="1" si="6"/>
        <v>2257.9078625065276</v>
      </c>
      <c r="R15" s="16">
        <f t="shared" ca="1" si="4"/>
        <v>2257.9078625065276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7596.5180638019519</v>
      </c>
      <c r="D17" s="9">
        <f ca="1">SUM(D$2:D$11)</f>
        <v>0</v>
      </c>
      <c r="E17" s="9">
        <f ca="1">$Q$5/parameters!$B$4</f>
        <v>3132.1159504522584</v>
      </c>
      <c r="F17" s="9">
        <f t="shared" ref="F17:K17" ca="1" si="7">SUM(F$2:F$11)</f>
        <v>8793.880597014926</v>
      </c>
      <c r="G17" s="9">
        <f t="shared" ca="1" si="7"/>
        <v>2996.32183908046</v>
      </c>
      <c r="H17" s="9">
        <f t="shared" ca="1" si="7"/>
        <v>11116.14</v>
      </c>
      <c r="I17" s="9">
        <f t="shared" ca="1" si="7"/>
        <v>1227.2358475310198</v>
      </c>
      <c r="J17" s="9">
        <f t="shared" ca="1" si="7"/>
        <v>12046.864152468977</v>
      </c>
      <c r="K17" s="9">
        <f t="shared" ca="1" si="7"/>
        <v>4341.6927262184108</v>
      </c>
      <c r="L17" s="17">
        <f t="shared" ca="1" si="5"/>
        <v>51250.769176567999</v>
      </c>
      <c r="M17" s="17"/>
      <c r="N17" s="17"/>
      <c r="O17" s="9"/>
      <c r="P17" s="14"/>
      <c r="Q17" s="11">
        <f t="shared" ca="1" si="6"/>
        <v>51250.769176567999</v>
      </c>
      <c r="R17" s="17">
        <f t="shared" ca="1" si="4"/>
        <v>51250.769176567999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0.9702291555412732</v>
      </c>
      <c r="J18" s="39">
        <f ca="1">I18</f>
        <v>0.9702291555412732</v>
      </c>
      <c r="K18" s="40">
        <f ca="1">1-(-K13)/K17</f>
        <v>0.88966816591523834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8141.4360470967085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8141.4360470967085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-8141.4360470967085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7859.8925373134325</v>
      </c>
      <c r="G3" s="14">
        <f ca="1">Q3-O3-P3-F3</f>
        <v>348.3774626865661</v>
      </c>
      <c r="H3" s="14"/>
      <c r="I3" s="14"/>
      <c r="J3" s="14"/>
      <c r="K3" s="13"/>
      <c r="L3" s="16">
        <f t="shared" ca="1" si="0"/>
        <v>8208.2699999999986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-120.96</v>
      </c>
      <c r="Q3" s="16" cm="1">
        <f t="array" aca="1" ref="Q3" ca="1">INDIRECT("'data'!$G$" &amp; $A$1)*parameters!$B$13</f>
        <v>8090.1449999999995</v>
      </c>
      <c r="R3" s="16">
        <f t="shared" ref="R3:R10" ca="1" si="2">SUM(L3:P3)</f>
        <v>8090.1449999999977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Q6/parameters!$B$5*16%</f>
        <v>1497.1223880597015</v>
      </c>
      <c r="G5" s="14">
        <f ca="1">Q7/parameters!$B$7-(G3+G4)</f>
        <v>2427.777187261187</v>
      </c>
      <c r="H5" s="14"/>
      <c r="I5" s="14"/>
      <c r="J5" s="14"/>
      <c r="K5" s="13"/>
      <c r="L5" s="16">
        <f t="shared" ca="1" si="0"/>
        <v>3924.8995753208883</v>
      </c>
      <c r="M5" s="16"/>
      <c r="N5" s="16"/>
      <c r="O5" s="11" cm="1">
        <f t="array" aca="1" ref="O5" ca="1">INDIRECT("'data'!$M$" &amp; $A$1)*parameters!$B$15</f>
        <v>5443.9</v>
      </c>
      <c r="P5" s="13" cm="1">
        <f t="array" aca="1" ref="P5" ca="1">-INDIRECT("'data'!$N$" &amp; $A$1)*parameters!$B$15</f>
        <v>-115.64</v>
      </c>
      <c r="Q5" s="16">
        <f ca="1">SUM(L5:P5)</f>
        <v>9253.1595753208894</v>
      </c>
      <c r="R5" s="16">
        <f t="shared" ca="1" si="2"/>
        <v>9253.1595753208894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8776.8799999999992</v>
      </c>
      <c r="I6" s="14"/>
      <c r="J6" s="14"/>
      <c r="K6" s="13"/>
      <c r="L6" s="16">
        <f t="shared" ca="1" si="0"/>
        <v>8776.8799999999992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8776.8799999999992</v>
      </c>
      <c r="R6" s="16">
        <f t="shared" ca="1" si="2"/>
        <v>8776.8799999999992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2656.7799999999997</v>
      </c>
      <c r="I7" s="14"/>
      <c r="J7" s="14"/>
      <c r="K7" s="13"/>
      <c r="L7" s="16">
        <f t="shared" ca="1" si="0"/>
        <v>2656.7799999999997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2656.7799999999997</v>
      </c>
      <c r="R7" s="16">
        <f t="shared" ca="1" si="2"/>
        <v>2656.7799999999997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5813.0687190808285</v>
      </c>
      <c r="J8" s="14">
        <f ca="1">Q10/J18</f>
        <v>6495.7312809191708</v>
      </c>
      <c r="K8" s="13"/>
      <c r="L8" s="16">
        <f t="shared" ca="1" si="0"/>
        <v>12308.8</v>
      </c>
      <c r="M8" s="16"/>
      <c r="N8" s="16">
        <f t="shared" ca="1" si="3"/>
        <v>0</v>
      </c>
      <c r="O8" s="11" cm="1">
        <f t="array" aca="1" ref="O8" ca="1">INDIRECT("'data'!$R$" &amp; $A$1)*parameters!$B$15</f>
        <v>551.74</v>
      </c>
      <c r="P8" s="13" cm="1">
        <f t="array" aca="1" ref="P8" ca="1">-INDIRECT("'data'!$S$" &amp; $A$1)*parameters!$B$15</f>
        <v>-1426.8799999999999</v>
      </c>
      <c r="Q8" s="16">
        <f ca="1">SUM(Q6:Q7)</f>
        <v>11433.66</v>
      </c>
      <c r="R8" s="16">
        <f t="shared" ca="1" si="2"/>
        <v>11433.66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4377.66</v>
      </c>
      <c r="L9" s="16">
        <f t="shared" ca="1" si="0"/>
        <v>4377.66</v>
      </c>
      <c r="M9" s="16"/>
      <c r="N9" s="16">
        <f t="shared" ca="1" si="3"/>
        <v>0</v>
      </c>
      <c r="O9" s="11" cm="1">
        <f t="array" aca="1" ref="O9" ca="1">INDIRECT("'data'!$U$" &amp; $A$1)*parameters!$B$15</f>
        <v>2730.2799999999997</v>
      </c>
      <c r="P9" s="13" cm="1">
        <f t="array" aca="1" ref="P9" ca="1">-INDIRECT("'data'!$V$" &amp; $A$1)*parameters!$B$15</f>
        <v>-2121.6999999999998</v>
      </c>
      <c r="Q9" s="16" cm="1">
        <f t="array" aca="1" ref="Q9" ca="1">INDIRECT("'data'!$T$" &amp; $A$1)*parameters!$B$15</f>
        <v>4986.24</v>
      </c>
      <c r="R9" s="16">
        <f t="shared" ca="1" si="2"/>
        <v>4986.24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7625.8832432432428</v>
      </c>
      <c r="L10" s="16">
        <f t="shared" ca="1" si="0"/>
        <v>7625.8832432432428</v>
      </c>
      <c r="M10" s="16"/>
      <c r="N10" s="16">
        <f t="shared" ca="1" si="3"/>
        <v>0</v>
      </c>
      <c r="O10" s="11" cm="1">
        <f t="array" aca="1" ref="O10" ca="1">INDIRECT("'data'!$X$" &amp; $A$1)*parameters!$B$15</f>
        <v>2249.1</v>
      </c>
      <c r="P10" s="13" cm="1">
        <f t="array" aca="1" ref="P10" ca="1">-INDIRECT("'data'!$Y$" &amp; $A$1)*parameters!$B$15</f>
        <v>-4303.18</v>
      </c>
      <c r="Q10" s="16" cm="1">
        <f t="array" aca="1" ref="Q10" ca="1">INDIRECT("'data'!$W$" &amp; $A$1)*parameters!$B$15</f>
        <v>5571.8032432432428</v>
      </c>
      <c r="R10" s="16">
        <f t="shared" ca="1" si="2"/>
        <v>5571.8032432432428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14173.819989189187</v>
      </c>
      <c r="N11" s="19"/>
      <c r="O11" s="21" cm="1">
        <f t="array" aca="1" ref="O11" ca="1">INDIRECT("'data'!$Z$" &amp; $A$1)*parameters!$B$15</f>
        <v>5708.5</v>
      </c>
      <c r="P11" s="27" cm="1">
        <f t="array" aca="1" ref="P11" ca="1">-INDIRECT("'data'!$AA$" &amp; $A$1)*parameters!$B$15</f>
        <v>-9209.06</v>
      </c>
      <c r="Q11" s="16">
        <f ca="1">K9*parameters!$B$10+K10*parameters!$B$11</f>
        <v>10673.259989189188</v>
      </c>
      <c r="R11" s="16">
        <f t="shared" ref="R11:R17" ca="1" si="4">SUM(L11:P11)</f>
        <v>10673.259989189186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-51.291047096709008</v>
      </c>
      <c r="D12" s="9">
        <f ca="1">-(D17-Q4)</f>
        <v>0</v>
      </c>
      <c r="E12" s="9">
        <f ca="1">-(E17-Q5)</f>
        <v>-1143.6489362756147</v>
      </c>
      <c r="F12" s="9">
        <f ca="1">-(F17-Q6)</f>
        <v>-580.13492537313505</v>
      </c>
      <c r="G12" s="9">
        <f ca="1">-(G17-Q7)</f>
        <v>-119.37464994775337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-1894.4495586932121</v>
      </c>
      <c r="M12" s="17"/>
      <c r="N12" s="17"/>
      <c r="O12" s="10"/>
      <c r="P12" s="12"/>
      <c r="Q12" s="9">
        <f t="shared" ref="Q12:Q17" ca="1" si="6">SUM(L12:P12)</f>
        <v>-1894.4495586932121</v>
      </c>
      <c r="R12" s="17">
        <f t="shared" ca="1" si="4"/>
        <v>-1894.4495586932121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-826.82871908082871</v>
      </c>
      <c r="J13" s="14">
        <f ca="1">-(J17-Q10)</f>
        <v>-923.92803767592795</v>
      </c>
      <c r="K13" s="13">
        <f ca="1">-(K17-Q11)</f>
        <v>-1330.2832540540549</v>
      </c>
      <c r="L13" s="14">
        <f t="shared" ca="1" si="5"/>
        <v>-3081.0400108108115</v>
      </c>
      <c r="M13" s="16">
        <f ca="1">-E15</f>
        <v>-7315.7685007856926</v>
      </c>
      <c r="N13" s="16"/>
      <c r="O13" s="11"/>
      <c r="P13" s="13"/>
      <c r="Q13" s="14">
        <f t="shared" ca="1" si="6"/>
        <v>-10396.808511596504</v>
      </c>
      <c r="R13" s="16">
        <f t="shared" ca="1" si="4"/>
        <v>-10396.808511596504</v>
      </c>
    </row>
    <row r="14" spans="1:20">
      <c r="A14" s="18" t="s">
        <v>78</v>
      </c>
      <c r="B14" s="11"/>
      <c r="C14" s="14"/>
      <c r="D14" s="14"/>
      <c r="E14" s="14">
        <f ca="1">-(I13+J13)-K13</f>
        <v>3081.0400108108115</v>
      </c>
      <c r="F14" s="14"/>
      <c r="G14" s="14"/>
      <c r="H14" s="14"/>
      <c r="I14" s="14"/>
      <c r="J14" s="14"/>
      <c r="K14" s="13"/>
      <c r="L14" s="14">
        <f t="shared" ca="1" si="5"/>
        <v>3081.0400108108115</v>
      </c>
      <c r="M14" s="16"/>
      <c r="N14" s="16"/>
      <c r="O14" s="11"/>
      <c r="P14" s="13"/>
      <c r="Q14" s="14">
        <f t="shared" ca="1" si="6"/>
        <v>3081.0400108108115</v>
      </c>
      <c r="R14" s="16">
        <f t="shared" ca="1" si="4"/>
        <v>3081.0400108108115</v>
      </c>
    </row>
    <row r="15" spans="1:20">
      <c r="A15" s="18" t="s">
        <v>79</v>
      </c>
      <c r="B15" s="11"/>
      <c r="C15" s="14"/>
      <c r="D15" s="14"/>
      <c r="E15" s="14">
        <f ca="1">E17-E14</f>
        <v>7315.7685007856926</v>
      </c>
      <c r="F15" s="14"/>
      <c r="G15" s="14"/>
      <c r="H15" s="14"/>
      <c r="I15" s="14"/>
      <c r="J15" s="14"/>
      <c r="K15" s="13"/>
      <c r="L15" s="14">
        <f t="shared" ca="1" si="5"/>
        <v>7315.7685007856926</v>
      </c>
      <c r="M15" s="16"/>
      <c r="N15" s="16"/>
      <c r="O15" s="11"/>
      <c r="P15" s="13"/>
      <c r="Q15" s="14">
        <f t="shared" ca="1" si="6"/>
        <v>7315.7685007856926</v>
      </c>
      <c r="R15" s="16">
        <f t="shared" ca="1" si="4"/>
        <v>7315.7685007856926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8141.4360470967085</v>
      </c>
      <c r="D17" s="9">
        <f ca="1">SUM(D$2:D$11)</f>
        <v>0</v>
      </c>
      <c r="E17" s="9">
        <f ca="1">$Q$5/parameters!$B$4</f>
        <v>10396.808511596504</v>
      </c>
      <c r="F17" s="9">
        <f t="shared" ref="F17:K17" ca="1" si="7">SUM(F$2:F$11)</f>
        <v>9357.0149253731342</v>
      </c>
      <c r="G17" s="9">
        <f t="shared" ca="1" si="7"/>
        <v>2776.1546499477531</v>
      </c>
      <c r="H17" s="9">
        <f t="shared" ca="1" si="7"/>
        <v>11433.66</v>
      </c>
      <c r="I17" s="9">
        <f t="shared" ca="1" si="7"/>
        <v>5813.0687190808285</v>
      </c>
      <c r="J17" s="9">
        <f t="shared" ca="1" si="7"/>
        <v>6495.7312809191708</v>
      </c>
      <c r="K17" s="9">
        <f t="shared" ca="1" si="7"/>
        <v>12003.543243243243</v>
      </c>
      <c r="L17" s="17">
        <f t="shared" ca="1" si="5"/>
        <v>66417.417377257341</v>
      </c>
      <c r="M17" s="17"/>
      <c r="N17" s="17"/>
      <c r="O17" s="9"/>
      <c r="P17" s="14"/>
      <c r="Q17" s="11">
        <f t="shared" ca="1" si="6"/>
        <v>66417.417377257341</v>
      </c>
      <c r="R17" s="17">
        <f t="shared" ca="1" si="4"/>
        <v>66417.417377257341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0.85776381477018415</v>
      </c>
      <c r="J18" s="39">
        <f ca="1">I18</f>
        <v>0.85776381477018415</v>
      </c>
      <c r="K18" s="40">
        <f ca="1">1-(-K13)/K17</f>
        <v>0.88917578525800145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5103.9700110697386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5103.9700110697386</v>
      </c>
      <c r="M2" s="17"/>
      <c r="N2" s="17">
        <f ca="1">Q2-(L2+O2+P2)</f>
        <v>0</v>
      </c>
      <c r="O2" s="11" cm="1">
        <f t="array" aca="1" ref="O2" ca="1">INDIRECT("'data'!$F$" &amp; $A$1)</f>
        <v>26.650000000000002</v>
      </c>
      <c r="P2" s="13">
        <f ca="1">IF(-(L2-Q2+O2)&lt;0, -(L2-Q2+O2), 0)</f>
        <v>-5130.6200110697382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5199.5164179104477</v>
      </c>
      <c r="G3" s="14">
        <f ca="1">Q3-O3-P3-F3</f>
        <v>3.6535820895514917</v>
      </c>
      <c r="H3" s="14"/>
      <c r="I3" s="14"/>
      <c r="J3" s="14"/>
      <c r="K3" s="13"/>
      <c r="L3" s="16">
        <f t="shared" ca="1" si="0"/>
        <v>5203.1699999999992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-136.07999999999998</v>
      </c>
      <c r="Q3" s="16" cm="1">
        <f t="array" aca="1" ref="Q3" ca="1">INDIRECT("'data'!$G$" &amp; $A$1)*parameters!$B$13</f>
        <v>5071.8149999999996</v>
      </c>
      <c r="R3" s="16">
        <f t="shared" ref="R3:R10" ca="1" si="2">SUM(L3:P3)</f>
        <v>5071.8149999999996</v>
      </c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 ht="17">
      <c r="A5" s="15" t="s">
        <v>108</v>
      </c>
      <c r="B5" s="11"/>
      <c r="C5" s="14"/>
      <c r="D5" s="14"/>
      <c r="E5" s="14"/>
      <c r="F5" s="14">
        <f ca="1">Q6/parameters!$B$5*17%</f>
        <v>1064.9611940298507</v>
      </c>
      <c r="G5" s="14">
        <f ca="1">Q7/parameters!$B$7-(G3+G4)</f>
        <v>121.27849732528655</v>
      </c>
      <c r="H5" s="14"/>
      <c r="I5" s="14"/>
      <c r="J5" s="14"/>
      <c r="K5" s="13"/>
      <c r="L5" s="16">
        <f t="shared" ca="1" si="0"/>
        <v>1186.2396913551372</v>
      </c>
      <c r="M5" s="16"/>
      <c r="N5" s="16"/>
      <c r="O5" s="11" cm="1">
        <f t="array" aca="1" ref="O5" ca="1">INDIRECT("'data'!$M$" &amp; $A$1)*parameters!$B$15</f>
        <v>3002.72</v>
      </c>
      <c r="P5" s="13" cm="1">
        <f t="array" aca="1" ref="P5" ca="1">-INDIRECT("'data'!$N$" &amp; $A$1)*parameters!$B$15</f>
        <v>-1351.42</v>
      </c>
      <c r="Q5" s="16">
        <f ca="1">SUM(L5:P5)</f>
        <v>2837.5396913551367</v>
      </c>
      <c r="R5" s="16">
        <f t="shared" ca="1" si="2"/>
        <v>2837.5396913551367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5876.08</v>
      </c>
      <c r="I6" s="14"/>
      <c r="J6" s="14"/>
      <c r="K6" s="13"/>
      <c r="L6" s="16">
        <f t="shared" ca="1" si="0"/>
        <v>5876.08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5876.08</v>
      </c>
      <c r="R6" s="16">
        <f t="shared" ca="1" si="2"/>
        <v>5876.08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119.56</v>
      </c>
      <c r="I7" s="14"/>
      <c r="J7" s="14"/>
      <c r="K7" s="13"/>
      <c r="L7" s="16">
        <f t="shared" ca="1" si="0"/>
        <v>119.56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119.56</v>
      </c>
      <c r="R7" s="16">
        <f t="shared" ca="1" si="2"/>
        <v>119.56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177.64654393057552</v>
      </c>
      <c r="J8" s="14">
        <f ca="1">Q10/J18</f>
        <v>5389.7334560694244</v>
      </c>
      <c r="K8" s="13"/>
      <c r="L8" s="16">
        <f t="shared" ca="1" si="0"/>
        <v>5567.38</v>
      </c>
      <c r="M8" s="16"/>
      <c r="N8" s="16">
        <f t="shared" ca="1" si="3"/>
        <v>0</v>
      </c>
      <c r="O8" s="11" cm="1">
        <f t="array" aca="1" ref="O8" ca="1">INDIRECT("'data'!$R$" &amp; $A$1)*parameters!$B$15</f>
        <v>528.22</v>
      </c>
      <c r="P8" s="13" cm="1">
        <f t="array" aca="1" ref="P8" ca="1">-INDIRECT("'data'!$S$" &amp; $A$1)*parameters!$B$15</f>
        <v>-99.96</v>
      </c>
      <c r="Q8" s="16">
        <f ca="1">SUM(Q6:Q7)</f>
        <v>5995.64</v>
      </c>
      <c r="R8" s="16">
        <f t="shared" ca="1" si="2"/>
        <v>5995.64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1666.98</v>
      </c>
      <c r="L9" s="16">
        <f t="shared" ca="1" si="0"/>
        <v>1666.98</v>
      </c>
      <c r="M9" s="16"/>
      <c r="N9" s="16">
        <f t="shared" ca="1" si="3"/>
        <v>0</v>
      </c>
      <c r="O9" s="11" cm="1">
        <f t="array" aca="1" ref="O9" ca="1">INDIRECT("'data'!$U$" &amp; $A$1)*parameters!$B$15</f>
        <v>630.14</v>
      </c>
      <c r="P9" s="13" cm="1">
        <f t="array" aca="1" ref="P9" ca="1">-INDIRECT("'data'!$V$" &amp; $A$1)*parameters!$B$15</f>
        <v>-2129.54</v>
      </c>
      <c r="Q9" s="16" cm="1">
        <f t="array" aca="1" ref="Q9" ca="1">INDIRECT("'data'!$T$" &amp; $A$1)*parameters!$B$15</f>
        <v>167.57999999999998</v>
      </c>
      <c r="R9" s="16">
        <f t="shared" ca="1" si="2"/>
        <v>167.57999999999993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2342.2780654338549</v>
      </c>
      <c r="L10" s="16">
        <f t="shared" ca="1" si="0"/>
        <v>2342.2780654338549</v>
      </c>
      <c r="M10" s="16"/>
      <c r="N10" s="16">
        <f t="shared" ca="1" si="3"/>
        <v>0</v>
      </c>
      <c r="O10" s="11" cm="1">
        <f t="array" aca="1" ref="O10" ca="1">INDIRECT("'data'!$X$" &amp; $A$1)*parameters!$B$15</f>
        <v>5337.08</v>
      </c>
      <c r="P10" s="13" cm="1">
        <f t="array" aca="1" ref="P10" ca="1">-INDIRECT("'data'!$Y$" &amp; $A$1)*parameters!$B$15</f>
        <v>-2595.04</v>
      </c>
      <c r="Q10" s="16" cm="1">
        <f t="array" aca="1" ref="Q10" ca="1">INDIRECT("'data'!$W$" &amp; $A$1)*parameters!$B$15</f>
        <v>5084.3180654338548</v>
      </c>
      <c r="R10" s="16">
        <f t="shared" ca="1" si="2"/>
        <v>5084.3180654338548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3727.3403362731151</v>
      </c>
      <c r="N11" s="19"/>
      <c r="O11" s="21" cm="1">
        <f t="array" aca="1" ref="O11" ca="1">INDIRECT("'data'!$Z$" &amp; $A$1)*parameters!$B$15</f>
        <v>3635.7999999999997</v>
      </c>
      <c r="P11" s="27" cm="1">
        <f t="array" aca="1" ref="P11" ca="1">-INDIRECT("'data'!$AA$" &amp; $A$1)*parameters!$B$15</f>
        <v>-3781.8199999999997</v>
      </c>
      <c r="Q11" s="16">
        <f ca="1">K9*parameters!$B$10+K10*parameters!$B$11</f>
        <v>3581.3203362731151</v>
      </c>
      <c r="R11" s="16">
        <f t="shared" ref="R11:R17" ca="1" si="4">SUM(L11:P11)</f>
        <v>3581.3203362731147</v>
      </c>
    </row>
    <row r="12" spans="1:19">
      <c r="A12" s="29" t="s">
        <v>86</v>
      </c>
      <c r="B12" s="10">
        <f ca="1">-(B17-Q2)</f>
        <v>0</v>
      </c>
      <c r="C12" s="9">
        <f ca="1">-(C17-Q3)</f>
        <v>-32.155011069738975</v>
      </c>
      <c r="D12" s="9">
        <f ca="1">-(D17-Q4)</f>
        <v>0</v>
      </c>
      <c r="E12" s="9">
        <f ca="1">-(E17-Q5)</f>
        <v>-350.70715286411814</v>
      </c>
      <c r="F12" s="9">
        <f ca="1">-(F17-Q6)</f>
        <v>-388.3976119402987</v>
      </c>
      <c r="G12" s="9">
        <f ca="1">-(G17-Q7)</f>
        <v>-5.3720794148380406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-776.63185528899385</v>
      </c>
      <c r="M12" s="17"/>
      <c r="N12" s="17"/>
      <c r="O12" s="10"/>
      <c r="P12" s="12"/>
      <c r="Q12" s="9">
        <f t="shared" ref="Q12:Q17" ca="1" si="6">SUM(L12:P12)</f>
        <v>-776.63185528899385</v>
      </c>
      <c r="R12" s="17">
        <f t="shared" ca="1" si="4"/>
        <v>-776.63185528899385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-10.066543930575534</v>
      </c>
      <c r="J13" s="14">
        <f ca="1">-(J17-Q10)</f>
        <v>-305.41539063556957</v>
      </c>
      <c r="K13" s="13">
        <f ca="1">-(K17-Q11)</f>
        <v>-427.93772916073976</v>
      </c>
      <c r="L13" s="14">
        <f t="shared" ca="1" si="5"/>
        <v>-743.41966372688489</v>
      </c>
      <c r="M13" s="16">
        <f ca="1">-E15</f>
        <v>-2444.8271804923697</v>
      </c>
      <c r="N13" s="16"/>
      <c r="O13" s="11"/>
      <c r="P13" s="13"/>
      <c r="Q13" s="14">
        <f t="shared" ca="1" si="6"/>
        <v>-3188.2468442192549</v>
      </c>
      <c r="R13" s="16">
        <f t="shared" ca="1" si="4"/>
        <v>-3188.2468442192549</v>
      </c>
    </row>
    <row r="14" spans="1:19">
      <c r="A14" s="18" t="s">
        <v>78</v>
      </c>
      <c r="B14" s="11"/>
      <c r="C14" s="14"/>
      <c r="D14" s="14"/>
      <c r="E14" s="14">
        <f ca="1">-(I13+J13)-K13</f>
        <v>743.41966372688489</v>
      </c>
      <c r="F14" s="14"/>
      <c r="G14" s="14"/>
      <c r="H14" s="14"/>
      <c r="I14" s="14"/>
      <c r="J14" s="14"/>
      <c r="K14" s="13"/>
      <c r="L14" s="14">
        <f t="shared" ca="1" si="5"/>
        <v>743.41966372688489</v>
      </c>
      <c r="M14" s="16"/>
      <c r="N14" s="16"/>
      <c r="O14" s="11"/>
      <c r="P14" s="13"/>
      <c r="Q14" s="14">
        <f t="shared" ca="1" si="6"/>
        <v>743.41966372688489</v>
      </c>
      <c r="R14" s="16">
        <f t="shared" ca="1" si="4"/>
        <v>743.41966372688489</v>
      </c>
    </row>
    <row r="15" spans="1:19">
      <c r="A15" s="18" t="s">
        <v>79</v>
      </c>
      <c r="B15" s="11"/>
      <c r="C15" s="14"/>
      <c r="D15" s="14"/>
      <c r="E15" s="14">
        <f ca="1">E17-E14</f>
        <v>2444.8271804923697</v>
      </c>
      <c r="F15" s="14"/>
      <c r="G15" s="14"/>
      <c r="H15" s="14"/>
      <c r="I15" s="14"/>
      <c r="J15" s="14"/>
      <c r="K15" s="13"/>
      <c r="L15" s="14">
        <f t="shared" ca="1" si="5"/>
        <v>2444.8271804923697</v>
      </c>
      <c r="M15" s="16"/>
      <c r="N15" s="16"/>
      <c r="O15" s="11"/>
      <c r="P15" s="13"/>
      <c r="Q15" s="14">
        <f t="shared" ca="1" si="6"/>
        <v>2444.8271804923697</v>
      </c>
      <c r="R15" s="16">
        <f t="shared" ca="1" si="4"/>
        <v>2444.8271804923697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5103.9700110697386</v>
      </c>
      <c r="D17" s="9">
        <f ca="1">SUM(D$2:D$11)</f>
        <v>0</v>
      </c>
      <c r="E17" s="9">
        <f ca="1">$Q$5/parameters!$B$4</f>
        <v>3188.2468442192549</v>
      </c>
      <c r="F17" s="9">
        <f t="shared" ref="F17:K17" ca="1" si="7">SUM(F$2:F$11)</f>
        <v>6264.4776119402986</v>
      </c>
      <c r="G17" s="9">
        <f t="shared" ca="1" si="7"/>
        <v>124.93207941483804</v>
      </c>
      <c r="H17" s="9">
        <f t="shared" ca="1" si="7"/>
        <v>5995.64</v>
      </c>
      <c r="I17" s="9">
        <f t="shared" ca="1" si="7"/>
        <v>177.64654393057552</v>
      </c>
      <c r="J17" s="9">
        <f t="shared" ca="1" si="7"/>
        <v>5389.7334560694244</v>
      </c>
      <c r="K17" s="9">
        <f t="shared" ca="1" si="7"/>
        <v>4009.2580654338549</v>
      </c>
      <c r="L17" s="17">
        <f t="shared" ca="1" si="5"/>
        <v>30253.904612077989</v>
      </c>
      <c r="M17" s="17"/>
      <c r="N17" s="17"/>
      <c r="O17" s="9"/>
      <c r="P17" s="14"/>
      <c r="Q17" s="11">
        <f t="shared" ca="1" si="6"/>
        <v>30253.904612077989</v>
      </c>
      <c r="R17" s="17">
        <f t="shared" ca="1" si="4"/>
        <v>30253.904612077989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0.94333385999049013</v>
      </c>
      <c r="J18" s="39">
        <f ca="1">I18</f>
        <v>0.94333385999049013</v>
      </c>
      <c r="K18" s="40">
        <f ca="1">1-(-K13)/K17</f>
        <v>0.89326261313776734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5806.7525410083526</v>
      </c>
      <c r="D2" s="9">
        <f ca="1">Q4/parameters!$B$3</f>
        <v>944.3494012277348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6751.1019422360878</v>
      </c>
      <c r="M2" s="17"/>
      <c r="N2" s="17">
        <f ca="1">Q2-(L2+O2+P2)</f>
        <v>0</v>
      </c>
      <c r="O2" s="11" cm="1">
        <f t="array" aca="1" ref="O2" ca="1">INDIRECT("'data'!$F$" &amp; $A$1)</f>
        <v>107628.95</v>
      </c>
      <c r="P2" s="13">
        <f ca="1">IF(-(L2-Q2+O2)&lt;0, -(L2-Q2+O2), 0)</f>
        <v>-832.05194223608123</v>
      </c>
      <c r="Q2" s="17" cm="1">
        <f t="array" aca="1" ref="Q2" ca="1">INDIRECT("'data'!$D$" &amp; $A$1)</f>
        <v>113548</v>
      </c>
      <c r="R2" s="17">
        <f ca="1">SUM(L2:P2)</f>
        <v>113548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5145.313432835821</v>
      </c>
      <c r="G3" s="14">
        <f ca="1">Q3-O3-P3-F3</f>
        <v>634.30656716417889</v>
      </c>
      <c r="H3" s="14"/>
      <c r="I3" s="14"/>
      <c r="J3" s="14"/>
      <c r="K3" s="13"/>
      <c r="L3" s="16">
        <f t="shared" ca="1" si="0"/>
        <v>5779.62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-9.4499999999999993</v>
      </c>
      <c r="Q3" s="16" cm="1">
        <f t="array" aca="1" ref="Q3" ca="1">INDIRECT("'data'!$G$" &amp; $A$1)*parameters!$B$13</f>
        <v>5770.17</v>
      </c>
      <c r="R3" s="16">
        <f t="shared" ref="R3:R10" ca="1" si="2">SUM(L3:P3)</f>
        <v>5770.17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Q7/[2]parameters!$B$7-G3-G5</f>
        <v>596.09871313853455</v>
      </c>
      <c r="H4" s="14"/>
      <c r="I4" s="14"/>
      <c r="J4" s="14"/>
      <c r="K4" s="13"/>
      <c r="L4" s="16">
        <f t="shared" ca="1" si="0"/>
        <v>596.09871313853455</v>
      </c>
      <c r="M4" s="16"/>
      <c r="N4" s="16">
        <f t="shared" ca="1" si="1"/>
        <v>342.30128686146554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938.40000000000009</v>
      </c>
      <c r="R4" s="16">
        <f t="shared" ca="1" si="2"/>
        <v>938.40000000000009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1286.3283582089553</v>
      </c>
      <c r="G5" s="38">
        <f ca="1">E14*[2]parameters!$B$4-O5-P5-F5</f>
        <v>173.54456295747468</v>
      </c>
      <c r="H5" s="14"/>
      <c r="I5" s="14"/>
      <c r="J5" s="14"/>
      <c r="K5" s="13"/>
      <c r="L5" s="16">
        <f t="shared" ca="1" si="0"/>
        <v>1459.8729211664299</v>
      </c>
      <c r="M5" s="16"/>
      <c r="N5" s="16"/>
      <c r="O5" s="11" cm="1">
        <f t="array" aca="1" ref="O5" ca="1">INDIRECT("'data'!$M$" &amp; $A$1)*parameters!$B$15</f>
        <v>660.52</v>
      </c>
      <c r="P5" s="13" cm="1">
        <f t="array" aca="1" ref="P5" ca="1">-INDIRECT("'data'!$N$" &amp; $A$1)*parameters!$B$15</f>
        <v>-5.88</v>
      </c>
      <c r="Q5" s="16">
        <f ca="1">SUM(L5:P5)</f>
        <v>2114.5129211664298</v>
      </c>
      <c r="R5" s="16">
        <f t="shared" ca="1" si="2"/>
        <v>2114.5129211664298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6032.88</v>
      </c>
      <c r="I6" s="14"/>
      <c r="J6" s="14"/>
      <c r="K6" s="13"/>
      <c r="L6" s="16">
        <f t="shared" ca="1" si="0"/>
        <v>6032.88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6032.88</v>
      </c>
      <c r="R6" s="16">
        <f t="shared" ca="1" si="2"/>
        <v>6032.88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1343.58</v>
      </c>
      <c r="I7" s="14"/>
      <c r="J7" s="14"/>
      <c r="K7" s="13"/>
      <c r="L7" s="16">
        <f t="shared" ca="1" si="0"/>
        <v>1343.58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1343.58</v>
      </c>
      <c r="R7" s="16">
        <f t="shared" ca="1" si="2"/>
        <v>1343.58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2524.8422421278065</v>
      </c>
      <c r="J8" s="14">
        <f ca="1">Q10/J18</f>
        <v>4862.3977578721942</v>
      </c>
      <c r="K8" s="13"/>
      <c r="L8" s="16">
        <f t="shared" ca="1" si="0"/>
        <v>7387.2400000000007</v>
      </c>
      <c r="M8" s="16"/>
      <c r="N8" s="16">
        <f t="shared" ca="1" si="3"/>
        <v>0</v>
      </c>
      <c r="O8" s="11" cm="1">
        <f t="array" aca="1" ref="O8" ca="1">INDIRECT("'data'!$R$" &amp; $A$1)*parameters!$B$15</f>
        <v>0.98</v>
      </c>
      <c r="P8" s="13" cm="1">
        <f t="array" aca="1" ref="P8" ca="1">-INDIRECT("'data'!$S$" &amp; $A$1)*parameters!$B$15</f>
        <v>-11.76</v>
      </c>
      <c r="Q8" s="16">
        <f ca="1">SUM(Q6:Q7)</f>
        <v>7376.46</v>
      </c>
      <c r="R8" s="16">
        <f t="shared" ca="1" si="2"/>
        <v>7376.46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2166.7799999999997</v>
      </c>
      <c r="L9" s="16">
        <f t="shared" ca="1" si="0"/>
        <v>2166.7799999999997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188.16</v>
      </c>
      <c r="P9" s="13" cm="1">
        <f t="array" aca="1" ref="P9" ca="1">-INDIRECT("'data'!$V$" &amp; $A$1)*parameters!$B$15</f>
        <v>-426.3</v>
      </c>
      <c r="Q9" s="16" cm="1">
        <f t="array" aca="1" ref="Q9" ca="1">INDIRECT("'data'!$T$" &amp; $A$1)*parameters!$B$15</f>
        <v>1928.6399999999999</v>
      </c>
      <c r="R9" s="16">
        <f t="shared" ca="1" si="2"/>
        <v>1928.6399999999996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3581.9181223328592</v>
      </c>
      <c r="L10" s="16">
        <f t="shared" ca="1" si="0"/>
        <v>3581.9181223328592</v>
      </c>
      <c r="M10" s="16"/>
      <c r="N10" s="16">
        <f t="shared" ca="1" si="3"/>
        <v>0</v>
      </c>
      <c r="O10" s="11" cm="1">
        <f t="array" aca="1" ref="O10" ca="1">INDIRECT("'data'!$X$" &amp; $A$1)*parameters!$B$15</f>
        <v>718.34</v>
      </c>
      <c r="P10" s="13" cm="1">
        <f t="array" aca="1" ref="P10" ca="1">-INDIRECT("'data'!$Y$" &amp; $A$1)*parameters!$B$15</f>
        <v>-586.04</v>
      </c>
      <c r="Q10" s="16" cm="1">
        <f t="array" aca="1" ref="Q10" ca="1">INDIRECT("'data'!$W$" &amp; $A$1)*parameters!$B$15</f>
        <v>3714.2181223328594</v>
      </c>
      <c r="R10" s="16">
        <f t="shared" ca="1" si="2"/>
        <v>3714.2181223328589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6508.8227852062591</v>
      </c>
      <c r="N11" s="19"/>
      <c r="O11" s="21" cm="1">
        <f t="array" aca="1" ref="O11" ca="1">INDIRECT("'data'!$Z$" &amp; $A$1)*parameters!$B$15</f>
        <v>633.08000000000004</v>
      </c>
      <c r="P11" s="27" cm="1">
        <f t="array" aca="1" ref="P11" ca="1">-INDIRECT("'data'!$AA$" &amp; $A$1)*parameters!$B$15</f>
        <v>-2024.68</v>
      </c>
      <c r="Q11" s="16">
        <f ca="1">K9*parameters!$B$10+K10*parameters!$B$11</f>
        <v>5117.2227852062588</v>
      </c>
      <c r="R11" s="16">
        <f t="shared" ref="R11:R17" ca="1" si="4">SUM(L11:P11)</f>
        <v>5117.2227852062588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-36.582541008352564</v>
      </c>
      <c r="D12" s="9">
        <f ca="1">-(D17-Q4)</f>
        <v>-5.949401227734711</v>
      </c>
      <c r="E12" s="9">
        <f ca="1">-(E17-Q5)</f>
        <v>-261.34429362731134</v>
      </c>
      <c r="F12" s="9">
        <f ca="1">-(F17-Q6)</f>
        <v>-398.76179104477615</v>
      </c>
      <c r="G12" s="9">
        <f ca="1">-(G17-Q7)</f>
        <v>-60.36984326018819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-763.00787016836296</v>
      </c>
      <c r="M12" s="17"/>
      <c r="N12" s="17"/>
      <c r="O12" s="10"/>
      <c r="P12" s="12"/>
      <c r="Q12" s="9">
        <f t="shared" ref="Q12:Q17" ca="1" si="6">SUM(L12:P12)</f>
        <v>-763.00787016836296</v>
      </c>
      <c r="R12" s="17">
        <f t="shared" ca="1" si="4"/>
        <v>-763.00787016836296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-596.20224212780658</v>
      </c>
      <c r="J13" s="14">
        <f ca="1">-(J17-Q10)</f>
        <v>-1148.1796355393349</v>
      </c>
      <c r="K13" s="13">
        <f ca="1">-(K17-Q11)</f>
        <v>-631.4753371265997</v>
      </c>
      <c r="L13" s="14">
        <f t="shared" ca="1" si="5"/>
        <v>-2375.8572147937412</v>
      </c>
      <c r="M13" s="16">
        <f ca="1">-E15</f>
        <v>0</v>
      </c>
      <c r="N13" s="16"/>
      <c r="O13" s="11"/>
      <c r="P13" s="13"/>
      <c r="Q13" s="14">
        <f t="shared" ca="1" si="6"/>
        <v>-2375.8572147937412</v>
      </c>
      <c r="R13" s="16">
        <f t="shared" ca="1" si="4"/>
        <v>-2375.8572147937412</v>
      </c>
    </row>
    <row r="14" spans="1:19">
      <c r="A14" s="18" t="s">
        <v>78</v>
      </c>
      <c r="B14" s="11"/>
      <c r="C14" s="14"/>
      <c r="D14" s="14"/>
      <c r="E14" s="14">
        <f ca="1">-(I13+J13)-K13</f>
        <v>2375.8572147937412</v>
      </c>
      <c r="F14" s="14"/>
      <c r="G14" s="14"/>
      <c r="H14" s="14"/>
      <c r="I14" s="14"/>
      <c r="J14" s="14"/>
      <c r="K14" s="13"/>
      <c r="L14" s="14">
        <f t="shared" ca="1" si="5"/>
        <v>2375.8572147937412</v>
      </c>
      <c r="M14" s="16"/>
      <c r="N14" s="16"/>
      <c r="O14" s="11"/>
      <c r="P14" s="13"/>
      <c r="Q14" s="14">
        <f t="shared" ca="1" si="6"/>
        <v>2375.8572147937412</v>
      </c>
      <c r="R14" s="16">
        <f t="shared" ca="1" si="4"/>
        <v>2375.8572147937412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113548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113548</v>
      </c>
      <c r="M16" s="19"/>
      <c r="N16" s="19"/>
      <c r="O16" s="21"/>
      <c r="P16" s="27"/>
      <c r="Q16" s="22">
        <f t="shared" ca="1" si="6"/>
        <v>113548</v>
      </c>
      <c r="R16" s="19">
        <f t="shared" ca="1" si="4"/>
        <v>113548</v>
      </c>
    </row>
    <row r="17" spans="1:18">
      <c r="A17" s="29" t="s">
        <v>88</v>
      </c>
      <c r="B17" s="9">
        <f ca="1">B16</f>
        <v>113548</v>
      </c>
      <c r="C17" s="9">
        <f ca="1">SUM(C$2:C$11)</f>
        <v>5806.7525410083526</v>
      </c>
      <c r="D17" s="9">
        <f ca="1">SUM(D$2:D$11)</f>
        <v>944.3494012277348</v>
      </c>
      <c r="E17" s="9">
        <f ca="1">$Q$5/parameters!$B$4</f>
        <v>2375.8572147937412</v>
      </c>
      <c r="F17" s="9">
        <f t="shared" ref="F17:K17" ca="1" si="7">SUM(F$2:F$11)</f>
        <v>6431.6417910447763</v>
      </c>
      <c r="G17" s="9">
        <f t="shared" ca="1" si="7"/>
        <v>1403.9498432601881</v>
      </c>
      <c r="H17" s="9">
        <f t="shared" ca="1" si="7"/>
        <v>7376.46</v>
      </c>
      <c r="I17" s="9">
        <f t="shared" ca="1" si="7"/>
        <v>2524.8422421278065</v>
      </c>
      <c r="J17" s="9">
        <f t="shared" ca="1" si="7"/>
        <v>4862.3977578721942</v>
      </c>
      <c r="K17" s="9">
        <f t="shared" ca="1" si="7"/>
        <v>5748.6981223328585</v>
      </c>
      <c r="L17" s="17">
        <f t="shared" ca="1" si="5"/>
        <v>151022.94891366764</v>
      </c>
      <c r="M17" s="17"/>
      <c r="N17" s="17"/>
      <c r="O17" s="9"/>
      <c r="P17" s="14"/>
      <c r="Q17" s="11">
        <f t="shared" ca="1" si="6"/>
        <v>151022.94891366764</v>
      </c>
      <c r="R17" s="17">
        <f t="shared" ca="1" si="4"/>
        <v>151022.94891366764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0.76386554685279739</v>
      </c>
      <c r="J18" s="39">
        <f ca="1">I18</f>
        <v>0.76386554685279739</v>
      </c>
      <c r="K18" s="40">
        <f ca="1">1-(-K13)/K17</f>
        <v>0.89015333146936182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5537.6220187179224</v>
      </c>
      <c r="D2" s="9">
        <f ca="1">Q4/parameters!$B$3</f>
        <v>1575.7673342054948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7113.3893529234174</v>
      </c>
      <c r="M2" s="17"/>
      <c r="N2" s="17">
        <f ca="1">Q2-(L2+O2+P2)</f>
        <v>439.01064707658225</v>
      </c>
      <c r="O2" s="11" cm="1">
        <f t="array" aca="1" ref="O2" ca="1">INDIRECT("'data'!$F$" &amp; $A$1)</f>
        <v>15797.6</v>
      </c>
      <c r="P2" s="13">
        <f ca="1">IF(-(L2-Q2+O2)&lt;0, -(L2-Q2+O2), 0)</f>
        <v>0</v>
      </c>
      <c r="Q2" s="17" cm="1">
        <f t="array" aca="1" ref="Q2" ca="1">INDIRECT("'data'!$D$" &amp; $A$1)</f>
        <v>23350</v>
      </c>
      <c r="R2" s="17">
        <f ca="1">SUM(L2:P2)</f>
        <v>23350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4151.5223880597023</v>
      </c>
      <c r="G3" s="14">
        <f ca="1">Q3-O3-P3-F3</f>
        <v>942.02761194029699</v>
      </c>
      <c r="H3" s="14"/>
      <c r="I3" s="14"/>
      <c r="J3" s="14"/>
      <c r="K3" s="13"/>
      <c r="L3" s="16">
        <f t="shared" ca="1" si="0"/>
        <v>5093.5499999999993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409.185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5502.7349999999997</v>
      </c>
      <c r="R3" s="16">
        <f t="shared" ref="R3:R10" ca="1" si="2">SUM(L3:P3)</f>
        <v>5502.7349999999997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1565.8400000000001</v>
      </c>
      <c r="H4" s="14"/>
      <c r="I4" s="14"/>
      <c r="J4" s="14"/>
      <c r="K4" s="13"/>
      <c r="L4" s="16">
        <f t="shared" ca="1" si="0"/>
        <v>1565.8400000000001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1565.8400000000001</v>
      </c>
      <c r="R4" s="16">
        <f t="shared" ca="1" si="2"/>
        <v>1565.8400000000001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1037.8805970149256</v>
      </c>
      <c r="G5" s="14">
        <f ca="1">Q7/parameters!$B$7-(G3+G4)</f>
        <v>1715.2462856563589</v>
      </c>
      <c r="H5" s="14"/>
      <c r="I5" s="14"/>
      <c r="J5" s="14"/>
      <c r="K5" s="13"/>
      <c r="L5" s="16">
        <f t="shared" ca="1" si="0"/>
        <v>2753.1268826712844</v>
      </c>
      <c r="M5" s="16"/>
      <c r="N5" s="16"/>
      <c r="O5" s="11" cm="1">
        <f t="array" aca="1" ref="O5" ca="1">INDIRECT("'data'!$M$" &amp; $A$1)*parameters!$B$15</f>
        <v>446.88</v>
      </c>
      <c r="P5" s="13" cm="1">
        <f t="array" aca="1" ref="P5" ca="1">-INDIRECT("'data'!$N$" &amp; $A$1)*parameters!$B$15</f>
        <v>0</v>
      </c>
      <c r="Q5" s="16">
        <f ca="1">SUM(L5:P5)</f>
        <v>3200.0068826712845</v>
      </c>
      <c r="R5" s="16">
        <f t="shared" ca="1" si="2"/>
        <v>3200.0068826712845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4867.66</v>
      </c>
      <c r="I6" s="14"/>
      <c r="J6" s="14"/>
      <c r="K6" s="13"/>
      <c r="L6" s="16">
        <f t="shared" ca="1" si="0"/>
        <v>4867.66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4867.66</v>
      </c>
      <c r="R6" s="16">
        <f t="shared" ca="1" si="2"/>
        <v>4867.66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4041.52</v>
      </c>
      <c r="I7" s="14"/>
      <c r="J7" s="14"/>
      <c r="K7" s="13"/>
      <c r="L7" s="16">
        <f t="shared" ca="1" si="0"/>
        <v>4041.52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4041.52</v>
      </c>
      <c r="R7" s="16">
        <f t="shared" ca="1" si="2"/>
        <v>4041.52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3356.4102532809088</v>
      </c>
      <c r="J8" s="14">
        <f ca="1">Q10/J18</f>
        <v>4861.8697467190923</v>
      </c>
      <c r="K8" s="13"/>
      <c r="L8" s="16">
        <f t="shared" ca="1" si="0"/>
        <v>8218.2800000000007</v>
      </c>
      <c r="M8" s="16"/>
      <c r="N8" s="16">
        <f t="shared" ca="1" si="3"/>
        <v>0</v>
      </c>
      <c r="O8" s="11" cm="1">
        <f t="array" aca="1" ref="O8" ca="1">INDIRECT("'data'!$R$" &amp; $A$1)*parameters!$B$15</f>
        <v>698.74</v>
      </c>
      <c r="P8" s="13" cm="1">
        <f t="array" aca="1" ref="P8" ca="1">-INDIRECT("'data'!$S$" &amp; $A$1)*parameters!$B$15</f>
        <v>-7.84</v>
      </c>
      <c r="Q8" s="16">
        <f ca="1">SUM(Q6:Q7)</f>
        <v>8909.18</v>
      </c>
      <c r="R8" s="16">
        <f t="shared" ca="1" si="2"/>
        <v>8909.18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1616.02</v>
      </c>
      <c r="L9" s="16">
        <f t="shared" ca="1" si="0"/>
        <v>1616.02</v>
      </c>
      <c r="M9" s="16"/>
      <c r="N9" s="16">
        <f t="shared" ca="1" si="3"/>
        <v>0</v>
      </c>
      <c r="O9" s="11" cm="1">
        <f t="array" aca="1" ref="O9" ca="1">INDIRECT("'data'!$U$" &amp; $A$1)*parameters!$B$15</f>
        <v>1092.7</v>
      </c>
      <c r="P9" s="13" cm="1">
        <f t="array" aca="1" ref="P9" ca="1">-INDIRECT("'data'!$V$" &amp; $A$1)*parameters!$B$15</f>
        <v>-55.86</v>
      </c>
      <c r="Q9" s="16" cm="1">
        <f t="array" aca="1" ref="Q9" ca="1">INDIRECT("'data'!$T$" &amp; $A$1)*parameters!$B$15</f>
        <v>2652.86</v>
      </c>
      <c r="R9" s="16">
        <f t="shared" ca="1" si="2"/>
        <v>2652.86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2092.4742532005694</v>
      </c>
      <c r="L10" s="16">
        <f t="shared" ca="1" si="0"/>
        <v>2092.4742532005694</v>
      </c>
      <c r="M10" s="16"/>
      <c r="N10" s="16">
        <f t="shared" ca="1" si="3"/>
        <v>0</v>
      </c>
      <c r="O10" s="11" cm="1">
        <f t="array" aca="1" ref="O10" ca="1">INDIRECT("'data'!$X$" &amp; $A$1)*parameters!$B$15</f>
        <v>1884.54</v>
      </c>
      <c r="P10" s="13" cm="1">
        <f t="array" aca="1" ref="P10" ca="1">-INDIRECT("'data'!$Y$" &amp; $A$1)*parameters!$B$15</f>
        <v>-134.26</v>
      </c>
      <c r="Q10" s="16" cm="1">
        <f t="array" aca="1" ref="Q10" ca="1">INDIRECT("'data'!$W$" &amp; $A$1)*parameters!$B$15</f>
        <v>3842.7542532005691</v>
      </c>
      <c r="R10" s="16">
        <f t="shared" ca="1" si="2"/>
        <v>3842.7542532005691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3074.5666577524894</v>
      </c>
      <c r="N11" s="19"/>
      <c r="O11" s="21" cm="1">
        <f t="array" aca="1" ref="O11" ca="1">INDIRECT("'data'!$Z$" &amp; $A$1)*parameters!$B$15</f>
        <v>874.16</v>
      </c>
      <c r="P11" s="27" cm="1">
        <f t="array" aca="1" ref="P11" ca="1">-INDIRECT("'data'!$AA$" &amp; $A$1)*parameters!$B$15</f>
        <v>-630.14</v>
      </c>
      <c r="Q11" s="16">
        <f ca="1">K9*parameters!$B$10+K10*parameters!$B$11</f>
        <v>3318.5866577524894</v>
      </c>
      <c r="R11" s="16">
        <f t="shared" ref="R11:R17" ca="1" si="4">SUM(L11:P11)</f>
        <v>3318.5866577524894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-34.887018717922729</v>
      </c>
      <c r="D12" s="9">
        <f ca="1">-(D17-Q4)</f>
        <v>-9.927334205494617</v>
      </c>
      <c r="E12" s="9">
        <f ca="1">-(E17-Q5)</f>
        <v>-395.50646864476539</v>
      </c>
      <c r="F12" s="9">
        <f ca="1">-(F17-Q6)</f>
        <v>-321.74298507462845</v>
      </c>
      <c r="G12" s="9">
        <f ca="1">-(G17-Q7)</f>
        <v>-181.59389759665601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-943.65770423946719</v>
      </c>
      <c r="M12" s="17"/>
      <c r="N12" s="17"/>
      <c r="O12" s="10"/>
      <c r="P12" s="12"/>
      <c r="Q12" s="9">
        <f t="shared" ref="Q12:Q17" ca="1" si="6">SUM(L12:P12)</f>
        <v>-943.65770423946719</v>
      </c>
      <c r="R12" s="17">
        <f t="shared" ca="1" si="4"/>
        <v>-943.65770423946719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-703.55025328090869</v>
      </c>
      <c r="J13" s="14">
        <f ca="1">-(J17-Q10)</f>
        <v>-1019.1154935185232</v>
      </c>
      <c r="K13" s="13">
        <f ca="1">-(K17-Q11)</f>
        <v>-389.90759544807997</v>
      </c>
      <c r="L13" s="14">
        <f t="shared" ca="1" si="5"/>
        <v>-2112.5733422475118</v>
      </c>
      <c r="M13" s="16">
        <f ca="1">-E15</f>
        <v>-1482.9400090685381</v>
      </c>
      <c r="N13" s="16"/>
      <c r="O13" s="11"/>
      <c r="P13" s="13"/>
      <c r="Q13" s="14">
        <f t="shared" ca="1" si="6"/>
        <v>-3595.5133513160499</v>
      </c>
      <c r="R13" s="16">
        <f t="shared" ca="1" si="4"/>
        <v>-3595.5133513160499</v>
      </c>
    </row>
    <row r="14" spans="1:20">
      <c r="A14" s="18" t="s">
        <v>78</v>
      </c>
      <c r="B14" s="11"/>
      <c r="C14" s="14"/>
      <c r="D14" s="14"/>
      <c r="E14" s="14">
        <f ca="1">-(I13+J13)-K13</f>
        <v>2112.5733422475118</v>
      </c>
      <c r="F14" s="14"/>
      <c r="G14" s="14"/>
      <c r="H14" s="14"/>
      <c r="I14" s="14"/>
      <c r="J14" s="14"/>
      <c r="K14" s="13"/>
      <c r="L14" s="14">
        <f t="shared" ca="1" si="5"/>
        <v>2112.5733422475118</v>
      </c>
      <c r="M14" s="16"/>
      <c r="N14" s="16"/>
      <c r="O14" s="11"/>
      <c r="P14" s="13"/>
      <c r="Q14" s="14">
        <f t="shared" ca="1" si="6"/>
        <v>2112.5733422475118</v>
      </c>
      <c r="R14" s="16">
        <f t="shared" ca="1" si="4"/>
        <v>2112.5733422475118</v>
      </c>
    </row>
    <row r="15" spans="1:20">
      <c r="A15" s="18" t="s">
        <v>79</v>
      </c>
      <c r="B15" s="11"/>
      <c r="C15" s="14"/>
      <c r="D15" s="14"/>
      <c r="E15" s="14">
        <f ca="1">E17-E14</f>
        <v>1482.9400090685381</v>
      </c>
      <c r="F15" s="14"/>
      <c r="G15" s="14"/>
      <c r="H15" s="14"/>
      <c r="I15" s="14"/>
      <c r="J15" s="14"/>
      <c r="K15" s="13"/>
      <c r="L15" s="14">
        <f t="shared" ca="1" si="5"/>
        <v>1482.9400090685381</v>
      </c>
      <c r="M15" s="16"/>
      <c r="N15" s="16"/>
      <c r="O15" s="11"/>
      <c r="P15" s="13"/>
      <c r="Q15" s="14">
        <f t="shared" ca="1" si="6"/>
        <v>1482.9400090685381</v>
      </c>
      <c r="R15" s="16">
        <f t="shared" ca="1" si="4"/>
        <v>1482.9400090685381</v>
      </c>
    </row>
    <row r="16" spans="1:20">
      <c r="A16" s="30" t="s">
        <v>89</v>
      </c>
      <c r="B16" s="21">
        <f ca="1">Q2</f>
        <v>23350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23350</v>
      </c>
      <c r="M16" s="19"/>
      <c r="N16" s="19"/>
      <c r="O16" s="21"/>
      <c r="P16" s="27"/>
      <c r="Q16" s="22">
        <f t="shared" ca="1" si="6"/>
        <v>23350</v>
      </c>
      <c r="R16" s="19">
        <f t="shared" ca="1" si="4"/>
        <v>23350</v>
      </c>
    </row>
    <row r="17" spans="1:18">
      <c r="A17" s="29" t="s">
        <v>88</v>
      </c>
      <c r="B17" s="9">
        <f ca="1">B16</f>
        <v>23350</v>
      </c>
      <c r="C17" s="9">
        <f ca="1">SUM(C$2:C$11)</f>
        <v>5537.6220187179224</v>
      </c>
      <c r="D17" s="9">
        <f ca="1">SUM(D$2:D$11)</f>
        <v>1575.7673342054948</v>
      </c>
      <c r="E17" s="9">
        <f ca="1">$Q$5/parameters!$B$4</f>
        <v>3595.5133513160499</v>
      </c>
      <c r="F17" s="9">
        <f t="shared" ref="F17:K17" ca="1" si="7">SUM(F$2:F$11)</f>
        <v>5189.4029850746283</v>
      </c>
      <c r="G17" s="9">
        <f t="shared" ca="1" si="7"/>
        <v>4223.113897596656</v>
      </c>
      <c r="H17" s="9">
        <f t="shared" ca="1" si="7"/>
        <v>8909.18</v>
      </c>
      <c r="I17" s="9">
        <f t="shared" ca="1" si="7"/>
        <v>3356.4102532809088</v>
      </c>
      <c r="J17" s="9">
        <f t="shared" ca="1" si="7"/>
        <v>4861.8697467190923</v>
      </c>
      <c r="K17" s="9">
        <f t="shared" ca="1" si="7"/>
        <v>3708.4942532005693</v>
      </c>
      <c r="L17" s="17">
        <f t="shared" ca="1" si="5"/>
        <v>64307.373840111322</v>
      </c>
      <c r="M17" s="17"/>
      <c r="N17" s="17"/>
      <c r="O17" s="9"/>
      <c r="P17" s="14"/>
      <c r="Q17" s="11">
        <f t="shared" ca="1" si="6"/>
        <v>64307.373840111322</v>
      </c>
      <c r="R17" s="17">
        <f t="shared" ca="1" si="4"/>
        <v>64307.373840111322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0.93799999999999972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0.79038609699360063</v>
      </c>
      <c r="J18" s="39">
        <f ca="1">I18</f>
        <v>0.79038609699360063</v>
      </c>
      <c r="K18" s="40">
        <f ca="1">1-(-K13)/K17</f>
        <v>0.89486094117266723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981.38271107980279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981.38271107980279</v>
      </c>
      <c r="M2" s="17"/>
      <c r="N2" s="17">
        <f ca="1">Q2-(L2+O2+P2)</f>
        <v>0</v>
      </c>
      <c r="O2" s="11" cm="1">
        <f t="array" aca="1" ref="O2" ca="1">INDIRECT("'data'!$F$" &amp; $A$1)</f>
        <v>139.1</v>
      </c>
      <c r="P2" s="13">
        <f ca="1">IF(-(L2-Q2+O2)&lt;0, -(L2-Q2+O2), 0)</f>
        <v>-861.48271107980281</v>
      </c>
      <c r="Q2" s="17" cm="1">
        <f t="array" aca="1" ref="Q2" ca="1">INDIRECT("'data'!$D$" &amp; $A$1)</f>
        <v>259</v>
      </c>
      <c r="R2" s="17">
        <f ca="1">SUM(L2:P2)</f>
        <v>259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203.17499999999998</v>
      </c>
      <c r="H3" s="14"/>
      <c r="I3" s="14"/>
      <c r="J3" s="14"/>
      <c r="K3" s="13"/>
      <c r="L3" s="16">
        <f t="shared" ca="1" si="0"/>
        <v>203.17499999999998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-203.17499999999998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975.2</v>
      </c>
      <c r="H4" s="14"/>
      <c r="I4" s="14"/>
      <c r="J4" s="14"/>
      <c r="K4" s="13"/>
      <c r="L4" s="16">
        <f t="shared" ca="1" si="0"/>
        <v>975.2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975.2</v>
      </c>
      <c r="R4" s="16">
        <f t="shared" ca="1" si="2"/>
        <v>975.2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3657.1108934169279</v>
      </c>
      <c r="H5" s="14"/>
      <c r="I5" s="14"/>
      <c r="J5" s="14"/>
      <c r="K5" s="13"/>
      <c r="L5" s="16">
        <f t="shared" ca="1" si="0"/>
        <v>3657.1108934169279</v>
      </c>
      <c r="M5" s="16"/>
      <c r="N5" s="48">
        <f ca="1">$E$14*parameters!$B$4-$P$5-$L$5-$O$5</f>
        <v>215.8246562103821</v>
      </c>
      <c r="O5" s="11" cm="1">
        <f t="array" aca="1" ref="O5" ca="1">INDIRECT("'data'!$M$" &amp; $A$1)*parameters!$B$15</f>
        <v>137.19999999999999</v>
      </c>
      <c r="P5" s="13" cm="1">
        <f t="array" aca="1" ref="P5" ca="1">-INDIRECT("'data'!$N$" &amp; $A$1)*parameters!$B$15</f>
        <v>-3070.34</v>
      </c>
      <c r="Q5" s="16">
        <f ca="1">SUM(L5:P5)</f>
        <v>939.79554962730981</v>
      </c>
      <c r="R5" s="16">
        <f t="shared" ca="1" si="2"/>
        <v>939.79554962730981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4627.5599999999995</v>
      </c>
      <c r="I7" s="14"/>
      <c r="J7" s="14"/>
      <c r="K7" s="13"/>
      <c r="L7" s="16">
        <f t="shared" ca="1" si="0"/>
        <v>4627.5599999999995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4627.5599999999995</v>
      </c>
      <c r="R7" s="16">
        <f t="shared" ca="1" si="2"/>
        <v>4627.5599999999995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3368.1295947452941</v>
      </c>
      <c r="J8" s="14">
        <f ca="1">Q10/J18</f>
        <v>1540.690405254704</v>
      </c>
      <c r="K8" s="13"/>
      <c r="L8" s="16">
        <f t="shared" ca="1" si="0"/>
        <v>4908.8199999999979</v>
      </c>
      <c r="M8" s="16"/>
      <c r="N8" s="16">
        <f t="shared" ca="1" si="3"/>
        <v>0</v>
      </c>
      <c r="O8" s="11" cm="1">
        <f t="array" aca="1" ref="O8" ca="1">INDIRECT("'data'!$R$" &amp; $A$1)*parameters!$B$15</f>
        <v>19.600000000000001</v>
      </c>
      <c r="P8" s="13" cm="1">
        <f t="array" aca="1" ref="P8" ca="1">-INDIRECT("'data'!$S$" &amp; $A$1)*parameters!$B$15</f>
        <v>-300.86</v>
      </c>
      <c r="Q8" s="16">
        <f ca="1">SUM(Q6:Q7)</f>
        <v>4627.5599999999995</v>
      </c>
      <c r="R8" s="16">
        <f t="shared" ca="1" si="2"/>
        <v>4627.5599999999986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4458.0200000000004</v>
      </c>
      <c r="L9" s="16">
        <f t="shared" ca="1" si="0"/>
        <v>4458.0200000000004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-1317.12</v>
      </c>
      <c r="Q9" s="16" cm="1">
        <f t="array" aca="1" ref="Q9" ca="1">INDIRECT("'data'!$T$" &amp; $A$1)*parameters!$B$15</f>
        <v>3140.9</v>
      </c>
      <c r="R9" s="16">
        <f t="shared" ca="1" si="2"/>
        <v>3140.9000000000005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3266.4083072546227</v>
      </c>
      <c r="L10" s="16">
        <f t="shared" ca="1" si="0"/>
        <v>3266.4083072546227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-1829.6599999999999</v>
      </c>
      <c r="Q10" s="16" cm="1">
        <f t="array" aca="1" ref="Q10" ca="1">INDIRECT("'data'!$W$" &amp; $A$1)*parameters!$B$15</f>
        <v>1436.7483072546229</v>
      </c>
      <c r="R10" s="16">
        <f t="shared" ca="1" si="2"/>
        <v>1436.7483072546229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7465.1499442389759</v>
      </c>
      <c r="N11" s="19"/>
      <c r="O11" s="21" cm="1">
        <f t="array" aca="1" ref="O11" ca="1">INDIRECT("'data'!$Z$" &amp; $A$1)*parameters!$B$15</f>
        <v>764.4</v>
      </c>
      <c r="P11" s="27" cm="1">
        <f t="array" aca="1" ref="P11" ca="1">-INDIRECT("'data'!$AA$" &amp; $A$1)*parameters!$B$15</f>
        <v>-1229.9000000000001</v>
      </c>
      <c r="Q11" s="16">
        <f ca="1">K9*parameters!$B$10+K10*parameters!$B$11</f>
        <v>6999.6499442389759</v>
      </c>
      <c r="R11" s="16">
        <f t="shared" ref="R11:R17" ca="1" si="4">SUM(L11:P11)</f>
        <v>6999.6499442389759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-6.1827110798027434</v>
      </c>
      <c r="E12" s="9">
        <f ca="1">-(E17-Q5)</f>
        <v>-116.1545061337124</v>
      </c>
      <c r="F12" s="9">
        <f ca="1">-(F17-Q6)</f>
        <v>0</v>
      </c>
      <c r="G12" s="9">
        <f ca="1">-(G17-Q7)</f>
        <v>-207.92589341692837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-330.26311063044352</v>
      </c>
      <c r="M12" s="17"/>
      <c r="N12" s="17"/>
      <c r="O12" s="10"/>
      <c r="P12" s="12"/>
      <c r="Q12" s="9">
        <f t="shared" ref="Q12:Q17" ca="1" si="6">SUM(L12:P12)</f>
        <v>-330.26311063044352</v>
      </c>
      <c r="R12" s="17">
        <f t="shared" ca="1" si="4"/>
        <v>-330.26311063044352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-227.22959474529398</v>
      </c>
      <c r="J13" s="14">
        <f ca="1">-(J17-Q10)</f>
        <v>-103.94209800008116</v>
      </c>
      <c r="K13" s="13">
        <f ca="1">-(K17-Q11)</f>
        <v>-724.7783630156473</v>
      </c>
      <c r="L13" s="14">
        <f t="shared" ca="1" si="5"/>
        <v>-1055.9500557610224</v>
      </c>
      <c r="M13" s="16">
        <f ca="1">-E15</f>
        <v>0</v>
      </c>
      <c r="N13" s="16"/>
      <c r="O13" s="11"/>
      <c r="P13" s="13"/>
      <c r="Q13" s="14">
        <f t="shared" ca="1" si="6"/>
        <v>-1055.9500557610224</v>
      </c>
      <c r="R13" s="16">
        <f t="shared" ca="1" si="4"/>
        <v>-1055.9500557610224</v>
      </c>
    </row>
    <row r="14" spans="1:19">
      <c r="A14" s="18" t="s">
        <v>78</v>
      </c>
      <c r="B14" s="11"/>
      <c r="C14" s="14"/>
      <c r="D14" s="14"/>
      <c r="E14" s="14">
        <f ca="1">-(I13+J13)-K13</f>
        <v>1055.9500557610224</v>
      </c>
      <c r="F14" s="14"/>
      <c r="G14" s="14"/>
      <c r="H14" s="14"/>
      <c r="I14" s="14"/>
      <c r="J14" s="14"/>
      <c r="K14" s="13"/>
      <c r="L14" s="14">
        <f t="shared" ca="1" si="5"/>
        <v>1055.9500557610224</v>
      </c>
      <c r="M14" s="16"/>
      <c r="N14" s="16"/>
      <c r="O14" s="11"/>
      <c r="P14" s="13"/>
      <c r="Q14" s="14">
        <f t="shared" ca="1" si="6"/>
        <v>1055.9500557610224</v>
      </c>
      <c r="R14" s="16">
        <f t="shared" ca="1" si="4"/>
        <v>1055.9500557610224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259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259</v>
      </c>
      <c r="M16" s="19"/>
      <c r="N16" s="19"/>
      <c r="O16" s="21"/>
      <c r="P16" s="27"/>
      <c r="Q16" s="22">
        <f t="shared" ca="1" si="6"/>
        <v>259</v>
      </c>
      <c r="R16" s="19">
        <f t="shared" ca="1" si="4"/>
        <v>259</v>
      </c>
    </row>
    <row r="17" spans="1:18">
      <c r="A17" s="29" t="s">
        <v>88</v>
      </c>
      <c r="B17" s="9">
        <f ca="1">B16</f>
        <v>259</v>
      </c>
      <c r="C17" s="9">
        <f ca="1">SUM(C$2:C$11)</f>
        <v>0</v>
      </c>
      <c r="D17" s="9">
        <f ca="1">SUM(D$2:D$11)</f>
        <v>981.38271107980279</v>
      </c>
      <c r="E17" s="9">
        <f ca="1">$Q$5/parameters!$B$4</f>
        <v>1055.9500557610222</v>
      </c>
      <c r="F17" s="9">
        <f t="shared" ref="F17:K17" ca="1" si="7">SUM(F$2:F$11)</f>
        <v>0</v>
      </c>
      <c r="G17" s="9">
        <f t="shared" ca="1" si="7"/>
        <v>4835.4858934169279</v>
      </c>
      <c r="H17" s="9">
        <f t="shared" ca="1" si="7"/>
        <v>4627.5599999999995</v>
      </c>
      <c r="I17" s="9">
        <f t="shared" ca="1" si="7"/>
        <v>3368.1295947452941</v>
      </c>
      <c r="J17" s="9">
        <f t="shared" ca="1" si="7"/>
        <v>1540.690405254704</v>
      </c>
      <c r="K17" s="9">
        <f t="shared" ca="1" si="7"/>
        <v>7724.4283072546232</v>
      </c>
      <c r="L17" s="17">
        <f t="shared" ca="1" si="5"/>
        <v>24392.626967512377</v>
      </c>
      <c r="M17" s="17"/>
      <c r="N17" s="17"/>
      <c r="O17" s="9"/>
      <c r="P17" s="14"/>
      <c r="Q17" s="11">
        <f t="shared" ca="1" si="6"/>
        <v>24392.626967512377</v>
      </c>
      <c r="R17" s="17">
        <f t="shared" ca="1" si="4"/>
        <v>24392.626967512377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0.93253537657820507</v>
      </c>
      <c r="J18" s="39">
        <f ca="1">I18</f>
        <v>0.93253537657820507</v>
      </c>
      <c r="K18" s="40">
        <f ca="1">1-(-K13)/K17</f>
        <v>0.90617061429194046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285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285</v>
      </c>
      <c r="R2" s="17">
        <f ca="1">SUM(L2:P2)</f>
        <v>285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176.715</v>
      </c>
      <c r="H3" s="14"/>
      <c r="I3" s="14"/>
      <c r="J3" s="14"/>
      <c r="K3" s="13"/>
      <c r="L3" s="16">
        <f t="shared" ca="1" si="0"/>
        <v>176.715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16.064999999999998</v>
      </c>
      <c r="P3" s="13" cm="1">
        <f t="array" aca="1" ref="P3" ca="1">-INDIRECT("'data'!$I$" &amp; $A$1)*parameters!$B$13</f>
        <v>-192.78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2422.2818652037613</v>
      </c>
      <c r="H5" s="14"/>
      <c r="I5" s="14"/>
      <c r="J5" s="14"/>
      <c r="K5" s="13"/>
      <c r="L5" s="16">
        <f t="shared" ca="1" si="0"/>
        <v>2422.2818652037613</v>
      </c>
      <c r="M5" s="16"/>
      <c r="N5" s="48">
        <f ca="1">$E$14*parameters!$B$4-$P$5-$L$5-$O$5</f>
        <v>141.11240582895766</v>
      </c>
      <c r="O5" s="11" cm="1">
        <f t="array" aca="1" ref="O5" ca="1">INDIRECT("'data'!$M$" &amp; $A$1)*parameters!$B$15</f>
        <v>85.26</v>
      </c>
      <c r="P5" s="13" cm="1">
        <f t="array" aca="1" ref="P5" ca="1">-INDIRECT("'data'!$N$" &amp; $A$1)*parameters!$B$15</f>
        <v>-958.43999999999994</v>
      </c>
      <c r="Q5" s="16">
        <f ca="1">SUM(L5:P5)</f>
        <v>1690.2142710327194</v>
      </c>
      <c r="R5" s="16">
        <f t="shared" ca="1" si="2"/>
        <v>1690.2142710327194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2487.2399999999998</v>
      </c>
      <c r="I7" s="14"/>
      <c r="J7" s="14"/>
      <c r="K7" s="13"/>
      <c r="L7" s="16">
        <f t="shared" ca="1" si="0"/>
        <v>2487.2399999999998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2487.2399999999998</v>
      </c>
      <c r="R7" s="16">
        <f t="shared" ca="1" si="2"/>
        <v>2487.2399999999998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4190.6707813970197</v>
      </c>
      <c r="J8" s="14">
        <f ca="1">Q10/J18</f>
        <v>3205.3892186029807</v>
      </c>
      <c r="K8" s="13"/>
      <c r="L8" s="16">
        <f t="shared" ca="1" si="0"/>
        <v>7396.06</v>
      </c>
      <c r="M8" s="16"/>
      <c r="N8" s="16">
        <f t="shared" ca="1" si="3"/>
        <v>0</v>
      </c>
      <c r="O8" s="11" cm="1">
        <f t="array" aca="1" ref="O8" ca="1">INDIRECT("'data'!$R$" &amp; $A$1)*parameters!$B$15</f>
        <v>0.98</v>
      </c>
      <c r="P8" s="13" cm="1">
        <f t="array" aca="1" ref="P8" ca="1">-INDIRECT("'data'!$S$" &amp; $A$1)*parameters!$B$15</f>
        <v>-4909.8</v>
      </c>
      <c r="Q8" s="16">
        <f ca="1">SUM(Q6:Q7)</f>
        <v>2487.2399999999998</v>
      </c>
      <c r="R8" s="16">
        <f t="shared" ca="1" si="2"/>
        <v>2487.2399999999998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4050.34</v>
      </c>
      <c r="L9" s="16">
        <f t="shared" ca="1" si="0"/>
        <v>4050.34</v>
      </c>
      <c r="M9" s="16"/>
      <c r="N9" s="16">
        <f t="shared" ca="1" si="3"/>
        <v>0</v>
      </c>
      <c r="O9" s="11" cm="1">
        <f t="array" aca="1" ref="O9" ca="1">INDIRECT("'data'!$U$" &amp; $A$1)*parameters!$B$15</f>
        <v>481.18</v>
      </c>
      <c r="P9" s="13" cm="1">
        <f t="array" aca="1" ref="P9" ca="1">-INDIRECT("'data'!$V$" &amp; $A$1)*parameters!$B$15</f>
        <v>-832.02</v>
      </c>
      <c r="Q9" s="16" cm="1">
        <f t="array" aca="1" ref="Q9" ca="1">INDIRECT("'data'!$T$" &amp; $A$1)*parameters!$B$15</f>
        <v>3699.5</v>
      </c>
      <c r="R9" s="16">
        <f t="shared" ca="1" si="2"/>
        <v>3699.5000000000005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5637.3991180654339</v>
      </c>
      <c r="L10" s="16">
        <f t="shared" ca="1" si="0"/>
        <v>5637.3991180654339</v>
      </c>
      <c r="M10" s="16"/>
      <c r="N10" s="16">
        <f t="shared" ca="1" si="3"/>
        <v>0</v>
      </c>
      <c r="O10" s="11" cm="1">
        <f t="array" aca="1" ref="O10" ca="1">INDIRECT("'data'!$X$" &amp; $A$1)*parameters!$B$15</f>
        <v>889.84</v>
      </c>
      <c r="P10" s="13" cm="1">
        <f t="array" aca="1" ref="P10" ca="1">-INDIRECT("'data'!$Y$" &amp; $A$1)*parameters!$B$15</f>
        <v>-3697.54</v>
      </c>
      <c r="Q10" s="16" cm="1">
        <f t="array" aca="1" ref="Q10" ca="1">INDIRECT("'data'!$W$" &amp; $A$1)*parameters!$B$15</f>
        <v>2829.6991180654336</v>
      </c>
      <c r="R10" s="16">
        <f t="shared" ca="1" si="2"/>
        <v>2829.699118065434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8408.5228415362726</v>
      </c>
      <c r="N11" s="19"/>
      <c r="O11" s="21" cm="1">
        <f t="array" aca="1" ref="O11" ca="1">INDIRECT("'data'!$Z$" &amp; $A$1)*parameters!$B$15</f>
        <v>1298.5</v>
      </c>
      <c r="P11" s="27" cm="1">
        <f t="array" aca="1" ref="P11" ca="1">-INDIRECT("'data'!$AA$" &amp; $A$1)*parameters!$B$15</f>
        <v>-1051.54</v>
      </c>
      <c r="Q11" s="16">
        <f ca="1">K9*parameters!$B$10+K10*parameters!$B$11</f>
        <v>8655.4828415362717</v>
      </c>
      <c r="R11" s="16">
        <f t="shared" ref="R11:R17" ca="1" si="4">SUM(L11:P11)</f>
        <v>8655.4828415362717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-208.90288743101019</v>
      </c>
      <c r="F12" s="9">
        <f ca="1">-(F17-Q6)</f>
        <v>0</v>
      </c>
      <c r="G12" s="9">
        <f ca="1">-(G17-Q7)</f>
        <v>-111.75686520376166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-320.65975263477185</v>
      </c>
      <c r="M12" s="17"/>
      <c r="N12" s="17"/>
      <c r="O12" s="10"/>
      <c r="P12" s="12"/>
      <c r="Q12" s="9">
        <f t="shared" ref="Q12:Q17" ca="1" si="6">SUM(L12:P12)</f>
        <v>-320.65975263477185</v>
      </c>
      <c r="R12" s="17">
        <f t="shared" ca="1" si="4"/>
        <v>-320.65975263477185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-491.17078139701971</v>
      </c>
      <c r="J13" s="14">
        <f ca="1">-(J17-Q10)</f>
        <v>-375.6901005375471</v>
      </c>
      <c r="K13" s="13">
        <f ca="1">-(K17-Q11)</f>
        <v>-1032.2562765291623</v>
      </c>
      <c r="L13" s="14">
        <f t="shared" ca="1" si="5"/>
        <v>-1899.1171584637291</v>
      </c>
      <c r="M13" s="16">
        <f ca="1">-E15</f>
        <v>0</v>
      </c>
      <c r="N13" s="16"/>
      <c r="O13" s="11"/>
      <c r="P13" s="13"/>
      <c r="Q13" s="14">
        <f t="shared" ca="1" si="6"/>
        <v>-1899.1171584637291</v>
      </c>
      <c r="R13" s="16">
        <f t="shared" ca="1" si="4"/>
        <v>-1899.1171584637291</v>
      </c>
    </row>
    <row r="14" spans="1:20">
      <c r="A14" s="18" t="s">
        <v>78</v>
      </c>
      <c r="B14" s="11"/>
      <c r="C14" s="14"/>
      <c r="D14" s="14"/>
      <c r="E14" s="14">
        <f ca="1">-(I13+J13)-K13</f>
        <v>1899.1171584637291</v>
      </c>
      <c r="F14" s="14"/>
      <c r="G14" s="14"/>
      <c r="H14" s="14"/>
      <c r="I14" s="14"/>
      <c r="J14" s="14"/>
      <c r="K14" s="13"/>
      <c r="L14" s="14">
        <f t="shared" ca="1" si="5"/>
        <v>1899.1171584637291</v>
      </c>
      <c r="M14" s="16"/>
      <c r="N14" s="16"/>
      <c r="O14" s="11"/>
      <c r="P14" s="13"/>
      <c r="Q14" s="14">
        <f t="shared" ca="1" si="6"/>
        <v>1899.1171584637291</v>
      </c>
      <c r="R14" s="16">
        <f t="shared" ca="1" si="4"/>
        <v>1899.1171584637291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285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285</v>
      </c>
      <c r="M16" s="19"/>
      <c r="N16" s="19"/>
      <c r="O16" s="21"/>
      <c r="P16" s="27"/>
      <c r="Q16" s="22">
        <f t="shared" ca="1" si="6"/>
        <v>285</v>
      </c>
      <c r="R16" s="19">
        <f t="shared" ca="1" si="4"/>
        <v>285</v>
      </c>
    </row>
    <row r="17" spans="1:18">
      <c r="A17" s="29" t="s">
        <v>88</v>
      </c>
      <c r="B17" s="9">
        <f ca="1">B16</f>
        <v>285</v>
      </c>
      <c r="C17" s="9">
        <f ca="1">SUM(C$2:C$11)</f>
        <v>0</v>
      </c>
      <c r="D17" s="9">
        <f ca="1">SUM(D$2:D$11)</f>
        <v>0</v>
      </c>
      <c r="E17" s="9">
        <f ca="1">$Q$5/parameters!$B$4</f>
        <v>1899.1171584637295</v>
      </c>
      <c r="F17" s="9">
        <f t="shared" ref="F17:K17" ca="1" si="7">SUM(F$2:F$11)</f>
        <v>0</v>
      </c>
      <c r="G17" s="9">
        <f t="shared" ca="1" si="7"/>
        <v>2598.9968652037614</v>
      </c>
      <c r="H17" s="9">
        <f t="shared" ca="1" si="7"/>
        <v>2487.2399999999998</v>
      </c>
      <c r="I17" s="9">
        <f t="shared" ca="1" si="7"/>
        <v>4190.6707813970197</v>
      </c>
      <c r="J17" s="9">
        <f t="shared" ca="1" si="7"/>
        <v>3205.3892186029807</v>
      </c>
      <c r="K17" s="9">
        <f t="shared" ca="1" si="7"/>
        <v>9687.739118065434</v>
      </c>
      <c r="L17" s="17">
        <f t="shared" ca="1" si="5"/>
        <v>24354.153141732924</v>
      </c>
      <c r="M17" s="17"/>
      <c r="N17" s="17"/>
      <c r="O17" s="9"/>
      <c r="P17" s="14"/>
      <c r="Q17" s="11">
        <f t="shared" ca="1" si="6"/>
        <v>24354.153141732924</v>
      </c>
      <c r="R17" s="17">
        <f t="shared" ca="1" si="4"/>
        <v>24354.153141732924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0.88279423342501728</v>
      </c>
      <c r="J18" s="39">
        <f ca="1">I18</f>
        <v>0.88279423342501728</v>
      </c>
      <c r="K18" s="40">
        <f ca="1">1-(-K13)/K17</f>
        <v>0.893447143451227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3521.5205796518062</v>
      </c>
      <c r="D2" s="9">
        <f ca="1">Q4/parameters!$B$3</f>
        <v>103.69326758579048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3625.2138472375968</v>
      </c>
      <c r="M2" s="17"/>
      <c r="N2" s="17">
        <f ca="1">Q2-(L2+O2+P2)</f>
        <v>523.33615276240198</v>
      </c>
      <c r="O2" s="11" cm="1">
        <f t="array" aca="1" ref="O2" ca="1">INDIRECT("'data'!$F$" &amp; $A$1)</f>
        <v>9251.4500000000007</v>
      </c>
      <c r="P2" s="13">
        <f ca="1">IF(-(L2-Q2+O2)&lt;0, -(L2-Q2+O2), 0)</f>
        <v>0</v>
      </c>
      <c r="Q2" s="17" cm="1">
        <f t="array" aca="1" ref="Q2" ca="1">INDIRECT("'data'!$D$" &amp; $A$1)</f>
        <v>13400</v>
      </c>
      <c r="R2" s="17">
        <f ca="1">SUM(L2:P2)</f>
        <v>13400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3186.9850746268658</v>
      </c>
      <c r="G3" s="14">
        <f ca="1">Q3-O3-P3-F3</f>
        <v>300.06492537313443</v>
      </c>
      <c r="H3" s="14"/>
      <c r="I3" s="14"/>
      <c r="J3" s="14"/>
      <c r="K3" s="13"/>
      <c r="L3" s="16">
        <f t="shared" ca="1" si="0"/>
        <v>3487.05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28.349999999999998</v>
      </c>
      <c r="P3" s="13" cm="1">
        <f t="array" aca="1" ref="P3" ca="1">-INDIRECT("'data'!$I$" &amp; $A$1)*parameters!$B$13</f>
        <v>-16.064999999999998</v>
      </c>
      <c r="Q3" s="16" cm="1">
        <f t="array" aca="1" ref="Q3" ca="1">INDIRECT("'data'!$G$" &amp; $A$1)*parameters!$B$13</f>
        <v>3499.335</v>
      </c>
      <c r="R3" s="16">
        <f t="shared" ref="R3:R10" ca="1" si="2">SUM(L3:P3)</f>
        <v>3499.335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103.04</v>
      </c>
      <c r="H4" s="14"/>
      <c r="I4" s="14"/>
      <c r="J4" s="14"/>
      <c r="K4" s="13"/>
      <c r="L4" s="16">
        <f t="shared" ca="1" si="0"/>
        <v>103.04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103.04</v>
      </c>
      <c r="R4" s="16">
        <f t="shared" ca="1" si="2"/>
        <v>103.04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796.74626865671644</v>
      </c>
      <c r="G5" s="14">
        <f ca="1">Q7/parameters!$B$7-(G3+G4)</f>
        <v>1583.5199440103559</v>
      </c>
      <c r="H5" s="14"/>
      <c r="I5" s="14"/>
      <c r="J5" s="14"/>
      <c r="K5" s="13"/>
      <c r="L5" s="16">
        <f t="shared" ca="1" si="0"/>
        <v>2380.2662126670721</v>
      </c>
      <c r="M5" s="16"/>
      <c r="N5" s="16"/>
      <c r="O5" s="11" cm="1">
        <f t="array" aca="1" ref="O5" ca="1">INDIRECT("'data'!$M$" &amp; $A$1)*parameters!$B$15</f>
        <v>708.54</v>
      </c>
      <c r="P5" s="13" cm="1">
        <f t="array" aca="1" ref="P5" ca="1">-INDIRECT("'data'!$N$" &amp; $A$1)*parameters!$B$15</f>
        <v>-420.42</v>
      </c>
      <c r="Q5" s="16">
        <f ca="1">SUM(L5:P5)</f>
        <v>2668.386212667072</v>
      </c>
      <c r="R5" s="16">
        <f t="shared" ca="1" si="2"/>
        <v>2668.386212667072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3736.74</v>
      </c>
      <c r="I6" s="14"/>
      <c r="J6" s="14"/>
      <c r="K6" s="13"/>
      <c r="L6" s="16">
        <f t="shared" ca="1" si="0"/>
        <v>3736.74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3736.74</v>
      </c>
      <c r="R6" s="16">
        <f t="shared" ca="1" si="2"/>
        <v>3736.74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1901.2</v>
      </c>
      <c r="I7" s="14"/>
      <c r="J7" s="14"/>
      <c r="K7" s="13"/>
      <c r="L7" s="16">
        <f t="shared" ca="1" si="0"/>
        <v>1901.2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1901.2</v>
      </c>
      <c r="R7" s="16">
        <f t="shared" ca="1" si="2"/>
        <v>1901.2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916.06102897655444</v>
      </c>
      <c r="J8" s="14">
        <f ca="1">Q10/J18</f>
        <v>4847.3189710234446</v>
      </c>
      <c r="K8" s="13"/>
      <c r="L8" s="16">
        <f t="shared" ca="1" si="0"/>
        <v>5763.3799999999992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292.04000000000002</v>
      </c>
      <c r="P8" s="13" cm="1">
        <f t="array" aca="1" ref="P8" ca="1">-INDIRECT("'data'!$S$" &amp; $A$1)*parameters!$B$15</f>
        <v>-417.48</v>
      </c>
      <c r="Q8" s="16">
        <f ca="1">SUM(Q6:Q7)</f>
        <v>5637.94</v>
      </c>
      <c r="R8" s="16">
        <f t="shared" ca="1" si="2"/>
        <v>5637.9399999999987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846.71999999999991</v>
      </c>
      <c r="L9" s="16">
        <f t="shared" ca="1" si="0"/>
        <v>846.71999999999991</v>
      </c>
      <c r="M9" s="16"/>
      <c r="N9" s="16">
        <f t="shared" ca="1" si="3"/>
        <v>0</v>
      </c>
      <c r="O9" s="11" cm="1">
        <f t="array" aca="1" ref="O9" ca="1">INDIRECT("'data'!$U$" &amp; $A$1)*parameters!$B$15</f>
        <v>734.02</v>
      </c>
      <c r="P9" s="13" cm="1">
        <f t="array" aca="1" ref="P9" ca="1">-INDIRECT("'data'!$V$" &amp; $A$1)*parameters!$B$15</f>
        <v>-812.42</v>
      </c>
      <c r="Q9" s="16" cm="1">
        <f t="array" aca="1" ref="Q9" ca="1">INDIRECT("'data'!$T$" &amp; $A$1)*parameters!$B$15</f>
        <v>768.31999999999994</v>
      </c>
      <c r="R9" s="16">
        <f t="shared" ca="1" si="2"/>
        <v>768.31999999999982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2362.3102133712655</v>
      </c>
      <c r="L10" s="16">
        <f t="shared" ca="1" si="0"/>
        <v>2362.3102133712655</v>
      </c>
      <c r="M10" s="16"/>
      <c r="N10" s="16">
        <f t="shared" ca="1" si="3"/>
        <v>0</v>
      </c>
      <c r="O10" s="11" cm="1">
        <f t="array" aca="1" ref="O10" ca="1">INDIRECT("'data'!$X$" &amp; $A$1)*parameters!$B$15</f>
        <v>3119.34</v>
      </c>
      <c r="P10" s="13" cm="1">
        <f t="array" aca="1" ref="P10" ca="1">-INDIRECT("'data'!$Y$" &amp; $A$1)*parameters!$B$15</f>
        <v>-1416.1</v>
      </c>
      <c r="Q10" s="16" cm="1">
        <f t="array" aca="1" ref="Q10" ca="1">INDIRECT("'data'!$W$" &amp; $A$1)*parameters!$B$15</f>
        <v>4065.5502133712657</v>
      </c>
      <c r="R10" s="16">
        <f t="shared" ca="1" si="2"/>
        <v>4065.5502133712657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2708.9235834992883</v>
      </c>
      <c r="N11" s="19"/>
      <c r="O11" s="21" cm="1">
        <f t="array" aca="1" ref="O11" ca="1">INDIRECT("'data'!$Z$" &amp; $A$1)*parameters!$B$15</f>
        <v>2119.7399999999998</v>
      </c>
      <c r="P11" s="27" cm="1">
        <f t="array" aca="1" ref="P11" ca="1">-INDIRECT("'data'!$AA$" &amp; $A$1)*parameters!$B$15</f>
        <v>-2001.1599999999999</v>
      </c>
      <c r="Q11" s="16">
        <f ca="1">K9*parameters!$B$10+K10*parameters!$B$11</f>
        <v>2827.5035834992882</v>
      </c>
      <c r="R11" s="16">
        <f t="shared" ref="R11:R17" ca="1" si="4">SUM(L11:P11)</f>
        <v>2827.5035834992887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-22.185579651806165</v>
      </c>
      <c r="D12" s="9">
        <f ca="1">-(D17-Q4)</f>
        <v>-0.6532675857904735</v>
      </c>
      <c r="E12" s="9">
        <f ca="1">-(E17-Q5)</f>
        <v>-329.80054313862684</v>
      </c>
      <c r="F12" s="9">
        <f ca="1">-(F17-Q6)</f>
        <v>-246.99134328358241</v>
      </c>
      <c r="G12" s="9">
        <f ca="1">-(G17-Q7)</f>
        <v>-85.424869383490204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-685.05560304329606</v>
      </c>
      <c r="M12" s="17"/>
      <c r="N12" s="17"/>
      <c r="O12" s="10"/>
      <c r="P12" s="12"/>
      <c r="Q12" s="9">
        <f t="shared" ref="Q12:Q17" ca="1" si="6">SUM(L12:P12)</f>
        <v>-685.05560304329606</v>
      </c>
      <c r="R12" s="17">
        <f t="shared" ca="1" si="4"/>
        <v>-685.05560304329606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-147.7410289765545</v>
      </c>
      <c r="J13" s="14">
        <f ca="1">-(J17-Q10)</f>
        <v>-781.76875765217892</v>
      </c>
      <c r="K13" s="13">
        <f ca="1">-(K17-Q11)</f>
        <v>-381.52662987197709</v>
      </c>
      <c r="L13" s="14">
        <f t="shared" ca="1" si="5"/>
        <v>-1311.0364165007104</v>
      </c>
      <c r="M13" s="16">
        <f ca="1">-E15</f>
        <v>-1687.1503393049884</v>
      </c>
      <c r="N13" s="16"/>
      <c r="O13" s="11"/>
      <c r="P13" s="13"/>
      <c r="Q13" s="14">
        <f t="shared" ca="1" si="6"/>
        <v>-2998.1867558056988</v>
      </c>
      <c r="R13" s="16">
        <f t="shared" ca="1" si="4"/>
        <v>-2998.1867558056988</v>
      </c>
    </row>
    <row r="14" spans="1:20">
      <c r="A14" s="18" t="s">
        <v>78</v>
      </c>
      <c r="B14" s="11"/>
      <c r="C14" s="14"/>
      <c r="D14" s="14"/>
      <c r="E14" s="14">
        <f ca="1">-(I13+J13)-K13</f>
        <v>1311.0364165007104</v>
      </c>
      <c r="F14" s="14"/>
      <c r="G14" s="14"/>
      <c r="H14" s="14"/>
      <c r="I14" s="14"/>
      <c r="J14" s="14"/>
      <c r="K14" s="13"/>
      <c r="L14" s="14">
        <f t="shared" ca="1" si="5"/>
        <v>1311.0364165007104</v>
      </c>
      <c r="M14" s="16"/>
      <c r="N14" s="16"/>
      <c r="O14" s="11"/>
      <c r="P14" s="13"/>
      <c r="Q14" s="14">
        <f t="shared" ca="1" si="6"/>
        <v>1311.0364165007104</v>
      </c>
      <c r="R14" s="16">
        <f t="shared" ca="1" si="4"/>
        <v>1311.0364165007104</v>
      </c>
    </row>
    <row r="15" spans="1:20">
      <c r="A15" s="18" t="s">
        <v>79</v>
      </c>
      <c r="B15" s="11"/>
      <c r="C15" s="14"/>
      <c r="D15" s="14"/>
      <c r="E15" s="14">
        <f ca="1">E17-E14</f>
        <v>1687.1503393049884</v>
      </c>
      <c r="F15" s="14"/>
      <c r="G15" s="14"/>
      <c r="H15" s="14"/>
      <c r="I15" s="14"/>
      <c r="J15" s="14"/>
      <c r="K15" s="13"/>
      <c r="L15" s="14">
        <f t="shared" ca="1" si="5"/>
        <v>1687.1503393049884</v>
      </c>
      <c r="M15" s="16"/>
      <c r="N15" s="16"/>
      <c r="O15" s="11"/>
      <c r="P15" s="13"/>
      <c r="Q15" s="14">
        <f t="shared" ca="1" si="6"/>
        <v>1687.1503393049884</v>
      </c>
      <c r="R15" s="16">
        <f t="shared" ca="1" si="4"/>
        <v>1687.1503393049884</v>
      </c>
    </row>
    <row r="16" spans="1:20">
      <c r="A16" s="30" t="s">
        <v>89</v>
      </c>
      <c r="B16" s="21">
        <f ca="1">Q2</f>
        <v>13400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13400</v>
      </c>
      <c r="M16" s="19"/>
      <c r="N16" s="19"/>
      <c r="O16" s="21"/>
      <c r="P16" s="27"/>
      <c r="Q16" s="22">
        <f t="shared" ca="1" si="6"/>
        <v>13400</v>
      </c>
      <c r="R16" s="19">
        <f t="shared" ca="1" si="4"/>
        <v>13400</v>
      </c>
    </row>
    <row r="17" spans="1:18">
      <c r="A17" s="29" t="s">
        <v>88</v>
      </c>
      <c r="B17" s="9">
        <f ca="1">B16</f>
        <v>13400</v>
      </c>
      <c r="C17" s="9">
        <f ca="1">SUM(C$2:C$11)</f>
        <v>3521.5205796518062</v>
      </c>
      <c r="D17" s="9">
        <f ca="1">SUM(D$2:D$11)</f>
        <v>103.69326758579048</v>
      </c>
      <c r="E17" s="9">
        <f ca="1">$Q$5/parameters!$B$4</f>
        <v>2998.1867558056988</v>
      </c>
      <c r="F17" s="9">
        <f t="shared" ref="F17:K17" ca="1" si="7">SUM(F$2:F$11)</f>
        <v>3983.7313432835822</v>
      </c>
      <c r="G17" s="9">
        <f t="shared" ca="1" si="7"/>
        <v>1986.6248693834902</v>
      </c>
      <c r="H17" s="9">
        <f t="shared" ca="1" si="7"/>
        <v>5637.94</v>
      </c>
      <c r="I17" s="9">
        <f t="shared" ca="1" si="7"/>
        <v>916.06102897655444</v>
      </c>
      <c r="J17" s="9">
        <f t="shared" ca="1" si="7"/>
        <v>4847.3189710234446</v>
      </c>
      <c r="K17" s="9">
        <f t="shared" ca="1" si="7"/>
        <v>3209.0302133712653</v>
      </c>
      <c r="L17" s="17">
        <f t="shared" ca="1" si="5"/>
        <v>40604.107029081635</v>
      </c>
      <c r="M17" s="17"/>
      <c r="N17" s="17"/>
      <c r="O17" s="9"/>
      <c r="P17" s="14"/>
      <c r="Q17" s="11">
        <f t="shared" ca="1" si="6"/>
        <v>40604.107029081635</v>
      </c>
      <c r="R17" s="17">
        <f t="shared" ca="1" si="4"/>
        <v>40604.107029081635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0.83872141232597308</v>
      </c>
      <c r="J18" s="39">
        <f ca="1">I18</f>
        <v>0.83872141232597308</v>
      </c>
      <c r="K18" s="40">
        <f ca="1">1-(-K13)/K17</f>
        <v>0.88110843323249299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2024-08-12T15:28:41Z</dcterms:modified>
</cp:coreProperties>
</file>