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F06E30D6-7FE9-A940-95FA-B2112BAFEB33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  <externalReference r:id="rId35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41" l="1"/>
  <c r="J18" i="41" s="1"/>
  <c r="I18" i="34"/>
  <c r="J18" i="34" s="1"/>
  <c r="I18" i="27"/>
  <c r="J18" i="27"/>
  <c r="I18" i="15"/>
  <c r="J18" i="15"/>
  <c r="I18" i="21"/>
  <c r="J18" i="21"/>
  <c r="I18" i="20"/>
  <c r="J18" i="20" s="1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3" i="49"/>
  <c r="G24" i="49"/>
  <c r="G25" i="49"/>
  <c r="G26" i="49"/>
  <c r="G27" i="49"/>
  <c r="G28" i="49"/>
  <c r="G29" i="49"/>
  <c r="G30" i="49"/>
  <c r="G31" i="49"/>
  <c r="G32" i="49"/>
  <c r="G3" i="49"/>
  <c r="J22" i="49" l="1"/>
  <c r="G22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O2" i="31" a="1"/>
  <c r="O3" i="11" a="1"/>
  <c r="P10" i="43" a="1"/>
  <c r="Q7" i="18" a="1"/>
  <c r="O10" i="33" a="1"/>
  <c r="Q7" i="15" a="1"/>
  <c r="P4" i="23" a="1"/>
  <c r="P3" i="31" a="1"/>
  <c r="Q9" i="11" a="1"/>
  <c r="O4" i="17" a="1"/>
  <c r="O2" i="33" a="1"/>
  <c r="P3" i="28" a="1"/>
  <c r="O2" i="27" a="1"/>
  <c r="O3" i="43" a="1"/>
  <c r="Q6" i="27" a="1"/>
  <c r="Q10" i="11" a="1"/>
  <c r="O5" i="33" a="1"/>
  <c r="Q4" i="22" a="1"/>
  <c r="P5" i="27" a="1"/>
  <c r="Q10" i="31" a="1"/>
  <c r="Q4" i="11" a="1"/>
  <c r="Q2" i="18" a="1"/>
  <c r="Q9" i="23" a="1"/>
  <c r="O5" i="38" a="1"/>
  <c r="P9" i="42" a="1"/>
  <c r="Q3" i="26" a="1"/>
  <c r="P10" i="37" a="1"/>
  <c r="O10" i="22" a="1"/>
  <c r="O2" i="20" a="1"/>
  <c r="P10" i="42" a="1"/>
  <c r="P9" i="33" a="1"/>
  <c r="O10" i="38" a="1"/>
  <c r="P8" i="26" a="1"/>
  <c r="P9" i="29" a="1"/>
  <c r="O4" i="19" a="1"/>
  <c r="P3" i="38" a="1"/>
  <c r="O3" i="27" a="1"/>
  <c r="P11" i="11" a="1"/>
  <c r="O4" i="21" a="1"/>
  <c r="P4" i="32" a="1"/>
  <c r="Q10" i="28" a="1"/>
  <c r="Q4" i="40" a="1"/>
  <c r="Q9" i="34" a="1"/>
  <c r="P8" i="29" a="1"/>
  <c r="P4" i="26" a="1"/>
  <c r="P4" i="17" a="1"/>
  <c r="O5" i="31" a="1"/>
  <c r="P5" i="38" a="1"/>
  <c r="O10" i="11" a="1"/>
  <c r="O8" i="27" a="1"/>
  <c r="O4" i="40" a="1"/>
  <c r="P8" i="28" a="1"/>
  <c r="Q2" i="20" a="1"/>
  <c r="O8" i="11" a="1"/>
  <c r="O11" i="43" a="1"/>
  <c r="Q10" i="18" a="1"/>
  <c r="P5" i="33" a="1"/>
  <c r="O2" i="38" a="1"/>
  <c r="O5" i="32" a="1"/>
  <c r="P8" i="20" a="1"/>
  <c r="P8" i="35" a="1"/>
  <c r="Q3" i="38" a="1"/>
  <c r="Q2" i="17" a="1"/>
  <c r="Q9" i="43" a="1"/>
  <c r="Q3" i="41" a="1"/>
  <c r="P10" i="38" a="1"/>
  <c r="Q10" i="27" a="1"/>
  <c r="P5" i="32" a="1"/>
  <c r="P5" i="41" a="1"/>
  <c r="O8" i="37" a="1"/>
  <c r="O3" i="22" a="1"/>
  <c r="Q6" i="22" a="1"/>
  <c r="P4" i="40" a="1"/>
  <c r="O10" i="16" a="1"/>
  <c r="O2" i="28" a="1"/>
  <c r="O5" i="37" a="1"/>
  <c r="Q7" i="38" a="1"/>
  <c r="P5" i="31" a="1"/>
  <c r="P10" i="27" a="1"/>
  <c r="P10" i="31" a="1"/>
  <c r="Q2" i="40" a="1"/>
  <c r="Q7" i="24" a="1"/>
  <c r="P8" i="31" a="1"/>
  <c r="O9" i="38" a="1"/>
  <c r="Q6" i="38" a="1"/>
  <c r="Q3" i="36" a="1"/>
  <c r="P11" i="14" a="1"/>
  <c r="Q9" i="39" a="1"/>
  <c r="P8" i="38" a="1"/>
  <c r="P9" i="23" a="1"/>
  <c r="O11" i="41" a="1"/>
  <c r="Q9" i="17" a="1"/>
  <c r="P11" i="29" a="1"/>
  <c r="P10" i="28" a="1"/>
  <c r="P4" i="33" a="1"/>
  <c r="O8" i="31" a="1"/>
  <c r="O3" i="26" a="1"/>
  <c r="Q4" i="16" a="1"/>
  <c r="Q9" i="40" a="1"/>
  <c r="P11" i="38" a="1"/>
  <c r="O5" i="24" a="1"/>
  <c r="O11" i="22" a="1"/>
  <c r="Q10" i="19" a="1"/>
  <c r="Q4" i="39" a="1"/>
  <c r="Q9" i="37" a="1"/>
  <c r="Q3" i="34" a="1"/>
  <c r="O11" i="38" a="1"/>
  <c r="Q3" i="39" a="1"/>
  <c r="Q4" i="43" a="1"/>
  <c r="P11" i="40" a="1"/>
  <c r="Q9" i="24" a="1"/>
  <c r="O3" i="19" a="1"/>
  <c r="Q2" i="19" a="1"/>
  <c r="O4" i="39" a="1"/>
  <c r="P9" i="26" a="1"/>
  <c r="Q6" i="30" a="1"/>
  <c r="P9" i="32" a="1"/>
  <c r="P10" i="35" a="1"/>
  <c r="O10" i="30" a="1"/>
  <c r="P4" i="22" a="1"/>
  <c r="P9" i="28" a="1"/>
  <c r="Q9" i="20" a="1"/>
  <c r="P9" i="43" a="1"/>
  <c r="P3" i="18" a="1"/>
  <c r="P9" i="18" a="1"/>
  <c r="Q3" i="31" a="1"/>
  <c r="P11" i="16" a="1"/>
  <c r="Q2" i="35" a="1"/>
  <c r="O9" i="21" a="1"/>
  <c r="O2" i="34" a="1"/>
  <c r="O11" i="33" a="1"/>
  <c r="O9" i="24" a="1"/>
  <c r="Q6" i="34" a="1"/>
  <c r="O9" i="42" a="1"/>
  <c r="Q10" i="24" a="1"/>
  <c r="P5" i="30" a="1"/>
  <c r="P9" i="40" a="1"/>
  <c r="P8" i="23" a="1"/>
  <c r="P11" i="35" a="1"/>
  <c r="P3" i="24" a="1"/>
  <c r="P8" i="11" a="1"/>
  <c r="Q6" i="36" a="1"/>
  <c r="P5" i="15" a="1"/>
  <c r="O4" i="32" a="1"/>
  <c r="O9" i="39" a="1"/>
  <c r="O2" i="21" a="1"/>
  <c r="O11" i="16" a="1"/>
  <c r="P9" i="27" a="1"/>
  <c r="Q2" i="24" a="1"/>
  <c r="O9" i="35" a="1"/>
  <c r="P8" i="33" a="1"/>
  <c r="O8" i="36" a="1"/>
  <c r="Q4" i="34" a="1"/>
  <c r="P10" i="24" a="1"/>
  <c r="Q7" i="28" a="1"/>
  <c r="O4" i="36" a="1"/>
  <c r="P11" i="18" a="1"/>
  <c r="P11" i="23" a="1"/>
  <c r="P9" i="22" a="1"/>
  <c r="O11" i="31" a="1"/>
  <c r="P3" i="20" a="1"/>
  <c r="P5" i="14" a="1"/>
  <c r="O3" i="20" a="1"/>
  <c r="Q7" i="21" a="1"/>
  <c r="Q3" i="24" a="1"/>
  <c r="P3" i="30" a="1"/>
  <c r="Q2" i="29" a="1"/>
  <c r="P3" i="35" a="1"/>
  <c r="P10" i="19" a="1"/>
  <c r="O9" i="17" a="1"/>
  <c r="P4" i="20" a="1"/>
  <c r="Q9" i="15" a="1"/>
  <c r="Q3" i="22" a="1"/>
  <c r="O10" i="39" a="1"/>
  <c r="Q4" i="33" a="1"/>
  <c r="P4" i="36" a="1"/>
  <c r="P9" i="41" a="1"/>
  <c r="P9" i="17" a="1"/>
  <c r="O10" i="24" a="1"/>
  <c r="O4" i="11" a="1"/>
  <c r="Q9" i="28" a="1"/>
  <c r="P11" i="36" a="1"/>
  <c r="Q3" i="33" a="1"/>
  <c r="O5" i="36" a="1"/>
  <c r="O9" i="26" a="1"/>
  <c r="O10" i="43" a="1"/>
  <c r="Q4" i="23" a="1"/>
  <c r="Q6" i="15" a="1"/>
  <c r="Q10" i="35" a="1"/>
  <c r="Q7" i="26" a="1"/>
  <c r="Q6" i="37" a="1"/>
  <c r="O3" i="38" a="1"/>
  <c r="O3" i="35" a="1"/>
  <c r="Q4" i="35" a="1"/>
  <c r="Q7" i="37" a="1"/>
  <c r="Q10" i="15" a="1"/>
  <c r="P4" i="37" a="1"/>
  <c r="P9" i="16" a="1"/>
  <c r="O9" i="16" a="1"/>
  <c r="Q4" i="19" a="1"/>
  <c r="O4" i="33" a="1"/>
  <c r="Q2" i="32" a="1"/>
  <c r="O8" i="42" a="1"/>
  <c r="O4" i="35" a="1"/>
  <c r="O11" i="24" a="1"/>
  <c r="O8" i="34" a="1"/>
  <c r="Q6" i="18" a="1"/>
  <c r="O10" i="31" a="1"/>
  <c r="P10" i="39" a="1"/>
  <c r="O2" i="40" a="1"/>
  <c r="Q4" i="24" a="1"/>
  <c r="O8" i="23" a="1"/>
  <c r="O2" i="29" a="1"/>
  <c r="O11" i="39" a="1"/>
  <c r="P10" i="41" a="1"/>
  <c r="P9" i="37" a="1"/>
  <c r="P11" i="30" a="1"/>
  <c r="O3" i="31" a="1"/>
  <c r="P10" i="32" a="1"/>
  <c r="O5" i="41" a="1"/>
  <c r="P4" i="24" a="1"/>
  <c r="Q6" i="21" a="1"/>
  <c r="Q4" i="18" a="1"/>
  <c r="Q3" i="37" a="1"/>
  <c r="Q7" i="14" a="1"/>
  <c r="P5" i="21" a="1"/>
  <c r="Q3" i="17" a="1"/>
  <c r="O4" i="24" a="1"/>
  <c r="P3" i="40" a="1"/>
  <c r="Q10" i="26" a="1"/>
  <c r="O11" i="17" a="1"/>
  <c r="O5" i="29" a="1"/>
  <c r="O8" i="26" a="1"/>
  <c r="O4" i="43" a="1"/>
  <c r="Q3" i="18" a="1"/>
  <c r="O9" i="15" a="1"/>
  <c r="Q9" i="33" a="1"/>
  <c r="Q6" i="16" a="1"/>
  <c r="P8" i="30" a="1"/>
  <c r="O9" i="43" a="1"/>
  <c r="O2" i="43" a="1"/>
  <c r="P8" i="41" a="1"/>
  <c r="Q4" i="15" a="1"/>
  <c r="P8" i="32" a="1"/>
  <c r="O5" i="16" a="1"/>
  <c r="O5" i="26" a="1"/>
  <c r="P5" i="16" a="1"/>
  <c r="O9" i="22" a="1"/>
  <c r="P8" i="36" a="1"/>
  <c r="P10" i="29" a="1"/>
  <c r="P4" i="34" a="1"/>
  <c r="O8" i="22" a="1"/>
  <c r="P10" i="11" a="1"/>
  <c r="O2" i="19" a="1"/>
  <c r="Q10" i="42" a="1"/>
  <c r="P10" i="40" a="1"/>
  <c r="P3" i="17" a="1"/>
  <c r="P3" i="23" a="1"/>
  <c r="P4" i="28" a="1"/>
  <c r="Q10" i="43" a="1"/>
  <c r="Q9" i="35" a="1"/>
  <c r="Q2" i="28" a="1"/>
  <c r="Q2" i="37" a="1"/>
  <c r="P4" i="43" a="1"/>
  <c r="O5" i="15" a="1"/>
  <c r="Q6" i="39" a="1"/>
  <c r="Q2" i="39" a="1"/>
  <c r="P10" i="30" a="1"/>
  <c r="O3" i="16" a="1"/>
  <c r="Q10" i="16" a="1"/>
  <c r="Q3" i="32" a="1"/>
  <c r="O8" i="17" a="1"/>
  <c r="O9" i="34" a="1"/>
  <c r="P5" i="23" a="1"/>
  <c r="O10" i="19" a="1"/>
  <c r="P3" i="16" a="1"/>
  <c r="Q10" i="21" a="1"/>
  <c r="Q2" i="43" a="1"/>
  <c r="P10" i="18" a="1"/>
  <c r="O10" i="17" a="1"/>
  <c r="O10" i="28" a="1"/>
  <c r="O5" i="14" a="1"/>
  <c r="O3" i="40" a="1"/>
  <c r="P8" i="34" a="1"/>
  <c r="P4" i="21" a="1"/>
  <c r="P8" i="22" a="1"/>
  <c r="O11" i="42" a="1"/>
  <c r="O10" i="35" a="1"/>
  <c r="O5" i="20" a="1"/>
  <c r="P5" i="35" a="1"/>
  <c r="Q9" i="19" a="1"/>
  <c r="P10" i="33" a="1"/>
  <c r="O8" i="14" a="1"/>
  <c r="P8" i="15" a="1"/>
  <c r="O11" i="32" a="1"/>
  <c r="O2" i="18" a="1"/>
  <c r="Q6" i="42" a="1"/>
  <c r="O2" i="11" a="1"/>
  <c r="O4" i="18" a="1"/>
  <c r="P3" i="33" a="1"/>
  <c r="O2" i="24" a="1"/>
  <c r="O8" i="41" a="1"/>
  <c r="O5" i="23" a="1"/>
  <c r="O9" i="30" a="1"/>
  <c r="P5" i="22" a="1"/>
  <c r="O2" i="30" a="1"/>
  <c r="P3" i="41" a="1"/>
  <c r="P9" i="36" a="1"/>
  <c r="O10" i="29" a="1"/>
  <c r="O4" i="42" a="1"/>
  <c r="O3" i="23" a="1"/>
  <c r="Q4" i="28" a="1"/>
  <c r="O4" i="14" a="1"/>
  <c r="O3" i="30" a="1"/>
  <c r="O5" i="19" a="1"/>
  <c r="Q4" i="38" a="1"/>
  <c r="Q4" i="20" a="1"/>
  <c r="Q4" i="42" a="1"/>
  <c r="P10" i="16" a="1"/>
  <c r="O11" i="19" a="1"/>
  <c r="P11" i="24" a="1"/>
  <c r="O10" i="15" a="1"/>
  <c r="P4" i="14" a="1"/>
  <c r="P9" i="35" a="1"/>
  <c r="O5" i="11" a="1"/>
  <c r="P4" i="16" a="1"/>
  <c r="Q6" i="33" a="1"/>
  <c r="Q6" i="19" a="1"/>
  <c r="P11" i="34" a="1"/>
  <c r="P10" i="26" a="1"/>
  <c r="Q10" i="37" a="1"/>
  <c r="Q10" i="39" a="1"/>
  <c r="O8" i="43" a="1"/>
  <c r="O8" i="24" a="1"/>
  <c r="Q3" i="20" a="1"/>
  <c r="Q7" i="30" a="1"/>
  <c r="O11" i="18" a="1"/>
  <c r="P9" i="19" a="1"/>
  <c r="O5" i="21" a="1"/>
  <c r="O4" i="15" a="1"/>
  <c r="Q2" i="41" a="1"/>
  <c r="P11" i="42" a="1"/>
  <c r="Q2" i="16" a="1"/>
  <c r="O3" i="24" a="1"/>
  <c r="O2" i="35" a="1"/>
  <c r="P5" i="18" a="1"/>
  <c r="Q10" i="40" a="1"/>
  <c r="O10" i="20" a="1"/>
  <c r="Q3" i="19" a="1"/>
  <c r="P4" i="41" a="1"/>
  <c r="P4" i="29" a="1"/>
  <c r="P3" i="37" a="1"/>
  <c r="P10" i="21" a="1"/>
  <c r="O4" i="29" a="1"/>
  <c r="P9" i="31" a="1"/>
  <c r="P11" i="39" a="1"/>
  <c r="O2" i="41" a="1"/>
  <c r="Q6" i="32" a="1"/>
  <c r="O9" i="37" a="1"/>
  <c r="Q4" i="27" a="1"/>
  <c r="Q10" i="29" a="1"/>
  <c r="O5" i="42" a="1"/>
  <c r="O4" i="20" a="1"/>
  <c r="P8" i="42" a="1"/>
  <c r="Q3" i="28" a="1"/>
  <c r="O10" i="36" a="1"/>
  <c r="P11" i="28" a="1"/>
  <c r="O4" i="26" a="1"/>
  <c r="O10" i="26" a="1"/>
  <c r="Q9" i="21" a="1"/>
  <c r="P4" i="19" a="1"/>
  <c r="Q6" i="43" a="1"/>
  <c r="O9" i="28" a="1"/>
  <c r="P4" i="31" a="1"/>
  <c r="Q9" i="22" a="1"/>
  <c r="O11" i="40" a="1"/>
  <c r="P10" i="34" a="1"/>
  <c r="O11" i="30" a="1"/>
  <c r="Q7" i="11" a="1"/>
  <c r="P4" i="27" a="1"/>
  <c r="P3" i="39" a="1"/>
  <c r="Q3" i="23" a="1"/>
  <c r="P8" i="19" a="1"/>
  <c r="Q2" i="26" a="1"/>
  <c r="P11" i="37" a="1"/>
  <c r="P11" i="33" a="1"/>
  <c r="O11" i="29" a="1"/>
  <c r="P8" i="39" a="1"/>
  <c r="O4" i="22" a="1"/>
  <c r="P3" i="32" a="1"/>
  <c r="P5" i="29" a="1"/>
  <c r="P9" i="21" a="1"/>
  <c r="P8" i="21" a="1"/>
  <c r="Q9" i="16" a="1"/>
  <c r="P9" i="20" a="1"/>
  <c r="Q6" i="26" a="1"/>
  <c r="Q7" i="19" a="1"/>
  <c r="O11" i="36" a="1"/>
  <c r="O4" i="38" a="1"/>
  <c r="P5" i="37" a="1"/>
  <c r="O2" i="32" a="1"/>
  <c r="O5" i="30" a="1"/>
  <c r="O8" i="21" a="1"/>
  <c r="P3" i="27" a="1"/>
  <c r="O8" i="19" a="1"/>
  <c r="O4" i="30" a="1"/>
  <c r="Q9" i="32" a="1"/>
  <c r="Q7" i="33" a="1"/>
  <c r="O9" i="23" a="1"/>
  <c r="P4" i="38" a="1"/>
  <c r="Q3" i="43" a="1"/>
  <c r="O5" i="17" a="1"/>
  <c r="Q7" i="16" a="1"/>
  <c r="O11" i="20" a="1"/>
  <c r="P5" i="40" a="1"/>
  <c r="O9" i="20" a="1"/>
  <c r="Q4" i="29" a="1"/>
  <c r="Q10" i="33" a="1"/>
  <c r="P8" i="24" a="1"/>
  <c r="Q2" i="15" a="1"/>
  <c r="O3" i="15" a="1"/>
  <c r="O10" i="21" a="1"/>
  <c r="O4" i="28" a="1"/>
  <c r="P9" i="14" a="1"/>
  <c r="Q6" i="31" a="1"/>
  <c r="O10" i="34" a="1"/>
  <c r="O8" i="30" a="1"/>
  <c r="P3" i="21" a="1"/>
  <c r="O11" i="14" a="1"/>
  <c r="O11" i="21" a="1"/>
  <c r="O8" i="15" a="1"/>
  <c r="O11" i="11" a="1"/>
  <c r="O2" i="26" a="1"/>
  <c r="Q3" i="16" a="1"/>
  <c r="O4" i="31" a="1"/>
  <c r="O10" i="32" a="1"/>
  <c r="Q9" i="36" a="1"/>
  <c r="P3" i="11" a="1"/>
  <c r="O4" i="34" a="1"/>
  <c r="O5" i="39" a="1"/>
  <c r="Q2" i="38" a="1"/>
  <c r="Q9" i="18" a="1"/>
  <c r="Q2" i="33" a="1"/>
  <c r="Q9" i="29" a="1"/>
  <c r="O9" i="11" a="1"/>
  <c r="Q3" i="11" a="1"/>
  <c r="P8" i="16" a="1"/>
  <c r="O2" i="14" a="1"/>
  <c r="Q7" i="27" a="1"/>
  <c r="Q2" i="36" a="1"/>
  <c r="Q9" i="31" a="1"/>
  <c r="O3" i="29" a="1"/>
  <c r="Q7" i="43" a="1"/>
  <c r="P9" i="39" a="1"/>
  <c r="Q7" i="40" a="1"/>
  <c r="P8" i="43" a="1"/>
  <c r="Q6" i="40" a="1"/>
  <c r="Q6" i="11" a="1"/>
  <c r="Q3" i="42" a="1"/>
  <c r="O11" i="34" a="1"/>
  <c r="P4" i="11" a="1"/>
  <c r="Q7" i="31" a="1"/>
  <c r="P4" i="18" a="1"/>
  <c r="Q4" i="41" a="1"/>
  <c r="O4" i="41" a="1"/>
  <c r="O3" i="33" a="1"/>
  <c r="P5" i="42" a="1"/>
  <c r="Q3" i="15" a="1"/>
  <c r="P4" i="15" a="1"/>
  <c r="Q6" i="24" a="1"/>
  <c r="Q9" i="42" a="1"/>
  <c r="P3" i="26" a="1"/>
  <c r="P5" i="36" a="1"/>
  <c r="Q3" i="35" a="1"/>
  <c r="P5" i="24" a="1"/>
  <c r="P10" i="17" a="1"/>
  <c r="O5" i="40" a="1"/>
  <c r="P4" i="35" a="1"/>
  <c r="O9" i="41" a="1"/>
  <c r="P5" i="26" a="1"/>
  <c r="O5" i="35" a="1"/>
  <c r="Q2" i="27" a="1"/>
  <c r="O5" i="43" a="1"/>
  <c r="Q7" i="35" a="1"/>
  <c r="O11" i="37" a="1"/>
  <c r="Q2" i="22" a="1"/>
  <c r="Q6" i="23" a="1"/>
  <c r="P3" i="15" a="1"/>
  <c r="O9" i="36" a="1"/>
  <c r="P11" i="31" a="1"/>
  <c r="O10" i="37" a="1"/>
  <c r="O5" i="34" a="1"/>
  <c r="O3" i="42" a="1"/>
  <c r="O10" i="40" a="1"/>
  <c r="O5" i="22" a="1"/>
  <c r="O9" i="27" a="1"/>
  <c r="Q10" i="41" a="1"/>
  <c r="O3" i="17" a="1"/>
  <c r="P9" i="34" a="1"/>
  <c r="P9" i="38" a="1"/>
  <c r="O9" i="32" a="1"/>
  <c r="O4" i="23" a="1"/>
  <c r="P10" i="22" a="1"/>
  <c r="Q4" i="14" a="1"/>
  <c r="O8" i="28" a="1"/>
  <c r="Q7" i="22" a="1"/>
  <c r="P5" i="39" a="1"/>
  <c r="O10" i="41" a="1"/>
  <c r="O8" i="29" a="1"/>
  <c r="O11" i="28" a="1"/>
  <c r="P9" i="30" a="1"/>
  <c r="O9" i="19" a="1"/>
  <c r="Q2" i="11" a="1"/>
  <c r="Q9" i="30" a="1"/>
  <c r="P11" i="41" a="1"/>
  <c r="Q10" i="17" a="1"/>
  <c r="P10" i="14" a="1"/>
  <c r="Q7" i="20" a="1"/>
  <c r="Q6" i="28" a="1"/>
  <c r="Q3" i="27" a="1"/>
  <c r="O2" i="17" a="1"/>
  <c r="P8" i="27" a="1"/>
  <c r="P5" i="17" a="1"/>
  <c r="Q4" i="17" a="1"/>
  <c r="Q3" i="29" a="1"/>
  <c r="Q4" i="30" a="1"/>
  <c r="Q4" i="37" a="1"/>
  <c r="O3" i="14" a="1"/>
  <c r="P8" i="17" a="1"/>
  <c r="O5" i="28" a="1"/>
  <c r="P10" i="36" a="1"/>
  <c r="O9" i="18" a="1"/>
  <c r="O3" i="34" a="1"/>
  <c r="O5" i="27" a="1"/>
  <c r="P11" i="32" a="1"/>
  <c r="O2" i="42" a="1"/>
  <c r="O8" i="40" a="1"/>
  <c r="O2" i="22" a="1"/>
  <c r="Q10" i="14" a="1"/>
  <c r="O11" i="23" a="1"/>
  <c r="Q3" i="21" a="1"/>
  <c r="O11" i="26" a="1"/>
  <c r="O11" i="27" a="1"/>
  <c r="O10" i="27" a="1"/>
  <c r="Q7" i="36" a="1"/>
  <c r="O2" i="16" a="1"/>
  <c r="O2" i="15" a="1"/>
  <c r="O3" i="32" a="1"/>
  <c r="Q2" i="14" a="1"/>
  <c r="Q6" i="17" a="1"/>
  <c r="O10" i="42" a="1"/>
  <c r="O5" i="18" a="1"/>
  <c r="O8" i="33" a="1"/>
  <c r="P8" i="14" a="1"/>
  <c r="P11" i="22" a="1"/>
  <c r="Q7" i="41" a="1"/>
  <c r="Q2" i="31" a="1"/>
  <c r="Q2" i="42" a="1"/>
  <c r="O9" i="29" a="1"/>
  <c r="Q10" i="36" a="1"/>
  <c r="Q7" i="42" a="1"/>
  <c r="Q4" i="36" a="1"/>
  <c r="Q2" i="21" a="1"/>
  <c r="O2" i="37" a="1"/>
  <c r="O8" i="20" a="1"/>
  <c r="O11" i="35" a="1"/>
  <c r="Q7" i="23" a="1"/>
  <c r="O8" i="39" a="1"/>
  <c r="P10" i="20" a="1"/>
  <c r="P5" i="28" a="1"/>
  <c r="O8" i="32" a="1"/>
  <c r="P8" i="37" a="1"/>
  <c r="Q10" i="23" a="1"/>
  <c r="O8" i="18" a="1"/>
  <c r="Q3" i="30" a="1"/>
  <c r="O4" i="37" a="1"/>
  <c r="P4" i="30" a="1"/>
  <c r="P3" i="42" a="1"/>
  <c r="Q4" i="21" a="1"/>
  <c r="O3" i="18" a="1"/>
  <c r="O3" i="37" a="1"/>
  <c r="P10" i="23" a="1"/>
  <c r="O9" i="40" a="1"/>
  <c r="Q7" i="39" a="1"/>
  <c r="O4" i="16" a="1"/>
  <c r="P5" i="11" a="1"/>
  <c r="P5" i="20" a="1"/>
  <c r="O11" i="15" a="1"/>
  <c r="O3" i="39" a="1"/>
  <c r="P4" i="39" a="1"/>
  <c r="P3" i="34" a="1"/>
  <c r="P11" i="26" a="1"/>
  <c r="P3" i="22" a="1"/>
  <c r="Q9" i="38" a="1"/>
  <c r="O9" i="33" a="1"/>
  <c r="P5" i="19" a="1"/>
  <c r="O8" i="35" a="1"/>
  <c r="O2" i="23" a="1"/>
  <c r="P11" i="19" a="1"/>
  <c r="Q10" i="22" a="1"/>
  <c r="Q6" i="29" a="1"/>
  <c r="P11" i="20" a="1"/>
  <c r="P8" i="40" a="1"/>
  <c r="Q6" i="14" a="1"/>
  <c r="P11" i="43" a="1"/>
  <c r="P8" i="18" a="1"/>
  <c r="Q2" i="30" a="1"/>
  <c r="Q4" i="26" a="1"/>
  <c r="P11" i="17" a="1"/>
  <c r="O10" i="18" a="1"/>
  <c r="O10" i="23" a="1"/>
  <c r="Q4" i="31" a="1"/>
  <c r="Q6" i="35" a="1"/>
  <c r="Q7" i="29" a="1"/>
  <c r="O10" i="14" a="1"/>
  <c r="Q10" i="34" a="1"/>
  <c r="Q10" i="32" a="1"/>
  <c r="O3" i="28" a="1"/>
  <c r="P3" i="19" a="1"/>
  <c r="Q10" i="20" a="1"/>
  <c r="O8" i="16" a="1"/>
  <c r="Q7" i="32" a="1"/>
  <c r="O3" i="21" a="1"/>
  <c r="P4" i="42" a="1"/>
  <c r="P9" i="11" a="1"/>
  <c r="P9" i="15" a="1"/>
  <c r="O4" i="27" a="1"/>
  <c r="O2" i="36" a="1"/>
  <c r="P9" i="24" a="1"/>
  <c r="Q3" i="40" a="1"/>
  <c r="O3" i="41" a="1"/>
  <c r="Q9" i="41" a="1"/>
  <c r="P3" i="14" a="1"/>
  <c r="Q9" i="27" a="1"/>
  <c r="P11" i="27" a="1"/>
  <c r="P5" i="34" a="1"/>
  <c r="Q9" i="14" a="1"/>
  <c r="Q3" i="14" a="1"/>
  <c r="Q4" i="32" a="1"/>
  <c r="P11" i="21" a="1"/>
  <c r="P3" i="29" a="1"/>
  <c r="Q10" i="30" a="1"/>
  <c r="Q7" i="34" a="1"/>
  <c r="O8" i="38" a="1"/>
  <c r="O2" i="39" a="1"/>
  <c r="O9" i="31" a="1"/>
  <c r="P3" i="43" a="1"/>
  <c r="Q9" i="26" a="1"/>
  <c r="P10" i="15" a="1"/>
  <c r="O9" i="14" a="1"/>
  <c r="Q6" i="41" a="1"/>
  <c r="P11" i="15" a="1"/>
  <c r="O3" i="36" a="1"/>
  <c r="P3" i="36" a="1"/>
  <c r="Q7" i="17" a="1"/>
  <c r="P5" i="43" a="1"/>
  <c r="Q2" i="23" a="1"/>
  <c r="Q10" i="38" a="1"/>
  <c r="Q2" i="34" a="1"/>
  <c r="Q6" i="19" l="1"/>
  <c r="Q6" i="35"/>
  <c r="F5" i="35" s="1"/>
  <c r="Q6" i="26"/>
  <c r="Q6" i="43"/>
  <c r="Q6" i="34"/>
  <c r="F5" i="34" s="1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Q6" i="37"/>
  <c r="Q6" i="28"/>
  <c r="Q6" i="17"/>
  <c r="Q6" i="36"/>
  <c r="F5" i="36" s="1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B16" i="34" s="1"/>
  <c r="B17" i="34" s="1"/>
  <c r="B12" i="34" s="1"/>
  <c r="B18" i="34" s="1"/>
  <c r="O11" i="34"/>
  <c r="Q9" i="33"/>
  <c r="Q2" i="18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G4" i="41" l="1"/>
  <c r="F3" i="16"/>
  <c r="G3" i="16" s="1"/>
  <c r="G4" i="39"/>
  <c r="F3" i="39"/>
  <c r="G3" i="39" s="1"/>
  <c r="G4" i="18"/>
  <c r="F5" i="18"/>
  <c r="F3" i="18" s="1"/>
  <c r="G3" i="18" s="1"/>
  <c r="H7" i="34"/>
  <c r="K9" i="34"/>
  <c r="C2" i="34"/>
  <c r="C17" i="34" s="1"/>
  <c r="C12" i="34" s="1"/>
  <c r="C18" i="34" s="1"/>
  <c r="F3" i="34"/>
  <c r="H6" i="34"/>
  <c r="G4" i="34"/>
  <c r="D2" i="34"/>
  <c r="D17" i="34" s="1"/>
  <c r="D12" i="34" s="1"/>
  <c r="D18" i="34" s="1"/>
  <c r="K10" i="34"/>
  <c r="F3" i="20"/>
  <c r="G3" i="20" s="1"/>
  <c r="G4" i="20"/>
  <c r="H7" i="15"/>
  <c r="C2" i="15"/>
  <c r="C17" i="15" s="1"/>
  <c r="C12" i="15" s="1"/>
  <c r="C18" i="15" s="1"/>
  <c r="K10" i="15"/>
  <c r="F3" i="15"/>
  <c r="F17" i="15" s="1"/>
  <c r="F12" i="15" s="1"/>
  <c r="F18" i="15" s="1"/>
  <c r="H6" i="15"/>
  <c r="K9" i="15"/>
  <c r="G4" i="15"/>
  <c r="D2" i="15"/>
  <c r="D17" i="15" s="1"/>
  <c r="D12" i="15" s="1"/>
  <c r="D18" i="15" s="1"/>
  <c r="K9" i="35"/>
  <c r="C2" i="35"/>
  <c r="C17" i="35" s="1"/>
  <c r="C12" i="35" s="1"/>
  <c r="C18" i="35" s="1"/>
  <c r="H7" i="35"/>
  <c r="K10" i="35"/>
  <c r="D2" i="35"/>
  <c r="D17" i="35" s="1"/>
  <c r="D12" i="35" s="1"/>
  <c r="D18" i="35" s="1"/>
  <c r="G4" i="35"/>
  <c r="F3" i="35"/>
  <c r="F17" i="35" s="1"/>
  <c r="F12" i="35" s="1"/>
  <c r="F18" i="35" s="1"/>
  <c r="H6" i="35"/>
  <c r="F5" i="11"/>
  <c r="F5" i="26"/>
  <c r="F5" i="37"/>
  <c r="F5" i="29"/>
  <c r="F5" i="40"/>
  <c r="F5" i="19"/>
  <c r="F5" i="17"/>
  <c r="F5" i="28"/>
  <c r="F5" i="41"/>
  <c r="F5" i="42"/>
  <c r="F5" i="30"/>
  <c r="F5" i="43"/>
  <c r="F5" i="22"/>
  <c r="F5" i="31"/>
  <c r="F5" i="23"/>
  <c r="F5" i="32"/>
  <c r="F5" i="24"/>
  <c r="F5" i="33"/>
  <c r="F5" i="38"/>
  <c r="Q8" i="17"/>
  <c r="Q8" i="23"/>
  <c r="Q8" i="32"/>
  <c r="Q8" i="15"/>
  <c r="Q8" i="18"/>
  <c r="Q8" i="14"/>
  <c r="Q8" i="36"/>
  <c r="Q8" i="39"/>
  <c r="Q8" i="34"/>
  <c r="Q8" i="26"/>
  <c r="Q8" i="16"/>
  <c r="Q8" i="37"/>
  <c r="Q8" i="27"/>
  <c r="Q8" i="40"/>
  <c r="Q8" i="41"/>
  <c r="Q8" i="11"/>
  <c r="Q8" i="29"/>
  <c r="I18" i="29" s="1"/>
  <c r="J18" i="29" s="1"/>
  <c r="Q8" i="42"/>
  <c r="Q8" i="21"/>
  <c r="Q8" i="30"/>
  <c r="Q8" i="43"/>
  <c r="Q8" i="28"/>
  <c r="Q8" i="22"/>
  <c r="Q8" i="31"/>
  <c r="Q8" i="20"/>
  <c r="Q8" i="35"/>
  <c r="I18" i="35" s="1"/>
  <c r="J18" i="35" s="1"/>
  <c r="Q8" i="24"/>
  <c r="Q8" i="33"/>
  <c r="Q8" i="38"/>
  <c r="G5" i="39" l="1"/>
  <c r="J8" i="34"/>
  <c r="J17" i="34" s="1"/>
  <c r="J13" i="34" s="1"/>
  <c r="I8" i="34"/>
  <c r="I17" i="34" s="1"/>
  <c r="I13" i="34" s="1"/>
  <c r="G5" i="18"/>
  <c r="K17" i="34"/>
  <c r="F17" i="34"/>
  <c r="F12" i="34" s="1"/>
  <c r="F18" i="34" s="1"/>
  <c r="G3" i="34"/>
  <c r="H17" i="34"/>
  <c r="H12" i="34" s="1"/>
  <c r="H18" i="34" s="1"/>
  <c r="J8" i="35"/>
  <c r="J17" i="35" s="1"/>
  <c r="J13" i="35" s="1"/>
  <c r="I8" i="35"/>
  <c r="I17" i="35" s="1"/>
  <c r="I13" i="35" s="1"/>
  <c r="J8" i="15"/>
  <c r="J17" i="15" s="1"/>
  <c r="J13" i="15" s="1"/>
  <c r="I8" i="15"/>
  <c r="I17" i="15" s="1"/>
  <c r="I13" i="15" s="1"/>
  <c r="G5" i="20"/>
  <c r="H17" i="15"/>
  <c r="H12" i="15" s="1"/>
  <c r="H18" i="15" s="1"/>
  <c r="K17" i="15"/>
  <c r="G3" i="15"/>
  <c r="G5" i="15" s="1"/>
  <c r="G17" i="15" s="1"/>
  <c r="G12" i="15" s="1"/>
  <c r="G18" i="15" s="1"/>
  <c r="H17" i="35"/>
  <c r="H12" i="35" s="1"/>
  <c r="H18" i="35" s="1"/>
  <c r="G3" i="35"/>
  <c r="K17" i="35"/>
  <c r="I18" i="37"/>
  <c r="I18" i="14"/>
  <c r="J18" i="14" s="1"/>
  <c r="L2" i="35"/>
  <c r="P2" i="35" s="1"/>
  <c r="G5" i="34" l="1"/>
  <c r="G17" i="34" s="1"/>
  <c r="G12" i="34" s="1"/>
  <c r="G18" i="34" s="1"/>
  <c r="G5" i="35"/>
  <c r="G17" i="35" s="1"/>
  <c r="G12" i="35" s="1"/>
  <c r="G18" i="3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N4" i="39" l="1"/>
  <c r="R4" i="39" s="1"/>
  <c r="D17" i="39"/>
  <c r="D12" i="39" s="1"/>
  <c r="D17" i="38"/>
  <c r="D12" i="38" s="1"/>
  <c r="D17" i="40"/>
  <c r="D17" i="41"/>
  <c r="D12" i="41" s="1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L2" i="34" l="1"/>
  <c r="P2" i="34" s="1"/>
  <c r="L10" i="34" l="1"/>
  <c r="N10" i="34" s="1"/>
  <c r="R10" i="34" l="1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G4" i="19"/>
  <c r="L4" i="19" s="1"/>
  <c r="D2" i="19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9"/>
  <c r="R4" i="19" s="1"/>
  <c r="C12" i="19"/>
  <c r="C18" i="19" s="1"/>
  <c r="L2" i="19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N2" i="20"/>
  <c r="R2" i="20" s="1"/>
  <c r="B16" i="20"/>
  <c r="Q11" i="34"/>
  <c r="K13" i="34" s="1"/>
  <c r="G4" i="29"/>
  <c r="L4" i="29" s="1"/>
  <c r="F3" i="17"/>
  <c r="F3" i="22"/>
  <c r="F3" i="11"/>
  <c r="B16" i="37"/>
  <c r="B17" i="37" s="1"/>
  <c r="B12" i="37" s="1"/>
  <c r="B18" i="37" s="1"/>
  <c r="B16" i="39"/>
  <c r="L16" i="39" s="1"/>
  <c r="H6" i="39"/>
  <c r="L6" i="39" s="1"/>
  <c r="N6" i="39" s="1"/>
  <c r="R6" i="39" s="1"/>
  <c r="F3" i="33"/>
  <c r="G3" i="33" s="1"/>
  <c r="H6" i="33"/>
  <c r="L6" i="33" s="1"/>
  <c r="N6" i="33" s="1"/>
  <c r="R6" i="33" s="1"/>
  <c r="L6" i="34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G5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K18" i="34" l="1"/>
  <c r="E14" i="34"/>
  <c r="F17" i="22"/>
  <c r="F12" i="22" s="1"/>
  <c r="F18" i="22" s="1"/>
  <c r="G3" i="22"/>
  <c r="F17" i="16"/>
  <c r="F12" i="16" s="1"/>
  <c r="F18" i="16" s="1"/>
  <c r="F17" i="11"/>
  <c r="F12" i="11" s="1"/>
  <c r="F18" i="11" s="1"/>
  <c r="G3" i="11"/>
  <c r="F17" i="17"/>
  <c r="F12" i="17" s="1"/>
  <c r="F18" i="17" s="1"/>
  <c r="G3" i="17"/>
  <c r="F17" i="18"/>
  <c r="F12" i="18" s="1"/>
  <c r="F18" i="18" s="1"/>
  <c r="F17" i="39"/>
  <c r="F12" i="39" s="1"/>
  <c r="F18" i="39" s="1"/>
  <c r="Q11" i="15"/>
  <c r="K13" i="15" s="1"/>
  <c r="Q11" i="11"/>
  <c r="Q11" i="17"/>
  <c r="Q11" i="18"/>
  <c r="Q11" i="22"/>
  <c r="Q11" i="16"/>
  <c r="Q11" i="21"/>
  <c r="Q11" i="14"/>
  <c r="Q11" i="37"/>
  <c r="L9" i="20"/>
  <c r="M11" i="20"/>
  <c r="K17" i="20"/>
  <c r="B17" i="20"/>
  <c r="L16" i="20"/>
  <c r="I8" i="20"/>
  <c r="J8" i="20"/>
  <c r="J17" i="20" s="1"/>
  <c r="J13" i="20" s="1"/>
  <c r="L7" i="20"/>
  <c r="H17" i="20"/>
  <c r="H12" i="20" s="1"/>
  <c r="H18" i="20" s="1"/>
  <c r="Q11" i="19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8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5" l="1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I18" i="19"/>
  <c r="J18" i="19" s="1"/>
  <c r="R11" i="34"/>
  <c r="R11" i="20"/>
  <c r="L3" i="34"/>
  <c r="L3" i="15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18"/>
  <c r="J18" i="18" s="1"/>
  <c r="J8" i="18" s="1"/>
  <c r="I18" i="31"/>
  <c r="J18" i="31" s="1"/>
  <c r="J8" i="31" s="1"/>
  <c r="J17" i="31" s="1"/>
  <c r="J13" i="31" s="1"/>
  <c r="R2" i="42"/>
  <c r="I18" i="17"/>
  <c r="I8" i="17" s="1"/>
  <c r="I17" i="17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J8" i="29"/>
  <c r="J17" i="29" s="1"/>
  <c r="J13" i="29" s="1"/>
  <c r="I18" i="39"/>
  <c r="I18" i="30"/>
  <c r="I18" i="38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19"/>
  <c r="K18" i="19" s="1"/>
  <c r="K13" i="21"/>
  <c r="K18" i="21" s="1"/>
  <c r="K13" i="18"/>
  <c r="K18" i="18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I8" i="19" l="1"/>
  <c r="I17" i="19" s="1"/>
  <c r="I13" i="19" s="1"/>
  <c r="R11" i="21"/>
  <c r="R11" i="40"/>
  <c r="R11" i="26"/>
  <c r="R11" i="39"/>
  <c r="R11" i="11"/>
  <c r="R11" i="41"/>
  <c r="R11" i="29"/>
  <c r="R11" i="15"/>
  <c r="R11" i="42"/>
  <c r="R11" i="38"/>
  <c r="R11" i="18"/>
  <c r="R11" i="31"/>
  <c r="R11" i="24"/>
  <c r="R11" i="16"/>
  <c r="R11" i="17"/>
  <c r="R11" i="23"/>
  <c r="R11" i="36"/>
  <c r="R11" i="33"/>
  <c r="R11" i="37"/>
  <c r="R11" i="22"/>
  <c r="R11" i="28"/>
  <c r="R11" i="27"/>
  <c r="R11" i="14"/>
  <c r="R11" i="32"/>
  <c r="R11" i="30"/>
  <c r="R11" i="19"/>
  <c r="Q5" i="31"/>
  <c r="Q5" i="40"/>
  <c r="Q5" i="22"/>
  <c r="Q5" i="28"/>
  <c r="E17" i="28" s="1"/>
  <c r="E12" i="28" s="1"/>
  <c r="E18" i="28" s="1"/>
  <c r="Q5" i="30"/>
  <c r="E17" i="30" s="1"/>
  <c r="E12" i="30" s="1"/>
  <c r="E18" i="30" s="1"/>
  <c r="R5" i="23"/>
  <c r="Q5" i="23"/>
  <c r="E17" i="23" s="1"/>
  <c r="E12" i="23" s="1"/>
  <c r="E18" i="23" s="1"/>
  <c r="E14" i="20"/>
  <c r="L13" i="20"/>
  <c r="L8" i="15"/>
  <c r="N8" i="15" s="1"/>
  <c r="R8" i="15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R16" i="15"/>
  <c r="Q16" i="15"/>
  <c r="J17" i="22"/>
  <c r="J13" i="22" s="1"/>
  <c r="J17" i="18"/>
  <c r="J13" i="18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N5" i="29" l="1"/>
  <c r="Q5" i="29" s="1"/>
  <c r="L4" i="20"/>
  <c r="Q5" i="21"/>
  <c r="Q5" i="43"/>
  <c r="Q5" i="32"/>
  <c r="N3" i="23"/>
  <c r="R3" i="23" s="1"/>
  <c r="Q5" i="42"/>
  <c r="Q5" i="14"/>
  <c r="Q5" i="27"/>
  <c r="Q5" i="39"/>
  <c r="Q5" i="36"/>
  <c r="Q5" i="17"/>
  <c r="E17" i="17" s="1"/>
  <c r="E12" i="17" s="1"/>
  <c r="E18" i="17" s="1"/>
  <c r="Q5" i="38"/>
  <c r="Q5" i="33"/>
  <c r="Q5" i="26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24"/>
  <c r="R3" i="24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33"/>
  <c r="R5" i="26"/>
  <c r="G17" i="36"/>
  <c r="G12" i="36" s="1"/>
  <c r="G18" i="36" s="1"/>
  <c r="R5" i="42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K13" i="43"/>
  <c r="K18" i="43" s="1"/>
  <c r="L12" i="30"/>
  <c r="R16" i="23"/>
  <c r="Q16" i="23"/>
  <c r="B12" i="23"/>
  <c r="B18" i="23" s="1"/>
  <c r="L13" i="34"/>
  <c r="N8" i="41"/>
  <c r="I13" i="41"/>
  <c r="E14" i="16"/>
  <c r="G5" i="16" s="1"/>
  <c r="L13" i="16"/>
  <c r="L13" i="21"/>
  <c r="E14" i="21"/>
  <c r="G17" i="21"/>
  <c r="G12" i="21" s="1"/>
  <c r="G18" i="21" s="1"/>
  <c r="G17" i="14"/>
  <c r="G12" i="14" s="1"/>
  <c r="G18" i="14" s="1"/>
  <c r="E14" i="11"/>
  <c r="E17" i="22"/>
  <c r="L17" i="22" s="1"/>
  <c r="L13" i="19"/>
  <c r="E14" i="19"/>
  <c r="E14" i="22"/>
  <c r="L13" i="22"/>
  <c r="L13" i="18"/>
  <c r="E14" i="18"/>
  <c r="R5" i="21"/>
  <c r="N3" i="14"/>
  <c r="R3" i="14" s="1"/>
  <c r="R5" i="14"/>
  <c r="G4" i="16" l="1"/>
  <c r="L5" i="16"/>
  <c r="R5" i="29"/>
  <c r="R11" i="43"/>
  <c r="N4" i="20"/>
  <c r="R4" i="20" s="1"/>
  <c r="Q5" i="37"/>
  <c r="L4" i="18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9"/>
  <c r="L17" i="39" s="1"/>
  <c r="E17" i="36"/>
  <c r="E12" i="36" s="1"/>
  <c r="E18" i="36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33"/>
  <c r="E12" i="33" s="1"/>
  <c r="E18" i="33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N5" i="24" s="1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L5" i="41" l="1"/>
  <c r="N5" i="41" s="1"/>
  <c r="Q5" i="16"/>
  <c r="E17" i="16" s="1"/>
  <c r="E15" i="16" s="1"/>
  <c r="R5" i="16"/>
  <c r="L4" i="16"/>
  <c r="N4" i="16" s="1"/>
  <c r="R4" i="16" s="1"/>
  <c r="G17" i="16"/>
  <c r="G12" i="16" s="1"/>
  <c r="G18" i="16" s="1"/>
  <c r="Q5" i="24"/>
  <c r="E17" i="24" s="1"/>
  <c r="E15" i="24" s="1"/>
  <c r="R5" i="24"/>
  <c r="L5" i="34"/>
  <c r="Q5" i="34" s="1"/>
  <c r="E17" i="34" s="1"/>
  <c r="Q5" i="20"/>
  <c r="E17" i="20" s="1"/>
  <c r="N4" i="18"/>
  <c r="R4" i="18" s="1"/>
  <c r="L4" i="34"/>
  <c r="L5" i="18"/>
  <c r="L3" i="18"/>
  <c r="G17" i="18"/>
  <c r="G12" i="18" s="1"/>
  <c r="G18" i="18" s="1"/>
  <c r="R12" i="40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Q13" i="31" s="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7" i="39"/>
  <c r="Q17" i="39"/>
  <c r="R12" i="23"/>
  <c r="Q12" i="23"/>
  <c r="R14" i="34"/>
  <c r="L14" i="41"/>
  <c r="R17" i="21"/>
  <c r="Q17" i="21"/>
  <c r="R14" i="19"/>
  <c r="Q14" i="19"/>
  <c r="R14" i="17"/>
  <c r="Q14" i="17"/>
  <c r="R14" i="22"/>
  <c r="Q14" i="22"/>
  <c r="R14" i="18"/>
  <c r="Q14" i="18"/>
  <c r="E12" i="21"/>
  <c r="E18" i="21" s="1"/>
  <c r="L12" i="22"/>
  <c r="E15" i="21"/>
  <c r="E12" i="16"/>
  <c r="E18" i="16" s="1"/>
  <c r="M13" i="22"/>
  <c r="L15" i="22"/>
  <c r="M13" i="17"/>
  <c r="L15" i="17"/>
  <c r="E12" i="14"/>
  <c r="Q5" i="41" l="1"/>
  <c r="E17" i="41" s="1"/>
  <c r="R5" i="41"/>
  <c r="L4" i="41"/>
  <c r="N4" i="41" s="1"/>
  <c r="R4" i="41" s="1"/>
  <c r="G17" i="41"/>
  <c r="G12" i="41" s="1"/>
  <c r="G18" i="41" s="1"/>
  <c r="L17" i="16"/>
  <c r="E12" i="24"/>
  <c r="L17" i="24"/>
  <c r="E15" i="34"/>
  <c r="E12" i="34"/>
  <c r="E18" i="34" s="1"/>
  <c r="R5" i="34"/>
  <c r="N4" i="34"/>
  <c r="R4" i="34" s="1"/>
  <c r="N3" i="20"/>
  <c r="R3" i="20" s="1"/>
  <c r="N3" i="18"/>
  <c r="R3" i="18" s="1"/>
  <c r="L17" i="34"/>
  <c r="Q17" i="34" s="1"/>
  <c r="L12" i="27"/>
  <c r="Q12" i="27" s="1"/>
  <c r="E18" i="27"/>
  <c r="L12" i="39"/>
  <c r="R12" i="39" s="1"/>
  <c r="E18" i="39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Q13" i="27" s="1"/>
  <c r="L15" i="33"/>
  <c r="Q15" i="33" s="1"/>
  <c r="Q14" i="36"/>
  <c r="M13" i="32"/>
  <c r="R13" i="32" s="1"/>
  <c r="L15" i="21"/>
  <c r="Q15" i="21" s="1"/>
  <c r="M13" i="26"/>
  <c r="Q13" i="26" s="1"/>
  <c r="L15" i="36"/>
  <c r="R15" i="36" s="1"/>
  <c r="M13" i="43"/>
  <c r="R13" i="43" s="1"/>
  <c r="L15" i="16"/>
  <c r="R15" i="16" s="1"/>
  <c r="L14" i="37"/>
  <c r="Q14" i="37" s="1"/>
  <c r="L15" i="43"/>
  <c r="Q15" i="43" s="1"/>
  <c r="L15" i="26"/>
  <c r="R15" i="26" s="1"/>
  <c r="R17" i="36"/>
  <c r="Q17" i="32"/>
  <c r="Q17" i="29"/>
  <c r="M13" i="36"/>
  <c r="R13" i="36" s="1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R13" i="33" s="1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Q13" i="16" s="1"/>
  <c r="L12" i="16"/>
  <c r="M13" i="21"/>
  <c r="Q13" i="21" s="1"/>
  <c r="E12" i="41" l="1"/>
  <c r="L17" i="41"/>
  <c r="E15" i="41"/>
  <c r="R17" i="16"/>
  <c r="Q17" i="16"/>
  <c r="L12" i="34"/>
  <c r="Q12" i="34" s="1"/>
  <c r="R17" i="24"/>
  <c r="Q17" i="24"/>
  <c r="E18" i="24"/>
  <c r="L12" i="24"/>
  <c r="M13" i="34"/>
  <c r="R13" i="34" s="1"/>
  <c r="L15" i="34"/>
  <c r="Q15" i="34" s="1"/>
  <c r="R17" i="34"/>
  <c r="R12" i="27"/>
  <c r="Q12" i="14"/>
  <c r="Q12" i="39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3" i="37" s="1"/>
  <c r="Q15" i="26"/>
  <c r="R15" i="43"/>
  <c r="R15" i="32"/>
  <c r="Q12" i="29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L15" i="41" l="1"/>
  <c r="M13" i="41"/>
  <c r="R17" i="41"/>
  <c r="Q17" i="41"/>
  <c r="L12" i="41"/>
  <c r="E18" i="41"/>
  <c r="R12" i="34"/>
  <c r="R12" i="24"/>
  <c r="Q12" i="24"/>
  <c r="Q13" i="34"/>
  <c r="R15" i="34"/>
  <c r="R15" i="20"/>
  <c r="Q15" i="20"/>
  <c r="Q13" i="20"/>
  <c r="R13" i="20"/>
  <c r="Q12" i="20"/>
  <c r="R12" i="20"/>
  <c r="R13" i="37"/>
  <c r="Q15" i="37"/>
  <c r="L2" i="14"/>
  <c r="P2" i="14" s="1"/>
  <c r="R12" i="41" l="1"/>
  <c r="Q12" i="41"/>
  <c r="Q13" i="41"/>
  <c r="R13" i="41"/>
  <c r="R15" i="41"/>
  <c r="Q15" i="41"/>
  <c r="N2" i="14"/>
  <c r="L3" i="11"/>
  <c r="C12" i="11"/>
  <c r="C18" i="11" s="1"/>
  <c r="R2" i="14" l="1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R13" i="15" s="1"/>
  <c r="L12" i="15"/>
  <c r="H12" i="11"/>
  <c r="H18" i="11" s="1"/>
  <c r="L5" i="11"/>
  <c r="Q5" i="11" l="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Q13" i="11" s="1"/>
  <c r="L12" i="11"/>
  <c r="L15" i="11"/>
  <c r="J8" i="14"/>
  <c r="J17" i="14" s="1"/>
  <c r="I8" i="14"/>
  <c r="I17" i="14" s="1"/>
  <c r="R13" i="11" l="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F17" i="19" l="1"/>
  <c r="F12" i="19" s="1"/>
  <c r="F18" i="19" s="1"/>
  <c r="G5" i="19" l="1"/>
  <c r="L5" i="19" s="1"/>
  <c r="L3" i="19"/>
  <c r="R5" i="19" l="1"/>
  <c r="Q5" i="19"/>
  <c r="E17" i="19" s="1"/>
  <c r="G17" i="19"/>
  <c r="G12" i="19" s="1"/>
  <c r="G18" i="19" s="1"/>
  <c r="N3" i="19"/>
  <c r="R3" i="19" s="1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s="1"/>
  <c r="R12" i="19" l="1"/>
  <c r="Q15" i="19"/>
  <c r="R13" i="19"/>
  <c r="Q5" i="18" l="1"/>
  <c r="E17" i="18" s="1"/>
  <c r="R5" i="18"/>
  <c r="E15" i="18" l="1"/>
  <c r="E12" i="18"/>
  <c r="L17" i="18"/>
  <c r="R17" i="18" l="1"/>
  <c r="Q17" i="18"/>
  <c r="E18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<sst xmlns="http://schemas.openxmlformats.org/spreadsheetml/2006/main" count="1164" uniqueCount="109">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</sst>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data_2019.xlsx" TargetMode="External"/><Relationship Id="rId1" Type="http://schemas.openxmlformats.org/officeDocument/2006/relationships/externalLinkPath" Target="data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parameters"/>
      <sheetName val="data"/>
      <sheetName val="World"/>
      <sheetName val="China"/>
      <sheetName val="India"/>
      <sheetName val="Japan"/>
      <sheetName val="United States"/>
      <sheetName val="Russia"/>
      <sheetName val="South Korea"/>
      <sheetName val="Germany"/>
      <sheetName val="Türkiye"/>
      <sheetName val="Brazil"/>
      <sheetName val="Iran"/>
      <sheetName val="Italy"/>
      <sheetName val="Ukraine"/>
      <sheetName val="Mexico"/>
      <sheetName val="Vietnam"/>
      <sheetName val="France"/>
      <sheetName val="Spain"/>
      <sheetName val="Canada"/>
      <sheetName val="Indonesia"/>
      <sheetName val="Poland"/>
      <sheetName val="Egypt"/>
      <sheetName val="Saudi Arabia"/>
      <sheetName val="Austria"/>
      <sheetName val="Belgium"/>
      <sheetName val="United Kingdom"/>
      <sheetName val="Netherlands"/>
      <sheetName val="Australia"/>
      <sheetName val="South Africa"/>
      <sheetName val="Malaysia"/>
      <sheetName val="Thailand"/>
      <sheetName val="Sweden"/>
    </sheetNames>
    <sheetDataSet>
      <sheetData sheetId="0"/>
      <sheetData sheetId="1">
        <row r="4">
          <cell r="B4">
            <v>0.89</v>
          </cell>
        </row>
        <row r="7">
          <cell r="B7">
            <v>0.95699999999999996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A9" sqref="A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5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121461.59923635959</v>
      </c>
      <c r="D3" s="1">
        <f>VLOOKUP($B3, '[1]Pro of iron ore'!$B$2:$X$31, $A$1, FALSE)*(1-VLOOKUP($B3, '[1]Foundry share'!$B$2:$X$31, $A$1, FALSE))</f>
        <v>75252.788221788316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0.65</v>
      </c>
      <c r="G3" s="1">
        <f>VLOOKUP($B3, '[1]Pro of pig iron'!$B$2:$X$31, $A$1, FALSE)*(1-VLOOKUP($B3, '[1]Foundry share'!$B$2:$X$31, $A$1, FALSE))</f>
        <v>186965.55233703309</v>
      </c>
      <c r="H3" s="1">
        <f>VLOOKUP($B3, '[1]Exp of pig iron'!$B$2:$X$31, $A$1, FALSE)</f>
        <v>715</v>
      </c>
      <c r="I3" s="1">
        <f>VLOOKUP($B3, '[1]Imp of pig iron'!$B$2:$X$31, $A$1, FALSE)</f>
        <v>513</v>
      </c>
      <c r="J3" s="1">
        <f>VLOOKUP($B3, '[1]Pro of DRI'!$B$2:$X$31, $A$1, FALSE)*(1-VLOOKUP($B3, '[1]Foundry share'!$B$2:$X$31, $A$1, FALSE))</f>
        <v>271.26005056691139</v>
      </c>
      <c r="K3" s="1">
        <f>VLOOKUP($B3, '[1]Exp of DRI'!$B$2:$X$31, $A$1, FALSE)</f>
        <v>0</v>
      </c>
      <c r="L3" s="1">
        <f>VLOOKUP($B3, '[1]Imp of DRI'!$B$2:$X$31, $A$1, FALSE)</f>
        <v>0</v>
      </c>
      <c r="M3" s="1">
        <f>VLOOKUP($B3, '[1]Exp of scrap'!$B$2:$X$31, $A$1, FALSE)</f>
        <v>0</v>
      </c>
      <c r="N3" s="1">
        <f>VLOOKUP($B3, '[1]Imp of scrap'!$B$2:$X$31, $A$1, FALSE)</f>
        <v>9294</v>
      </c>
      <c r="O3" s="1">
        <f>VLOOKUP($B3, '[1]Pro of BOF steel'!$B$2:$X$31, $A$1, FALSE)</f>
        <v>183318</v>
      </c>
      <c r="P3" s="1">
        <f>VLOOKUP($B3, '[1]Pro of OHF steel'!$B$2:$X$31, $A$1, FALSE)</f>
        <v>0</v>
      </c>
      <c r="Q3" s="1">
        <f>VLOOKUP($B3, '[1]Pro of EAF steel'!$B$2:$X$31, $A$1, FALSE)</f>
        <v>39058</v>
      </c>
      <c r="R3" s="1">
        <f>VLOOKUP($B3, '[1]Exp of ingots and semis'!$B$2:$X$31, $A$1, FALSE)</f>
        <v>1491</v>
      </c>
      <c r="S3" s="1">
        <f>VLOOKUP($B3, '[1]Imp of ingots and semis'!$B$2:$X$31, $A$1, FALSE)</f>
        <v>5935</v>
      </c>
      <c r="T3" s="1">
        <f>VLOOKUP($B3, '[1]Pro of hr long'!$B$2:$X$31, $A$1, FALSE)+VLOOKUP($B3, '[1]Pro of seamless tubes'!$B$2:$X$31, $A$1, FALSE)</f>
        <v>142181</v>
      </c>
      <c r="U3" s="1">
        <f>VLOOKUP($B3, '[1]Exp of long'!$B$2:$X$31, $A$1, FALSE)</f>
        <v>3149</v>
      </c>
      <c r="V3" s="1">
        <f>VLOOKUP($B3, '[1]Imp of long'!$B$2:$X$31, $A$1, FALSE)</f>
        <v>2769</v>
      </c>
      <c r="W3" s="1">
        <f>VLOOKUP($B3, '[1]Pro of hr flat'!$B$2:$X$31, $A$1, FALSE)*parameters!$B$8</f>
        <v>60650.011379800853</v>
      </c>
      <c r="X3" s="1">
        <f>VLOOKUP($B3, '[1]Exp of flat'!$B$2:$X$31, $A$1, FALSE)</f>
        <v>1822</v>
      </c>
      <c r="Y3" s="1">
        <f>VLOOKUP($B3, '[1]Imp of flat'!$B$2:$X$31, $A$1, FALSE)</f>
        <v>33251</v>
      </c>
      <c r="Z3" s="1">
        <f>VLOOKUP($B3, '[1]Indirect exp'!$B$2:$X$31, $A$1, FALSE)</f>
        <v>19851</v>
      </c>
      <c r="AA3" s="1">
        <f>VLOOKUP($B3, '[1]Indirect imp'!$B$2:$X$31, $A$1, FALSE)</f>
        <v>7427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81780.685429039615</v>
      </c>
      <c r="D4" s="1">
        <f>VLOOKUP($B4, '[1]Pro of iron ore'!$B$2:$X$31, $A$1, FALSE)*(1-VLOOKUP($B4, '[1]Foundry share'!$B$2:$X$31, $A$1, FALSE))</f>
        <v>52319.83305954704</v>
      </c>
      <c r="E4" s="47">
        <f>VLOOKUP($B4, '[1]Iron content'!$B$2:$X$31, $A$1, FALSE)</f>
        <v>0.63975782038345108</v>
      </c>
      <c r="F4" s="1">
        <f>VLOOKUP($B4, '[1]Exp of usable iron ore'!$B$2:$X$31, $A$1, FALSE)*parameters!$B$12</f>
        <v>37274.25</v>
      </c>
      <c r="G4" s="1">
        <f>VLOOKUP($B4, '[1]Pro of pig iron'!$B$2:$X$31, $A$1, FALSE)*(1-VLOOKUP($B4, '[1]Foundry share'!$B$2:$X$31, $A$1, FALSE))</f>
        <v>21909.961636135235</v>
      </c>
      <c r="H4" s="1">
        <f>VLOOKUP($B4, '[1]Exp of pig iron'!$B$2:$X$31, $A$1, FALSE)</f>
        <v>569</v>
      </c>
      <c r="I4" s="1">
        <f>VLOOKUP($B4, '[1]Imp of pig iron'!$B$2:$X$31, $A$1, FALSE)</f>
        <v>3</v>
      </c>
      <c r="J4" s="1">
        <f>VLOOKUP($B4, '[1]Pro of DRI'!$B$2:$X$31, $A$1, FALSE)*(1-VLOOKUP($B4, '[1]Foundry share'!$B$2:$X$31, $A$1, FALSE))</f>
        <v>5818.7246514647659</v>
      </c>
      <c r="K4" s="1">
        <f>VLOOKUP($B4, '[1]Exp of DRI'!$B$2:$X$31, $A$1, FALSE)</f>
        <v>0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2360</v>
      </c>
      <c r="O4" s="1">
        <f>VLOOKUP($B4, '[1]Pro of BOF steel'!$B$2:$X$31, $A$1, FALSE)</f>
        <v>17300</v>
      </c>
      <c r="P4" s="1">
        <f>VLOOKUP($B4, '[1]Pro of OHF steel'!$B$2:$X$31, $A$1, FALSE)</f>
        <v>1800</v>
      </c>
      <c r="Q4" s="1">
        <f>VLOOKUP($B4, '[1]Pro of EAF steel'!$B$2:$X$31, $A$1, FALSE)</f>
        <v>12680</v>
      </c>
      <c r="R4" s="1">
        <f>VLOOKUP($B4, '[1]Exp of ingots and semis'!$B$2:$X$31, $A$1, FALSE)</f>
        <v>670</v>
      </c>
      <c r="S4" s="1">
        <f>VLOOKUP($B4, '[1]Imp of ingots and semis'!$B$2:$X$31, $A$1, FALSE)</f>
        <v>136</v>
      </c>
      <c r="T4" s="1">
        <f>VLOOKUP($B4, '[1]Pro of hr long'!$B$2:$X$31, $A$1, FALSE)+VLOOKUP($B4, '[1]Pro of seamless tubes'!$B$2:$X$31, $A$1, FALSE)</f>
        <v>15299</v>
      </c>
      <c r="U4" s="1">
        <f>VLOOKUP($B4, '[1]Exp of long'!$B$2:$X$31, $A$1, FALSE)</f>
        <v>735</v>
      </c>
      <c r="V4" s="1">
        <f>VLOOKUP($B4, '[1]Imp of long'!$B$2:$X$31, $A$1, FALSE)</f>
        <v>103</v>
      </c>
      <c r="W4" s="1">
        <f>VLOOKUP($B4, '[1]Pro of hr flat'!$B$2:$X$31, $A$1, FALSE)*parameters!$B$8</f>
        <v>19435.867709815077</v>
      </c>
      <c r="X4" s="1">
        <f>VLOOKUP($B4, '[1]Exp of flat'!$B$2:$X$31, $A$1, FALSE)</f>
        <v>4094</v>
      </c>
      <c r="Y4" s="1">
        <f>VLOOKUP($B4, '[1]Imp of flat'!$B$2:$X$31, $A$1, FALSE)</f>
        <v>1030</v>
      </c>
      <c r="Z4" s="1">
        <f>VLOOKUP($B4, '[1]Indirect exp'!$B$2:$X$31, $A$1, FALSE)</f>
        <v>1628</v>
      </c>
      <c r="AA4" s="1">
        <f>VLOOKUP($B4, '[1]Indirect imp'!$B$2:$X$31, $A$1, FALSE)</f>
        <v>848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0.7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28.6</v>
      </c>
      <c r="G5" s="1">
        <f>VLOOKUP($B5, '[1]Pro of pig iron'!$B$2:$X$31, $A$1, FALSE)*(1-VLOOKUP($B5, '[1]Foundry share'!$B$2:$X$31, $A$1, FALSE))</f>
        <v>82091</v>
      </c>
      <c r="H5" s="1">
        <f>VLOOKUP($B5, '[1]Exp of pig iron'!$B$2:$X$31, $A$1, FALSE)</f>
        <v>110</v>
      </c>
      <c r="I5" s="1">
        <f>VLOOKUP($B5, '[1]Imp of pig iron'!$B$2:$X$31, $A$1, FALSE)</f>
        <v>559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0</v>
      </c>
      <c r="M5" s="1">
        <f>VLOOKUP($B5, '[1]Exp of scrap'!$B$2:$X$31, $A$1, FALSE)</f>
        <v>5720</v>
      </c>
      <c r="N5" s="1">
        <f>VLOOKUP($B5, '[1]Imp of scrap'!$B$2:$X$31, $A$1, FALSE)</f>
        <v>182</v>
      </c>
      <c r="O5" s="1">
        <f>VLOOKUP($B5, '[1]Pro of BOF steel'!$B$2:$X$31, $A$1, FALSE)</f>
        <v>81355</v>
      </c>
      <c r="P5" s="1">
        <f>VLOOKUP($B5, '[1]Pro of OHF steel'!$B$2:$X$31, $A$1, FALSE)</f>
        <v>0</v>
      </c>
      <c r="Q5" s="1">
        <f>VLOOKUP($B5, '[1]Pro of EAF steel'!$B$2:$X$31, $A$1, FALSE)</f>
        <v>29156</v>
      </c>
      <c r="R5" s="1">
        <f>VLOOKUP($B5, '[1]Exp of ingots and semis'!$B$2:$X$31, $A$1, FALSE)</f>
        <v>3019</v>
      </c>
      <c r="S5" s="1">
        <f>VLOOKUP($B5, '[1]Imp of ingots and semis'!$B$2:$X$31, $A$1, FALSE)</f>
        <v>11</v>
      </c>
      <c r="T5" s="1">
        <f>VLOOKUP($B5, '[1]Pro of hr long'!$B$2:$X$31, $A$1, FALSE)+VLOOKUP($B5, '[1]Pro of seamless tubes'!$B$2:$X$31, $A$1, FALSE)</f>
        <v>35687</v>
      </c>
      <c r="U5" s="1">
        <f>VLOOKUP($B5, '[1]Exp of long'!$B$2:$X$31, $A$1, FALSE)</f>
        <v>4769</v>
      </c>
      <c r="V5" s="1">
        <f>VLOOKUP($B5, '[1]Imp of long'!$B$2:$X$31, $A$1, FALSE)</f>
        <v>365</v>
      </c>
      <c r="W5" s="1">
        <f>VLOOKUP($B5, '[1]Pro of hr flat'!$B$2:$X$31, $A$1, FALSE)*parameters!$B$8</f>
        <v>62674.722617354193</v>
      </c>
      <c r="X5" s="1">
        <f>VLOOKUP($B5, '[1]Exp of flat'!$B$2:$X$31, $A$1, FALSE)</f>
        <v>22864</v>
      </c>
      <c r="Y5" s="1">
        <f>VLOOKUP($B5, '[1]Imp of flat'!$B$2:$X$31, $A$1, FALSE)</f>
        <v>2689</v>
      </c>
      <c r="Z5" s="1">
        <f>VLOOKUP($B5, '[1]Indirect exp'!$B$2:$X$31, $A$1, FALSE)</f>
        <v>22838</v>
      </c>
      <c r="AA5" s="1">
        <f>VLOOKUP($B5, '[1]Indirect imp'!$B$2:$X$31, $A$1, FALSE)</f>
        <v>4034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48554</v>
      </c>
      <c r="D6" s="1">
        <f>VLOOKUP($B6, '[1]Pro of iron ore'!$B$2:$X$31, $A$1, FALSE)*(1-VLOOKUP($B6, '[1]Foundry share'!$B$2:$X$31, $A$1, FALSE))</f>
        <v>30590</v>
      </c>
      <c r="E6" s="47">
        <f>VLOOKUP($B6, '[1]Iron content'!$B$2:$X$31, $A$1, FALSE)</f>
        <v>0.63002018371297941</v>
      </c>
      <c r="F6" s="1">
        <f>VLOOKUP($B6, '[1]Exp of usable iron ore'!$B$2:$X$31, $A$1, FALSE)*parameters!$B$12</f>
        <v>4400.5</v>
      </c>
      <c r="G6" s="1">
        <f>VLOOKUP($B6, '[1]Pro of pig iron'!$B$2:$X$31, $A$1, FALSE)*(1-VLOOKUP($B6, '[1]Foundry share'!$B$2:$X$31, $A$1, FALSE))</f>
        <v>40644</v>
      </c>
      <c r="H6" s="1">
        <f>VLOOKUP($B6, '[1]Exp of pig iron'!$B$2:$X$31, $A$1, FALSE)</f>
        <v>86</v>
      </c>
      <c r="I6" s="1">
        <f>VLOOKUP($B6, '[1]Imp of pig iron'!$B$2:$X$31, $A$1, FALSE)</f>
        <v>3891</v>
      </c>
      <c r="J6" s="1">
        <f>VLOOKUP($B6, '[1]Pro of DRI'!$B$2:$X$31, $A$1, FALSE)*(1-VLOOKUP($B6, '[1]Foundry share'!$B$2:$X$31, $A$1, FALSE))</f>
        <v>210</v>
      </c>
      <c r="K6" s="1">
        <f>VLOOKUP($B6, '[1]Exp of DRI'!$B$2:$X$31, $A$1, FALSE)</f>
        <v>0</v>
      </c>
      <c r="L6" s="1">
        <f>VLOOKUP($B6, '[1]Imp of DRI'!$B$2:$X$31, $A$1, FALSE)</f>
        <v>0</v>
      </c>
      <c r="M6" s="1">
        <f>VLOOKUP($B6, '[1]Exp of scrap'!$B$2:$X$31, $A$1, FALSE)</f>
        <v>10767</v>
      </c>
      <c r="N6" s="1">
        <f>VLOOKUP($B6, '[1]Imp of scrap'!$B$2:$X$31, $A$1, FALSE)</f>
        <v>3484</v>
      </c>
      <c r="O6" s="1">
        <f>VLOOKUP($B6, '[1]Pro of BOF steel'!$B$2:$X$31, $A$1, FALSE)</f>
        <v>45873</v>
      </c>
      <c r="P6" s="1">
        <f>VLOOKUP($B6, '[1]Pro of OHF steel'!$B$2:$X$31, $A$1, FALSE)</f>
        <v>0</v>
      </c>
      <c r="Q6" s="1">
        <f>VLOOKUP($B6, '[1]Pro of EAF steel'!$B$2:$X$31, $A$1, FALSE)</f>
        <v>47804</v>
      </c>
      <c r="R6" s="1">
        <f>VLOOKUP($B6, '[1]Exp of ingots and semis'!$B$2:$X$31, $A$1, FALSE)</f>
        <v>212</v>
      </c>
      <c r="S6" s="1">
        <f>VLOOKUP($B6, '[1]Imp of ingots and semis'!$B$2:$X$31, $A$1, FALSE)</f>
        <v>4370</v>
      </c>
      <c r="T6" s="1">
        <f>VLOOKUP($B6, '[1]Pro of hr long'!$B$2:$X$31, $A$1, FALSE)+VLOOKUP($B6, '[1]Pro of seamless tubes'!$B$2:$X$31, $A$1, FALSE)</f>
        <v>28361</v>
      </c>
      <c r="U6" s="1">
        <f>VLOOKUP($B6, '[1]Exp of long'!$B$2:$X$31, $A$1, FALSE)</f>
        <v>1674</v>
      </c>
      <c r="V6" s="1">
        <f>VLOOKUP($B6, '[1]Imp of long'!$B$2:$X$31, $A$1, FALSE)</f>
        <v>6605</v>
      </c>
      <c r="W6" s="1">
        <f>VLOOKUP($B6, '[1]Pro of hr flat'!$B$2:$X$31, $A$1, FALSE)*parameters!$B$8</f>
        <v>61865.42105263158</v>
      </c>
      <c r="X6" s="1">
        <f>VLOOKUP($B6, '[1]Exp of flat'!$B$2:$X$31, $A$1, FALSE)</f>
        <v>4811</v>
      </c>
      <c r="Y6" s="1">
        <f>VLOOKUP($B6, '[1]Imp of flat'!$B$2:$X$31, $A$1, FALSE)</f>
        <v>6862</v>
      </c>
      <c r="Z6" s="1">
        <f>VLOOKUP($B6, '[1]Indirect exp'!$B$2:$X$31, $A$1, FALSE)</f>
        <v>14402</v>
      </c>
      <c r="AA6" s="1">
        <f>VLOOKUP($B6, '[1]Indirect imp'!$B$2:$X$31, $A$1, FALSE)</f>
        <v>31090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91759.8</v>
      </c>
      <c r="D7" s="1">
        <f>VLOOKUP($B7, '[1]Pro of iron ore'!$B$2:$X$31, $A$1, FALSE)*(1-VLOOKUP($B7, '[1]Foundry share'!$B$2:$X$31, $A$1, FALSE))</f>
        <v>53000</v>
      </c>
      <c r="E7" s="47">
        <f>VLOOKUP($B7, '[1]Iron content'!$B$2:$X$31, $A$1, FALSE)</f>
        <v>0.57759498168043089</v>
      </c>
      <c r="F7" s="1">
        <f>VLOOKUP($B7, '[1]Exp of usable iron ore'!$B$2:$X$31, $A$1, FALSE)*parameters!$B$12</f>
        <v>10532.6</v>
      </c>
      <c r="G7" s="1">
        <f>VLOOKUP($B7, '[1]Pro of pig iron'!$B$2:$X$31, $A$1, FALSE)*(1-VLOOKUP($B7, '[1]Foundry share'!$B$2:$X$31, $A$1, FALSE))</f>
        <v>48325</v>
      </c>
      <c r="H7" s="1">
        <f>VLOOKUP($B7, '[1]Exp of pig iron'!$B$2:$X$31, $A$1, FALSE)</f>
        <v>4595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2910</v>
      </c>
      <c r="K7" s="1">
        <f>VLOOKUP($B7, '[1]Exp of DRI'!$B$2:$X$31, $A$1, FALSE)</f>
        <v>0</v>
      </c>
      <c r="L7" s="1">
        <f>VLOOKUP($B7, '[1]Imp of DRI'!$B$2:$X$31, $A$1, FALSE)</f>
        <v>0</v>
      </c>
      <c r="M7" s="1">
        <f>VLOOKUP($B7, '[1]Exp of scrap'!$B$2:$X$31, $A$1, FALSE)</f>
        <v>6923</v>
      </c>
      <c r="N7" s="1">
        <f>VLOOKUP($B7, '[1]Imp of scrap'!$B$2:$X$31, $A$1, FALSE)</f>
        <v>393</v>
      </c>
      <c r="O7" s="1">
        <f>VLOOKUP($B7, '[1]Pro of BOF steel'!$B$2:$X$31, $A$1, FALSE)</f>
        <v>38500</v>
      </c>
      <c r="P7" s="1">
        <f>VLOOKUP($B7, '[1]Pro of OHF steel'!$B$2:$X$31, $A$1, FALSE)</f>
        <v>13600</v>
      </c>
      <c r="Q7" s="1">
        <f>VLOOKUP($B7, '[1]Pro of EAF steel'!$B$2:$X$31, $A$1, FALSE)</f>
        <v>9350</v>
      </c>
      <c r="R7" s="1">
        <f>VLOOKUP($B7, '[1]Exp of ingots and semis'!$B$2:$X$31, $A$1, FALSE)</f>
        <v>11360</v>
      </c>
      <c r="S7" s="1">
        <f>VLOOKUP($B7, '[1]Imp of ingots and semis'!$B$2:$X$31, $A$1, FALSE)</f>
        <v>11</v>
      </c>
      <c r="T7" s="1">
        <f>VLOOKUP($B7, '[1]Pro of hr long'!$B$2:$X$31, $A$1, FALSE)+VLOOKUP($B7, '[1]Pro of seamless tubes'!$B$2:$X$31, $A$1, FALSE)</f>
        <v>21272</v>
      </c>
      <c r="U7" s="1">
        <f>VLOOKUP($B7, '[1]Exp of long'!$B$2:$X$31, $A$1, FALSE)</f>
        <v>4944</v>
      </c>
      <c r="V7" s="1">
        <f>VLOOKUP($B7, '[1]Imp of long'!$B$2:$X$31, $A$1, FALSE)</f>
        <v>629</v>
      </c>
      <c r="W7" s="1">
        <f>VLOOKUP($B7, '[1]Pro of hr flat'!$B$2:$X$31, $A$1, FALSE)*parameters!$B$8</f>
        <v>31732.782361308677</v>
      </c>
      <c r="X7" s="1">
        <f>VLOOKUP($B7, '[1]Exp of flat'!$B$2:$X$31, $A$1, FALSE)</f>
        <v>10961</v>
      </c>
      <c r="Y7" s="1">
        <f>VLOOKUP($B7, '[1]Imp of flat'!$B$2:$X$31, $A$1, FALSE)</f>
        <v>1714</v>
      </c>
      <c r="Z7" s="1">
        <f>VLOOKUP($B7, '[1]Indirect exp'!$B$2:$X$31, $A$1, FALSE)</f>
        <v>1991</v>
      </c>
      <c r="AA7" s="1">
        <f>VLOOKUP($B7, '[1]Indirect imp'!$B$2:$X$31, $A$1, FALSE)</f>
        <v>3315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27314</v>
      </c>
      <c r="H8" s="1">
        <f>VLOOKUP($B8, '[1]Exp of pig iron'!$B$2:$X$31, $A$1, FALSE)</f>
        <v>0</v>
      </c>
      <c r="I8" s="1">
        <f>VLOOKUP($B8, '[1]Imp of pig iron'!$B$2:$X$31, $A$1, FALSE)</f>
        <v>1575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0</v>
      </c>
      <c r="M8" s="1">
        <f>VLOOKUP($B8, '[1]Exp of scrap'!$B$2:$X$31, $A$1, FALSE)</f>
        <v>308</v>
      </c>
      <c r="N8" s="1">
        <f>VLOOKUP($B8, '[1]Imp of scrap'!$B$2:$X$31, $A$1, FALSE)</f>
        <v>6233</v>
      </c>
      <c r="O8" s="1">
        <f>VLOOKUP($B8, '[1]Pro of BOF steel'!$B$2:$X$31, $A$1, FALSE)</f>
        <v>25581</v>
      </c>
      <c r="P8" s="1">
        <f>VLOOKUP($B8, '[1]Pro of OHF steel'!$B$2:$X$31, $A$1, FALSE)</f>
        <v>0</v>
      </c>
      <c r="Q8" s="1">
        <f>VLOOKUP($B8, '[1]Pro of EAF steel'!$B$2:$X$31, $A$1, FALSE)</f>
        <v>20729</v>
      </c>
      <c r="R8" s="1">
        <f>VLOOKUP($B8, '[1]Exp of ingots and semis'!$B$2:$X$31, $A$1, FALSE)</f>
        <v>154</v>
      </c>
      <c r="S8" s="1">
        <f>VLOOKUP($B8, '[1]Imp of ingots and semis'!$B$2:$X$31, $A$1, FALSE)</f>
        <v>4551</v>
      </c>
      <c r="T8" s="1">
        <f>VLOOKUP($B8, '[1]Pro of hr long'!$B$2:$X$31, $A$1, FALSE)+VLOOKUP($B8, '[1]Pro of seamless tubes'!$B$2:$X$31, $A$1, FALSE)</f>
        <v>20413</v>
      </c>
      <c r="U8" s="1">
        <f>VLOOKUP($B8, '[1]Exp of long'!$B$2:$X$31, $A$1, FALSE)</f>
        <v>1964</v>
      </c>
      <c r="V8" s="1">
        <f>VLOOKUP($B8, '[1]Imp of long'!$B$2:$X$31, $A$1, FALSE)</f>
        <v>3104</v>
      </c>
      <c r="W8" s="1">
        <f>VLOOKUP($B8, '[1]Pro of hr flat'!$B$2:$X$31, $A$1, FALSE)*parameters!$B$8</f>
        <v>27186.89758179232</v>
      </c>
      <c r="X8" s="1">
        <f>VLOOKUP($B8, '[1]Exp of flat'!$B$2:$X$31, $A$1, FALSE)</f>
        <v>10826</v>
      </c>
      <c r="Y8" s="1">
        <f>VLOOKUP($B8, '[1]Imp of flat'!$B$2:$X$31, $A$1, FALSE)</f>
        <v>7572</v>
      </c>
      <c r="Z8" s="1">
        <f>VLOOKUP($B8, '[1]Indirect exp'!$B$2:$X$31, $A$1, FALSE)</f>
        <v>12671</v>
      </c>
      <c r="AA8" s="1">
        <f>VLOOKUP($B8, '[1]Indirect imp'!$B$2:$X$31, $A$1, FALSE)</f>
        <v>2308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429</v>
      </c>
      <c r="D9" s="1">
        <f>VLOOKUP($B9, '[1]Pro of iron ore'!$B$2:$X$31, $A$1, FALSE)*(1-VLOOKUP($B9, '[1]Foundry share'!$B$2:$X$31, $A$1, FALSE))</f>
        <v>258</v>
      </c>
      <c r="E9" s="47">
        <f>VLOOKUP($B9, '[1]Iron content'!$B$2:$X$31, $A$1, FALSE)</f>
        <v>0.60139860139860135</v>
      </c>
      <c r="F9" s="1">
        <f>VLOOKUP($B9, '[1]Exp of usable iron ore'!$B$2:$X$31, $A$1, FALSE)*parameters!$B$12</f>
        <v>5.8500000000000005</v>
      </c>
      <c r="G9" s="1">
        <f>VLOOKUP($B9, '[1]Pro of pig iron'!$B$2:$X$31, $A$1, FALSE)*(1-VLOOKUP($B9, '[1]Foundry share'!$B$2:$X$31, $A$1, FALSE))</f>
        <v>29481</v>
      </c>
      <c r="H9" s="1">
        <f>VLOOKUP($B9, '[1]Exp of pig iron'!$B$2:$X$31, $A$1, FALSE)</f>
        <v>57</v>
      </c>
      <c r="I9" s="1">
        <f>VLOOKUP($B9, '[1]Imp of pig iron'!$B$2:$X$31, $A$1, FALSE)</f>
        <v>221</v>
      </c>
      <c r="J9" s="1">
        <f>VLOOKUP($B9, '[1]Pro of DRI'!$B$2:$X$31, $A$1, FALSE)*(1-VLOOKUP($B9, '[1]Foundry share'!$B$2:$X$31, $A$1, FALSE))</f>
        <v>590</v>
      </c>
      <c r="K9" s="1">
        <f>VLOOKUP($B9, '[1]Exp of DRI'!$B$2:$X$31, $A$1, FALSE)</f>
        <v>0</v>
      </c>
      <c r="L9" s="1">
        <f>VLOOKUP($B9, '[1]Imp of DRI'!$B$2:$X$31, $A$1, FALSE)</f>
        <v>0</v>
      </c>
      <c r="M9" s="1">
        <f>VLOOKUP($B9, '[1]Exp of scrap'!$B$2:$X$31, $A$1, FALSE)</f>
        <v>6719</v>
      </c>
      <c r="N9" s="1">
        <f>VLOOKUP($B9, '[1]Imp of scrap'!$B$2:$X$31, $A$1, FALSE)</f>
        <v>4364</v>
      </c>
      <c r="O9" s="1">
        <f>VLOOKUP($B9, '[1]Pro of BOF steel'!$B$2:$X$31, $A$1, FALSE)</f>
        <v>31377</v>
      </c>
      <c r="P9" s="1">
        <f>VLOOKUP($B9, '[1]Pro of OHF steel'!$B$2:$X$31, $A$1, FALSE)</f>
        <v>0</v>
      </c>
      <c r="Q9" s="1">
        <f>VLOOKUP($B9, '[1]Pro of EAF steel'!$B$2:$X$31, $A$1, FALSE)</f>
        <v>13432</v>
      </c>
      <c r="R9" s="1">
        <f>VLOOKUP($B9, '[1]Exp of ingots and semis'!$B$2:$X$31, $A$1, FALSE)</f>
        <v>2563</v>
      </c>
      <c r="S9" s="1">
        <f>VLOOKUP($B9, '[1]Imp of ingots and semis'!$B$2:$X$31, $A$1, FALSE)</f>
        <v>1306</v>
      </c>
      <c r="T9" s="1">
        <f>VLOOKUP($B9, '[1]Pro of hr long'!$B$2:$X$31, $A$1, FALSE)+VLOOKUP($B9, '[1]Pro of seamless tubes'!$B$2:$X$31, $A$1, FALSE)</f>
        <v>13776</v>
      </c>
      <c r="U9" s="1">
        <f>VLOOKUP($B9, '[1]Exp of long'!$B$2:$X$31, $A$1, FALSE)</f>
        <v>6615</v>
      </c>
      <c r="V9" s="1">
        <f>VLOOKUP($B9, '[1]Imp of long'!$B$2:$X$31, $A$1, FALSE)</f>
        <v>5783</v>
      </c>
      <c r="W9" s="1">
        <f>VLOOKUP($B9, '[1]Pro of hr flat'!$B$2:$X$31, $A$1, FALSE)*parameters!$B$8</f>
        <v>23867.109530583213</v>
      </c>
      <c r="X9" s="1">
        <f>VLOOKUP($B9, '[1]Exp of flat'!$B$2:$X$31, $A$1, FALSE)</f>
        <v>12728</v>
      </c>
      <c r="Y9" s="1">
        <f>VLOOKUP($B9, '[1]Imp of flat'!$B$2:$X$31, $A$1, FALSE)</f>
        <v>9154</v>
      </c>
      <c r="Z9" s="1">
        <f>VLOOKUP($B9, '[1]Indirect exp'!$B$2:$X$31, $A$1, FALSE)</f>
        <v>20630</v>
      </c>
      <c r="AA9" s="1">
        <f>VLOOKUP($B9, '[1]Indirect imp'!$B$2:$X$31, $A$1, FALSE)</f>
        <v>14437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3049.7113764460173</v>
      </c>
      <c r="D10" s="1">
        <f>VLOOKUP($B10, '[1]Pro of iron ore'!$B$2:$X$31, $A$1, FALSE)*(1-VLOOKUP($B10, '[1]Foundry share'!$B$2:$X$31, $A$1, FALSE))</f>
        <v>1600.8983603391168</v>
      </c>
      <c r="E10" s="47">
        <f>VLOOKUP($B10, '[1]Iron content'!$B$2:$X$31, $A$1, FALSE)</f>
        <v>0.52493438320209973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5074.8478022750005</v>
      </c>
      <c r="H10" s="1">
        <f>VLOOKUP($B10, '[1]Exp of pig iron'!$B$2:$X$31, $A$1, FALSE)</f>
        <v>1</v>
      </c>
      <c r="I10" s="1">
        <f>VLOOKUP($B10, '[1]Imp of pig iron'!$B$2:$X$31, $A$1, FALSE)</f>
        <v>642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0</v>
      </c>
      <c r="M10" s="1">
        <f>VLOOKUP($B10, '[1]Exp of scrap'!$B$2:$X$31, $A$1, FALSE)</f>
        <v>49</v>
      </c>
      <c r="N10" s="1">
        <f>VLOOKUP($B10, '[1]Imp of scrap'!$B$2:$X$31, $A$1, FALSE)</f>
        <v>12818</v>
      </c>
      <c r="O10" s="1">
        <f>VLOOKUP($B10, '[1]Pro of BOF steel'!$B$2:$X$31, $A$1, FALSE)</f>
        <v>5753</v>
      </c>
      <c r="P10" s="1">
        <f>VLOOKUP($B10, '[1]Pro of OHF steel'!$B$2:$X$31, $A$1, FALSE)</f>
        <v>0</v>
      </c>
      <c r="Q10" s="1">
        <f>VLOOKUP($B10, '[1]Pro of EAF steel'!$B$2:$X$31, $A$1, FALSE)</f>
        <v>12546</v>
      </c>
      <c r="R10" s="1">
        <f>VLOOKUP($B10, '[1]Exp of ingots and semis'!$B$2:$X$31, $A$1, FALSE)</f>
        <v>3104</v>
      </c>
      <c r="S10" s="1">
        <f>VLOOKUP($B10, '[1]Imp of ingots and semis'!$B$2:$X$31, $A$1, FALSE)</f>
        <v>3134</v>
      </c>
      <c r="T10" s="1">
        <f>VLOOKUP($B10, '[1]Pro of hr long'!$B$2:$X$31, $A$1, FALSE)+VLOOKUP($B10, '[1]Pro of seamless tubes'!$B$2:$X$31, $A$1, FALSE)</f>
        <v>10200</v>
      </c>
      <c r="U10" s="1">
        <f>VLOOKUP($B10, '[1]Exp of long'!$B$2:$X$31, $A$1, FALSE)</f>
        <v>6090</v>
      </c>
      <c r="V10" s="1">
        <f>VLOOKUP($B10, '[1]Imp of long'!$B$2:$X$31, $A$1, FALSE)</f>
        <v>653</v>
      </c>
      <c r="W10" s="1">
        <f>VLOOKUP($B10, '[1]Pro of hr flat'!$B$2:$X$31, $A$1, FALSE)*parameters!$B$8</f>
        <v>6927.8239167960555</v>
      </c>
      <c r="X10" s="1">
        <f>VLOOKUP($B10, '[1]Exp of flat'!$B$2:$X$31, $A$1, FALSE)</f>
        <v>1047</v>
      </c>
      <c r="Y10" s="1">
        <f>VLOOKUP($B10, '[1]Imp of flat'!$B$2:$X$31, $A$1, FALSE)</f>
        <v>4046</v>
      </c>
      <c r="Z10" s="1">
        <f>VLOOKUP($B10, '[1]Indirect exp'!$B$2:$X$31, $A$1, FALSE)</f>
        <v>2306</v>
      </c>
      <c r="AA10" s="1">
        <f>VLOOKUP($B10, '[1]Indirect imp'!$B$2:$X$31, $A$1, FALSE)</f>
        <v>1448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234470</v>
      </c>
      <c r="D11" s="1">
        <f>VLOOKUP($B11, '[1]Pro of iron ore'!$B$2:$X$31, $A$1, FALSE)*(1-VLOOKUP($B11, '[1]Foundry share'!$B$2:$X$31, $A$1, FALSE))</f>
        <v>155693</v>
      </c>
      <c r="E11" s="47">
        <f>VLOOKUP($B11, '[1]Iron content'!$B$2:$X$31, $A$1, FALSE)</f>
        <v>0.66402098349469019</v>
      </c>
      <c r="F11" s="1">
        <f>VLOOKUP($B11, '[1]Exp of usable iron ore'!$B$2:$X$31, $A$1, FALSE)*parameters!$B$12</f>
        <v>119887.3</v>
      </c>
      <c r="G11" s="1">
        <f>VLOOKUP($B11, '[1]Pro of pig iron'!$B$2:$X$31, $A$1, FALSE)*(1-VLOOKUP($B11, '[1]Foundry share'!$B$2:$X$31, $A$1, FALSE))</f>
        <v>32038</v>
      </c>
      <c r="H11" s="1">
        <f>VLOOKUP($B11, '[1]Exp of pig iron'!$B$2:$X$31, $A$1, FALSE)</f>
        <v>4458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410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10</v>
      </c>
      <c r="N11" s="1">
        <f>VLOOKUP($B11, '[1]Imp of scrap'!$B$2:$X$31, $A$1, FALSE)</f>
        <v>50</v>
      </c>
      <c r="O11" s="1">
        <f>VLOOKUP($B11, '[1]Pro of BOF steel'!$B$2:$X$31, $A$1, FALSE)</f>
        <v>23985</v>
      </c>
      <c r="P11" s="1">
        <f>VLOOKUP($B11, '[1]Pro of OHF steel'!$B$2:$X$31, $A$1, FALSE)</f>
        <v>0</v>
      </c>
      <c r="Q11" s="1">
        <f>VLOOKUP($B11, '[1]Pro of EAF steel'!$B$2:$X$31, $A$1, FALSE)</f>
        <v>6589</v>
      </c>
      <c r="R11" s="1">
        <f>VLOOKUP($B11, '[1]Exp of ingots and semis'!$B$2:$X$31, $A$1, FALSE)</f>
        <v>7238</v>
      </c>
      <c r="S11" s="1">
        <f>VLOOKUP($B11, '[1]Imp of ingots and semis'!$B$2:$X$31, $A$1, FALSE)</f>
        <v>12</v>
      </c>
      <c r="T11" s="1">
        <f>VLOOKUP($B11, '[1]Pro of hr long'!$B$2:$X$31, $A$1, FALSE)+VLOOKUP($B11, '[1]Pro of seamless tubes'!$B$2:$X$31, $A$1, FALSE)</f>
        <v>7888</v>
      </c>
      <c r="U11" s="1">
        <f>VLOOKUP($B11, '[1]Exp of long'!$B$2:$X$31, $A$1, FALSE)</f>
        <v>2012</v>
      </c>
      <c r="V11" s="1">
        <f>VLOOKUP($B11, '[1]Imp of long'!$B$2:$X$31, $A$1, FALSE)</f>
        <v>163</v>
      </c>
      <c r="W11" s="1">
        <f>VLOOKUP($B11, '[1]Pro of hr flat'!$B$2:$X$31, $A$1, FALSE)*parameters!$B$8</f>
        <v>12610.72546230441</v>
      </c>
      <c r="X11" s="1">
        <f>VLOOKUP($B11, '[1]Exp of flat'!$B$2:$X$31, $A$1, FALSE)</f>
        <v>3408</v>
      </c>
      <c r="Y11" s="1">
        <f>VLOOKUP($B11, '[1]Imp of flat'!$B$2:$X$31, $A$1, FALSE)</f>
        <v>296</v>
      </c>
      <c r="Z11" s="1">
        <f>VLOOKUP($B11, '[1]Indirect exp'!$B$2:$X$31, $A$1, FALSE)</f>
        <v>2288</v>
      </c>
      <c r="AA11" s="1">
        <f>VLOOKUP($B11, '[1]Indirect imp'!$B$2:$X$31, $A$1, FALSE)</f>
        <v>962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13020.983513044435</v>
      </c>
      <c r="D12" s="1">
        <f>VLOOKUP($B12, '[1]Pro of iron ore'!$B$2:$X$31, $A$1, FALSE)*(1-VLOOKUP($B12, '[1]Foundry share'!$B$2:$X$31, $A$1, FALSE))</f>
        <v>6347.7294626091616</v>
      </c>
      <c r="E12" s="47">
        <f>VLOOKUP($B12, '[1]Iron content'!$B$2:$X$31, $A$1, FALSE)</f>
        <v>0.48749999999999999</v>
      </c>
      <c r="F12" s="1">
        <f>VLOOKUP($B12, '[1]Exp of usable iron ore'!$B$2:$X$31, $A$1, FALSE)*parameters!$B$12</f>
        <v>985.4</v>
      </c>
      <c r="G12" s="1">
        <f>VLOOKUP($B12, '[1]Pro of pig iron'!$B$2:$X$31, $A$1, FALSE)*(1-VLOOKUP($B12, '[1]Foundry share'!$B$2:$X$31, $A$1, FALSE))</f>
        <v>1815.6133886001332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4099.9821836698666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35</v>
      </c>
      <c r="O12" s="1">
        <f>VLOOKUP($B12, '[1]Pro of BOF steel'!$B$2:$X$31, $A$1, FALSE)</f>
        <v>2266</v>
      </c>
      <c r="P12" s="1">
        <f>VLOOKUP($B12, '[1]Pro of OHF steel'!$B$2:$X$31, $A$1, FALSE)</f>
        <v>0</v>
      </c>
      <c r="Q12" s="1">
        <f>VLOOKUP($B12, '[1]Pro of EAF steel'!$B$2:$X$31, $A$1, FALSE)</f>
        <v>5603</v>
      </c>
      <c r="R12" s="1">
        <f>VLOOKUP($B12, '[1]Exp of ingots and semis'!$B$2:$X$31, $A$1, FALSE)</f>
        <v>0</v>
      </c>
      <c r="S12" s="1">
        <f>VLOOKUP($B12, '[1]Imp of ingots and semis'!$B$2:$X$31, $A$1, FALSE)</f>
        <v>1976</v>
      </c>
      <c r="T12" s="1">
        <f>VLOOKUP($B12, '[1]Pro of hr long'!$B$2:$X$31, $A$1, FALSE)+VLOOKUP($B12, '[1]Pro of seamless tubes'!$B$2:$X$31, $A$1, FALSE)</f>
        <v>4469</v>
      </c>
      <c r="U12" s="1">
        <f>VLOOKUP($B12, '[1]Exp of long'!$B$2:$X$31, $A$1, FALSE)</f>
        <v>0</v>
      </c>
      <c r="V12" s="1">
        <f>VLOOKUP($B12, '[1]Imp of long'!$B$2:$X$31, $A$1, FALSE)</f>
        <v>2472</v>
      </c>
      <c r="W12" s="1">
        <f>VLOOKUP($B12, '[1]Pro of hr flat'!$B$2:$X$31, $A$1, FALSE)*parameters!$B$8</f>
        <v>3399.4551920341396</v>
      </c>
      <c r="X12" s="1">
        <f>VLOOKUP($B12, '[1]Exp of flat'!$B$2:$X$31, $A$1, FALSE)</f>
        <v>0</v>
      </c>
      <c r="Y12" s="1">
        <f>VLOOKUP($B12, '[1]Imp of flat'!$B$2:$X$31, $A$1, FALSE)</f>
        <v>3662</v>
      </c>
      <c r="Z12" s="1">
        <f>VLOOKUP($B12, '[1]Indirect exp'!$B$2:$X$31, $A$1, FALSE)</f>
        <v>39</v>
      </c>
      <c r="AA12" s="1">
        <f>VLOOKUP($B12, '[1]Indirect imp'!$B$2:$X$31, $A$1, FALSE)</f>
        <v>1182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10148</v>
      </c>
      <c r="H13" s="1">
        <f>VLOOKUP($B13, '[1]Exp of pig iron'!$B$2:$X$31, $A$1, FALSE)</f>
        <v>40</v>
      </c>
      <c r="I13" s="1">
        <f>VLOOKUP($B13, '[1]Imp of pig iron'!$B$2:$X$31, $A$1, FALSE)</f>
        <v>1210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0</v>
      </c>
      <c r="M13" s="1">
        <f>VLOOKUP($B13, '[1]Exp of scrap'!$B$2:$X$31, $A$1, FALSE)</f>
        <v>174</v>
      </c>
      <c r="N13" s="1">
        <f>VLOOKUP($B13, '[1]Imp of scrap'!$B$2:$X$31, $A$1, FALSE)</f>
        <v>4381</v>
      </c>
      <c r="O13" s="1">
        <f>VLOOKUP($B13, '[1]Pro of BOF steel'!$B$2:$X$31, $A$1, FALSE)</f>
        <v>9934</v>
      </c>
      <c r="P13" s="1">
        <f>VLOOKUP($B13, '[1]Pro of OHF steel'!$B$2:$X$31, $A$1, FALSE)</f>
        <v>0</v>
      </c>
      <c r="Q13" s="1">
        <f>VLOOKUP($B13, '[1]Pro of EAF steel'!$B$2:$X$31, $A$1, FALSE)</f>
        <v>17124</v>
      </c>
      <c r="R13" s="1">
        <f>VLOOKUP($B13, '[1]Exp of ingots and semis'!$B$2:$X$31, $A$1, FALSE)</f>
        <v>546</v>
      </c>
      <c r="S13" s="1">
        <f>VLOOKUP($B13, '[1]Imp of ingots and semis'!$B$2:$X$31, $A$1, FALSE)</f>
        <v>2510</v>
      </c>
      <c r="T13" s="1">
        <f>VLOOKUP($B13, '[1]Pro of hr long'!$B$2:$X$31, $A$1, FALSE)+VLOOKUP($B13, '[1]Pro of seamless tubes'!$B$2:$X$31, $A$1, FALSE)</f>
        <v>15192</v>
      </c>
      <c r="U13" s="1">
        <f>VLOOKUP($B13, '[1]Exp of long'!$B$2:$X$31, $A$1, FALSE)</f>
        <v>4173</v>
      </c>
      <c r="V13" s="1">
        <f>VLOOKUP($B13, '[1]Imp of long'!$B$2:$X$31, $A$1, FALSE)</f>
        <v>2937</v>
      </c>
      <c r="W13" s="1">
        <f>VLOOKUP($B13, '[1]Pro of hr flat'!$B$2:$X$31, $A$1, FALSE)*parameters!$B$8</f>
        <v>10808.499288762447</v>
      </c>
      <c r="X13" s="1">
        <f>VLOOKUP($B13, '[1]Exp of flat'!$B$2:$X$31, $A$1, FALSE)</f>
        <v>4241</v>
      </c>
      <c r="Y13" s="1">
        <f>VLOOKUP($B13, '[1]Imp of flat'!$B$2:$X$31, $A$1, FALSE)</f>
        <v>11023</v>
      </c>
      <c r="Z13" s="1">
        <f>VLOOKUP($B13, '[1]Indirect exp'!$B$2:$X$31, $A$1, FALSE)</f>
        <v>11206</v>
      </c>
      <c r="AA13" s="1">
        <f>VLOOKUP($B13, '[1]Indirect imp'!$B$2:$X$31, $A$1, FALSE)</f>
        <v>7148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62497.599999999999</v>
      </c>
      <c r="D14" s="1">
        <f>VLOOKUP($B14, '[1]Pro of iron ore'!$B$2:$X$31, $A$1, FALSE)*(1-VLOOKUP($B14, '[1]Foundry share'!$B$2:$X$31, $A$1, FALSE))</f>
        <v>34300</v>
      </c>
      <c r="E14" s="47">
        <f>VLOOKUP($B14, '[1]Iron content'!$B$2:$X$31, $A$1, FALSE)</f>
        <v>0.54882107472926966</v>
      </c>
      <c r="F14" s="1">
        <f>VLOOKUP($B14, '[1]Exp of usable iron ore'!$B$2:$X$31, $A$1, FALSE)*parameters!$B$12</f>
        <v>13115.7</v>
      </c>
      <c r="G14" s="1">
        <f>VLOOKUP($B14, '[1]Pro of pig iron'!$B$2:$X$31, $A$1, FALSE)*(1-VLOOKUP($B14, '[1]Foundry share'!$B$2:$X$31, $A$1, FALSE))</f>
        <v>29528</v>
      </c>
      <c r="H14" s="1">
        <f>VLOOKUP($B14, '[1]Exp of pig iron'!$B$2:$X$31, $A$1, FALSE)</f>
        <v>908</v>
      </c>
      <c r="I14" s="1">
        <f>VLOOKUP($B14, '[1]Imp of pig iron'!$B$2:$X$31, $A$1, FALSE)</f>
        <v>905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0</v>
      </c>
      <c r="M14" s="1">
        <f>VLOOKUP($B14, '[1]Exp of scrap'!$B$2:$X$31, $A$1, FALSE)</f>
        <v>1808</v>
      </c>
      <c r="N14" s="1">
        <f>VLOOKUP($B14, '[1]Imp of scrap'!$B$2:$X$31, $A$1, FALSE)</f>
        <v>15</v>
      </c>
      <c r="O14" s="1">
        <f>VLOOKUP($B14, '[1]Pro of BOF steel'!$B$2:$X$31, $A$1, FALSE)</f>
        <v>18000</v>
      </c>
      <c r="P14" s="1">
        <f>VLOOKUP($B14, '[1]Pro of OHF steel'!$B$2:$X$31, $A$1, FALSE)</f>
        <v>16930</v>
      </c>
      <c r="Q14" s="1">
        <f>VLOOKUP($B14, '[1]Pro of EAF steel'!$B$2:$X$31, $A$1, FALSE)</f>
        <v>2000</v>
      </c>
      <c r="R14" s="1">
        <f>VLOOKUP($B14, '[1]Exp of ingots and semis'!$B$2:$X$31, $A$1, FALSE)</f>
        <v>10167</v>
      </c>
      <c r="S14" s="1">
        <f>VLOOKUP($B14, '[1]Imp of ingots and semis'!$B$2:$X$31, $A$1, FALSE)</f>
        <v>287</v>
      </c>
      <c r="T14" s="1">
        <f>VLOOKUP($B14, '[1]Pro of hr long'!$B$2:$X$31, $A$1, FALSE)+VLOOKUP($B14, '[1]Pro of seamless tubes'!$B$2:$X$31, $A$1, FALSE)</f>
        <v>17000</v>
      </c>
      <c r="U14" s="1">
        <f>VLOOKUP($B14, '[1]Exp of long'!$B$2:$X$31, $A$1, FALSE)</f>
        <v>6892</v>
      </c>
      <c r="V14" s="1">
        <f>VLOOKUP($B14, '[1]Imp of long'!$B$2:$X$31, $A$1, FALSE)</f>
        <v>171</v>
      </c>
      <c r="W14" s="1">
        <f>VLOOKUP($B14, '[1]Pro of hr flat'!$B$2:$X$31, $A$1, FALSE)*parameters!$B$8</f>
        <v>13091.642958748222</v>
      </c>
      <c r="X14" s="1">
        <f>VLOOKUP($B14, '[1]Exp of flat'!$B$2:$X$31, $A$1, FALSE)</f>
        <v>8022</v>
      </c>
      <c r="Y14" s="1">
        <f>VLOOKUP($B14, '[1]Imp of flat'!$B$2:$X$31, $A$1, FALSE)</f>
        <v>307</v>
      </c>
      <c r="Z14" s="1">
        <f>VLOOKUP($B14, '[1]Indirect exp'!$B$2:$X$31, $A$1, FALSE)</f>
        <v>1410</v>
      </c>
      <c r="AA14" s="1">
        <f>VLOOKUP($B14, '[1]Indirect imp'!$B$2:$X$31, $A$1, FALSE)</f>
        <v>831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11200</v>
      </c>
      <c r="D15" s="1">
        <f>VLOOKUP($B15, '[1]Pro of iron ore'!$B$2:$X$31, $A$1, FALSE)*(1-VLOOKUP($B15, '[1]Foundry share'!$B$2:$X$31, $A$1, FALSE))</f>
        <v>6759</v>
      </c>
      <c r="E15" s="47">
        <f>VLOOKUP($B15, '[1]Iron content'!$B$2:$X$31, $A$1, FALSE)</f>
        <v>0.60348214285714286</v>
      </c>
      <c r="F15" s="1">
        <f>VLOOKUP($B15, '[1]Exp of usable iron ore'!$B$2:$X$31, $A$1, FALSE)*parameters!$B$12</f>
        <v>419.25</v>
      </c>
      <c r="G15" s="1">
        <f>VLOOKUP($B15, '[1]Pro of pig iron'!$B$2:$X$31, $A$1, FALSE)*(1-VLOOKUP($B15, '[1]Foundry share'!$B$2:$X$31, $A$1, FALSE))</f>
        <v>4183</v>
      </c>
      <c r="H15" s="1">
        <f>VLOOKUP($B15, '[1]Exp of pig iron'!$B$2:$X$31, $A$1, FALSE)</f>
        <v>0</v>
      </c>
      <c r="I15" s="1">
        <f>VLOOKUP($B15, '[1]Imp of pig iron'!$B$2:$X$31, $A$1, FALSE)</f>
        <v>619</v>
      </c>
      <c r="J15" s="1">
        <f>VLOOKUP($B15, '[1]Pro of DRI'!$B$2:$X$31, $A$1, FALSE)*(1-VLOOKUP($B15, '[1]Foundry share'!$B$2:$X$31, $A$1, FALSE))</f>
        <v>5473</v>
      </c>
      <c r="K15" s="1">
        <f>VLOOKUP($B15, '[1]Exp of DRI'!$B$2:$X$31, $A$1, FALSE)</f>
        <v>0</v>
      </c>
      <c r="L15" s="1">
        <f>VLOOKUP($B15, '[1]Imp of DRI'!$B$2:$X$31, $A$1, FALSE)</f>
        <v>0</v>
      </c>
      <c r="M15" s="1">
        <f>VLOOKUP($B15, '[1]Exp of scrap'!$B$2:$X$31, $A$1, FALSE)</f>
        <v>473</v>
      </c>
      <c r="N15" s="1">
        <f>VLOOKUP($B15, '[1]Imp of scrap'!$B$2:$X$31, $A$1, FALSE)</f>
        <v>1764</v>
      </c>
      <c r="O15" s="1">
        <f>VLOOKUP($B15, '[1]Pro of BOF steel'!$B$2:$X$31, $A$1, FALSE)</f>
        <v>4591</v>
      </c>
      <c r="P15" s="1">
        <f>VLOOKUP($B15, '[1]Pro of OHF steel'!$B$2:$X$31, $A$1, FALSE)</f>
        <v>0</v>
      </c>
      <c r="Q15" s="1">
        <f>VLOOKUP($B15, '[1]Pro of EAF steel'!$B$2:$X$31, $A$1, FALSE)</f>
        <v>10568</v>
      </c>
      <c r="R15" s="1">
        <f>VLOOKUP($B15, '[1]Exp of ingots and semis'!$B$2:$X$31, $A$1, FALSE)</f>
        <v>2407</v>
      </c>
      <c r="S15" s="1">
        <f>VLOOKUP($B15, '[1]Imp of ingots and semis'!$B$2:$X$31, $A$1, FALSE)</f>
        <v>551</v>
      </c>
      <c r="T15" s="1">
        <f>VLOOKUP($B15, '[1]Pro of hr long'!$B$2:$X$31, $A$1, FALSE)+VLOOKUP($B15, '[1]Pro of seamless tubes'!$B$2:$X$31, $A$1, FALSE)</f>
        <v>6553</v>
      </c>
      <c r="U15" s="1">
        <f>VLOOKUP($B15, '[1]Exp of long'!$B$2:$X$31, $A$1, FALSE)</f>
        <v>859</v>
      </c>
      <c r="V15" s="1">
        <f>VLOOKUP($B15, '[1]Imp of long'!$B$2:$X$31, $A$1, FALSE)</f>
        <v>1300</v>
      </c>
      <c r="W15" s="1">
        <f>VLOOKUP($B15, '[1]Pro of hr flat'!$B$2:$X$31, $A$1, FALSE)*parameters!$B$8</f>
        <v>5498.9758179231867</v>
      </c>
      <c r="X15" s="1">
        <f>VLOOKUP($B15, '[1]Exp of flat'!$B$2:$X$31, $A$1, FALSE)</f>
        <v>1004</v>
      </c>
      <c r="Y15" s="1">
        <f>VLOOKUP($B15, '[1]Imp of flat'!$B$2:$X$31, $A$1, FALSE)</f>
        <v>3314</v>
      </c>
      <c r="Z15" s="1">
        <f>VLOOKUP($B15, '[1]Indirect exp'!$B$2:$X$31, $A$1, FALSE)</f>
        <v>7116</v>
      </c>
      <c r="AA15" s="1">
        <f>VLOOKUP($B15, '[1]Indirect imp'!$B$2:$X$31, $A$1, FALSE)</f>
        <v>6946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125.18948774699999</v>
      </c>
      <c r="D16" s="1">
        <f>VLOOKUP($B16, '[1]Pro of iron ore'!$B$2:$X$31, $A$1, FALSE)*(1-VLOOKUP($B16, '[1]Foundry share'!$B$2:$X$31, $A$1, FALSE))</f>
        <v>68.85421826084999</v>
      </c>
      <c r="E16" s="47">
        <f>VLOOKUP($B16, '[1]Iron content'!$B$2:$X$31, $A$1, FALSE)</f>
        <v>0.55000000000000004</v>
      </c>
      <c r="F16" s="1">
        <f>VLOOKUP($B16, '[1]Exp of usable iron ore'!$B$2:$X$31, $A$1, FALSE)*parameters!$B$12</f>
        <v>455</v>
      </c>
      <c r="G16" s="1">
        <f>VLOOKUP($B16, '[1]Pro of pig iron'!$B$2:$X$31, $A$1, FALSE)*(1-VLOOKUP($B16, '[1]Foundry share'!$B$2:$X$31, $A$1, FALSE))</f>
        <v>83.459658497999982</v>
      </c>
      <c r="H16" s="1">
        <f>VLOOKUP($B16, '[1]Exp of pig iron'!$B$2:$X$31, $A$1, FALSE)</f>
        <v>0</v>
      </c>
      <c r="I16" s="1">
        <f>VLOOKUP($B16, '[1]Imp of pig iron'!$B$2:$X$31, $A$1, FALSE)</f>
        <v>2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222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544</v>
      </c>
      <c r="R16" s="1">
        <f>VLOOKUP($B16, '[1]Exp of ingots and semis'!$B$2:$X$31, $A$1, FALSE)</f>
        <v>0</v>
      </c>
      <c r="S16" s="1">
        <f>VLOOKUP($B16, '[1]Imp of ingots and semis'!$B$2:$X$31, $A$1, FALSE)</f>
        <v>1754</v>
      </c>
      <c r="T16" s="1">
        <f>VLOOKUP($B16, '[1]Pro of hr long'!$B$2:$X$31, $A$1, FALSE)+VLOOKUP($B16, '[1]Pro of seamless tubes'!$B$2:$X$31, $A$1, FALSE)</f>
        <v>2389</v>
      </c>
      <c r="U16" s="1">
        <f>VLOOKUP($B16, '[1]Exp of long'!$B$2:$X$31, $A$1, FALSE)</f>
        <v>0</v>
      </c>
      <c r="V16" s="1">
        <f>VLOOKUP($B16, '[1]Imp of long'!$B$2:$X$31, $A$1, FALSE)</f>
        <v>0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2240.5</v>
      </c>
      <c r="Z16" s="1">
        <f>VLOOKUP($B16, '[1]Indirect exp'!$B$2:$X$31, $A$1, FALSE)</f>
        <v>80</v>
      </c>
      <c r="AA16" s="1">
        <f>VLOOKUP($B16, '[1]Indirect imp'!$B$2:$X$31, $A$1, FALSE)</f>
        <v>488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28.6</v>
      </c>
      <c r="G17" s="1">
        <f>VLOOKUP($B17, '[1]Pro of pig iron'!$B$2:$X$31, $A$1, FALSE)*(1-VLOOKUP($B17, '[1]Foundry share'!$B$2:$X$31, $A$1, FALSE))</f>
        <v>12972</v>
      </c>
      <c r="H17" s="1">
        <f>VLOOKUP($B17, '[1]Exp of pig iron'!$B$2:$X$31, $A$1, FALSE)</f>
        <v>0</v>
      </c>
      <c r="I17" s="1">
        <f>VLOOKUP($B17, '[1]Imp of pig iron'!$B$2:$X$31, $A$1, FALSE)</f>
        <v>252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0</v>
      </c>
      <c r="M17" s="1">
        <f>VLOOKUP($B17, '[1]Exp of scrap'!$B$2:$X$31, $A$1, FALSE)</f>
        <v>5050</v>
      </c>
      <c r="N17" s="1">
        <f>VLOOKUP($B17, '[1]Imp of scrap'!$B$2:$X$31, $A$1, FALSE)</f>
        <v>3008</v>
      </c>
      <c r="O17" s="1">
        <f>VLOOKUP($B17, '[1]Pro of BOF steel'!$B$2:$X$31, $A$1, FALSE)</f>
        <v>11988</v>
      </c>
      <c r="P17" s="1">
        <f>VLOOKUP($B17, '[1]Pro of OHF steel'!$B$2:$X$31, $A$1, FALSE)</f>
        <v>0</v>
      </c>
      <c r="Q17" s="1">
        <f>VLOOKUP($B17, '[1]Pro of EAF steel'!$B$2:$X$31, $A$1, FALSE)</f>
        <v>7770</v>
      </c>
      <c r="R17" s="1">
        <f>VLOOKUP($B17, '[1]Exp of ingots and semis'!$B$2:$X$31, $A$1, FALSE)</f>
        <v>3421</v>
      </c>
      <c r="S17" s="1">
        <f>VLOOKUP($B17, '[1]Imp of ingots and semis'!$B$2:$X$31, $A$1, FALSE)</f>
        <v>1596</v>
      </c>
      <c r="T17" s="1">
        <f>VLOOKUP($B17, '[1]Pro of hr long'!$B$2:$X$31, $A$1, FALSE)+VLOOKUP($B17, '[1]Pro of seamless tubes'!$B$2:$X$31, $A$1, FALSE)</f>
        <v>5307</v>
      </c>
      <c r="U17" s="1">
        <f>VLOOKUP($B17, '[1]Exp of long'!$B$2:$X$31, $A$1, FALSE)</f>
        <v>3140</v>
      </c>
      <c r="V17" s="1">
        <f>VLOOKUP($B17, '[1]Imp of long'!$B$2:$X$31, $A$1, FALSE)</f>
        <v>3554</v>
      </c>
      <c r="W17" s="1">
        <f>VLOOKUP($B17, '[1]Pro of hr flat'!$B$2:$X$31, $A$1, FALSE)*parameters!$B$8</f>
        <v>10976.577524893315</v>
      </c>
      <c r="X17" s="1">
        <f>VLOOKUP($B17, '[1]Exp of flat'!$B$2:$X$31, $A$1, FALSE)</f>
        <v>9609</v>
      </c>
      <c r="Y17" s="1">
        <f>VLOOKUP($B17, '[1]Imp of flat'!$B$2:$X$31, $A$1, FALSE)</f>
        <v>8439</v>
      </c>
      <c r="Z17" s="1">
        <f>VLOOKUP($B17, '[1]Indirect exp'!$B$2:$X$31, $A$1, FALSE)</f>
        <v>9795</v>
      </c>
      <c r="AA17" s="1">
        <f>VLOOKUP($B17, '[1]Indirect imp'!$B$2:$X$31, $A$1, FALSE)</f>
        <v>9616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3645</v>
      </c>
      <c r="H18" s="1">
        <f>VLOOKUP($B18, '[1]Exp of pig iron'!$B$2:$X$31, $A$1, FALSE)</f>
        <v>3</v>
      </c>
      <c r="I18" s="1">
        <f>VLOOKUP($B18, '[1]Imp of pig iron'!$B$2:$X$31, $A$1, FALSE)</f>
        <v>435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0</v>
      </c>
      <c r="L18" s="1">
        <f>VLOOKUP($B18, '[1]Imp of DRI'!$B$2:$X$31, $A$1, FALSE)</f>
        <v>0</v>
      </c>
      <c r="M18" s="1">
        <f>VLOOKUP($B18, '[1]Exp of scrap'!$B$2:$X$31, $A$1, FALSE)</f>
        <v>103</v>
      </c>
      <c r="N18" s="1">
        <f>VLOOKUP($B18, '[1]Imp of scrap'!$B$2:$X$31, $A$1, FALSE)</f>
        <v>6390</v>
      </c>
      <c r="O18" s="1">
        <f>VLOOKUP($B18, '[1]Pro of BOF steel'!$B$2:$X$31, $A$1, FALSE)</f>
        <v>3758</v>
      </c>
      <c r="P18" s="1">
        <f>VLOOKUP($B18, '[1]Pro of OHF steel'!$B$2:$X$31, $A$1, FALSE)</f>
        <v>0</v>
      </c>
      <c r="Q18" s="1">
        <f>VLOOKUP($B18, '[1]Pro of EAF steel'!$B$2:$X$31, $A$1, FALSE)</f>
        <v>12528</v>
      </c>
      <c r="R18" s="1">
        <f>VLOOKUP($B18, '[1]Exp of ingots and semis'!$B$2:$X$31, $A$1, FALSE)</f>
        <v>182</v>
      </c>
      <c r="S18" s="1">
        <f>VLOOKUP($B18, '[1]Imp of ingots and semis'!$B$2:$X$31, $A$1, FALSE)</f>
        <v>1525</v>
      </c>
      <c r="T18" s="1">
        <f>VLOOKUP($B18, '[1]Pro of hr long'!$B$2:$X$31, $A$1, FALSE)+VLOOKUP($B18, '[1]Pro of seamless tubes'!$B$2:$X$31, $A$1, FALSE)</f>
        <v>11167</v>
      </c>
      <c r="U18" s="1">
        <f>VLOOKUP($B18, '[1]Exp of long'!$B$2:$X$31, $A$1, FALSE)</f>
        <v>3543</v>
      </c>
      <c r="V18" s="1">
        <f>VLOOKUP($B18, '[1]Imp of long'!$B$2:$X$31, $A$1, FALSE)</f>
        <v>2343</v>
      </c>
      <c r="W18" s="1">
        <f>VLOOKUP($B18, '[1]Pro of hr flat'!$B$2:$X$31, $A$1, FALSE)*parameters!$B$8</f>
        <v>4717.8492176386917</v>
      </c>
      <c r="X18" s="1">
        <f>VLOOKUP($B18, '[1]Exp of flat'!$B$2:$X$31, $A$1, FALSE)</f>
        <v>2035</v>
      </c>
      <c r="Y18" s="1">
        <f>VLOOKUP($B18, '[1]Imp of flat'!$B$2:$X$31, $A$1, FALSE)</f>
        <v>7644</v>
      </c>
      <c r="Z18" s="1">
        <f>VLOOKUP($B18, '[1]Indirect exp'!$B$2:$X$31, $A$1, FALSE)</f>
        <v>6767</v>
      </c>
      <c r="AA18" s="1">
        <f>VLOOKUP($B18, '[1]Indirect imp'!$B$2:$X$31, $A$1, FALSE)</f>
        <v>8210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33322</v>
      </c>
      <c r="D19" s="1">
        <f>VLOOKUP($B19, '[1]Pro of iron ore'!$B$2:$X$31, $A$1, FALSE)*(1-VLOOKUP($B19, '[1]Foundry share'!$B$2:$X$31, $A$1, FALSE))</f>
        <v>20993</v>
      </c>
      <c r="E19" s="47">
        <f>VLOOKUP($B19, '[1]Iron content'!$B$2:$X$31, $A$1, FALSE)</f>
        <v>0.63000420142848568</v>
      </c>
      <c r="F19" s="1">
        <f>VLOOKUP($B19, '[1]Exp of usable iron ore'!$B$2:$X$31, $A$1, FALSE)*parameters!$B$12</f>
        <v>17631.900000000001</v>
      </c>
      <c r="G19" s="1">
        <f>VLOOKUP($B19, '[1]Pro of pig iron'!$B$2:$X$31, $A$1, FALSE)*(1-VLOOKUP($B19, '[1]Foundry share'!$B$2:$X$31, $A$1, FALSE))</f>
        <v>8554</v>
      </c>
      <c r="H19" s="1">
        <f>VLOOKUP($B19, '[1]Exp of pig iron'!$B$2:$X$31, $A$1, FALSE)</f>
        <v>87</v>
      </c>
      <c r="I19" s="1">
        <f>VLOOKUP($B19, '[1]Imp of pig iron'!$B$2:$X$31, $A$1, FALSE)</f>
        <v>62</v>
      </c>
      <c r="J19" s="1">
        <f>VLOOKUP($B19, '[1]Pro of DRI'!$B$2:$X$31, $A$1, FALSE)*(1-VLOOKUP($B19, '[1]Foundry share'!$B$2:$X$31, $A$1, FALSE))</f>
        <v>504</v>
      </c>
      <c r="K19" s="1">
        <f>VLOOKUP($B19, '[1]Exp of DRI'!$B$2:$X$31, $A$1, FALSE)</f>
        <v>0</v>
      </c>
      <c r="L19" s="1">
        <f>VLOOKUP($B19, '[1]Imp of DRI'!$B$2:$X$31, $A$1, FALSE)</f>
        <v>0</v>
      </c>
      <c r="M19" s="1">
        <f>VLOOKUP($B19, '[1]Exp of scrap'!$B$2:$X$31, $A$1, FALSE)</f>
        <v>2501</v>
      </c>
      <c r="N19" s="1">
        <f>VLOOKUP($B19, '[1]Imp of scrap'!$B$2:$X$31, $A$1, FALSE)</f>
        <v>1127</v>
      </c>
      <c r="O19" s="1">
        <f>VLOOKUP($B19, '[1]Pro of BOF steel'!$B$2:$X$31, $A$1, FALSE)</f>
        <v>9296</v>
      </c>
      <c r="P19" s="1">
        <f>VLOOKUP($B19, '[1]Pro of OHF steel'!$B$2:$X$31, $A$1, FALSE)</f>
        <v>0</v>
      </c>
      <c r="Q19" s="1">
        <f>VLOOKUP($B19, '[1]Pro of EAF steel'!$B$2:$X$31, $A$1, FALSE)</f>
        <v>6633</v>
      </c>
      <c r="R19" s="1">
        <f>VLOOKUP($B19, '[1]Exp of ingots and semis'!$B$2:$X$31, $A$1, FALSE)</f>
        <v>460</v>
      </c>
      <c r="S19" s="1">
        <f>VLOOKUP($B19, '[1]Imp of ingots and semis'!$B$2:$X$31, $A$1, FALSE)</f>
        <v>638</v>
      </c>
      <c r="T19" s="1">
        <f>VLOOKUP($B19, '[1]Pro of hr long'!$B$2:$X$31, $A$1, FALSE)+VLOOKUP($B19, '[1]Pro of seamless tubes'!$B$2:$X$31, $A$1, FALSE)</f>
        <v>3747</v>
      </c>
      <c r="U19" s="1">
        <f>VLOOKUP($B19, '[1]Exp of long'!$B$2:$X$31, $A$1, FALSE)</f>
        <v>1758</v>
      </c>
      <c r="V19" s="1">
        <f>VLOOKUP($B19, '[1]Imp of long'!$B$2:$X$31, $A$1, FALSE)</f>
        <v>2196</v>
      </c>
      <c r="W19" s="1">
        <f>VLOOKUP($B19, '[1]Pro of hr flat'!$B$2:$X$31, $A$1, FALSE)*parameters!$B$8</f>
        <v>10243.056899004267</v>
      </c>
      <c r="X19" s="1">
        <f>VLOOKUP($B19, '[1]Exp of flat'!$B$2:$X$31, $A$1, FALSE)</f>
        <v>2378</v>
      </c>
      <c r="Y19" s="1">
        <f>VLOOKUP($B19, '[1]Imp of flat'!$B$2:$X$31, $A$1, FALSE)</f>
        <v>3135</v>
      </c>
      <c r="Z19" s="1">
        <f>VLOOKUP($B19, '[1]Indirect exp'!$B$2:$X$31, $A$1, FALSE)</f>
        <v>7046</v>
      </c>
      <c r="AA19" s="1">
        <f>VLOOKUP($B19, '[1]Indirect imp'!$B$2:$X$31, $A$1, FALSE)</f>
        <v>8663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145.03558182582961</v>
      </c>
      <c r="D20" s="1">
        <f>VLOOKUP($B20, '[1]Pro of iron ore'!$B$2:$X$31, $A$1, FALSE)*(1-VLOOKUP($B20, '[1]Foundry share'!$B$2:$X$31, $A$1, FALSE))</f>
        <v>82.73935126917165</v>
      </c>
      <c r="E20" s="47">
        <f>VLOOKUP($B20, '[1]Iron content'!$B$2:$X$31, $A$1, FALSE)</f>
        <v>0.57047622540330634</v>
      </c>
      <c r="F20" s="1">
        <f>VLOOKUP($B20, '[1]Exp of usable iron ore'!$B$2:$X$31, $A$1, FALSE)*parameters!$B$12</f>
        <v>63.050000000000004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18</v>
      </c>
      <c r="I20" s="1">
        <f>VLOOKUP($B20, '[1]Imp of pig iron'!$B$2:$X$31, $A$1, FALSE)</f>
        <v>232</v>
      </c>
      <c r="J20" s="1">
        <f>VLOOKUP($B20, '[1]Pro of DRI'!$B$2:$X$31, $A$1, FALSE)*(1-VLOOKUP($B20, '[1]Foundry share'!$B$2:$X$31, $A$1, FALSE))</f>
        <v>692.05557382999996</v>
      </c>
      <c r="K20" s="1">
        <f>VLOOKUP($B20, '[1]Exp of DRI'!$B$2:$X$31, $A$1, FALSE)</f>
        <v>0</v>
      </c>
      <c r="L20" s="1">
        <f>VLOOKUP($B20, '[1]Imp of DRI'!$B$2:$X$31, $A$1, FALSE)</f>
        <v>0</v>
      </c>
      <c r="M20" s="1">
        <f>VLOOKUP($B20, '[1]Exp of scrap'!$B$2:$X$31, $A$1, FALSE)</f>
        <v>0</v>
      </c>
      <c r="N20" s="1">
        <f>VLOOKUP($B20, '[1]Imp of scrap'!$B$2:$X$31, $A$1, FALSE)</f>
        <v>966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2042</v>
      </c>
      <c r="R20" s="1">
        <f>VLOOKUP($B20, '[1]Exp of ingots and semis'!$B$2:$X$31, $A$1, FALSE)</f>
        <v>15</v>
      </c>
      <c r="S20" s="1">
        <f>VLOOKUP($B20, '[1]Imp of ingots and semis'!$B$2:$X$31, $A$1, FALSE)</f>
        <v>1434</v>
      </c>
      <c r="T20" s="1">
        <f>VLOOKUP($B20, '[1]Pro of hr long'!$B$2:$X$31, $A$1, FALSE)+VLOOKUP($B20, '[1]Pro of seamless tubes'!$B$2:$X$31, $A$1, FALSE)</f>
        <v>1791</v>
      </c>
      <c r="U20" s="1">
        <f>VLOOKUP($B20, '[1]Exp of long'!$B$2:$X$31, $A$1, FALSE)</f>
        <v>227</v>
      </c>
      <c r="V20" s="1">
        <f>VLOOKUP($B20, '[1]Imp of long'!$B$2:$X$31, $A$1, FALSE)</f>
        <v>0</v>
      </c>
      <c r="W20" s="1">
        <f>VLOOKUP($B20, '[1]Pro of hr flat'!$B$2:$X$31, $A$1, FALSE)*parameters!$B$8</f>
        <v>1873.1493598862019</v>
      </c>
      <c r="X20" s="1">
        <f>VLOOKUP($B20, '[1]Exp of flat'!$B$2:$X$31, $A$1, FALSE)</f>
        <v>604</v>
      </c>
      <c r="Y20" s="1">
        <f>VLOOKUP($B20, '[1]Imp of flat'!$B$2:$X$31, $A$1, FALSE)</f>
        <v>1717</v>
      </c>
      <c r="Z20" s="1">
        <f>VLOOKUP($B20, '[1]Indirect exp'!$B$2:$X$31, $A$1, FALSE)</f>
        <v>713</v>
      </c>
      <c r="AA20" s="1">
        <f>VLOOKUP($B20, '[1]Indirect imp'!$B$2:$X$31, $A$1, FALSE)</f>
        <v>1365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5632</v>
      </c>
      <c r="H21" s="1">
        <f>VLOOKUP($B21, '[1]Exp of pig iron'!$B$2:$X$31, $A$1, FALSE)</f>
        <v>16</v>
      </c>
      <c r="I21" s="1">
        <f>VLOOKUP($B21, '[1]Imp of pig iron'!$B$2:$X$31, $A$1, FALSE)</f>
        <v>0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1808</v>
      </c>
      <c r="N21" s="1">
        <f>VLOOKUP($B21, '[1]Imp of scrap'!$B$2:$X$31, $A$1, FALSE)</f>
        <v>139</v>
      </c>
      <c r="O21" s="1">
        <f>VLOOKUP($B21, '[1]Pro of BOF steel'!$B$2:$X$31, $A$1, FALSE)</f>
        <v>6070</v>
      </c>
      <c r="P21" s="1">
        <f>VLOOKUP($B21, '[1]Pro of OHF steel'!$B$2:$X$31, $A$1, FALSE)</f>
        <v>0</v>
      </c>
      <c r="Q21" s="1">
        <f>VLOOKUP($B21, '[1]Pro of EAF steel'!$B$2:$X$31, $A$1, FALSE)</f>
        <v>3037</v>
      </c>
      <c r="R21" s="1">
        <f>VLOOKUP($B21, '[1]Exp of ingots and semis'!$B$2:$X$31, $A$1, FALSE)</f>
        <v>977</v>
      </c>
      <c r="S21" s="1">
        <f>VLOOKUP($B21, '[1]Imp of ingots and semis'!$B$2:$X$31, $A$1, FALSE)</f>
        <v>67</v>
      </c>
      <c r="T21" s="1">
        <f>VLOOKUP($B21, '[1]Pro of hr long'!$B$2:$X$31, $A$1, FALSE)+VLOOKUP($B21, '[1]Pro of seamless tubes'!$B$2:$X$31, $A$1, FALSE)</f>
        <v>4618</v>
      </c>
      <c r="U21" s="1">
        <f>VLOOKUP($B21, '[1]Exp of long'!$B$2:$X$31, $A$1, FALSE)</f>
        <v>2094</v>
      </c>
      <c r="V21" s="1">
        <f>VLOOKUP($B21, '[1]Imp of long'!$B$2:$X$31, $A$1, FALSE)</f>
        <v>642</v>
      </c>
      <c r="W21" s="1">
        <f>VLOOKUP($B21, '[1]Pro of hr flat'!$B$2:$X$31, $A$1, FALSE)*parameters!$B$8</f>
        <v>2043.1706970128023</v>
      </c>
      <c r="X21" s="1">
        <f>VLOOKUP($B21, '[1]Exp of flat'!$B$2:$X$31, $A$1, FALSE)</f>
        <v>435</v>
      </c>
      <c r="Y21" s="1">
        <f>VLOOKUP($B21, '[1]Imp of flat'!$B$2:$X$31, $A$1, FALSE)</f>
        <v>2311</v>
      </c>
      <c r="Z21" s="1">
        <f>VLOOKUP($B21, '[1]Indirect exp'!$B$2:$X$31, $A$1, FALSE)</f>
        <v>5395</v>
      </c>
      <c r="AA21" s="1">
        <f>VLOOKUP($B21, '[1]Indirect imp'!$B$2:$X$31, $A$1, FALSE)</f>
        <v>4792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2545.6414483765061</v>
      </c>
      <c r="D22" s="1">
        <f>VLOOKUP($B22, '[1]Pro of iron ore'!$B$2:$X$31, $A$1, FALSE)*(1-VLOOKUP($B22, '[1]Foundry share'!$B$2:$X$31, $A$1, FALSE))</f>
        <v>1272.8207241882531</v>
      </c>
      <c r="E22" s="47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948.03198767125059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2519.3072264967495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0</v>
      </c>
      <c r="N22" s="1">
        <f>VLOOKUP($B22, '[1]Imp of scrap'!$B$2:$X$31, $A$1, FALSE)</f>
        <v>556</v>
      </c>
      <c r="O22" s="1">
        <f>VLOOKUP($B22, '[1]Pro of BOF steel'!$B$2:$X$31, $A$1, FALSE)</f>
        <v>1150</v>
      </c>
      <c r="P22" s="1">
        <f>VLOOKUP($B22, '[1]Pro of OHF steel'!$B$2:$X$31, $A$1, FALSE)</f>
        <v>0</v>
      </c>
      <c r="Q22" s="1">
        <f>VLOOKUP($B22, '[1]Pro of EAF steel'!$B$2:$X$31, $A$1, FALSE)</f>
        <v>3250</v>
      </c>
      <c r="R22" s="1">
        <f>VLOOKUP($B22, '[1]Exp of ingots and semis'!$B$2:$X$31, $A$1, FALSE)</f>
        <v>0</v>
      </c>
      <c r="S22" s="1">
        <f>VLOOKUP($B22, '[1]Imp of ingots and semis'!$B$2:$X$31, $A$1, FALSE)</f>
        <v>1398</v>
      </c>
      <c r="T22" s="1">
        <f>VLOOKUP($B22, '[1]Pro of hr long'!$B$2:$X$31, $A$1, FALSE)+VLOOKUP($B22, '[1]Pro of seamless tubes'!$B$2:$X$31, $A$1, FALSE)</f>
        <v>3500</v>
      </c>
      <c r="U22" s="1">
        <f>VLOOKUP($B22, '[1]Exp of long'!$B$2:$X$31, $A$1, FALSE)</f>
        <v>0</v>
      </c>
      <c r="V22" s="1">
        <f>VLOOKUP($B22, '[1]Imp of long'!$B$2:$X$31, $A$1, FALSE)</f>
        <v>113</v>
      </c>
      <c r="W22" s="1">
        <f>VLOOKUP($B22, '[1]Pro of hr flat'!$B$2:$X$31, $A$1, FALSE)*parameters!$B$8</f>
        <v>1190.6840395114718</v>
      </c>
      <c r="X22" s="1">
        <f>VLOOKUP($B22, '[1]Exp of flat'!$B$2:$X$31, $A$1, FALSE)</f>
        <v>0</v>
      </c>
      <c r="Y22" s="1">
        <f>VLOOKUP($B22, '[1]Imp of flat'!$B$2:$X$31, $A$1, FALSE)</f>
        <v>313</v>
      </c>
      <c r="Z22" s="1">
        <f>VLOOKUP($B22, '[1]Indirect exp'!$B$2:$X$31, $A$1, FALSE)</f>
        <v>62</v>
      </c>
      <c r="AA22" s="1">
        <f>VLOOKUP($B22, '[1]Indirect imp'!$B$2:$X$31, $A$1, FALSE)</f>
        <v>305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45</v>
      </c>
      <c r="J23" s="1">
        <f>VLOOKUP($B23, '[1]Pro of DRI'!$B$2:$X$31, $A$1, FALSE)*(1-VLOOKUP($B23, '[1]Foundry share'!$B$2:$X$31, $A$1, FALSE))</f>
        <v>2875.2287927500001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3944</v>
      </c>
      <c r="R23" s="1">
        <f>VLOOKUP($B23, '[1]Exp of ingots and semis'!$B$2:$X$31, $A$1, FALSE)</f>
        <v>0</v>
      </c>
      <c r="S23" s="1">
        <f>VLOOKUP($B23, '[1]Imp of ingots and semis'!$B$2:$X$31, $A$1, FALSE)</f>
        <v>873</v>
      </c>
      <c r="T23" s="1">
        <f>VLOOKUP($B23, '[1]Pro of hr long'!$B$2:$X$31, $A$1, FALSE)+VLOOKUP($B23, '[1]Pro of seamless tubes'!$B$2:$X$31, $A$1, FALSE)</f>
        <v>2570</v>
      </c>
      <c r="U23" s="1">
        <f>VLOOKUP($B23, '[1]Exp of long'!$B$2:$X$31, $A$1, FALSE)</f>
        <v>0</v>
      </c>
      <c r="V23" s="1">
        <f>VLOOKUP($B23, '[1]Imp of long'!$B$2:$X$31, $A$1, FALSE)</f>
        <v>473</v>
      </c>
      <c r="W23" s="1">
        <f>VLOOKUP($B23, '[1]Pro of hr flat'!$B$2:$X$31, $A$1, FALSE)*parameters!$B$8</f>
        <v>1207.9704304043762</v>
      </c>
      <c r="X23" s="1">
        <f>VLOOKUP($B23, '[1]Exp of flat'!$B$2:$X$31, $A$1, FALSE)</f>
        <v>0</v>
      </c>
      <c r="Y23" s="1">
        <f>VLOOKUP($B23, '[1]Imp of flat'!$B$2:$X$31, $A$1, FALSE)</f>
        <v>1077</v>
      </c>
      <c r="Z23" s="1">
        <f>VLOOKUP($B23, '[1]Indirect exp'!$B$2:$X$31, $A$1, FALSE)</f>
        <v>42</v>
      </c>
      <c r="AA23" s="1">
        <f>VLOOKUP($B23, '[1]Indirect imp'!$B$2:$X$31, $A$1, FALSE)</f>
        <v>1131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2119</v>
      </c>
      <c r="D24" s="1">
        <f>VLOOKUP($B24, '[1]Pro of iron ore'!$B$2:$X$31, $A$1, FALSE)*(1-VLOOKUP($B24, '[1]Foundry share'!$B$2:$X$31, $A$1, FALSE))</f>
        <v>702.5</v>
      </c>
      <c r="E24" s="47">
        <f>VLOOKUP($B24, '[1]Iron content'!$B$2:$X$31, $A$1, FALSE)</f>
        <v>0.33152430391694193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4677</v>
      </c>
      <c r="H24" s="1">
        <f>VLOOKUP($B24, '[1]Exp of pig iron'!$B$2:$X$31, $A$1, FALSE)</f>
        <v>7</v>
      </c>
      <c r="I24" s="1">
        <f>VLOOKUP($B24, '[1]Imp of pig iron'!$B$2:$X$31, $A$1, FALSE)</f>
        <v>36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0</v>
      </c>
      <c r="M24" s="1">
        <f>VLOOKUP($B24, '[1]Exp of scrap'!$B$2:$X$31, $A$1, FALSE)</f>
        <v>875</v>
      </c>
      <c r="N24" s="1">
        <f>VLOOKUP($B24, '[1]Imp of scrap'!$B$2:$X$31, $A$1, FALSE)</f>
        <v>934</v>
      </c>
      <c r="O24" s="1">
        <f>VLOOKUP($B24, '[1]Pro of BOF steel'!$B$2:$X$31, $A$1, FALSE)</f>
        <v>5707</v>
      </c>
      <c r="P24" s="1">
        <f>VLOOKUP($B24, '[1]Pro of OHF steel'!$B$2:$X$31, $A$1, FALSE)</f>
        <v>0</v>
      </c>
      <c r="Q24" s="1">
        <f>VLOOKUP($B24, '[1]Pro of EAF steel'!$B$2:$X$31, $A$1, FALSE)</f>
        <v>555</v>
      </c>
      <c r="R24" s="1">
        <f>VLOOKUP($B24, '[1]Exp of ingots and semis'!$B$2:$X$31, $A$1, FALSE)</f>
        <v>260</v>
      </c>
      <c r="S24" s="1">
        <f>VLOOKUP($B24, '[1]Imp of ingots and semis'!$B$2:$X$31, $A$1, FALSE)</f>
        <v>98</v>
      </c>
      <c r="T24" s="1">
        <f>VLOOKUP($B24, '[1]Pro of hr long'!$B$2:$X$31, $A$1, FALSE)+VLOOKUP($B24, '[1]Pro of seamless tubes'!$B$2:$X$31, $A$1, FALSE)</f>
        <v>1453</v>
      </c>
      <c r="U24" s="1">
        <f>VLOOKUP($B24, '[1]Exp of long'!$B$2:$X$31, $A$1, FALSE)</f>
        <v>961</v>
      </c>
      <c r="V24" s="1">
        <f>VLOOKUP($B24, '[1]Imp of long'!$B$2:$X$31, $A$1, FALSE)</f>
        <v>987</v>
      </c>
      <c r="W24" s="1">
        <f>VLOOKUP($B24, '[1]Pro of hr flat'!$B$2:$X$31, $A$1, FALSE)*parameters!$B$8</f>
        <v>4196.126600284495</v>
      </c>
      <c r="X24" s="1">
        <f>VLOOKUP($B24, '[1]Exp of flat'!$B$2:$X$31, $A$1, FALSE)</f>
        <v>3381</v>
      </c>
      <c r="Y24" s="1">
        <f>VLOOKUP($B24, '[1]Imp of flat'!$B$2:$X$31, $A$1, FALSE)</f>
        <v>1251</v>
      </c>
      <c r="Z24" s="1">
        <f>VLOOKUP($B24, '[1]Indirect exp'!$B$2:$X$31, $A$1, FALSE)</f>
        <v>2723</v>
      </c>
      <c r="AA24" s="1">
        <f>VLOOKUP($B24, '[1]Indirect imp'!$B$2:$X$31, $A$1, FALSE)</f>
        <v>2904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28.6</v>
      </c>
      <c r="G25" s="1">
        <f>VLOOKUP($B25, '[1]Pro of pig iron'!$B$2:$X$31, $A$1, FALSE)*(1-VLOOKUP($B25, '[1]Foundry share'!$B$2:$X$31, $A$1, FALSE))</f>
        <v>7813</v>
      </c>
      <c r="H25" s="1">
        <f>VLOOKUP($B25, '[1]Exp of pig iron'!$B$2:$X$31, $A$1, FALSE)</f>
        <v>228</v>
      </c>
      <c r="I25" s="1">
        <f>VLOOKUP($B25, '[1]Imp of pig iron'!$B$2:$X$31, $A$1, FALSE)</f>
        <v>293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0</v>
      </c>
      <c r="M25" s="1">
        <f>VLOOKUP($B25, '[1]Exp of scrap'!$B$2:$X$31, $A$1, FALSE)</f>
        <v>2045.1257750221437</v>
      </c>
      <c r="N25" s="1">
        <f>VLOOKUP($B25, '[1]Imp of scrap'!$B$2:$X$31, $A$1, FALSE)</f>
        <v>3893.2242264962374</v>
      </c>
      <c r="O25" s="1">
        <f>VLOOKUP($B25, '[1]Pro of BOF steel'!$B$2:$X$31, $A$1, FALSE)</f>
        <v>8309</v>
      </c>
      <c r="P25" s="1">
        <f>VLOOKUP($B25, '[1]Pro of OHF steel'!$B$2:$X$31, $A$1, FALSE)</f>
        <v>0</v>
      </c>
      <c r="Q25" s="1">
        <f>VLOOKUP($B25, '[1]Pro of EAF steel'!$B$2:$X$31, $A$1, FALSE)</f>
        <v>2805</v>
      </c>
      <c r="R25" s="1">
        <f>VLOOKUP($B25, '[1]Exp of ingots and semis'!$B$2:$X$31, $A$1, FALSE)</f>
        <v>934</v>
      </c>
      <c r="S25" s="1">
        <f>VLOOKUP($B25, '[1]Imp of ingots and semis'!$B$2:$X$31, $A$1, FALSE)</f>
        <v>4717</v>
      </c>
      <c r="T25" s="1">
        <f>VLOOKUP($B25, '[1]Pro of hr long'!$B$2:$X$31, $A$1, FALSE)+VLOOKUP($B25, '[1]Pro of seamless tubes'!$B$2:$X$31, $A$1, FALSE)</f>
        <v>1242</v>
      </c>
      <c r="U25" s="1">
        <f>VLOOKUP($B25, '[1]Exp of long'!$B$2:$X$31, $A$1, FALSE)</f>
        <v>1579.3040171606863</v>
      </c>
      <c r="V25" s="1">
        <f>VLOOKUP($B25, '[1]Imp of long'!$B$2:$X$31, $A$1, FALSE)</f>
        <v>2020.23738170347</v>
      </c>
      <c r="W25" s="1">
        <f>VLOOKUP($B25, '[1]Pro of hr flat'!$B$2:$X$31, $A$1, FALSE)*parameters!$B$8</f>
        <v>11587.682788051208</v>
      </c>
      <c r="X25" s="1">
        <f>VLOOKUP($B25, '[1]Exp of flat'!$B$2:$X$31, $A$1, FALSE)</f>
        <v>13740.279267321475</v>
      </c>
      <c r="Y25" s="1">
        <f>VLOOKUP($B25, '[1]Imp of flat'!$B$2:$X$31, $A$1, FALSE)</f>
        <v>4694.4062087186267</v>
      </c>
      <c r="Z25" s="1">
        <f>VLOOKUP($B25, '[1]Indirect exp'!$B$2:$X$31, $A$1, FALSE)</f>
        <v>6015</v>
      </c>
      <c r="AA25" s="1">
        <f>VLOOKUP($B25, '[1]Indirect imp'!$B$2:$X$31, $A$1, FALSE)</f>
        <v>5927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0.5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10228</v>
      </c>
      <c r="H26" s="1">
        <f>VLOOKUP($B26, '[1]Exp of pig iron'!$B$2:$X$31, $A$1, FALSE)</f>
        <v>1</v>
      </c>
      <c r="I26" s="1">
        <f>VLOOKUP($B26, '[1]Imp of pig iron'!$B$2:$X$31, $A$1, FALSE)</f>
        <v>117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7219</v>
      </c>
      <c r="N26" s="1">
        <f>VLOOKUP($B26, '[1]Imp of scrap'!$B$2:$X$31, $A$1, FALSE)</f>
        <v>140</v>
      </c>
      <c r="O26" s="1">
        <f>VLOOKUP($B26, '[1]Pro of BOF steel'!$B$2:$X$31, $A$1, FALSE)</f>
        <v>10630</v>
      </c>
      <c r="P26" s="1">
        <f>VLOOKUP($B26, '[1]Pro of OHF steel'!$B$2:$X$31, $A$1, FALSE)</f>
        <v>0</v>
      </c>
      <c r="Q26" s="1">
        <f>VLOOKUP($B26, '[1]Pro of EAF steel'!$B$2:$X$31, $A$1, FALSE)</f>
        <v>2638</v>
      </c>
      <c r="R26" s="1">
        <f>VLOOKUP($B26, '[1]Exp of ingots and semis'!$B$2:$X$31, $A$1, FALSE)</f>
        <v>1278</v>
      </c>
      <c r="S26" s="1">
        <f>VLOOKUP($B26, '[1]Imp of ingots and semis'!$B$2:$X$31, $A$1, FALSE)</f>
        <v>541</v>
      </c>
      <c r="T26" s="1">
        <f>VLOOKUP($B26, '[1]Pro of hr long'!$B$2:$X$31, $A$1, FALSE)+VLOOKUP($B26, '[1]Pro of seamless tubes'!$B$2:$X$31, $A$1, FALSE)</f>
        <v>4411</v>
      </c>
      <c r="U26" s="1">
        <f>VLOOKUP($B26, '[1]Exp of long'!$B$2:$X$31, $A$1, FALSE)</f>
        <v>2534</v>
      </c>
      <c r="V26" s="1">
        <f>VLOOKUP($B26, '[1]Imp of long'!$B$2:$X$31, $A$1, FALSE)</f>
        <v>2357</v>
      </c>
      <c r="W26" s="1">
        <f>VLOOKUP($B26, '[1]Pro of hr flat'!$B$2:$X$31, $A$1, FALSE)*parameters!$B$8</f>
        <v>5871.0796586059741</v>
      </c>
      <c r="X26" s="1">
        <f>VLOOKUP($B26, '[1]Exp of flat'!$B$2:$X$31, $A$1, FALSE)</f>
        <v>2634</v>
      </c>
      <c r="Y26" s="1">
        <f>VLOOKUP($B26, '[1]Imp of flat'!$B$2:$X$31, $A$1, FALSE)</f>
        <v>4246</v>
      </c>
      <c r="Z26" s="1">
        <f>VLOOKUP($B26, '[1]Indirect exp'!$B$2:$X$31, $A$1, FALSE)</f>
        <v>6094</v>
      </c>
      <c r="AA26" s="1">
        <f>VLOOKUP($B26, '[1]Indirect imp'!$B$2:$X$31, $A$1, FALSE)</f>
        <v>9892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1181.7</v>
      </c>
      <c r="G27" s="1">
        <f>VLOOKUP($B27, '[1]Pro of pig iron'!$B$2:$X$31, $A$1, FALSE)*(1-VLOOKUP($B27, '[1]Foundry share'!$B$2:$X$31, $A$1, FALSE))</f>
        <v>5540.1804828429995</v>
      </c>
      <c r="H27" s="1">
        <f>VLOOKUP($B27, '[1]Exp of pig iron'!$B$2:$X$31, $A$1, FALSE)</f>
        <v>33</v>
      </c>
      <c r="I27" s="1">
        <f>VLOOKUP($B27, '[1]Imp of pig iron'!$B$2:$X$31, $A$1, FALSE)</f>
        <v>117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0</v>
      </c>
      <c r="L27" s="1">
        <f>VLOOKUP($B27, '[1]Imp of DRI'!$B$2:$X$31, $A$1, FALSE)</f>
        <v>0</v>
      </c>
      <c r="M27" s="1">
        <f>VLOOKUP($B27, '[1]Exp of scrap'!$B$2:$X$31, $A$1, FALSE)</f>
        <v>3315</v>
      </c>
      <c r="N27" s="1">
        <f>VLOOKUP($B27, '[1]Imp of scrap'!$B$2:$X$31, $A$1, FALSE)</f>
        <v>1802</v>
      </c>
      <c r="O27" s="1">
        <f>VLOOKUP($B27, '[1]Pro of BOF steel'!$B$2:$X$31, $A$1, FALSE)</f>
        <v>6452</v>
      </c>
      <c r="P27" s="1">
        <f>VLOOKUP($B27, '[1]Pro of OHF steel'!$B$2:$X$31, $A$1, FALSE)</f>
        <v>0</v>
      </c>
      <c r="Q27" s="1">
        <f>VLOOKUP($B27, '[1]Pro of EAF steel'!$B$2:$X$31, $A$1, FALSE)</f>
        <v>120</v>
      </c>
      <c r="R27" s="1">
        <f>VLOOKUP($B27, '[1]Exp of ingots and semis'!$B$2:$X$31, $A$1, FALSE)</f>
        <v>235</v>
      </c>
      <c r="S27" s="1">
        <f>VLOOKUP($B27, '[1]Imp of ingots and semis'!$B$2:$X$31, $A$1, FALSE)</f>
        <v>126</v>
      </c>
      <c r="T27" s="1">
        <f>VLOOKUP($B27, '[1]Pro of hr long'!$B$2:$X$31, $A$1, FALSE)+VLOOKUP($B27, '[1]Pro of seamless tubes'!$B$2:$X$31, $A$1, FALSE)</f>
        <v>191</v>
      </c>
      <c r="U27" s="1">
        <f>VLOOKUP($B27, '[1]Exp of long'!$B$2:$X$31, $A$1, FALSE)</f>
        <v>709</v>
      </c>
      <c r="V27" s="1">
        <f>VLOOKUP($B27, '[1]Imp of long'!$B$2:$X$31, $A$1, FALSE)</f>
        <v>2158</v>
      </c>
      <c r="W27" s="1">
        <f>VLOOKUP($B27, '[1]Pro of hr flat'!$B$2:$X$31, $A$1, FALSE)*parameters!$B$8</f>
        <v>5517.4352773826458</v>
      </c>
      <c r="X27" s="1">
        <f>VLOOKUP($B27, '[1]Exp of flat'!$B$2:$X$31, $A$1, FALSE)</f>
        <v>6216</v>
      </c>
      <c r="Y27" s="1">
        <f>VLOOKUP($B27, '[1]Imp of flat'!$B$2:$X$31, $A$1, FALSE)</f>
        <v>2506</v>
      </c>
      <c r="Z27" s="1">
        <f>VLOOKUP($B27, '[1]Indirect exp'!$B$2:$X$31, $A$1, FALSE)</f>
        <v>3932</v>
      </c>
      <c r="AA27" s="1">
        <f>VLOOKUP($B27, '[1]Indirect imp'!$B$2:$X$31, $A$1, FALSE)</f>
        <v>4078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187219</v>
      </c>
      <c r="D28" s="1">
        <f>VLOOKUP($B28, '[1]Pro of iron ore'!$B$2:$X$31, $A$1, FALSE)*(1-VLOOKUP($B28, '[1]Foundry share'!$B$2:$X$31, $A$1, FALSE))</f>
        <v>116355</v>
      </c>
      <c r="E28" s="47">
        <f>VLOOKUP($B28, '[1]Iron content'!$B$2:$X$31, $A$1, FALSE)</f>
        <v>0.62149140845747497</v>
      </c>
      <c r="F28" s="1">
        <f>VLOOKUP($B28, '[1]Exp of usable iron ore'!$B$2:$X$31, $A$1, FALSE)*parameters!$B$12</f>
        <v>120979.95</v>
      </c>
      <c r="G28" s="1">
        <f>VLOOKUP($B28, '[1]Pro of pig iron'!$B$2:$X$31, $A$1, FALSE)*(1-VLOOKUP($B28, '[1]Foundry share'!$B$2:$X$31, $A$1, FALSE))</f>
        <v>6116</v>
      </c>
      <c r="H28" s="1">
        <f>VLOOKUP($B28, '[1]Exp of pig iron'!$B$2:$X$31, $A$1, FALSE)</f>
        <v>1</v>
      </c>
      <c r="I28" s="1">
        <f>VLOOKUP($B28, '[1]Imp of pig iron'!$B$2:$X$31, $A$1, FALSE)</f>
        <v>14</v>
      </c>
      <c r="J28" s="1">
        <f>VLOOKUP($B28, '[1]Pro of DRI'!$B$2:$X$31, $A$1, FALSE)*(1-VLOOKUP($B28, '[1]Foundry share'!$B$2:$X$31, $A$1, FALSE))</f>
        <v>1950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997</v>
      </c>
      <c r="N28" s="1">
        <f>VLOOKUP($B28, '[1]Imp of scrap'!$B$2:$X$31, $A$1, FALSE)</f>
        <v>42</v>
      </c>
      <c r="O28" s="1">
        <f>VLOOKUP($B28, '[1]Pro of BOF steel'!$B$2:$X$31, $A$1, FALSE)</f>
        <v>6202</v>
      </c>
      <c r="P28" s="1">
        <f>VLOOKUP($B28, '[1]Pro of OHF steel'!$B$2:$X$31, $A$1, FALSE)</f>
        <v>0</v>
      </c>
      <c r="Q28" s="1">
        <f>VLOOKUP($B28, '[1]Pro of EAF steel'!$B$2:$X$31, $A$1, FALSE)</f>
        <v>1342</v>
      </c>
      <c r="R28" s="1">
        <f>VLOOKUP($B28, '[1]Exp of ingots and semis'!$B$2:$X$31, $A$1, FALSE)</f>
        <v>8</v>
      </c>
      <c r="S28" s="1">
        <f>VLOOKUP($B28, '[1]Imp of ingots and semis'!$B$2:$X$31, $A$1, FALSE)</f>
        <v>10</v>
      </c>
      <c r="T28" s="1">
        <f>VLOOKUP($B28, '[1]Pro of hr long'!$B$2:$X$31, $A$1, FALSE)+VLOOKUP($B28, '[1]Pro of seamless tubes'!$B$2:$X$31, $A$1, FALSE)</f>
        <v>2156</v>
      </c>
      <c r="U28" s="1">
        <f>VLOOKUP($B28, '[1]Exp of long'!$B$2:$X$31, $A$1, FALSE)</f>
        <v>183</v>
      </c>
      <c r="V28" s="1">
        <f>VLOOKUP($B28, '[1]Imp of long'!$B$2:$X$31, $A$1, FALSE)</f>
        <v>479</v>
      </c>
      <c r="W28" s="1">
        <f>VLOOKUP($B28, '[1]Pro of hr flat'!$B$2:$X$31, $A$1, FALSE)*parameters!$B$8</f>
        <v>2636.7880512091037</v>
      </c>
      <c r="X28" s="1">
        <f>VLOOKUP($B28, '[1]Exp of flat'!$B$2:$X$31, $A$1, FALSE)</f>
        <v>561</v>
      </c>
      <c r="Y28" s="1">
        <f>VLOOKUP($B28, '[1]Imp of flat'!$B$2:$X$31, $A$1, FALSE)</f>
        <v>913</v>
      </c>
      <c r="Z28" s="1">
        <f>VLOOKUP($B28, '[1]Indirect exp'!$B$2:$X$31, $A$1, FALSE)</f>
        <v>600</v>
      </c>
      <c r="AA28" s="1">
        <f>VLOOKUP($B28, '[1]Indirect imp'!$B$2:$X$31, $A$1, FALSE)</f>
        <v>2475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38085.855000000003</v>
      </c>
      <c r="D29" s="1">
        <f>VLOOKUP($B29, '[1]Pro of iron ore'!$B$2:$X$31, $A$1, FALSE)*(1-VLOOKUP($B29, '[1]Foundry share'!$B$2:$X$31, $A$1, FALSE))</f>
        <v>24000</v>
      </c>
      <c r="E29" s="47">
        <f>VLOOKUP($B29, '[1]Iron content'!$B$2:$X$31, $A$1, FALSE)</f>
        <v>0.63015521116698048</v>
      </c>
      <c r="F29" s="1">
        <f>VLOOKUP($B29, '[1]Exp of usable iron ore'!$B$2:$X$31, $A$1, FALSE)*parameters!$B$12</f>
        <v>15217.800000000001</v>
      </c>
      <c r="G29" s="1">
        <f>VLOOKUP($B29, '[1]Pro of pig iron'!$B$2:$X$31, $A$1, FALSE)*(1-VLOOKUP($B29, '[1]Foundry share'!$B$2:$X$31, $A$1, FALSE))</f>
        <v>6234</v>
      </c>
      <c r="H29" s="1">
        <f>VLOOKUP($B29, '[1]Exp of pig iron'!$B$2:$X$31, $A$1, FALSE)</f>
        <v>462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1542</v>
      </c>
      <c r="K29" s="1">
        <f>VLOOKUP($B29, '[1]Exp of DRI'!$B$2:$X$31, $A$1, FALSE)</f>
        <v>0</v>
      </c>
      <c r="L29" s="1">
        <f>VLOOKUP($B29, '[1]Imp of DRI'!$B$2:$X$31, $A$1, FALSE)</f>
        <v>0</v>
      </c>
      <c r="M29" s="1">
        <f>VLOOKUP($B29, '[1]Exp of scrap'!$B$2:$X$31, $A$1, FALSE)</f>
        <v>385</v>
      </c>
      <c r="N29" s="1">
        <f>VLOOKUP($B29, '[1]Imp of scrap'!$B$2:$X$31, $A$1, FALSE)</f>
        <v>131</v>
      </c>
      <c r="O29" s="1">
        <f>VLOOKUP($B29, '[1]Pro of BOF steel'!$B$2:$X$31, $A$1, FALSE)</f>
        <v>5083</v>
      </c>
      <c r="P29" s="1">
        <f>VLOOKUP($B29, '[1]Pro of OHF steel'!$B$2:$X$31, $A$1, FALSE)</f>
        <v>0</v>
      </c>
      <c r="Q29" s="1">
        <f>VLOOKUP($B29, '[1]Pro of EAF steel'!$B$2:$X$31, $A$1, FALSE)</f>
        <v>4398</v>
      </c>
      <c r="R29" s="1">
        <f>VLOOKUP($B29, '[1]Exp of ingots and semis'!$B$2:$X$31, $A$1, FALSE)</f>
        <v>977</v>
      </c>
      <c r="S29" s="1">
        <f>VLOOKUP($B29, '[1]Imp of ingots and semis'!$B$2:$X$31, $A$1, FALSE)</f>
        <v>8</v>
      </c>
      <c r="T29" s="1">
        <f>VLOOKUP($B29, '[1]Pro of hr long'!$B$2:$X$31, $A$1, FALSE)+VLOOKUP($B29, '[1]Pro of seamless tubes'!$B$2:$X$31, $A$1, FALSE)</f>
        <v>2659</v>
      </c>
      <c r="U29" s="1">
        <f>VLOOKUP($B29, '[1]Exp of long'!$B$2:$X$31, $A$1, FALSE)</f>
        <v>1216</v>
      </c>
      <c r="V29" s="1">
        <f>VLOOKUP($B29, '[1]Imp of long'!$B$2:$X$31, $A$1, FALSE)</f>
        <v>60</v>
      </c>
      <c r="W29" s="1">
        <f>VLOOKUP($B29, '[1]Pro of hr flat'!$B$2:$X$31, $A$1, FALSE)*parameters!$B$8</f>
        <v>4072.7396870554767</v>
      </c>
      <c r="X29" s="1">
        <f>VLOOKUP($B29, '[1]Exp of flat'!$B$2:$X$31, $A$1, FALSE)</f>
        <v>2713</v>
      </c>
      <c r="Y29" s="1">
        <f>VLOOKUP($B29, '[1]Imp of flat'!$B$2:$X$31, $A$1, FALSE)</f>
        <v>198</v>
      </c>
      <c r="Z29" s="1">
        <f>VLOOKUP($B29, '[1]Indirect exp'!$B$2:$X$31, $A$1, FALSE)</f>
        <v>691</v>
      </c>
      <c r="AA29" s="1">
        <f>VLOOKUP($B29, '[1]Indirect imp'!$B$2:$X$31, $A$1, FALSE)</f>
        <v>970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495.4016293412015</v>
      </c>
      <c r="D30" s="1">
        <f>VLOOKUP($B30, '[1]Pro of iron ore'!$B$2:$X$31, $A$1, FALSE)*(1-VLOOKUP($B30, '[1]Foundry share'!$B$2:$X$31, $A$1, FALSE))</f>
        <v>317.19680866013249</v>
      </c>
      <c r="E30" s="47">
        <f>VLOOKUP($B30, '[1]Iron content'!$B$2:$X$31, $A$1, FALSE)</f>
        <v>0.64028212640711224</v>
      </c>
      <c r="F30" s="1">
        <f>VLOOKUP($B30, '[1]Exp of usable iron ore'!$B$2:$X$31, $A$1, FALSE)*parameters!$B$12</f>
        <v>0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79</v>
      </c>
      <c r="I30" s="1">
        <f>VLOOKUP($B30, '[1]Imp of pig iron'!$B$2:$X$31, $A$1, FALSE)</f>
        <v>409</v>
      </c>
      <c r="J30" s="1">
        <f>VLOOKUP($B30, '[1]Pro of DRI'!$B$2:$X$31, $A$1, FALSE)*(1-VLOOKUP($B30, '[1]Foundry share'!$B$2:$X$31, $A$1, FALSE))</f>
        <v>1328.573020566</v>
      </c>
      <c r="K30" s="1">
        <f>VLOOKUP($B30, '[1]Exp of DRI'!$B$2:$X$31, $A$1, FALSE)</f>
        <v>0</v>
      </c>
      <c r="L30" s="1">
        <f>VLOOKUP($B30, '[1]Imp of DRI'!$B$2:$X$31, $A$1, FALSE)</f>
        <v>0</v>
      </c>
      <c r="M30" s="1">
        <f>VLOOKUP($B30, '[1]Exp of scrap'!$B$2:$X$31, $A$1, FALSE)</f>
        <v>294</v>
      </c>
      <c r="N30" s="1">
        <f>VLOOKUP($B30, '[1]Imp of scrap'!$B$2:$X$31, $A$1, FALSE)</f>
        <v>5136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3960</v>
      </c>
      <c r="R30" s="1">
        <f>VLOOKUP($B30, '[1]Exp of ingots and semis'!$B$2:$X$31, $A$1, FALSE)</f>
        <v>618</v>
      </c>
      <c r="S30" s="1">
        <f>VLOOKUP($B30, '[1]Imp of ingots and semis'!$B$2:$X$31, $A$1, FALSE)</f>
        <v>211</v>
      </c>
      <c r="T30" s="1">
        <f>VLOOKUP($B30, '[1]Pro of hr long'!$B$2:$X$31, $A$1, FALSE)+VLOOKUP($B30, '[1]Pro of seamless tubes'!$B$2:$X$31, $A$1, FALSE)</f>
        <v>3338</v>
      </c>
      <c r="U30" s="1">
        <f>VLOOKUP($B30, '[1]Exp of long'!$B$2:$X$31, $A$1, FALSE)</f>
        <v>572</v>
      </c>
      <c r="V30" s="1">
        <f>VLOOKUP($B30, '[1]Imp of long'!$B$2:$X$31, $A$1, FALSE)</f>
        <v>0</v>
      </c>
      <c r="W30" s="1">
        <f>VLOOKUP($B30, '[1]Pro of hr flat'!$B$2:$X$31, $A$1, FALSE)*parameters!$B$8</f>
        <v>1229.0113798008535</v>
      </c>
      <c r="X30" s="1">
        <f>VLOOKUP($B30, '[1]Exp of flat'!$B$2:$X$31, $A$1, FALSE)</f>
        <v>0</v>
      </c>
      <c r="Y30" s="1">
        <f>VLOOKUP($B30, '[1]Imp of flat'!$B$2:$X$31, $A$1, FALSE)</f>
        <v>2144</v>
      </c>
      <c r="Z30" s="1">
        <f>VLOOKUP($B30, '[1]Indirect exp'!$B$2:$X$31, $A$1, FALSE)</f>
        <v>824</v>
      </c>
      <c r="AA30" s="1">
        <f>VLOOKUP($B30, '[1]Indirect imp'!$B$2:$X$31, $A$1, FALSE)</f>
        <v>1358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10</v>
      </c>
      <c r="D31" s="1">
        <f>VLOOKUP($B31, '[1]Pro of iron ore'!$B$2:$X$31, $A$1, FALSE)*(1-VLOOKUP($B31, '[1]Foundry share'!$B$2:$X$31, $A$1, FALSE))</f>
        <v>5</v>
      </c>
      <c r="E31" s="47">
        <f>VLOOKUP($B31, '[1]Iron content'!$B$2:$X$31, $A$1, FALSE)</f>
        <v>0.5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19</v>
      </c>
      <c r="I31" s="1">
        <f>VLOOKUP($B31, '[1]Imp of pig iron'!$B$2:$X$31, $A$1, FALSE)</f>
        <v>369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118</v>
      </c>
      <c r="N31" s="1">
        <f>VLOOKUP($B31, '[1]Imp of scrap'!$B$2:$X$31, $A$1, FALSE)</f>
        <v>1280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3551</v>
      </c>
      <c r="R31" s="1">
        <f>VLOOKUP($B31, '[1]Exp of ingots and semis'!$B$2:$X$31, $A$1, FALSE)</f>
        <v>84</v>
      </c>
      <c r="S31" s="1">
        <f>VLOOKUP($B31, '[1]Imp of ingots and semis'!$B$2:$X$31, $A$1, FALSE)</f>
        <v>4182</v>
      </c>
      <c r="T31" s="1">
        <f>VLOOKUP($B31, '[1]Pro of hr long'!$B$2:$X$31, $A$1, FALSE)+VLOOKUP($B31, '[1]Pro of seamless tubes'!$B$2:$X$31, $A$1, FALSE)</f>
        <v>4170</v>
      </c>
      <c r="U31" s="1">
        <f>VLOOKUP($B31, '[1]Exp of long'!$B$2:$X$31, $A$1, FALSE)</f>
        <v>526</v>
      </c>
      <c r="V31" s="1">
        <f>VLOOKUP($B31, '[1]Imp of long'!$B$2:$X$31, $A$1, FALSE)</f>
        <v>864</v>
      </c>
      <c r="W31" s="1">
        <f>VLOOKUP($B31, '[1]Pro of hr flat'!$B$2:$X$31, $A$1, FALSE)*parameters!$B$8</f>
        <v>3233.3200568990042</v>
      </c>
      <c r="X31" s="1">
        <f>VLOOKUP($B31, '[1]Exp of flat'!$B$2:$X$31, $A$1, FALSE)</f>
        <v>1077</v>
      </c>
      <c r="Y31" s="1">
        <f>VLOOKUP($B31, '[1]Imp of flat'!$B$2:$X$31, $A$1, FALSE)</f>
        <v>4153</v>
      </c>
      <c r="Z31" s="1">
        <f>VLOOKUP($B31, '[1]Indirect exp'!$B$2:$X$31, $A$1, FALSE)</f>
        <v>1525</v>
      </c>
      <c r="AA31" s="1">
        <f>VLOOKUP($B31, '[1]Indirect imp'!$B$2:$X$31, $A$1, FALSE)</f>
        <v>1254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21500</v>
      </c>
      <c r="D32" s="1">
        <f>VLOOKUP($B32, '[1]Pro of iron ore'!$B$2:$X$31, $A$1, FALSE)*(1-VLOOKUP($B32, '[1]Foundry share'!$B$2:$X$31, $A$1, FALSE))</f>
        <v>14100</v>
      </c>
      <c r="E32" s="47">
        <f>VLOOKUP($B32, '[1]Iron content'!$B$2:$X$31, $A$1, FALSE)</f>
        <v>0.65581395348837213</v>
      </c>
      <c r="F32" s="1">
        <f>VLOOKUP($B32, '[1]Exp of usable iron ore'!$B$2:$X$31, $A$1, FALSE)*parameters!$B$12</f>
        <v>10114</v>
      </c>
      <c r="G32" s="1">
        <f>VLOOKUP($B32, '[1]Pro of pig iron'!$B$2:$X$31, $A$1, FALSE)*(1-VLOOKUP($B32, '[1]Foundry share'!$B$2:$X$31, $A$1, FALSE))</f>
        <v>3710</v>
      </c>
      <c r="H32" s="1">
        <f>VLOOKUP($B32, '[1]Exp of pig iron'!$B$2:$X$31, $A$1, FALSE)</f>
        <v>118</v>
      </c>
      <c r="I32" s="1">
        <f>VLOOKUP($B32, '[1]Imp of pig iron'!$B$2:$X$31, $A$1, FALSE)</f>
        <v>18</v>
      </c>
      <c r="J32" s="1">
        <f>VLOOKUP($B32, '[1]Pro of DRI'!$B$2:$X$31, $A$1, FALSE)*(1-VLOOKUP($B32, '[1]Foundry share'!$B$2:$X$31, $A$1, FALSE))</f>
        <v>106</v>
      </c>
      <c r="K32" s="1">
        <f>VLOOKUP($B32, '[1]Exp of DRI'!$B$2:$X$31, $A$1, FALSE)</f>
        <v>0</v>
      </c>
      <c r="L32" s="1">
        <f>VLOOKUP($B32, '[1]Imp of DRI'!$B$2:$X$31, $A$1, FALSE)</f>
        <v>0</v>
      </c>
      <c r="M32" s="1">
        <f>VLOOKUP($B32, '[1]Exp of scrap'!$B$2:$X$31, $A$1, FALSE)</f>
        <v>709</v>
      </c>
      <c r="N32" s="1">
        <f>VLOOKUP($B32, '[1]Imp of scrap'!$B$2:$X$31, $A$1, FALSE)</f>
        <v>351</v>
      </c>
      <c r="O32" s="1">
        <f>VLOOKUP($B32, '[1]Pro of BOF steel'!$B$2:$X$31, $A$1, FALSE)</f>
        <v>3886</v>
      </c>
      <c r="P32" s="1">
        <f>VLOOKUP($B32, '[1]Pro of OHF steel'!$B$2:$X$31, $A$1, FALSE)</f>
        <v>0</v>
      </c>
      <c r="Q32" s="1">
        <f>VLOOKUP($B32, '[1]Pro of EAF steel'!$B$2:$X$31, $A$1, FALSE)</f>
        <v>1822</v>
      </c>
      <c r="R32" s="1">
        <f>VLOOKUP($B32, '[1]Exp of ingots and semis'!$B$2:$X$31, $A$1, FALSE)</f>
        <v>167</v>
      </c>
      <c r="S32" s="1">
        <f>VLOOKUP($B32, '[1]Imp of ingots and semis'!$B$2:$X$31, $A$1, FALSE)</f>
        <v>496</v>
      </c>
      <c r="T32" s="1">
        <f>VLOOKUP($B32, '[1]Pro of hr long'!$B$2:$X$31, $A$1, FALSE)+VLOOKUP($B32, '[1]Pro of seamless tubes'!$B$2:$X$31, $A$1, FALSE)</f>
        <v>779</v>
      </c>
      <c r="U32" s="1">
        <f>VLOOKUP($B32, '[1]Exp of long'!$B$2:$X$31, $A$1, FALSE)</f>
        <v>781</v>
      </c>
      <c r="V32" s="1">
        <f>VLOOKUP($B32, '[1]Imp of long'!$B$2:$X$31, $A$1, FALSE)</f>
        <v>847</v>
      </c>
      <c r="W32" s="1">
        <f>VLOOKUP($B32, '[1]Pro of hr flat'!$B$2:$X$31, $A$1, FALSE)*parameters!$B$8</f>
        <v>4087.3129445234708</v>
      </c>
      <c r="X32" s="1">
        <f>VLOOKUP($B32, '[1]Exp of flat'!$B$2:$X$31, $A$1, FALSE)</f>
        <v>3152</v>
      </c>
      <c r="Y32" s="1">
        <f>VLOOKUP($B32, '[1]Imp of flat'!$B$2:$X$31, $A$1, FALSE)</f>
        <v>1619</v>
      </c>
      <c r="Z32" s="1">
        <f>VLOOKUP($B32, '[1]Indirect exp'!$B$2:$X$31, $A$1, FALSE)</f>
        <v>2421</v>
      </c>
      <c r="AA32" s="1">
        <f>VLOOKUP($B32, '[1]Indirect imp'!$B$2:$X$31, $A$1, FALSE)</f>
        <v>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177802.60335966214</v>
      </c>
      <c r="D2" s="9">
        <f ca="1">Q4/parameters!$B$3</f>
        <v>251.14143757830178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178053.74479724045</v>
      </c>
      <c r="M2" s="17"/>
      <c r="N2" s="17">
        <f ca="1">Q2-(L2+O2+P2)</f>
        <v>0</v>
      </c>
      <c r="O2" s="11" cm="1">
        <f t="array" aca="1" ref="O2" ca="1">INDIRECT("'data'!$F$" &amp; $A$1)</f>
        <v>0.65</v>
      </c>
      <c r="P2" s="13">
        <f ca="1">IF(-(L2-Q2+O2)&lt;0, -(L2-Q2+O2), 0)</f>
        <v>-102801.60657545213</v>
      </c>
      <c r="Q2" s="17" cm="1">
        <f t="array" aca="1" ref="Q2" ca="1">INDIRECT("'data'!$D$" &amp; $A$1)</f>
        <v>75252.788221788316</v>
      </c>
      <c r="R2" s="17">
        <f ca="1">SUM(L2:P2)</f>
        <v>75252.788221788316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162797.32835820896</v>
      </c>
      <c r="G3" s="14">
        <f ca="1">Q3-O3-P3-F3</f>
        <v>13694.228600287315</v>
      </c>
      <c r="H3" s="14"/>
      <c r="I3" s="14"/>
      <c r="J3" s="14"/>
      <c r="K3" s="13"/>
      <c r="L3" s="16">
        <f t="shared" ca="1" si="0"/>
        <v>176491.55695849628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675.67499999999995</v>
      </c>
      <c r="P3" s="13" cm="1">
        <f t="array" aca="1" ref="P3" ca="1">-INDIRECT("'data'!$I$" &amp; $A$1)*parameters!$B$13</f>
        <v>-484.78499999999997</v>
      </c>
      <c r="Q3" s="16" cm="1">
        <f t="array" aca="1" ref="Q3" ca="1">INDIRECT("'data'!$G$" &amp; $A$1)*parameters!$B$13</f>
        <v>176682.44695849626</v>
      </c>
      <c r="R3" s="16">
        <f t="shared" ref="R3:R10" ca="1" si="2">SUM(L3:P3)</f>
        <v>176682.44695849626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249.55924652155849</v>
      </c>
      <c r="H4" s="14"/>
      <c r="I4" s="14"/>
      <c r="J4" s="14"/>
      <c r="K4" s="13"/>
      <c r="L4" s="16">
        <f t="shared" ca="1" si="0"/>
        <v>249.55924652155849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249.55924652155849</v>
      </c>
      <c r="R4" s="16">
        <f t="shared" ca="1" si="2"/>
        <v>249.55924652155849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Q6/parameters!$B$5*15%</f>
        <v>28728.940298507463</v>
      </c>
      <c r="G5" s="14">
        <f ca="1">Q7/parameters!$B$7-(G3+G4)</f>
        <v>26052.91016782017</v>
      </c>
      <c r="H5" s="14"/>
      <c r="I5" s="14"/>
      <c r="J5" s="14"/>
      <c r="K5" s="13"/>
      <c r="L5" s="16">
        <f t="shared" ca="1" si="0"/>
        <v>54781.850466327633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-9108.119999999999</v>
      </c>
      <c r="Q5" s="16">
        <f ca="1">SUM(L5:P5)</f>
        <v>45673.73046632763</v>
      </c>
      <c r="R5" s="16">
        <f t="shared" ca="1" si="2"/>
        <v>45673.73046632763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179651.63999999998</v>
      </c>
      <c r="I6" s="14"/>
      <c r="J6" s="14"/>
      <c r="K6" s="13"/>
      <c r="L6" s="16">
        <f t="shared" ca="1" si="0"/>
        <v>179651.63999999998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179651.63999999998</v>
      </c>
      <c r="R6" s="16">
        <f t="shared" ca="1" si="2"/>
        <v>179651.63999999998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38276.839999999997</v>
      </c>
      <c r="I7" s="14"/>
      <c r="J7" s="14"/>
      <c r="K7" s="13"/>
      <c r="L7" s="16">
        <f t="shared" ca="1" si="0"/>
        <v>38276.839999999997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38276.839999999997</v>
      </c>
      <c r="R7" s="16">
        <f t="shared" ca="1" si="2"/>
        <v>38276.839999999997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155816.92521574325</v>
      </c>
      <c r="J8" s="14">
        <f ca="1">Q10/J18</f>
        <v>66466.674784256727</v>
      </c>
      <c r="K8" s="13"/>
      <c r="L8" s="16">
        <f t="shared" ca="1" si="0"/>
        <v>222283.59999999998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1461.18</v>
      </c>
      <c r="P8" s="13" cm="1">
        <f t="array" aca="1" ref="P8" ca="1">-INDIRECT("'data'!$S$" &amp; $A$1)*parameters!$B$15</f>
        <v>-5816.3</v>
      </c>
      <c r="Q8" s="16">
        <f ca="1">SUM(Q6:Q7)</f>
        <v>217928.47999999998</v>
      </c>
      <c r="R8" s="16">
        <f t="shared" ca="1" si="2"/>
        <v>217928.47999999998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138964.98000000001</v>
      </c>
      <c r="L9" s="16">
        <f t="shared" ca="1" si="0"/>
        <v>138964.98000000001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3086.02</v>
      </c>
      <c r="P9" s="13" cm="1">
        <f t="array" aca="1" ref="P9" ca="1">-INDIRECT("'data'!$V$" &amp; $A$1)*parameters!$B$15</f>
        <v>-2713.62</v>
      </c>
      <c r="Q9" s="16" cm="1">
        <f t="array" aca="1" ref="Q9" ca="1">INDIRECT("'data'!$T$" &amp; $A$1)*parameters!$B$15</f>
        <v>139337.38</v>
      </c>
      <c r="R9" s="16">
        <f t="shared" ca="1" si="2"/>
        <v>139337.38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90237.431152204837</v>
      </c>
      <c r="L10" s="16">
        <f t="shared" ca="1" si="0"/>
        <v>90237.431152204837</v>
      </c>
      <c r="M10" s="16"/>
      <c r="N10" s="16">
        <f t="shared" ca="1" si="3"/>
        <v>0</v>
      </c>
      <c r="O10" s="11" cm="1">
        <f t="array" aca="1" ref="O10" ca="1">INDIRECT("'data'!$X$" &amp; $A$1)*parameters!$B$15</f>
        <v>1785.56</v>
      </c>
      <c r="P10" s="13" cm="1">
        <f t="array" aca="1" ref="P10" ca="1">-INDIRECT("'data'!$Y$" &amp; $A$1)*parameters!$B$15</f>
        <v>-32585.98</v>
      </c>
      <c r="Q10" s="16" cm="1">
        <f t="array" aca="1" ref="Q10" ca="1">INDIRECT("'data'!$W$" &amp; $A$1)*parameters!$B$15</f>
        <v>59437.011152204832</v>
      </c>
      <c r="R10" s="16">
        <f t="shared" ca="1" si="2"/>
        <v>59437.011152204839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196055.75199089613</v>
      </c>
      <c r="N11" s="19"/>
      <c r="O11" s="21" cm="1">
        <f t="array" aca="1" ref="O11" ca="1">INDIRECT("'data'!$Z$" &amp; $A$1)*parameters!$B$15</f>
        <v>19453.98</v>
      </c>
      <c r="P11" s="27" cm="1">
        <f t="array" aca="1" ref="P11" ca="1">-INDIRECT("'data'!$AA$" &amp; $A$1)*parameters!$B$15</f>
        <v>-7278.46</v>
      </c>
      <c r="Q11" s="16">
        <f ca="1">K9*parameters!$B$10+K10*parameters!$B$11</f>
        <v>208231.27199089614</v>
      </c>
      <c r="R11" s="16">
        <f t="shared" ref="R11:R17" ca="1" si="4">SUM(L11:P11)</f>
        <v>208231.27199089614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-1120.1564011658775</v>
      </c>
      <c r="D12" s="9">
        <f ca="1">-(D17-Q4)</f>
        <v>-1.5821910567432838</v>
      </c>
      <c r="E12" s="9">
        <f ca="1">-(E17-Q5)</f>
        <v>-5645.0678104449908</v>
      </c>
      <c r="F12" s="9">
        <f ca="1">-(F17-Q6)</f>
        <v>-11874.628656716435</v>
      </c>
      <c r="G12" s="9">
        <f ca="1">-(G17-Q7)</f>
        <v>-1719.8580146290478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-20361.293074013094</v>
      </c>
      <c r="M12" s="17"/>
      <c r="N12" s="17"/>
      <c r="O12" s="10"/>
      <c r="P12" s="12"/>
      <c r="Q12" s="9">
        <f t="shared" ref="Q12:Q17" ca="1" si="6">SUM(L12:P12)</f>
        <v>-20361.293074013094</v>
      </c>
      <c r="R12" s="17">
        <f t="shared" ca="1" si="4"/>
        <v>-20361.293074013094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-16479.545215743245</v>
      </c>
      <c r="J13" s="14">
        <f ca="1">-(J17-Q10)</f>
        <v>-7029.6636320518955</v>
      </c>
      <c r="K13" s="13">
        <f ca="1">-(K17-Q11)</f>
        <v>-20971.139161308703</v>
      </c>
      <c r="L13" s="14">
        <f t="shared" ca="1" si="5"/>
        <v>-44480.348009103844</v>
      </c>
      <c r="M13" s="16">
        <f ca="1">-E15</f>
        <v>-6838.4502676687771</v>
      </c>
      <c r="N13" s="16"/>
      <c r="O13" s="11"/>
      <c r="P13" s="13"/>
      <c r="Q13" s="14">
        <f t="shared" ca="1" si="6"/>
        <v>-51318.798276772621</v>
      </c>
      <c r="R13" s="16">
        <f t="shared" ca="1" si="4"/>
        <v>-51318.798276772621</v>
      </c>
    </row>
    <row r="14" spans="1:20">
      <c r="A14" s="18" t="s">
        <v>78</v>
      </c>
      <c r="B14" s="11"/>
      <c r="C14" s="14"/>
      <c r="D14" s="14"/>
      <c r="E14" s="14">
        <f ca="1">-(I13+J13)-K13</f>
        <v>44480.348009103844</v>
      </c>
      <c r="F14" s="14"/>
      <c r="G14" s="14"/>
      <c r="H14" s="14"/>
      <c r="I14" s="14"/>
      <c r="J14" s="14"/>
      <c r="K14" s="13"/>
      <c r="L14" s="14">
        <f t="shared" ca="1" si="5"/>
        <v>44480.348009103844</v>
      </c>
      <c r="M14" s="16"/>
      <c r="N14" s="16"/>
      <c r="O14" s="11"/>
      <c r="P14" s="13"/>
      <c r="Q14" s="14">
        <f t="shared" ca="1" si="6"/>
        <v>44480.348009103844</v>
      </c>
      <c r="R14" s="16">
        <f t="shared" ca="1" si="4"/>
        <v>44480.348009103844</v>
      </c>
    </row>
    <row r="15" spans="1:20">
      <c r="A15" s="18" t="s">
        <v>79</v>
      </c>
      <c r="B15" s="11"/>
      <c r="C15" s="14"/>
      <c r="D15" s="14"/>
      <c r="E15" s="14">
        <f ca="1">E17-E14</f>
        <v>6838.4502676687771</v>
      </c>
      <c r="F15" s="14"/>
      <c r="G15" s="14"/>
      <c r="H15" s="14"/>
      <c r="I15" s="14"/>
      <c r="J15" s="14"/>
      <c r="K15" s="13"/>
      <c r="L15" s="14">
        <f t="shared" ca="1" si="5"/>
        <v>6838.4502676687771</v>
      </c>
      <c r="M15" s="16"/>
      <c r="N15" s="16"/>
      <c r="O15" s="11"/>
      <c r="P15" s="13"/>
      <c r="Q15" s="14">
        <f t="shared" ca="1" si="6"/>
        <v>6838.4502676687771</v>
      </c>
      <c r="R15" s="16">
        <f t="shared" ca="1" si="4"/>
        <v>6838.4502676687771</v>
      </c>
    </row>
    <row r="16" spans="1:20">
      <c r="A16" s="30" t="s">
        <v>89</v>
      </c>
      <c r="B16" s="21">
        <f ca="1">Q2</f>
        <v>75252.788221788316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75252.788221788316</v>
      </c>
      <c r="M16" s="19"/>
      <c r="N16" s="19"/>
      <c r="O16" s="21"/>
      <c r="P16" s="27"/>
      <c r="Q16" s="22">
        <f t="shared" ca="1" si="6"/>
        <v>75252.788221788316</v>
      </c>
      <c r="R16" s="19">
        <f t="shared" ca="1" si="4"/>
        <v>75252.788221788316</v>
      </c>
    </row>
    <row r="17" spans="1:18">
      <c r="A17" s="29" t="s">
        <v>88</v>
      </c>
      <c r="B17" s="9">
        <f ca="1">B16</f>
        <v>75252.788221788316</v>
      </c>
      <c r="C17" s="9">
        <f ca="1">SUM(C$2:C$11)</f>
        <v>177802.60335966214</v>
      </c>
      <c r="D17" s="9">
        <f ca="1">SUM(D$2:D$11)</f>
        <v>251.14143757830178</v>
      </c>
      <c r="E17" s="9">
        <f ca="1">$Q$5/parameters!$B$4</f>
        <v>51318.798276772621</v>
      </c>
      <c r="F17" s="9">
        <f t="shared" ref="F17:K17" ca="1" si="7">SUM(F$2:F$11)</f>
        <v>191526.26865671642</v>
      </c>
      <c r="G17" s="9">
        <f t="shared" ca="1" si="7"/>
        <v>39996.698014629044</v>
      </c>
      <c r="H17" s="9">
        <f t="shared" ca="1" si="7"/>
        <v>217928.47999999998</v>
      </c>
      <c r="I17" s="9">
        <f t="shared" ca="1" si="7"/>
        <v>155816.92521574325</v>
      </c>
      <c r="J17" s="9">
        <f t="shared" ca="1" si="7"/>
        <v>66466.674784256727</v>
      </c>
      <c r="K17" s="9">
        <f t="shared" ca="1" si="7"/>
        <v>229202.41115220485</v>
      </c>
      <c r="L17" s="17">
        <f t="shared" ca="1" si="5"/>
        <v>1205562.7891193517</v>
      </c>
      <c r="M17" s="17"/>
      <c r="N17" s="17"/>
      <c r="O17" s="9"/>
      <c r="P17" s="14"/>
      <c r="Q17" s="11">
        <f t="shared" ca="1" si="6"/>
        <v>1205562.7891193517</v>
      </c>
      <c r="R17" s="17">
        <f t="shared" ca="1" si="4"/>
        <v>1205562.7891193517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0.89423777171237484</v>
      </c>
      <c r="J18" s="39">
        <f ca="1">I18</f>
        <v>0.89423777171237484</v>
      </c>
      <c r="K18" s="40">
        <f ca="1">1-(-K13)/K17</f>
        <v>0.90850384576721344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20836.181690799833</v>
      </c>
      <c r="D2" s="9">
        <f ca="1">Q4/parameters!$B$3</f>
        <v>5387.1658240390307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26223.347514838864</v>
      </c>
      <c r="M2" s="17"/>
      <c r="N2" s="17">
        <f ca="1">Q2-(L2+O2+P2)</f>
        <v>0</v>
      </c>
      <c r="O2" s="11" cm="1">
        <f t="array" aca="1" ref="O2" ca="1">INDIRECT("'data'!$F$" &amp; $A$1)</f>
        <v>37274.25</v>
      </c>
      <c r="P2" s="13">
        <f ca="1">IF(-(L2-Q2+O2)&lt;0, -(L2-Q2+O2), 0)</f>
        <v>-11177.764455291825</v>
      </c>
      <c r="Q2" s="17" cm="1">
        <f t="array" aca="1" ref="Q2" ca="1">INDIRECT("'data'!$D$" &amp; $A$1)</f>
        <v>52319.83305954704</v>
      </c>
      <c r="R2" s="17">
        <f ca="1">SUM(L2:P2)</f>
        <v>52319.833059547047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15964.179104477613</v>
      </c>
      <c r="G3" s="14">
        <f ca="1">Q3-O3-P3-F3</f>
        <v>4205.8646416701795</v>
      </c>
      <c r="H3" s="14"/>
      <c r="I3" s="14"/>
      <c r="J3" s="14"/>
      <c r="K3" s="13"/>
      <c r="L3" s="16">
        <f t="shared" ca="1" si="0"/>
        <v>20170.043746147792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537.70499999999993</v>
      </c>
      <c r="P3" s="13" cm="1">
        <f t="array" aca="1" ref="P3" ca="1">-INDIRECT("'data'!$I$" &amp; $A$1)*parameters!$B$13</f>
        <v>-2.835</v>
      </c>
      <c r="Q3" s="16" cm="1">
        <f t="array" aca="1" ref="Q3" ca="1">INDIRECT("'data'!$G$" &amp; $A$1)*parameters!$B$13</f>
        <v>20704.913746147795</v>
      </c>
      <c r="R3" s="16">
        <f t="shared" ref="R3:R10" ca="1" si="2">SUM(L3:P3)</f>
        <v>20704.913746147795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5353.2266793475846</v>
      </c>
      <c r="H4" s="14"/>
      <c r="I4" s="14"/>
      <c r="J4" s="14"/>
      <c r="K4" s="13"/>
      <c r="L4" s="16">
        <f t="shared" ca="1" si="0"/>
        <v>5353.2266793475846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5353.2266793475846</v>
      </c>
      <c r="R4" s="16">
        <f t="shared" ca="1" si="2"/>
        <v>5353.2266793475846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3991.0447761194032</v>
      </c>
      <c r="G5" s="14">
        <f ca="1">Q7/parameters!$B$7-(G3+G4)</f>
        <v>3425.6526706227796</v>
      </c>
      <c r="H5" s="14"/>
      <c r="I5" s="14"/>
      <c r="J5" s="14"/>
      <c r="K5" s="13"/>
      <c r="L5" s="16">
        <f t="shared" ca="1" si="0"/>
        <v>7416.6974467421824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-2312.8000000000002</v>
      </c>
      <c r="Q5" s="16">
        <f ca="1">SUM(L5:P5)</f>
        <v>5103.8974467421822</v>
      </c>
      <c r="R5" s="16">
        <f t="shared" ca="1" si="2"/>
        <v>5103.8974467421822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18718</v>
      </c>
      <c r="I6" s="14"/>
      <c r="J6" s="14"/>
      <c r="K6" s="13"/>
      <c r="L6" s="16">
        <f t="shared" ca="1" si="0"/>
        <v>18718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18718</v>
      </c>
      <c r="R6" s="16">
        <f t="shared" ca="1" si="2"/>
        <v>18718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12426.4</v>
      </c>
      <c r="I7" s="14"/>
      <c r="J7" s="14"/>
      <c r="K7" s="13"/>
      <c r="L7" s="16">
        <f t="shared" ca="1" si="0"/>
        <v>12426.4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12426.4</v>
      </c>
      <c r="R7" s="16">
        <f t="shared" ca="1" si="2"/>
        <v>12426.4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15299</v>
      </c>
      <c r="J8" s="14">
        <f ca="1">Q10/J18</f>
        <v>19435.867709815077</v>
      </c>
      <c r="K8" s="13"/>
      <c r="L8" s="16">
        <f t="shared" ca="1" si="0"/>
        <v>34734.86770981508</v>
      </c>
      <c r="M8" s="16"/>
      <c r="N8" s="16">
        <f t="shared" ca="1" si="3"/>
        <v>-4113.7877098150784</v>
      </c>
      <c r="O8" s="11" cm="1">
        <f t="array" aca="1" ref="O8" ca="1">INDIRECT("'data'!$R$" &amp; $A$1)*parameters!$B$15</f>
        <v>656.6</v>
      </c>
      <c r="P8" s="13" cm="1">
        <f t="array" aca="1" ref="P8" ca="1">-INDIRECT("'data'!$S$" &amp; $A$1)*parameters!$B$15</f>
        <v>-133.28</v>
      </c>
      <c r="Q8" s="16">
        <f ca="1">SUM(Q6:Q7)</f>
        <v>31144.400000000001</v>
      </c>
      <c r="R8" s="16">
        <f t="shared" ca="1" si="2"/>
        <v>31144.400000000001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14373.660000000002</v>
      </c>
      <c r="L9" s="16">
        <f t="shared" ca="1" si="0"/>
        <v>14373.660000000002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720.3</v>
      </c>
      <c r="P9" s="13" cm="1">
        <f t="array" aca="1" ref="P9" ca="1">-INDIRECT("'data'!$V$" &amp; $A$1)*parameters!$B$15</f>
        <v>-100.94</v>
      </c>
      <c r="Q9" s="16" cm="1">
        <f t="array" aca="1" ref="Q9" ca="1">INDIRECT("'data'!$T$" &amp; $A$1)*parameters!$B$15</f>
        <v>14993.02</v>
      </c>
      <c r="R9" s="16">
        <f t="shared" ca="1" si="2"/>
        <v>14993.02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16044.430355618775</v>
      </c>
      <c r="L10" s="16">
        <f t="shared" ca="1" si="0"/>
        <v>16044.430355618775</v>
      </c>
      <c r="M10" s="16"/>
      <c r="N10" s="16">
        <f t="shared" ca="1" si="3"/>
        <v>0</v>
      </c>
      <c r="O10" s="11" cm="1">
        <f t="array" aca="1" ref="O10" ca="1">INDIRECT("'data'!$X$" &amp; $A$1)*parameters!$B$15</f>
        <v>4012.12</v>
      </c>
      <c r="P10" s="13" cm="1">
        <f t="array" aca="1" ref="P10" ca="1">-INDIRECT("'data'!$Y$" &amp; $A$1)*parameters!$B$15</f>
        <v>-1009.4</v>
      </c>
      <c r="Q10" s="16" cm="1">
        <f t="array" aca="1" ref="Q10" ca="1">INDIRECT("'data'!$W$" &amp; $A$1)*parameters!$B$15</f>
        <v>19047.150355618774</v>
      </c>
      <c r="R10" s="16">
        <f t="shared" ca="1" si="2"/>
        <v>19047.150355618774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26545.050505832147</v>
      </c>
      <c r="N11" s="19"/>
      <c r="O11" s="21" cm="1">
        <f t="array" aca="1" ref="O11" ca="1">INDIRECT("'data'!$Z$" &amp; $A$1)*parameters!$B$15</f>
        <v>1595.44</v>
      </c>
      <c r="P11" s="27" cm="1">
        <f t="array" aca="1" ref="P11" ca="1">-INDIRECT("'data'!$AA$" &amp; $A$1)*parameters!$B$15</f>
        <v>-831.04</v>
      </c>
      <c r="Q11" s="16">
        <f ca="1">K9*parameters!$B$10+K10*parameters!$B$11</f>
        <v>27309.450505832145</v>
      </c>
      <c r="R11" s="16">
        <f t="shared" ref="R11:R17" ca="1" si="4">SUM(L11:P11)</f>
        <v>27309.450505832145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-131.26794465203784</v>
      </c>
      <c r="D12" s="9">
        <f ca="1">-(D17-Q4)</f>
        <v>-33.939144691446018</v>
      </c>
      <c r="E12" s="9">
        <f ca="1">-(E17-Q5)</f>
        <v>-630.81878555240473</v>
      </c>
      <c r="F12" s="9">
        <f ca="1">-(F17-Q6)</f>
        <v>-1237.2238805970155</v>
      </c>
      <c r="G12" s="9">
        <f ca="1">-(G17-Q7)</f>
        <v>-558.34399164054412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-2591.5937471334482</v>
      </c>
      <c r="M12" s="17"/>
      <c r="N12" s="17"/>
      <c r="O12" s="10"/>
      <c r="P12" s="12"/>
      <c r="Q12" s="9">
        <f t="shared" ref="Q12:Q17" ca="1" si="6">SUM(L12:P12)</f>
        <v>-2591.5937471334482</v>
      </c>
      <c r="R12" s="17">
        <f t="shared" ca="1" si="4"/>
        <v>-2591.5937471334482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-305.97999999999956</v>
      </c>
      <c r="J13" s="14">
        <f ca="1">-(J17-Q10)</f>
        <v>-388.71735419630204</v>
      </c>
      <c r="K13" s="13">
        <f ca="1">-(K17-Q11)</f>
        <v>-3108.6398497866321</v>
      </c>
      <c r="L13" s="14">
        <f t="shared" ca="1" si="5"/>
        <v>-3803.3372039829337</v>
      </c>
      <c r="M13" s="16">
        <f ca="1">-E15</f>
        <v>-1931.3790283116532</v>
      </c>
      <c r="N13" s="16"/>
      <c r="O13" s="11"/>
      <c r="P13" s="13"/>
      <c r="Q13" s="14">
        <f t="shared" ca="1" si="6"/>
        <v>-5734.7162322945869</v>
      </c>
      <c r="R13" s="16">
        <f t="shared" ca="1" si="4"/>
        <v>-5734.7162322945869</v>
      </c>
    </row>
    <row r="14" spans="1:22">
      <c r="A14" s="18" t="s">
        <v>78</v>
      </c>
      <c r="B14" s="11"/>
      <c r="C14" s="14"/>
      <c r="D14" s="14"/>
      <c r="E14" s="14">
        <f ca="1">-(I13+J13)-K13</f>
        <v>3803.3372039829337</v>
      </c>
      <c r="F14" s="14"/>
      <c r="G14" s="14"/>
      <c r="H14" s="14"/>
      <c r="I14" s="14"/>
      <c r="J14" s="14"/>
      <c r="K14" s="13"/>
      <c r="L14" s="14">
        <f t="shared" ca="1" si="5"/>
        <v>3803.3372039829337</v>
      </c>
      <c r="M14" s="16"/>
      <c r="N14" s="16"/>
      <c r="O14" s="11"/>
      <c r="P14" s="13"/>
      <c r="Q14" s="14">
        <f t="shared" ca="1" si="6"/>
        <v>3803.3372039829337</v>
      </c>
      <c r="R14" s="16">
        <f t="shared" ca="1" si="4"/>
        <v>3803.3372039829337</v>
      </c>
    </row>
    <row r="15" spans="1:22">
      <c r="A15" s="18" t="s">
        <v>79</v>
      </c>
      <c r="B15" s="11"/>
      <c r="C15" s="14"/>
      <c r="D15" s="14"/>
      <c r="E15" s="14">
        <f ca="1">E17-E14</f>
        <v>1931.3790283116532</v>
      </c>
      <c r="F15" s="14"/>
      <c r="G15" s="14"/>
      <c r="H15" s="14"/>
      <c r="I15" s="14"/>
      <c r="J15" s="14"/>
      <c r="K15" s="13"/>
      <c r="L15" s="14">
        <f t="shared" ca="1" si="5"/>
        <v>1931.3790283116532</v>
      </c>
      <c r="M15" s="16"/>
      <c r="N15" s="16"/>
      <c r="O15" s="11"/>
      <c r="P15" s="13"/>
      <c r="Q15" s="14">
        <f t="shared" ca="1" si="6"/>
        <v>1931.3790283116532</v>
      </c>
      <c r="R15" s="16">
        <f t="shared" ca="1" si="4"/>
        <v>1931.3790283116532</v>
      </c>
    </row>
    <row r="16" spans="1:22">
      <c r="A16" s="30" t="s">
        <v>89</v>
      </c>
      <c r="B16" s="21">
        <f ca="1">Q2</f>
        <v>52319.83305954704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52319.83305954704</v>
      </c>
      <c r="M16" s="19"/>
      <c r="N16" s="19"/>
      <c r="O16" s="21"/>
      <c r="P16" s="27"/>
      <c r="Q16" s="22">
        <f t="shared" ca="1" si="6"/>
        <v>52319.83305954704</v>
      </c>
      <c r="R16" s="19">
        <f t="shared" ca="1" si="4"/>
        <v>52319.83305954704</v>
      </c>
    </row>
    <row r="17" spans="1:18">
      <c r="A17" s="29" t="s">
        <v>88</v>
      </c>
      <c r="B17" s="9">
        <f ca="1">B16</f>
        <v>52319.83305954704</v>
      </c>
      <c r="C17" s="9">
        <f ca="1">SUM(C$2:C$11)</f>
        <v>20836.181690799833</v>
      </c>
      <c r="D17" s="9">
        <f ca="1">SUM(D$2:D$11)</f>
        <v>5387.1658240390307</v>
      </c>
      <c r="E17" s="9">
        <f ca="1">$Q$5/parameters!$B$4</f>
        <v>5734.7162322945869</v>
      </c>
      <c r="F17" s="9">
        <f t="shared" ref="F17:K17" ca="1" si="7">SUM(F$2:F$11)</f>
        <v>19955.223880597016</v>
      </c>
      <c r="G17" s="9">
        <f t="shared" ca="1" si="7"/>
        <v>12984.743991640544</v>
      </c>
      <c r="H17" s="9">
        <f t="shared" ca="1" si="7"/>
        <v>31144.400000000001</v>
      </c>
      <c r="I17" s="9">
        <f t="shared" ca="1" si="7"/>
        <v>15299</v>
      </c>
      <c r="J17" s="9">
        <f t="shared" ca="1" si="7"/>
        <v>19435.867709815077</v>
      </c>
      <c r="K17" s="9">
        <f t="shared" ca="1" si="7"/>
        <v>30418.090355618777</v>
      </c>
      <c r="L17" s="17">
        <f t="shared" ca="1" si="5"/>
        <v>213515.22274435186</v>
      </c>
      <c r="M17" s="17"/>
      <c r="N17" s="17"/>
      <c r="O17" s="9"/>
      <c r="P17" s="14"/>
      <c r="Q17" s="11">
        <f t="shared" ca="1" si="6"/>
        <v>213515.22274435186</v>
      </c>
      <c r="R17" s="17">
        <f t="shared" ca="1" si="4"/>
        <v>213515.22274435186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0.89780292538277606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78067.822280366294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78067.822280366294</v>
      </c>
      <c r="M2" s="17"/>
      <c r="N2" s="17">
        <f ca="1">Q2-(L2+O2+P2)</f>
        <v>0</v>
      </c>
      <c r="O2" s="11" cm="1">
        <f t="array" aca="1" ref="O2" ca="1">INDIRECT("'data'!$F$" &amp; $A$1)</f>
        <v>28.6</v>
      </c>
      <c r="P2" s="13">
        <f ca="1">IF(-(L2-Q2+O2)&lt;0, -(L2-Q2+O2), 0)</f>
        <v>-78096.4222803663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75648.007462686568</v>
      </c>
      <c r="G3" s="14">
        <f ca="1">Q3-O3-P3-F3</f>
        <v>2352.2925373134349</v>
      </c>
      <c r="H3" s="14"/>
      <c r="I3" s="14"/>
      <c r="J3" s="14"/>
      <c r="K3" s="13"/>
      <c r="L3" s="16">
        <f t="shared" ca="1" si="0"/>
        <v>78000.3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103.94999999999999</v>
      </c>
      <c r="P3" s="13" cm="1">
        <f t="array" aca="1" ref="P3" ca="1">-INDIRECT("'data'!$I$" &amp; $A$1)*parameters!$B$13</f>
        <v>-528.255</v>
      </c>
      <c r="Q3" s="16" cm="1">
        <f t="array" aca="1" ref="Q3" ca="1">INDIRECT("'data'!$G$" &amp; $A$1)*parameters!$B$13</f>
        <v>77575.994999999995</v>
      </c>
      <c r="R3" s="16">
        <f t="shared" ref="R3:R10" ca="1" si="2">SUM(L3:P3)</f>
        <v>77575.994999999995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9349.753731343284</v>
      </c>
      <c r="G5" s="14">
        <f ca="1">Q7/parameters!$B$7-(G3+G4)</f>
        <v>27504.426375957206</v>
      </c>
      <c r="H5" s="14"/>
      <c r="I5" s="14"/>
      <c r="J5" s="14"/>
      <c r="K5" s="13"/>
      <c r="L5" s="16">
        <f t="shared" ca="1" si="0"/>
        <v>36854.18010730049</v>
      </c>
      <c r="M5" s="16"/>
      <c r="N5" s="16"/>
      <c r="O5" s="11" cm="1">
        <f t="array" aca="1" ref="O5" ca="1">INDIRECT("'data'!$M$" &amp; $A$1)*parameters!$B$15</f>
        <v>5605.5999999999995</v>
      </c>
      <c r="P5" s="13" cm="1">
        <f t="array" aca="1" ref="P5" ca="1">-INDIRECT("'data'!$N$" &amp; $A$1)*parameters!$B$15</f>
        <v>-178.35999999999999</v>
      </c>
      <c r="Q5" s="16">
        <f ca="1">SUM(L5:P5)</f>
        <v>42281.420107300488</v>
      </c>
      <c r="R5" s="16">
        <f t="shared" ca="1" si="2"/>
        <v>42281.420107300488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79727.899999999994</v>
      </c>
      <c r="I6" s="14"/>
      <c r="J6" s="14"/>
      <c r="K6" s="13"/>
      <c r="L6" s="16">
        <f t="shared" ca="1" si="0"/>
        <v>79727.899999999994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79727.899999999994</v>
      </c>
      <c r="R6" s="16">
        <f t="shared" ca="1" si="2"/>
        <v>79727.899999999994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28572.880000000001</v>
      </c>
      <c r="I7" s="14"/>
      <c r="J7" s="14"/>
      <c r="K7" s="13"/>
      <c r="L7" s="16">
        <f t="shared" ca="1" si="0"/>
        <v>28572.880000000001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28572.880000000001</v>
      </c>
      <c r="R7" s="16">
        <f t="shared" ca="1" si="2"/>
        <v>28572.880000000001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38223.510830590734</v>
      </c>
      <c r="J8" s="14">
        <f ca="1">Q10/J18</f>
        <v>67129.429169409254</v>
      </c>
      <c r="K8" s="13"/>
      <c r="L8" s="16">
        <f t="shared" ca="1" si="0"/>
        <v>105352.93999999999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2958.62</v>
      </c>
      <c r="P8" s="13" cm="1">
        <f t="array" aca="1" ref="P8" ca="1">-INDIRECT("'data'!$S$" &amp; $A$1)*parameters!$B$15</f>
        <v>-10.78</v>
      </c>
      <c r="Q8" s="16">
        <f ca="1">SUM(Q6:Q7)</f>
        <v>108300.78</v>
      </c>
      <c r="R8" s="16">
        <f t="shared" ca="1" si="2"/>
        <v>108300.77999999998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30657.340000000004</v>
      </c>
      <c r="L9" s="16">
        <f t="shared" ca="1" si="0"/>
        <v>30657.340000000004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4673.62</v>
      </c>
      <c r="P9" s="13" cm="1">
        <f t="array" aca="1" ref="P9" ca="1">-INDIRECT("'data'!$V$" &amp; $A$1)*parameters!$B$15</f>
        <v>-357.7</v>
      </c>
      <c r="Q9" s="16" cm="1">
        <f t="array" aca="1" ref="Q9" ca="1">INDIRECT("'data'!$T$" &amp; $A$1)*parameters!$B$15</f>
        <v>34973.26</v>
      </c>
      <c r="R9" s="16">
        <f t="shared" ca="1" si="2"/>
        <v>34973.260000000009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41649.728165007109</v>
      </c>
      <c r="L10" s="16">
        <f t="shared" ca="1" si="0"/>
        <v>41649.728165007109</v>
      </c>
      <c r="M10" s="16"/>
      <c r="N10" s="16">
        <f t="shared" ca="1" si="3"/>
        <v>0</v>
      </c>
      <c r="O10" s="11" cm="1">
        <f t="array" aca="1" ref="O10" ca="1">INDIRECT("'data'!$X$" &amp; $A$1)*parameters!$B$15</f>
        <v>22406.720000000001</v>
      </c>
      <c r="P10" s="13" cm="1">
        <f t="array" aca="1" ref="P10" ca="1">-INDIRECT("'data'!$Y$" &amp; $A$1)*parameters!$B$15</f>
        <v>-2635.22</v>
      </c>
      <c r="Q10" s="16" cm="1">
        <f t="array" aca="1" ref="Q10" ca="1">INDIRECT("'data'!$W$" &amp; $A$1)*parameters!$B$15</f>
        <v>61421.228165007109</v>
      </c>
      <c r="R10" s="16">
        <f t="shared" ca="1" si="2"/>
        <v>61421.228165007109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46208.745821906123</v>
      </c>
      <c r="N11" s="19"/>
      <c r="O11" s="21" cm="1">
        <f t="array" aca="1" ref="O11" ca="1">INDIRECT("'data'!$Z$" &amp; $A$1)*parameters!$B$15</f>
        <v>22381.239999999998</v>
      </c>
      <c r="P11" s="27" cm="1">
        <f t="array" aca="1" ref="P11" ca="1">-INDIRECT("'data'!$AA$" &amp; $A$1)*parameters!$B$15</f>
        <v>-3953.3199999999997</v>
      </c>
      <c r="Q11" s="16">
        <f ca="1">K9*parameters!$B$10+K10*parameters!$B$11</f>
        <v>64636.665821906121</v>
      </c>
      <c r="R11" s="16">
        <f t="shared" ref="R11:R17" ca="1" si="4">SUM(L11:P11)</f>
        <v>64636.665821906128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-491.82728036629851</v>
      </c>
      <c r="D12" s="9">
        <f ca="1">-(D17-Q4)</f>
        <v>0</v>
      </c>
      <c r="E12" s="9">
        <f ca="1">-(E17-Q5)</f>
        <v>-5225.793496407925</v>
      </c>
      <c r="F12" s="9">
        <f ca="1">-(F17-Q6)</f>
        <v>-5269.8611940298579</v>
      </c>
      <c r="G12" s="9">
        <f ca="1">-(G17-Q7)</f>
        <v>-1283.8389132706398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-12271.320884074721</v>
      </c>
      <c r="M12" s="17"/>
      <c r="N12" s="17"/>
      <c r="O12" s="10"/>
      <c r="P12" s="12"/>
      <c r="Q12" s="9">
        <f t="shared" ref="Q12:Q17" ca="1" si="6">SUM(L12:P12)</f>
        <v>-12271.320884074721</v>
      </c>
      <c r="R12" s="17">
        <f t="shared" ca="1" si="4"/>
        <v>-12271.320884074721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-3250.2508305907322</v>
      </c>
      <c r="J13" s="14">
        <f ca="1">-(J17-Q10)</f>
        <v>-5708.2010044021445</v>
      </c>
      <c r="K13" s="13">
        <f ca="1">-(K17-Q11)</f>
        <v>-7670.4023431009846</v>
      </c>
      <c r="L13" s="14">
        <f t="shared" ca="1" si="5"/>
        <v>-16628.854178093861</v>
      </c>
      <c r="M13" s="16">
        <f ca="1">-E15</f>
        <v>-30878.359425614552</v>
      </c>
      <c r="N13" s="16"/>
      <c r="O13" s="11"/>
      <c r="P13" s="13"/>
      <c r="Q13" s="14">
        <f t="shared" ca="1" si="6"/>
        <v>-47507.213603708413</v>
      </c>
      <c r="R13" s="16">
        <f t="shared" ca="1" si="4"/>
        <v>-47507.213603708413</v>
      </c>
    </row>
    <row r="14" spans="1:20">
      <c r="A14" s="18" t="s">
        <v>78</v>
      </c>
      <c r="B14" s="11"/>
      <c r="C14" s="14"/>
      <c r="D14" s="14"/>
      <c r="E14" s="14">
        <f ca="1">-(I13+J13)-K13</f>
        <v>16628.854178093861</v>
      </c>
      <c r="F14" s="14"/>
      <c r="G14" s="14"/>
      <c r="H14" s="14"/>
      <c r="I14" s="14"/>
      <c r="J14" s="14"/>
      <c r="K14" s="13"/>
      <c r="L14" s="14">
        <f t="shared" ca="1" si="5"/>
        <v>16628.854178093861</v>
      </c>
      <c r="M14" s="16"/>
      <c r="N14" s="16"/>
      <c r="O14" s="11"/>
      <c r="P14" s="13"/>
      <c r="Q14" s="14">
        <f t="shared" ca="1" si="6"/>
        <v>16628.854178093861</v>
      </c>
      <c r="R14" s="16">
        <f t="shared" ca="1" si="4"/>
        <v>16628.854178093861</v>
      </c>
    </row>
    <row r="15" spans="1:20">
      <c r="A15" s="18" t="s">
        <v>79</v>
      </c>
      <c r="B15" s="11"/>
      <c r="C15" s="14"/>
      <c r="D15" s="14"/>
      <c r="E15" s="14">
        <f ca="1">E17-E14</f>
        <v>30878.359425614552</v>
      </c>
      <c r="F15" s="14"/>
      <c r="G15" s="14"/>
      <c r="H15" s="14"/>
      <c r="I15" s="14"/>
      <c r="J15" s="14"/>
      <c r="K15" s="13"/>
      <c r="L15" s="14">
        <f t="shared" ca="1" si="5"/>
        <v>30878.359425614552</v>
      </c>
      <c r="M15" s="16"/>
      <c r="N15" s="16"/>
      <c r="O15" s="11"/>
      <c r="P15" s="13"/>
      <c r="Q15" s="14">
        <f t="shared" ca="1" si="6"/>
        <v>30878.359425614552</v>
      </c>
      <c r="R15" s="16">
        <f t="shared" ca="1" si="4"/>
        <v>30878.359425614552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78067.822280366294</v>
      </c>
      <c r="D17" s="9">
        <f ca="1">SUM(D$2:D$11)</f>
        <v>0</v>
      </c>
      <c r="E17" s="9">
        <f ca="1">$Q$5/parameters!$B$4</f>
        <v>47507.213603708413</v>
      </c>
      <c r="F17" s="9">
        <f t="shared" ref="F17:K17" ca="1" si="7">SUM(F$2:F$11)</f>
        <v>84997.761194029852</v>
      </c>
      <c r="G17" s="9">
        <f t="shared" ca="1" si="7"/>
        <v>29856.718913270641</v>
      </c>
      <c r="H17" s="9">
        <f t="shared" ca="1" si="7"/>
        <v>108300.78</v>
      </c>
      <c r="I17" s="9">
        <f t="shared" ca="1" si="7"/>
        <v>38223.510830590734</v>
      </c>
      <c r="J17" s="9">
        <f t="shared" ca="1" si="7"/>
        <v>67129.429169409254</v>
      </c>
      <c r="K17" s="9">
        <f t="shared" ca="1" si="7"/>
        <v>72307.068165007106</v>
      </c>
      <c r="L17" s="17">
        <f t="shared" ca="1" si="5"/>
        <v>526390.30415638234</v>
      </c>
      <c r="M17" s="17"/>
      <c r="N17" s="17"/>
      <c r="O17" s="9"/>
      <c r="P17" s="14"/>
      <c r="Q17" s="11">
        <f t="shared" ca="1" si="6"/>
        <v>526390.30415638234</v>
      </c>
      <c r="R17" s="17">
        <f t="shared" ca="1" si="4"/>
        <v>526390.30415638234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0.91496723456419082</v>
      </c>
      <c r="J18" s="39">
        <f ca="1">I18</f>
        <v>0.91496723456419082</v>
      </c>
      <c r="K18" s="40">
        <f ca="1">1-(-K13)/K17</f>
        <v>0.89391905193007037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38652.088155378879</v>
      </c>
      <c r="D2" s="9">
        <f ca="1">Q4/parameters!$B$3</f>
        <v>194.42487672335716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38846.513032102237</v>
      </c>
      <c r="M2" s="17"/>
      <c r="N2" s="17">
        <f ca="1">Q2-(L2+O2+P2)</f>
        <v>0</v>
      </c>
      <c r="O2" s="11" cm="1">
        <f t="array" aca="1" ref="O2" ca="1">INDIRECT("'data'!$F$" &amp; $A$1)</f>
        <v>4400.5</v>
      </c>
      <c r="P2" s="13">
        <f ca="1">IF(-(L2-Q2+O2)&lt;0, -(L2-Q2+O2), 0)</f>
        <v>-12657.013032102237</v>
      </c>
      <c r="Q2" s="17" cm="1">
        <f t="array" aca="1" ref="Q2" ca="1">INDIRECT("'data'!$D$" &amp; $A$1)</f>
        <v>30590</v>
      </c>
      <c r="R2" s="17">
        <f ca="1">SUM(L2:P2)</f>
        <v>30590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39300.152238805967</v>
      </c>
      <c r="G3" s="14">
        <f ca="1">Q3-O3-P3-F3</f>
        <v>2704.1527611940328</v>
      </c>
      <c r="H3" s="14"/>
      <c r="I3" s="14"/>
      <c r="J3" s="14"/>
      <c r="K3" s="13"/>
      <c r="L3" s="16">
        <f t="shared" ca="1" si="0"/>
        <v>42004.305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81.27</v>
      </c>
      <c r="P3" s="13" cm="1">
        <f t="array" aca="1" ref="P3" ca="1">-INDIRECT("'data'!$I$" &amp; $A$1)*parameters!$B$13</f>
        <v>-3676.9949999999999</v>
      </c>
      <c r="Q3" s="16" cm="1">
        <f t="array" aca="1" ref="Q3" ca="1">INDIRECT("'data'!$G$" &amp; $A$1)*parameters!$B$13</f>
        <v>38408.579999999994</v>
      </c>
      <c r="R3" s="16">
        <f t="shared" ref="R3:R10" ca="1" si="2">SUM(L3:P3)</f>
        <v>38408.579999999994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193.20000000000002</v>
      </c>
      <c r="H4" s="14"/>
      <c r="I4" s="14"/>
      <c r="J4" s="14"/>
      <c r="K4" s="13"/>
      <c r="L4" s="16">
        <f t="shared" ca="1" si="0"/>
        <v>193.20000000000002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193.20000000000002</v>
      </c>
      <c r="R4" s="16">
        <f t="shared" ca="1" si="2"/>
        <v>193.20000000000002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8626.8626865671649</v>
      </c>
      <c r="G5" s="14">
        <f ca="1">Q7/parameters!$B$7-(G3+G4)</f>
        <v>46055.541700665948</v>
      </c>
      <c r="H5" s="14"/>
      <c r="I5" s="14"/>
      <c r="J5" s="14"/>
      <c r="K5" s="13"/>
      <c r="L5" s="16">
        <f t="shared" ca="1" si="0"/>
        <v>54682.404387233109</v>
      </c>
      <c r="M5" s="16"/>
      <c r="N5" s="16"/>
      <c r="O5" s="11" cm="1">
        <f t="array" aca="1" ref="O5" ca="1">INDIRECT("'data'!$M$" &amp; $A$1)*parameters!$B$15</f>
        <v>10551.66</v>
      </c>
      <c r="P5" s="13" cm="1">
        <f t="array" aca="1" ref="P5" ca="1">-INDIRECT("'data'!$N$" &amp; $A$1)*parameters!$B$15</f>
        <v>-3414.32</v>
      </c>
      <c r="Q5" s="16">
        <f ca="1">SUM(L5:P5)</f>
        <v>61819.744387233113</v>
      </c>
      <c r="R5" s="16">
        <f t="shared" ca="1" si="2"/>
        <v>61819.744387233113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44955.54</v>
      </c>
      <c r="I6" s="14"/>
      <c r="J6" s="14"/>
      <c r="K6" s="13"/>
      <c r="L6" s="16">
        <f t="shared" ca="1" si="0"/>
        <v>44955.54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44955.54</v>
      </c>
      <c r="R6" s="16">
        <f t="shared" ca="1" si="2"/>
        <v>44955.54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46847.92</v>
      </c>
      <c r="I7" s="14"/>
      <c r="J7" s="14"/>
      <c r="K7" s="13"/>
      <c r="L7" s="16">
        <f t="shared" ca="1" si="0"/>
        <v>46847.92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46847.92</v>
      </c>
      <c r="R7" s="16">
        <f t="shared" ca="1" si="2"/>
        <v>46847.92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30137.56319464132</v>
      </c>
      <c r="J8" s="14">
        <f ca="1">Q10/J18</f>
        <v>65740.736805358683</v>
      </c>
      <c r="K8" s="13"/>
      <c r="L8" s="16">
        <f t="shared" ca="1" si="0"/>
        <v>95878.3</v>
      </c>
      <c r="M8" s="16"/>
      <c r="N8" s="16">
        <f t="shared" ca="1" si="3"/>
        <v>0</v>
      </c>
      <c r="O8" s="11" cm="1">
        <f t="array" aca="1" ref="O8" ca="1">INDIRECT("'data'!$R$" &amp; $A$1)*parameters!$B$15</f>
        <v>207.76</v>
      </c>
      <c r="P8" s="13" cm="1">
        <f t="array" aca="1" ref="P8" ca="1">-INDIRECT("'data'!$S$" &amp; $A$1)*parameters!$B$15</f>
        <v>-4282.6000000000004</v>
      </c>
      <c r="Q8" s="16">
        <f ca="1">SUM(Q6:Q7)</f>
        <v>91803.459999999992</v>
      </c>
      <c r="R8" s="16">
        <f t="shared" ca="1" si="2"/>
        <v>91803.459999999992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32626.159999999996</v>
      </c>
      <c r="L9" s="16">
        <f t="shared" ca="1" si="0"/>
        <v>32626.159999999996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1640.52</v>
      </c>
      <c r="P9" s="13" cm="1">
        <f t="array" aca="1" ref="P9" ca="1">-INDIRECT("'data'!$V$" &amp; $A$1)*parameters!$B$15</f>
        <v>-6472.9</v>
      </c>
      <c r="Q9" s="16" cm="1">
        <f t="array" aca="1" ref="Q9" ca="1">INDIRECT("'data'!$T$" &amp; $A$1)*parameters!$B$15</f>
        <v>27793.78</v>
      </c>
      <c r="R9" s="16">
        <f t="shared" ca="1" si="2"/>
        <v>27793.779999999992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62638.092631578947</v>
      </c>
      <c r="L10" s="16">
        <f t="shared" ca="1" si="0"/>
        <v>62638.092631578947</v>
      </c>
      <c r="M10" s="16"/>
      <c r="N10" s="16">
        <f t="shared" ca="1" si="3"/>
        <v>0</v>
      </c>
      <c r="O10" s="11" cm="1">
        <f t="array" aca="1" ref="O10" ca="1">INDIRECT("'data'!$X$" &amp; $A$1)*parameters!$B$15</f>
        <v>4714.78</v>
      </c>
      <c r="P10" s="13" cm="1">
        <f t="array" aca="1" ref="P10" ca="1">-INDIRECT("'data'!$Y$" &amp; $A$1)*parameters!$B$15</f>
        <v>-6724.76</v>
      </c>
      <c r="Q10" s="16" cm="1">
        <f t="array" aca="1" ref="Q10" ca="1">INDIRECT("'data'!$W$" &amp; $A$1)*parameters!$B$15</f>
        <v>60628.112631578944</v>
      </c>
      <c r="R10" s="16">
        <f t="shared" ca="1" si="2"/>
        <v>60628.112631578952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100891.59006315788</v>
      </c>
      <c r="N11" s="19"/>
      <c r="O11" s="21" cm="1">
        <f t="array" aca="1" ref="O11" ca="1">INDIRECT("'data'!$Z$" &amp; $A$1)*parameters!$B$15</f>
        <v>14113.96</v>
      </c>
      <c r="P11" s="27" cm="1">
        <f t="array" aca="1" ref="P11" ca="1">-INDIRECT("'data'!$AA$" &amp; $A$1)*parameters!$B$15</f>
        <v>-30468.2</v>
      </c>
      <c r="Q11" s="16">
        <f ca="1">K9*parameters!$B$10+K10*parameters!$B$11</f>
        <v>84537.350063157879</v>
      </c>
      <c r="R11" s="16">
        <f t="shared" ref="R11:R17" ca="1" si="4">SUM(L11:P11)</f>
        <v>84537.350063157894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-243.50815537888411</v>
      </c>
      <c r="D12" s="9">
        <f ca="1">-(D17-Q4)</f>
        <v>-1.2248767233571414</v>
      </c>
      <c r="E12" s="9">
        <f ca="1">-(E17-Q5)</f>
        <v>-7640.6425647142096</v>
      </c>
      <c r="F12" s="9">
        <f ca="1">-(F17-Q6)</f>
        <v>-2971.4749253731352</v>
      </c>
      <c r="G12" s="9">
        <f ca="1">-(G17-Q7)</f>
        <v>-2104.9744618599798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-12961.824984049566</v>
      </c>
      <c r="M12" s="17"/>
      <c r="N12" s="17"/>
      <c r="O12" s="10"/>
      <c r="P12" s="12"/>
      <c r="Q12" s="9">
        <f t="shared" ref="Q12:Q17" ca="1" si="6">SUM(L12:P12)</f>
        <v>-12961.824984049566</v>
      </c>
      <c r="R12" s="17">
        <f t="shared" ca="1" si="4"/>
        <v>-12961.824984049566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-2343.7831946413207</v>
      </c>
      <c r="J13" s="14">
        <f ca="1">-(J17-Q10)</f>
        <v>-5112.6241737797391</v>
      </c>
      <c r="K13" s="13">
        <f ca="1">-(K17-Q11)</f>
        <v>-10726.902568421065</v>
      </c>
      <c r="L13" s="14">
        <f t="shared" ca="1" si="5"/>
        <v>-18183.309936842124</v>
      </c>
      <c r="M13" s="16">
        <f ca="1">-E15</f>
        <v>-51277.077015105198</v>
      </c>
      <c r="N13" s="16"/>
      <c r="O13" s="11"/>
      <c r="P13" s="13"/>
      <c r="Q13" s="14">
        <f t="shared" ca="1" si="6"/>
        <v>-69460.386951947323</v>
      </c>
      <c r="R13" s="16">
        <f t="shared" ca="1" si="4"/>
        <v>-69460.386951947323</v>
      </c>
    </row>
    <row r="14" spans="1:20">
      <c r="A14" s="18" t="s">
        <v>78</v>
      </c>
      <c r="B14" s="11"/>
      <c r="C14" s="14"/>
      <c r="D14" s="14"/>
      <c r="E14" s="14">
        <f ca="1">-(I13+J13)-K13</f>
        <v>18183.309936842124</v>
      </c>
      <c r="F14" s="14"/>
      <c r="G14" s="14"/>
      <c r="H14" s="14"/>
      <c r="I14" s="14"/>
      <c r="J14" s="14"/>
      <c r="K14" s="13"/>
      <c r="L14" s="14">
        <f t="shared" ca="1" si="5"/>
        <v>18183.309936842124</v>
      </c>
      <c r="M14" s="16"/>
      <c r="N14" s="16"/>
      <c r="O14" s="11"/>
      <c r="P14" s="13"/>
      <c r="Q14" s="14">
        <f t="shared" ca="1" si="6"/>
        <v>18183.309936842124</v>
      </c>
      <c r="R14" s="16">
        <f t="shared" ca="1" si="4"/>
        <v>18183.309936842124</v>
      </c>
    </row>
    <row r="15" spans="1:20">
      <c r="A15" s="18" t="s">
        <v>79</v>
      </c>
      <c r="B15" s="11"/>
      <c r="C15" s="14"/>
      <c r="D15" s="14"/>
      <c r="E15" s="14">
        <f ca="1">E17-E14</f>
        <v>51277.077015105198</v>
      </c>
      <c r="F15" s="14"/>
      <c r="G15" s="14"/>
      <c r="H15" s="14"/>
      <c r="I15" s="14"/>
      <c r="J15" s="14"/>
      <c r="K15" s="13"/>
      <c r="L15" s="14">
        <f t="shared" ca="1" si="5"/>
        <v>51277.077015105198</v>
      </c>
      <c r="M15" s="16"/>
      <c r="N15" s="16"/>
      <c r="O15" s="11"/>
      <c r="P15" s="13"/>
      <c r="Q15" s="14">
        <f t="shared" ca="1" si="6"/>
        <v>51277.077015105198</v>
      </c>
      <c r="R15" s="16">
        <f t="shared" ca="1" si="4"/>
        <v>51277.077015105198</v>
      </c>
    </row>
    <row r="16" spans="1:20">
      <c r="A16" s="30" t="s">
        <v>89</v>
      </c>
      <c r="B16" s="21">
        <f ca="1">Q2</f>
        <v>30590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30590</v>
      </c>
      <c r="M16" s="19"/>
      <c r="N16" s="19"/>
      <c r="O16" s="21"/>
      <c r="P16" s="27"/>
      <c r="Q16" s="22">
        <f t="shared" ca="1" si="6"/>
        <v>30590</v>
      </c>
      <c r="R16" s="19">
        <f t="shared" ca="1" si="4"/>
        <v>30590</v>
      </c>
    </row>
    <row r="17" spans="1:18">
      <c r="A17" s="29" t="s">
        <v>88</v>
      </c>
      <c r="B17" s="9">
        <f ca="1">B16</f>
        <v>30590</v>
      </c>
      <c r="C17" s="9">
        <f ca="1">SUM(C$2:C$11)</f>
        <v>38652.088155378879</v>
      </c>
      <c r="D17" s="9">
        <f ca="1">SUM(D$2:D$11)</f>
        <v>194.42487672335716</v>
      </c>
      <c r="E17" s="9">
        <f ca="1">$Q$5/parameters!$B$4</f>
        <v>69460.386951947323</v>
      </c>
      <c r="F17" s="9">
        <f t="shared" ref="F17:K17" ca="1" si="7">SUM(F$2:F$11)</f>
        <v>47927.014925373136</v>
      </c>
      <c r="G17" s="9">
        <f t="shared" ca="1" si="7"/>
        <v>48952.894461859978</v>
      </c>
      <c r="H17" s="9">
        <f t="shared" ca="1" si="7"/>
        <v>91803.459999999992</v>
      </c>
      <c r="I17" s="9">
        <f t="shared" ca="1" si="7"/>
        <v>30137.56319464132</v>
      </c>
      <c r="J17" s="9">
        <f t="shared" ca="1" si="7"/>
        <v>65740.736805358683</v>
      </c>
      <c r="K17" s="9">
        <f t="shared" ca="1" si="7"/>
        <v>95264.252631578944</v>
      </c>
      <c r="L17" s="17">
        <f t="shared" ca="1" si="5"/>
        <v>518722.82200286159</v>
      </c>
      <c r="M17" s="17"/>
      <c r="N17" s="17"/>
      <c r="O17" s="9"/>
      <c r="P17" s="14"/>
      <c r="Q17" s="11">
        <f t="shared" ca="1" si="6"/>
        <v>518722.82200286159</v>
      </c>
      <c r="R17" s="17">
        <f t="shared" ca="1" si="4"/>
        <v>518722.82200286159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0.92223050087015457</v>
      </c>
      <c r="J18" s="39">
        <f ca="1">I18</f>
        <v>0.92223050087015457</v>
      </c>
      <c r="K18" s="40">
        <f ca="1">1-(-K13)/K17</f>
        <v>0.88739844934378642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45956.651907014188</v>
      </c>
      <c r="D2" s="9">
        <f ca="1">Q4/parameters!$B$3</f>
        <v>2694.1732917379491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48650.825198752136</v>
      </c>
      <c r="M2" s="17"/>
      <c r="N2" s="17">
        <f ca="1">Q2-(L2+O2+P2)</f>
        <v>0</v>
      </c>
      <c r="O2" s="11" cm="1">
        <f t="array" aca="1" ref="O2" ca="1">INDIRECT("'data'!$F$" &amp; $A$1)</f>
        <v>10532.6</v>
      </c>
      <c r="P2" s="13">
        <f ca="1">IF(-(L2-Q2+O2)&lt;0, -(L2-Q2+O2), 0)</f>
        <v>-6183.4251987521366</v>
      </c>
      <c r="Q2" s="17" cm="1">
        <f t="array" aca="1" ref="Q2" ca="1">INDIRECT("'data'!$D$" &amp; $A$1)</f>
        <v>53000</v>
      </c>
      <c r="R2" s="17">
        <f ca="1">SUM(L2:P2)</f>
        <v>53000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40280.298507462692</v>
      </c>
      <c r="G3" s="14">
        <f ca="1">Q3-O3-P3-F3</f>
        <v>1044.5514925373063</v>
      </c>
      <c r="H3" s="14"/>
      <c r="I3" s="14"/>
      <c r="J3" s="14"/>
      <c r="K3" s="13"/>
      <c r="L3" s="16">
        <f t="shared" ca="1" si="0"/>
        <v>41324.85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4342.2749999999996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45667.125</v>
      </c>
      <c r="R3" s="16">
        <f t="shared" ref="R3:R10" ca="1" si="2">SUM(L3:P3)</f>
        <v>45667.125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2677.2000000000003</v>
      </c>
      <c r="H4" s="14"/>
      <c r="I4" s="14"/>
      <c r="J4" s="14"/>
      <c r="K4" s="13"/>
      <c r="L4" s="16">
        <f t="shared" ca="1" si="0"/>
        <v>2677.2000000000003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2677.2000000000003</v>
      </c>
      <c r="R4" s="16">
        <f t="shared" ca="1" si="2"/>
        <v>2677.2000000000003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14152.537313432837</v>
      </c>
      <c r="G5" s="14">
        <f ca="1">Q7/parameters!$B$7-(G3+G4)</f>
        <v>5852.9611511408548</v>
      </c>
      <c r="H5" s="14"/>
      <c r="I5" s="14"/>
      <c r="J5" s="14"/>
      <c r="K5" s="13"/>
      <c r="L5" s="16">
        <f t="shared" ca="1" si="0"/>
        <v>20005.498464573691</v>
      </c>
      <c r="M5" s="16"/>
      <c r="N5" s="16"/>
      <c r="O5" s="11" cm="1">
        <f t="array" aca="1" ref="O5" ca="1">INDIRECT("'data'!$M$" &amp; $A$1)*parameters!$B$15</f>
        <v>6784.54</v>
      </c>
      <c r="P5" s="13" cm="1">
        <f t="array" aca="1" ref="P5" ca="1">-INDIRECT("'data'!$N$" &amp; $A$1)*parameters!$B$15</f>
        <v>-385.14</v>
      </c>
      <c r="Q5" s="16">
        <f ca="1">SUM(L5:P5)</f>
        <v>26404.898464573693</v>
      </c>
      <c r="R5" s="16">
        <f t="shared" ca="1" si="2"/>
        <v>26404.898464573693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51058</v>
      </c>
      <c r="I6" s="14"/>
      <c r="J6" s="14"/>
      <c r="K6" s="13"/>
      <c r="L6" s="16">
        <f t="shared" ca="1" si="0"/>
        <v>51058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51058</v>
      </c>
      <c r="R6" s="16">
        <f t="shared" ca="1" si="2"/>
        <v>51058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9163</v>
      </c>
      <c r="I7" s="14"/>
      <c r="J7" s="14"/>
      <c r="K7" s="13"/>
      <c r="L7" s="16">
        <f t="shared" ca="1" si="0"/>
        <v>9163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9163</v>
      </c>
      <c r="R7" s="16">
        <f t="shared" ca="1" si="2"/>
        <v>9163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21272</v>
      </c>
      <c r="J8" s="14">
        <f ca="1">Q10/J18</f>
        <v>31732.782361308677</v>
      </c>
      <c r="K8" s="13"/>
      <c r="L8" s="16">
        <f t="shared" ca="1" si="0"/>
        <v>53004.78236130868</v>
      </c>
      <c r="M8" s="16"/>
      <c r="N8" s="16">
        <f t="shared" ca="1" si="3"/>
        <v>-3905.8023613086843</v>
      </c>
      <c r="O8" s="11" cm="1">
        <f t="array" aca="1" ref="O8" ca="1">INDIRECT("'data'!$R$" &amp; $A$1)*parameters!$B$15</f>
        <v>11132.8</v>
      </c>
      <c r="P8" s="13" cm="1">
        <f t="array" aca="1" ref="P8" ca="1">-INDIRECT("'data'!$S$" &amp; $A$1)*parameters!$B$15</f>
        <v>-10.78</v>
      </c>
      <c r="Q8" s="16">
        <f ca="1">SUM(Q6:Q7)</f>
        <v>60221</v>
      </c>
      <c r="R8" s="16">
        <f t="shared" ca="1" si="2"/>
        <v>60221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16617.86</v>
      </c>
      <c r="L9" s="16">
        <f t="shared" ca="1" si="0"/>
        <v>16617.86</v>
      </c>
      <c r="M9" s="16"/>
      <c r="N9" s="16">
        <f t="shared" ca="1" si="3"/>
        <v>0</v>
      </c>
      <c r="O9" s="11" cm="1">
        <f t="array" aca="1" ref="O9" ca="1">INDIRECT("'data'!$U$" &amp; $A$1)*parameters!$B$15</f>
        <v>4845.12</v>
      </c>
      <c r="P9" s="13" cm="1">
        <f t="array" aca="1" ref="P9" ca="1">-INDIRECT("'data'!$V$" &amp; $A$1)*parameters!$B$15</f>
        <v>-616.41999999999996</v>
      </c>
      <c r="Q9" s="16" cm="1">
        <f t="array" aca="1" ref="Q9" ca="1">INDIRECT("'data'!$T$" &amp; $A$1)*parameters!$B$15</f>
        <v>20846.560000000001</v>
      </c>
      <c r="R9" s="16">
        <f t="shared" ca="1" si="2"/>
        <v>20846.560000000001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22036.066714082503</v>
      </c>
      <c r="L10" s="16">
        <f t="shared" ca="1" si="0"/>
        <v>22036.066714082503</v>
      </c>
      <c r="M10" s="16"/>
      <c r="N10" s="16">
        <f t="shared" ca="1" si="3"/>
        <v>0</v>
      </c>
      <c r="O10" s="11" cm="1">
        <f t="array" aca="1" ref="O10" ca="1">INDIRECT("'data'!$X$" &amp; $A$1)*parameters!$B$15</f>
        <v>10741.78</v>
      </c>
      <c r="P10" s="13" cm="1">
        <f t="array" aca="1" ref="P10" ca="1">-INDIRECT("'data'!$Y$" &amp; $A$1)*parameters!$B$15</f>
        <v>-1679.72</v>
      </c>
      <c r="Q10" s="16" cm="1">
        <f t="array" aca="1" ref="Q10" ca="1">INDIRECT("'data'!$W$" &amp; $A$1)*parameters!$B$15</f>
        <v>31098.126714082504</v>
      </c>
      <c r="R10" s="16">
        <f t="shared" ca="1" si="2"/>
        <v>31098.1267140825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35869.325774110948</v>
      </c>
      <c r="N11" s="19"/>
      <c r="O11" s="21" cm="1">
        <f t="array" aca="1" ref="O11" ca="1">INDIRECT("'data'!$Z$" &amp; $A$1)*parameters!$B$15</f>
        <v>1951.18</v>
      </c>
      <c r="P11" s="27" cm="1">
        <f t="array" aca="1" ref="P11" ca="1">-INDIRECT("'data'!$AA$" &amp; $A$1)*parameters!$B$15</f>
        <v>-3248.7</v>
      </c>
      <c r="Q11" s="16">
        <f ca="1">K9*parameters!$B$10+K10*parameters!$B$11</f>
        <v>34571.805774110951</v>
      </c>
      <c r="R11" s="16">
        <f t="shared" ref="R11:R17" ca="1" si="4">SUM(L11:P11)</f>
        <v>34571.805774110951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-289.5269070141876</v>
      </c>
      <c r="D12" s="9">
        <f ca="1">-(D17-Q4)</f>
        <v>-16.973291737948784</v>
      </c>
      <c r="E12" s="9">
        <f ca="1">-(E17-Q5)</f>
        <v>-3263.5267765203425</v>
      </c>
      <c r="F12" s="9">
        <f ca="1">-(F17-Q6)</f>
        <v>-3374.8358208955324</v>
      </c>
      <c r="G12" s="9">
        <f ca="1">-(G17-Q7)</f>
        <v>-411.71264367816184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-7356.5754398461731</v>
      </c>
      <c r="M12" s="17"/>
      <c r="N12" s="17"/>
      <c r="O12" s="10"/>
      <c r="P12" s="12"/>
      <c r="Q12" s="9">
        <f t="shared" ref="Q12:Q17" ca="1" si="6">SUM(L12:P12)</f>
        <v>-7356.5754398461731</v>
      </c>
      <c r="R12" s="17">
        <f t="shared" ca="1" si="4"/>
        <v>-7356.5754398461731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-425.43999999999869</v>
      </c>
      <c r="J13" s="14">
        <f ca="1">-(J17-Q10)</f>
        <v>-634.65564722617273</v>
      </c>
      <c r="K13" s="13">
        <f ca="1">-(K17-Q11)</f>
        <v>-4082.1209399715517</v>
      </c>
      <c r="L13" s="14">
        <f t="shared" ca="1" si="5"/>
        <v>-5142.2165871977231</v>
      </c>
      <c r="M13" s="16">
        <f ca="1">-E15</f>
        <v>-24526.208653896312</v>
      </c>
      <c r="N13" s="16"/>
      <c r="O13" s="11"/>
      <c r="P13" s="13"/>
      <c r="Q13" s="14">
        <f t="shared" ca="1" si="6"/>
        <v>-29668.425241094035</v>
      </c>
      <c r="R13" s="16">
        <f t="shared" ca="1" si="4"/>
        <v>-29668.425241094035</v>
      </c>
    </row>
    <row r="14" spans="1:20">
      <c r="A14" s="18" t="s">
        <v>78</v>
      </c>
      <c r="B14" s="11"/>
      <c r="C14" s="14"/>
      <c r="D14" s="14"/>
      <c r="E14" s="14">
        <f ca="1">-(I13+J13)-K13</f>
        <v>5142.2165871977231</v>
      </c>
      <c r="F14" s="14"/>
      <c r="G14" s="14"/>
      <c r="H14" s="14"/>
      <c r="I14" s="14"/>
      <c r="J14" s="14"/>
      <c r="K14" s="13"/>
      <c r="L14" s="14">
        <f t="shared" ca="1" si="5"/>
        <v>5142.2165871977231</v>
      </c>
      <c r="M14" s="16"/>
      <c r="N14" s="16"/>
      <c r="O14" s="11"/>
      <c r="P14" s="13"/>
      <c r="Q14" s="14">
        <f t="shared" ca="1" si="6"/>
        <v>5142.2165871977231</v>
      </c>
      <c r="R14" s="16">
        <f t="shared" ca="1" si="4"/>
        <v>5142.2165871977231</v>
      </c>
    </row>
    <row r="15" spans="1:20">
      <c r="A15" s="18" t="s">
        <v>79</v>
      </c>
      <c r="B15" s="11"/>
      <c r="C15" s="14"/>
      <c r="D15" s="14"/>
      <c r="E15" s="14">
        <f ca="1">E17-E14</f>
        <v>24526.208653896312</v>
      </c>
      <c r="F15" s="14"/>
      <c r="G15" s="14"/>
      <c r="H15" s="14"/>
      <c r="I15" s="14"/>
      <c r="J15" s="14"/>
      <c r="K15" s="13"/>
      <c r="L15" s="14">
        <f t="shared" ca="1" si="5"/>
        <v>24526.208653896312</v>
      </c>
      <c r="M15" s="16"/>
      <c r="N15" s="16"/>
      <c r="O15" s="11"/>
      <c r="P15" s="13"/>
      <c r="Q15" s="14">
        <f t="shared" ca="1" si="6"/>
        <v>24526.208653896312</v>
      </c>
      <c r="R15" s="16">
        <f t="shared" ca="1" si="4"/>
        <v>24526.208653896312</v>
      </c>
    </row>
    <row r="16" spans="1:20">
      <c r="A16" s="30" t="s">
        <v>89</v>
      </c>
      <c r="B16" s="21">
        <f ca="1">Q2</f>
        <v>53000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53000</v>
      </c>
      <c r="M16" s="19"/>
      <c r="N16" s="19"/>
      <c r="O16" s="21"/>
      <c r="P16" s="27"/>
      <c r="Q16" s="22">
        <f t="shared" ca="1" si="6"/>
        <v>53000</v>
      </c>
      <c r="R16" s="19">
        <f t="shared" ca="1" si="4"/>
        <v>53000</v>
      </c>
    </row>
    <row r="17" spans="1:18">
      <c r="A17" s="29" t="s">
        <v>88</v>
      </c>
      <c r="B17" s="9">
        <f ca="1">B16</f>
        <v>53000</v>
      </c>
      <c r="C17" s="9">
        <f ca="1">SUM(C$2:C$11)</f>
        <v>45956.651907014188</v>
      </c>
      <c r="D17" s="9">
        <f ca="1">SUM(D$2:D$11)</f>
        <v>2694.1732917379491</v>
      </c>
      <c r="E17" s="9">
        <f ca="1">$Q$5/parameters!$B$4</f>
        <v>29668.425241094035</v>
      </c>
      <c r="F17" s="9">
        <f t="shared" ref="F17:K17" ca="1" si="7">SUM(F$2:F$11)</f>
        <v>54432.835820895532</v>
      </c>
      <c r="G17" s="9">
        <f t="shared" ca="1" si="7"/>
        <v>9574.7126436781618</v>
      </c>
      <c r="H17" s="9">
        <f t="shared" ca="1" si="7"/>
        <v>60221</v>
      </c>
      <c r="I17" s="9">
        <f t="shared" ca="1" si="7"/>
        <v>21272</v>
      </c>
      <c r="J17" s="9">
        <f t="shared" ca="1" si="7"/>
        <v>31732.782361308677</v>
      </c>
      <c r="K17" s="9">
        <f t="shared" ca="1" si="7"/>
        <v>38653.926714082503</v>
      </c>
      <c r="L17" s="17">
        <f t="shared" ca="1" si="5"/>
        <v>347206.50797981105</v>
      </c>
      <c r="M17" s="17"/>
      <c r="N17" s="17"/>
      <c r="O17" s="9"/>
      <c r="P17" s="14"/>
      <c r="Q17" s="11">
        <f t="shared" ca="1" si="6"/>
        <v>347206.50797981105</v>
      </c>
      <c r="R17" s="17">
        <f t="shared" ca="1" si="4"/>
        <v>347206.50797981105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0.89439311120532694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25975.374861628257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25975.374861628257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-25975.374861628257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21381.13432835821</v>
      </c>
      <c r="G3" s="14">
        <f ca="1">Q3-O3-P3-F3</f>
        <v>5918.9706716417895</v>
      </c>
      <c r="H3" s="14"/>
      <c r="I3" s="14"/>
      <c r="J3" s="14"/>
      <c r="K3" s="13"/>
      <c r="L3" s="16">
        <f t="shared" ca="1" si="0"/>
        <v>27300.105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-1488.375</v>
      </c>
      <c r="Q3" s="16" cm="1">
        <f t="array" aca="1" ref="Q3" ca="1">INDIRECT("'data'!$G$" &amp; $A$1)*parameters!$B$13</f>
        <v>25811.73</v>
      </c>
      <c r="R3" s="16">
        <f t="shared" ref="R3:R10" ca="1" si="2">SUM(L3:P3)</f>
        <v>25811.73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5345.2835820895525</v>
      </c>
      <c r="G5" s="14">
        <f ca="1">Q7/parameters!$B$7-(G3+G4)</f>
        <v>15308.218461064582</v>
      </c>
      <c r="H5" s="14"/>
      <c r="I5" s="14"/>
      <c r="J5" s="14"/>
      <c r="K5" s="13"/>
      <c r="L5" s="16">
        <f t="shared" ca="1" si="0"/>
        <v>20653.502043154134</v>
      </c>
      <c r="M5" s="16"/>
      <c r="N5" s="16"/>
      <c r="O5" s="11" cm="1">
        <f t="array" aca="1" ref="O5" ca="1">INDIRECT("'data'!$M$" &amp; $A$1)*parameters!$B$15</f>
        <v>301.83999999999997</v>
      </c>
      <c r="P5" s="13" cm="1">
        <f t="array" aca="1" ref="P5" ca="1">-INDIRECT("'data'!$N$" &amp; $A$1)*parameters!$B$15</f>
        <v>-6108.34</v>
      </c>
      <c r="Q5" s="16">
        <f ca="1">SUM(L5:P5)</f>
        <v>14847.002043154134</v>
      </c>
      <c r="R5" s="16">
        <f t="shared" ca="1" si="2"/>
        <v>14847.002043154134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25069.38</v>
      </c>
      <c r="I6" s="14"/>
      <c r="J6" s="14"/>
      <c r="K6" s="13"/>
      <c r="L6" s="16">
        <f t="shared" ca="1" si="0"/>
        <v>25069.38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25069.38</v>
      </c>
      <c r="R6" s="16">
        <f t="shared" ca="1" si="2"/>
        <v>25069.38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20314.419999999998</v>
      </c>
      <c r="I7" s="14"/>
      <c r="J7" s="14"/>
      <c r="K7" s="13"/>
      <c r="L7" s="16">
        <f t="shared" ca="1" si="0"/>
        <v>20314.419999999998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20314.419999999998</v>
      </c>
      <c r="R7" s="16">
        <f t="shared" ca="1" si="2"/>
        <v>20314.419999999998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21310.557432123882</v>
      </c>
      <c r="J8" s="14">
        <f ca="1">Q10/J18</f>
        <v>28382.302567876119</v>
      </c>
      <c r="K8" s="13"/>
      <c r="L8" s="16">
        <f t="shared" ca="1" si="0"/>
        <v>49692.86</v>
      </c>
      <c r="M8" s="16"/>
      <c r="N8" s="16">
        <f t="shared" ca="1" si="3"/>
        <v>0</v>
      </c>
      <c r="O8" s="11" cm="1">
        <f t="array" aca="1" ref="O8" ca="1">INDIRECT("'data'!$R$" &amp; $A$1)*parameters!$B$15</f>
        <v>150.91999999999999</v>
      </c>
      <c r="P8" s="13" cm="1">
        <f t="array" aca="1" ref="P8" ca="1">-INDIRECT("'data'!$S$" &amp; $A$1)*parameters!$B$15</f>
        <v>-4459.9799999999996</v>
      </c>
      <c r="Q8" s="16">
        <f ca="1">SUM(Q6:Q7)</f>
        <v>45383.8</v>
      </c>
      <c r="R8" s="16">
        <f t="shared" ca="1" si="2"/>
        <v>45383.8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21121.939999999995</v>
      </c>
      <c r="L9" s="16">
        <f t="shared" ca="1" si="0"/>
        <v>21121.939999999995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1924.72</v>
      </c>
      <c r="P9" s="13" cm="1">
        <f t="array" aca="1" ref="P9" ca="1">-INDIRECT("'data'!$V$" &amp; $A$1)*parameters!$B$15</f>
        <v>-3041.92</v>
      </c>
      <c r="Q9" s="16" cm="1">
        <f t="array" aca="1" ref="Q9" ca="1">INDIRECT("'data'!$T$" &amp; $A$1)*parameters!$B$15</f>
        <v>20004.739999999998</v>
      </c>
      <c r="R9" s="16">
        <f t="shared" ca="1" si="2"/>
        <v>20004.739999999998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23454.239630156473</v>
      </c>
      <c r="L10" s="16">
        <f t="shared" ca="1" si="0"/>
        <v>23454.239630156473</v>
      </c>
      <c r="M10" s="16"/>
      <c r="N10" s="16">
        <f t="shared" ca="1" si="3"/>
        <v>0</v>
      </c>
      <c r="O10" s="11" cm="1">
        <f t="array" aca="1" ref="O10" ca="1">INDIRECT("'data'!$X$" &amp; $A$1)*parameters!$B$15</f>
        <v>10609.48</v>
      </c>
      <c r="P10" s="13" cm="1">
        <f t="array" aca="1" ref="P10" ca="1">-INDIRECT("'data'!$Y$" &amp; $A$1)*parameters!$B$15</f>
        <v>-7420.5599999999995</v>
      </c>
      <c r="Q10" s="16" cm="1">
        <f t="array" aca="1" ref="Q10" ca="1">INDIRECT("'data'!$W$" &amp; $A$1)*parameters!$B$15</f>
        <v>26643.159630156475</v>
      </c>
      <c r="R10" s="16">
        <f t="shared" ca="1" si="2"/>
        <v>26643.159630156471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29869.529681934557</v>
      </c>
      <c r="N11" s="19"/>
      <c r="O11" s="21" cm="1">
        <f t="array" aca="1" ref="O11" ca="1">INDIRECT("'data'!$Z$" &amp; $A$1)*parameters!$B$15</f>
        <v>12417.58</v>
      </c>
      <c r="P11" s="27" cm="1">
        <f t="array" aca="1" ref="P11" ca="1">-INDIRECT("'data'!$AA$" &amp; $A$1)*parameters!$B$15</f>
        <v>-2261.84</v>
      </c>
      <c r="Q11" s="16">
        <f ca="1">K9*parameters!$B$10+K10*parameters!$B$11</f>
        <v>40025.269681934558</v>
      </c>
      <c r="R11" s="16">
        <f t="shared" ref="R11:R17" ca="1" si="4">SUM(L11:P11)</f>
        <v>40025.269681934558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-163.64486162825779</v>
      </c>
      <c r="D12" s="9">
        <f ca="1">-(D17-Q4)</f>
        <v>0</v>
      </c>
      <c r="E12" s="9">
        <f ca="1">-(E17-Q5)</f>
        <v>-1835.0227244347807</v>
      </c>
      <c r="F12" s="9">
        <f ca="1">-(F17-Q6)</f>
        <v>-1657.0379104477615</v>
      </c>
      <c r="G12" s="9">
        <f ca="1">-(G17-Q7)</f>
        <v>-912.76913270637306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-4568.4746292171731</v>
      </c>
      <c r="M12" s="17"/>
      <c r="N12" s="17"/>
      <c r="O12" s="10"/>
      <c r="P12" s="12"/>
      <c r="Q12" s="9">
        <f t="shared" ref="Q12:Q17" ca="1" si="6">SUM(L12:P12)</f>
        <v>-4568.4746292171731</v>
      </c>
      <c r="R12" s="17">
        <f t="shared" ca="1" si="4"/>
        <v>-4568.4746292171731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-1305.8174321238839</v>
      </c>
      <c r="J13" s="14">
        <f ca="1">-(J17-Q10)</f>
        <v>-1739.1429377196437</v>
      </c>
      <c r="K13" s="13">
        <f ca="1">-(K17-Q11)</f>
        <v>-4550.9099482219099</v>
      </c>
      <c r="L13" s="14">
        <f t="shared" ca="1" si="5"/>
        <v>-7595.8703180654375</v>
      </c>
      <c r="M13" s="16">
        <f ca="1">-E15</f>
        <v>-9086.1544495234775</v>
      </c>
      <c r="N13" s="16"/>
      <c r="O13" s="11"/>
      <c r="P13" s="13"/>
      <c r="Q13" s="14">
        <f t="shared" ca="1" si="6"/>
        <v>-16682.024767588915</v>
      </c>
      <c r="R13" s="16">
        <f t="shared" ca="1" si="4"/>
        <v>-16682.024767588915</v>
      </c>
    </row>
    <row r="14" spans="1:20">
      <c r="A14" s="18" t="s">
        <v>78</v>
      </c>
      <c r="B14" s="11"/>
      <c r="C14" s="14"/>
      <c r="D14" s="14"/>
      <c r="E14" s="14">
        <f ca="1">-(I13+J13)-K13</f>
        <v>7595.8703180654375</v>
      </c>
      <c r="F14" s="14"/>
      <c r="G14" s="14"/>
      <c r="H14" s="14"/>
      <c r="I14" s="14"/>
      <c r="J14" s="14"/>
      <c r="K14" s="13"/>
      <c r="L14" s="14">
        <f t="shared" ca="1" si="5"/>
        <v>7595.8703180654375</v>
      </c>
      <c r="M14" s="16"/>
      <c r="N14" s="16"/>
      <c r="O14" s="11"/>
      <c r="P14" s="13"/>
      <c r="Q14" s="14">
        <f t="shared" ca="1" si="6"/>
        <v>7595.8703180654375</v>
      </c>
      <c r="R14" s="16">
        <f t="shared" ca="1" si="4"/>
        <v>7595.8703180654375</v>
      </c>
    </row>
    <row r="15" spans="1:20">
      <c r="A15" s="18" t="s">
        <v>79</v>
      </c>
      <c r="B15" s="11"/>
      <c r="C15" s="14"/>
      <c r="D15" s="14"/>
      <c r="E15" s="14">
        <f ca="1">E17-E14</f>
        <v>9086.1544495234775</v>
      </c>
      <c r="F15" s="14"/>
      <c r="G15" s="14"/>
      <c r="H15" s="14"/>
      <c r="I15" s="14"/>
      <c r="J15" s="14"/>
      <c r="K15" s="13"/>
      <c r="L15" s="14">
        <f t="shared" ca="1" si="5"/>
        <v>9086.1544495234775</v>
      </c>
      <c r="M15" s="16"/>
      <c r="N15" s="16"/>
      <c r="O15" s="11"/>
      <c r="P15" s="13"/>
      <c r="Q15" s="14">
        <f t="shared" ca="1" si="6"/>
        <v>9086.1544495234775</v>
      </c>
      <c r="R15" s="16">
        <f t="shared" ca="1" si="4"/>
        <v>9086.1544495234775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25975.374861628257</v>
      </c>
      <c r="D17" s="9">
        <f ca="1">SUM(D$2:D$11)</f>
        <v>0</v>
      </c>
      <c r="E17" s="9">
        <f ca="1">$Q$5/parameters!$B$4</f>
        <v>16682.024767588915</v>
      </c>
      <c r="F17" s="9">
        <f t="shared" ref="F17:K17" ca="1" si="7">SUM(F$2:F$11)</f>
        <v>26726.417910447763</v>
      </c>
      <c r="G17" s="9">
        <f t="shared" ca="1" si="7"/>
        <v>21227.189132706371</v>
      </c>
      <c r="H17" s="9">
        <f t="shared" ca="1" si="7"/>
        <v>45383.8</v>
      </c>
      <c r="I17" s="9">
        <f t="shared" ca="1" si="7"/>
        <v>21310.557432123882</v>
      </c>
      <c r="J17" s="9">
        <f t="shared" ca="1" si="7"/>
        <v>28382.302567876119</v>
      </c>
      <c r="K17" s="9">
        <f t="shared" ca="1" si="7"/>
        <v>44576.179630156468</v>
      </c>
      <c r="L17" s="17">
        <f t="shared" ca="1" si="5"/>
        <v>230263.84630252773</v>
      </c>
      <c r="M17" s="17"/>
      <c r="N17" s="17"/>
      <c r="O17" s="9"/>
      <c r="P17" s="14"/>
      <c r="Q17" s="11">
        <f t="shared" ca="1" si="6"/>
        <v>230263.84630252773</v>
      </c>
      <c r="R17" s="17">
        <f t="shared" ca="1" si="4"/>
        <v>230263.84630252773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0.93872438877851816</v>
      </c>
      <c r="J18" s="39">
        <f ca="1">I18</f>
        <v>0.93872438877851816</v>
      </c>
      <c r="K18" s="40">
        <f ca="1">1-(-K13)/K17</f>
        <v>0.89790713367587138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28036.172889201971</v>
      </c>
      <c r="D2" s="9">
        <f ca="1">Q4/parameters!$B$3</f>
        <v>546.24132031800343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28582.414209519975</v>
      </c>
      <c r="M2" s="17"/>
      <c r="N2" s="16">
        <v>0</v>
      </c>
      <c r="O2" s="11" cm="1">
        <f t="array" aca="1" ref="O2" ca="1">INDIRECT("'data'!$F$" &amp; $A$1)</f>
        <v>5.8500000000000005</v>
      </c>
      <c r="P2" s="13">
        <f ca="1">IF(-(L2-Q2+O2)&lt;0, -(L2-Q2+O2), 0)</f>
        <v>-28330.264209519974</v>
      </c>
      <c r="Q2" s="17" cm="1">
        <f t="array" aca="1" ref="Q2" ca="1">INDIRECT("'data'!$D$" &amp; $A$1)</f>
        <v>258</v>
      </c>
      <c r="R2" s="17">
        <f ca="1">SUM(L2:P2)</f>
        <v>258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26225.552238805969</v>
      </c>
      <c r="G3" s="14">
        <f ca="1">Q3-O3-P3-F3</f>
        <v>1788.9727611940289</v>
      </c>
      <c r="H3" s="14"/>
      <c r="I3" s="14"/>
      <c r="J3" s="14"/>
      <c r="K3" s="13"/>
      <c r="L3" s="16">
        <f t="shared" ca="1" si="0"/>
        <v>28014.524999999998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53.864999999999995</v>
      </c>
      <c r="P3" s="13" cm="1">
        <f t="array" aca="1" ref="P3" ca="1">-INDIRECT("'data'!$I$" &amp; $A$1)*parameters!$B$13</f>
        <v>-208.845</v>
      </c>
      <c r="Q3" s="16" cm="1">
        <f t="array" aca="1" ref="Q3" ca="1">INDIRECT("'data'!$G$" &amp; $A$1)*parameters!$B$13</f>
        <v>27859.544999999998</v>
      </c>
      <c r="R3" s="16">
        <f t="shared" ref="R3:R10" ca="1" si="2">SUM(L3:P3)</f>
        <v>27859.544999999998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542.80000000000007</v>
      </c>
      <c r="H4" s="14"/>
      <c r="I4" s="14"/>
      <c r="J4" s="14"/>
      <c r="K4" s="13"/>
      <c r="L4" s="16">
        <f t="shared" ca="1" si="0"/>
        <v>542.80000000000007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542.80000000000007</v>
      </c>
      <c r="R4" s="16">
        <f t="shared" ca="1" si="2"/>
        <v>542.80000000000007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6556.3880597014931</v>
      </c>
      <c r="G5" s="14">
        <f ca="1">Q7/parameters!$B$7-(G3+G4)</f>
        <v>11423.044375692076</v>
      </c>
      <c r="H5" s="14"/>
      <c r="I5" s="14"/>
      <c r="J5" s="14"/>
      <c r="K5" s="13"/>
      <c r="L5" s="16">
        <f t="shared" ca="1" si="0"/>
        <v>17979.43243539357</v>
      </c>
      <c r="M5" s="16"/>
      <c r="N5" s="16"/>
      <c r="O5" s="11" cm="1">
        <f t="array" aca="1" ref="O5" ca="1">INDIRECT("'data'!$M$" &amp; $A$1)*parameters!$B$15</f>
        <v>6584.62</v>
      </c>
      <c r="P5" s="13" cm="1">
        <f t="array" aca="1" ref="P5" ca="1">-INDIRECT("'data'!$N$" &amp; $A$1)*parameters!$B$15</f>
        <v>-4276.72</v>
      </c>
      <c r="Q5" s="16">
        <f ca="1">SUM(L5:P5)</f>
        <v>20287.332435393568</v>
      </c>
      <c r="R5" s="16">
        <f t="shared" ca="1" si="2"/>
        <v>20287.332435393568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30749.46</v>
      </c>
      <c r="I6" s="14"/>
      <c r="J6" s="14"/>
      <c r="K6" s="13"/>
      <c r="L6" s="16">
        <f t="shared" ca="1" si="0"/>
        <v>30749.46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30749.46</v>
      </c>
      <c r="R6" s="16">
        <f t="shared" ca="1" si="2"/>
        <v>30749.46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13163.36</v>
      </c>
      <c r="I7" s="14"/>
      <c r="J7" s="14"/>
      <c r="K7" s="13"/>
      <c r="L7" s="16">
        <f t="shared" ca="1" si="0"/>
        <v>13163.36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13163.36</v>
      </c>
      <c r="R7" s="16">
        <f t="shared" ca="1" si="2"/>
        <v>13163.36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15619.668839586704</v>
      </c>
      <c r="J8" s="14">
        <f ca="1">Q10/J18</f>
        <v>27061.29116041329</v>
      </c>
      <c r="K8" s="13"/>
      <c r="L8" s="16">
        <f t="shared" ca="1" si="0"/>
        <v>42680.959999999992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2511.7399999999998</v>
      </c>
      <c r="P8" s="13" cm="1">
        <f t="array" aca="1" ref="P8" ca="1">-INDIRECT("'data'!$S$" &amp; $A$1)*parameters!$B$15</f>
        <v>-1279.8799999999999</v>
      </c>
      <c r="Q8" s="16">
        <f ca="1">SUM(Q6:Q7)</f>
        <v>43912.82</v>
      </c>
      <c r="R8" s="16">
        <f t="shared" ca="1" si="2"/>
        <v>43912.819999999992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12685.119999999999</v>
      </c>
      <c r="L9" s="16">
        <f t="shared" ca="1" si="0"/>
        <v>12685.119999999999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6482.7</v>
      </c>
      <c r="P9" s="13" cm="1">
        <f t="array" aca="1" ref="P9" ca="1">-INDIRECT("'data'!$V$" &amp; $A$1)*parameters!$B$15</f>
        <v>-5667.34</v>
      </c>
      <c r="Q9" s="16" cm="1">
        <f t="array" aca="1" ref="Q9" ca="1">INDIRECT("'data'!$T$" &amp; $A$1)*parameters!$B$15</f>
        <v>13500.48</v>
      </c>
      <c r="R9" s="16">
        <f t="shared" ca="1" si="2"/>
        <v>13500.48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19887.247339971549</v>
      </c>
      <c r="L10" s="16">
        <f t="shared" ca="1" si="0"/>
        <v>19887.247339971549</v>
      </c>
      <c r="M10" s="16"/>
      <c r="N10" s="16">
        <f t="shared" ca="1" si="3"/>
        <v>0</v>
      </c>
      <c r="O10" s="11" cm="1">
        <f t="array" aca="1" ref="O10" ca="1">INDIRECT("'data'!$X$" &amp; $A$1)*parameters!$B$15</f>
        <v>12473.44</v>
      </c>
      <c r="P10" s="13" cm="1">
        <f t="array" aca="1" ref="P10" ca="1">-INDIRECT("'data'!$Y$" &amp; $A$1)*parameters!$B$15</f>
        <v>-8970.92</v>
      </c>
      <c r="Q10" s="16" cm="1">
        <f t="array" aca="1" ref="Q10" ca="1">INDIRECT("'data'!$W$" &amp; $A$1)*parameters!$B$15</f>
        <v>23389.76733997155</v>
      </c>
      <c r="R10" s="16">
        <f t="shared" ca="1" si="2"/>
        <v>23389.76733997155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22957.905512375532</v>
      </c>
      <c r="N11" s="19"/>
      <c r="O11" s="21" cm="1">
        <f t="array" aca="1" ref="O11" ca="1">INDIRECT("'data'!$Z$" &amp; $A$1)*parameters!$B$15</f>
        <v>20217.399999999998</v>
      </c>
      <c r="P11" s="27" cm="1">
        <f t="array" aca="1" ref="P11" ca="1">-INDIRECT("'data'!$AA$" &amp; $A$1)*parameters!$B$15</f>
        <v>-14148.26</v>
      </c>
      <c r="Q11" s="16">
        <f ca="1">K9*parameters!$B$10+K10*parameters!$B$11</f>
        <v>29027.045512375531</v>
      </c>
      <c r="R11" s="16">
        <f t="shared" ref="R11:R17" ca="1" si="4">SUM(L11:P11)</f>
        <v>29027.045512375531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-176.62788920197272</v>
      </c>
      <c r="D12" s="9">
        <f ca="1">-(D17-Q4)</f>
        <v>-3.4413203180033634</v>
      </c>
      <c r="E12" s="9">
        <f ca="1">-(E17-Q5)</f>
        <v>-2507.4231099924618</v>
      </c>
      <c r="F12" s="9">
        <f ca="1">-(F17-Q6)</f>
        <v>-2032.4802985074639</v>
      </c>
      <c r="G12" s="9">
        <f ca="1">-(G17-Q7)</f>
        <v>-591.4571368861034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-5311.4297549060047</v>
      </c>
      <c r="M12" s="17"/>
      <c r="N12" s="17"/>
      <c r="O12" s="10"/>
      <c r="P12" s="12"/>
      <c r="Q12" s="9">
        <f t="shared" ref="Q12:Q17" ca="1" si="6">SUM(L12:P12)</f>
        <v>-5311.4297549060047</v>
      </c>
      <c r="R12" s="17">
        <f t="shared" ca="1" si="4"/>
        <v>-5311.4297549060047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-2119.1888395867045</v>
      </c>
      <c r="J13" s="14">
        <f ca="1">-(J17-Q10)</f>
        <v>-3671.5238204417401</v>
      </c>
      <c r="K13" s="13">
        <f ca="1">-(K17-Q11)</f>
        <v>-3545.3218275960171</v>
      </c>
      <c r="L13" s="14">
        <f t="shared" ca="1" si="5"/>
        <v>-9336.0344876244617</v>
      </c>
      <c r="M13" s="16">
        <f ca="1">-E15</f>
        <v>-13458.721057761568</v>
      </c>
      <c r="N13" s="16"/>
      <c r="O13" s="11"/>
      <c r="P13" s="13"/>
      <c r="Q13" s="14">
        <f t="shared" ca="1" si="6"/>
        <v>-22794.75554538603</v>
      </c>
      <c r="R13" s="16">
        <f t="shared" ca="1" si="4"/>
        <v>-22794.75554538603</v>
      </c>
    </row>
    <row r="14" spans="1:20">
      <c r="A14" s="18" t="s">
        <v>78</v>
      </c>
      <c r="B14" s="11"/>
      <c r="C14" s="14"/>
      <c r="D14" s="14"/>
      <c r="E14" s="14">
        <f ca="1">-(I13+J13)-K13</f>
        <v>9336.0344876244617</v>
      </c>
      <c r="F14" s="14"/>
      <c r="G14" s="14"/>
      <c r="H14" s="14"/>
      <c r="I14" s="14"/>
      <c r="J14" s="14"/>
      <c r="K14" s="13"/>
      <c r="L14" s="14">
        <f t="shared" ca="1" si="5"/>
        <v>9336.0344876244617</v>
      </c>
      <c r="M14" s="16"/>
      <c r="N14" s="16"/>
      <c r="O14" s="11"/>
      <c r="P14" s="13"/>
      <c r="Q14" s="14">
        <f t="shared" ca="1" si="6"/>
        <v>9336.0344876244617</v>
      </c>
      <c r="R14" s="16">
        <f t="shared" ca="1" si="4"/>
        <v>9336.0344876244617</v>
      </c>
    </row>
    <row r="15" spans="1:20">
      <c r="A15" s="18" t="s">
        <v>79</v>
      </c>
      <c r="B15" s="11"/>
      <c r="C15" s="14"/>
      <c r="D15" s="14"/>
      <c r="E15" s="14">
        <f ca="1">E17-E14</f>
        <v>13458.721057761568</v>
      </c>
      <c r="F15" s="14"/>
      <c r="G15" s="14"/>
      <c r="H15" s="14"/>
      <c r="I15" s="14"/>
      <c r="J15" s="14"/>
      <c r="K15" s="13"/>
      <c r="L15" s="14">
        <f t="shared" ca="1" si="5"/>
        <v>13458.721057761568</v>
      </c>
      <c r="M15" s="16"/>
      <c r="N15" s="16"/>
      <c r="O15" s="11"/>
      <c r="P15" s="13"/>
      <c r="Q15" s="14">
        <f t="shared" ca="1" si="6"/>
        <v>13458.721057761568</v>
      </c>
      <c r="R15" s="16">
        <f t="shared" ca="1" si="4"/>
        <v>13458.721057761568</v>
      </c>
    </row>
    <row r="16" spans="1:20">
      <c r="A16" s="30" t="s">
        <v>89</v>
      </c>
      <c r="B16" s="21">
        <f ca="1">Q2</f>
        <v>258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258</v>
      </c>
      <c r="M16" s="19"/>
      <c r="N16" s="19"/>
      <c r="O16" s="21"/>
      <c r="P16" s="27"/>
      <c r="Q16" s="22">
        <f t="shared" ca="1" si="6"/>
        <v>258</v>
      </c>
      <c r="R16" s="19">
        <f t="shared" ca="1" si="4"/>
        <v>258</v>
      </c>
    </row>
    <row r="17" spans="1:18">
      <c r="A17" s="29" t="s">
        <v>88</v>
      </c>
      <c r="B17" s="9">
        <f ca="1">B16</f>
        <v>258</v>
      </c>
      <c r="C17" s="9">
        <f ca="1">SUM(C$2:C$11)</f>
        <v>28036.172889201971</v>
      </c>
      <c r="D17" s="9">
        <f ca="1">SUM(D$2:D$11)</f>
        <v>546.24132031800343</v>
      </c>
      <c r="E17" s="9">
        <f ca="1">$Q$5/parameters!$B$4</f>
        <v>22794.75554538603</v>
      </c>
      <c r="F17" s="9">
        <f t="shared" ref="F17:K17" ca="1" si="7">SUM(F$2:F$11)</f>
        <v>32781.940298507463</v>
      </c>
      <c r="G17" s="9">
        <f t="shared" ca="1" si="7"/>
        <v>13754.817136886104</v>
      </c>
      <c r="H17" s="9">
        <f t="shared" ca="1" si="7"/>
        <v>43912.82</v>
      </c>
      <c r="I17" s="9">
        <f t="shared" ca="1" si="7"/>
        <v>15619.668839586704</v>
      </c>
      <c r="J17" s="9">
        <f t="shared" ca="1" si="7"/>
        <v>27061.29116041329</v>
      </c>
      <c r="K17" s="9">
        <f t="shared" ca="1" si="7"/>
        <v>32572.367339971548</v>
      </c>
      <c r="L17" s="17">
        <f t="shared" ca="1" si="5"/>
        <v>217338.07453027111</v>
      </c>
      <c r="M17" s="17"/>
      <c r="N17" s="17"/>
      <c r="O17" s="9"/>
      <c r="P17" s="14"/>
      <c r="Q17" s="11">
        <f t="shared" ca="1" si="6"/>
        <v>217338.07453027111</v>
      </c>
      <c r="R17" s="17">
        <f t="shared" ca="1" si="4"/>
        <v>217338.07453027111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0.86432562294689608</v>
      </c>
      <c r="J18" s="39">
        <f ca="1">I18</f>
        <v>0.86432562294689608</v>
      </c>
      <c r="K18" s="40">
        <f ca="1">1-(-K13)/K17</f>
        <v>0.89115553712777473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4826.1358288717665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4826.1358288717665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-3225.2374685326495</v>
      </c>
      <c r="Q2" s="17" cm="1">
        <f t="array" aca="1" ref="Q2" ca="1">INDIRECT("'data'!$D$" &amp; $A$1)</f>
        <v>1600.8983603391168</v>
      </c>
      <c r="R2" s="17">
        <f ca="1">SUM(L2:P2)</f>
        <v>1600.8983603391171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4808.4776119402986</v>
      </c>
      <c r="G3" s="14">
        <f ca="1">Q3-O3-P3-F3</f>
        <v>592.99856120957611</v>
      </c>
      <c r="H3" s="14"/>
      <c r="I3" s="14"/>
      <c r="J3" s="14"/>
      <c r="K3" s="13"/>
      <c r="L3" s="16">
        <f t="shared" ca="1" si="0"/>
        <v>5401.4761731498747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-606.68999999999994</v>
      </c>
      <c r="Q3" s="16" cm="1">
        <f t="array" aca="1" ref="Q3" ca="1">INDIRECT("'data'!$G$" &amp; $A$1)*parameters!$B$13</f>
        <v>4795.7311731498748</v>
      </c>
      <c r="R3" s="16">
        <f t="shared" ref="R3:R10" ca="1" si="2">SUM(L3:P3)</f>
        <v>4795.7311731498748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1202.1194029850747</v>
      </c>
      <c r="G5" s="14">
        <f ca="1">Q7/parameters!$B$7-(G3+G4)</f>
        <v>12254.52494976221</v>
      </c>
      <c r="H5" s="14"/>
      <c r="I5" s="14"/>
      <c r="J5" s="14"/>
      <c r="K5" s="13"/>
      <c r="L5" s="16">
        <f t="shared" ca="1" si="0"/>
        <v>13456.644352747284</v>
      </c>
      <c r="M5" s="16"/>
      <c r="N5" s="48">
        <f ca="1">$E$14*parameters!$B$4-$P$5-$L$5-$O$5</f>
        <v>1566.0433578553316</v>
      </c>
      <c r="O5" s="11" cm="1">
        <f t="array" aca="1" ref="O5" ca="1">INDIRECT("'data'!$M$" &amp; $A$1)*parameters!$B$15</f>
        <v>48.019999999999996</v>
      </c>
      <c r="P5" s="13" cm="1">
        <f t="array" aca="1" ref="P5" ca="1">-INDIRECT("'data'!$N$" &amp; $A$1)*parameters!$B$15</f>
        <v>-12561.64</v>
      </c>
      <c r="Q5" s="16">
        <f ca="1">SUM(L5:P5)</f>
        <v>2509.067710602616</v>
      </c>
      <c r="R5" s="16">
        <f t="shared" ca="1" si="2"/>
        <v>2509.067710602616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5637.94</v>
      </c>
      <c r="I6" s="14"/>
      <c r="J6" s="14"/>
      <c r="K6" s="13"/>
      <c r="L6" s="16">
        <f t="shared" ca="1" si="0"/>
        <v>5637.94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5637.94</v>
      </c>
      <c r="R6" s="16">
        <f t="shared" ca="1" si="2"/>
        <v>5637.94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12295.08</v>
      </c>
      <c r="I7" s="14"/>
      <c r="J7" s="14"/>
      <c r="K7" s="13"/>
      <c r="L7" s="16">
        <f t="shared" ca="1" si="0"/>
        <v>12295.08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12295.08</v>
      </c>
      <c r="R7" s="16">
        <f t="shared" ca="1" si="2"/>
        <v>12295.08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10697.020525785081</v>
      </c>
      <c r="J8" s="14">
        <f ca="1">Q10/J18</f>
        <v>7265.3994742149207</v>
      </c>
      <c r="K8" s="13"/>
      <c r="L8" s="16">
        <f t="shared" ca="1" si="0"/>
        <v>17962.420000000002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3041.92</v>
      </c>
      <c r="P8" s="13" cm="1">
        <f t="array" aca="1" ref="P8" ca="1">-INDIRECT("'data'!$S$" &amp; $A$1)*parameters!$B$15</f>
        <v>-3071.32</v>
      </c>
      <c r="Q8" s="16">
        <f ca="1">SUM(Q6:Q7)</f>
        <v>17933.02</v>
      </c>
      <c r="R8" s="16">
        <f t="shared" ca="1" si="2"/>
        <v>17933.020000000004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4667.74</v>
      </c>
      <c r="L9" s="16">
        <f t="shared" ca="1" si="0"/>
        <v>4667.74</v>
      </c>
      <c r="M9" s="16"/>
      <c r="N9" s="16">
        <f t="shared" ca="1" si="3"/>
        <v>0</v>
      </c>
      <c r="O9" s="11" cm="1">
        <f t="array" aca="1" ref="O9" ca="1">INDIRECT("'data'!$U$" &amp; $A$1)*parameters!$B$15</f>
        <v>5968.2</v>
      </c>
      <c r="P9" s="13" cm="1">
        <f t="array" aca="1" ref="P9" ca="1">-INDIRECT("'data'!$V$" &amp; $A$1)*parameters!$B$15</f>
        <v>-639.93999999999994</v>
      </c>
      <c r="Q9" s="16" cm="1">
        <f t="array" aca="1" ref="Q9" ca="1">INDIRECT("'data'!$T$" &amp; $A$1)*parameters!$B$15</f>
        <v>9996</v>
      </c>
      <c r="R9" s="16">
        <f t="shared" ca="1" si="2"/>
        <v>9995.9999999999982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9728.2874384601346</v>
      </c>
      <c r="L10" s="16">
        <f t="shared" ca="1" si="0"/>
        <v>9728.2874384601346</v>
      </c>
      <c r="M10" s="16"/>
      <c r="N10" s="16">
        <f t="shared" ca="1" si="3"/>
        <v>0</v>
      </c>
      <c r="O10" s="11" cm="1">
        <f t="array" aca="1" ref="O10" ca="1">INDIRECT("'data'!$X$" &amp; $A$1)*parameters!$B$15</f>
        <v>1026.06</v>
      </c>
      <c r="P10" s="13" cm="1">
        <f t="array" aca="1" ref="P10" ca="1">-INDIRECT("'data'!$Y$" &amp; $A$1)*parameters!$B$15</f>
        <v>-3965.08</v>
      </c>
      <c r="Q10" s="16" cm="1">
        <f t="array" aca="1" ref="Q10" ca="1">INDIRECT("'data'!$W$" &amp; $A$1)*parameters!$B$15</f>
        <v>6789.2674384601341</v>
      </c>
      <c r="R10" s="16">
        <f t="shared" ca="1" si="2"/>
        <v>6789.2674384601341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11913.162797075714</v>
      </c>
      <c r="N11" s="19"/>
      <c r="O11" s="21" cm="1">
        <f t="array" aca="1" ref="O11" ca="1">INDIRECT("'data'!$Z$" &amp; $A$1)*parameters!$B$15</f>
        <v>2259.88</v>
      </c>
      <c r="P11" s="27" cm="1">
        <f t="array" aca="1" ref="P11" ca="1">-INDIRECT("'data'!$AA$" &amp; $A$1)*parameters!$B$15</f>
        <v>-1419.04</v>
      </c>
      <c r="Q11" s="16">
        <f ca="1">K9*parameters!$B$10+K10*parameters!$B$11</f>
        <v>12754.002797075715</v>
      </c>
      <c r="R11" s="16">
        <f t="shared" ref="R11:R17" ca="1" si="4">SUM(L11:P11)</f>
        <v>12754.002797075715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-30.404655721891686</v>
      </c>
      <c r="D12" s="9">
        <f ca="1">-(D17-Q4)</f>
        <v>0</v>
      </c>
      <c r="E12" s="9">
        <f ca="1">-(E17-Q5)</f>
        <v>-310.1094923216715</v>
      </c>
      <c r="F12" s="9">
        <f ca="1">-(F17-Q6)</f>
        <v>-372.65701492537391</v>
      </c>
      <c r="G12" s="9">
        <f ca="1">-(G17-Q7)</f>
        <v>-552.44351097178696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-1265.6146739407241</v>
      </c>
      <c r="M12" s="17"/>
      <c r="N12" s="17"/>
      <c r="O12" s="10"/>
      <c r="P12" s="12"/>
      <c r="Q12" s="9">
        <f t="shared" ref="Q12:Q17" ca="1" si="6">SUM(L12:P12)</f>
        <v>-1265.6146739407241</v>
      </c>
      <c r="R12" s="17">
        <f t="shared" ca="1" si="4"/>
        <v>-1265.6146739407241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-701.02052578508119</v>
      </c>
      <c r="J13" s="14">
        <f ca="1">-(J17-Q10)</f>
        <v>-476.13203575478656</v>
      </c>
      <c r="K13" s="13">
        <f ca="1">-(K17-Q11)</f>
        <v>-1642.0246413844197</v>
      </c>
      <c r="L13" s="14">
        <f t="shared" ca="1" si="5"/>
        <v>-2819.1772029242875</v>
      </c>
      <c r="M13" s="16">
        <f ca="1">-E15</f>
        <v>0</v>
      </c>
      <c r="N13" s="16"/>
      <c r="O13" s="11"/>
      <c r="P13" s="13"/>
      <c r="Q13" s="14">
        <f t="shared" ca="1" si="6"/>
        <v>-2819.1772029242875</v>
      </c>
      <c r="R13" s="16">
        <f t="shared" ca="1" si="4"/>
        <v>-2819.1772029242875</v>
      </c>
    </row>
    <row r="14" spans="1:20">
      <c r="A14" s="18" t="s">
        <v>78</v>
      </c>
      <c r="B14" s="11"/>
      <c r="C14" s="14"/>
      <c r="D14" s="14"/>
      <c r="E14" s="14">
        <f ca="1">-(I13+J13)-K13</f>
        <v>2819.1772029242875</v>
      </c>
      <c r="F14" s="14"/>
      <c r="G14" s="14"/>
      <c r="H14" s="14"/>
      <c r="I14" s="14"/>
      <c r="J14" s="14"/>
      <c r="K14" s="13"/>
      <c r="L14" s="14">
        <f t="shared" ca="1" si="5"/>
        <v>2819.1772029242875</v>
      </c>
      <c r="M14" s="16"/>
      <c r="N14" s="16"/>
      <c r="O14" s="11"/>
      <c r="P14" s="13"/>
      <c r="Q14" s="14">
        <f t="shared" ca="1" si="6"/>
        <v>2819.1772029242875</v>
      </c>
      <c r="R14" s="16">
        <f t="shared" ca="1" si="4"/>
        <v>2819.1772029242875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1600.8983603391168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1600.8983603391168</v>
      </c>
      <c r="M16" s="19"/>
      <c r="N16" s="19"/>
      <c r="O16" s="21"/>
      <c r="P16" s="27"/>
      <c r="Q16" s="22">
        <f t="shared" ca="1" si="6"/>
        <v>1600.8983603391168</v>
      </c>
      <c r="R16" s="19">
        <f t="shared" ca="1" si="4"/>
        <v>1600.8983603391168</v>
      </c>
    </row>
    <row r="17" spans="1:18">
      <c r="A17" s="29" t="s">
        <v>88</v>
      </c>
      <c r="B17" s="9">
        <f ca="1">B16</f>
        <v>1600.8983603391168</v>
      </c>
      <c r="C17" s="9">
        <f ca="1">SUM(C$2:C$11)</f>
        <v>4826.1358288717665</v>
      </c>
      <c r="D17" s="9">
        <f ca="1">SUM(D$2:D$11)</f>
        <v>0</v>
      </c>
      <c r="E17" s="9">
        <f ca="1">$Q$5/parameters!$B$4</f>
        <v>2819.1772029242875</v>
      </c>
      <c r="F17" s="9">
        <f t="shared" ref="F17:K17" ca="1" si="7">SUM(F$2:F$11)</f>
        <v>6010.5970149253735</v>
      </c>
      <c r="G17" s="9">
        <f t="shared" ca="1" si="7"/>
        <v>12847.523510971787</v>
      </c>
      <c r="H17" s="9">
        <f t="shared" ca="1" si="7"/>
        <v>17933.02</v>
      </c>
      <c r="I17" s="9">
        <f t="shared" ca="1" si="7"/>
        <v>10697.020525785081</v>
      </c>
      <c r="J17" s="9">
        <f t="shared" ca="1" si="7"/>
        <v>7265.3994742149207</v>
      </c>
      <c r="K17" s="9">
        <f t="shared" ca="1" si="7"/>
        <v>14396.027438460134</v>
      </c>
      <c r="L17" s="17">
        <f t="shared" ca="1" si="5"/>
        <v>78395.799356492469</v>
      </c>
      <c r="M17" s="17"/>
      <c r="N17" s="17"/>
      <c r="O17" s="9"/>
      <c r="P17" s="14"/>
      <c r="Q17" s="11">
        <f t="shared" ca="1" si="6"/>
        <v>78395.799356492469</v>
      </c>
      <c r="R17" s="17">
        <f t="shared" ca="1" si="4"/>
        <v>78395.799356492469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0.93446581465415757</v>
      </c>
      <c r="J18" s="39">
        <f ca="1">I18</f>
        <v>0.93446581465415757</v>
      </c>
      <c r="K18" s="40">
        <f ca="1">1-(-K13)/K17</f>
        <v>0.8859390447535811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30467.857502264265</v>
      </c>
      <c r="D2" s="9">
        <f ca="1">Q4/parameters!$B$3</f>
        <v>379.59142598369726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30847.448928247963</v>
      </c>
      <c r="M2" s="17"/>
      <c r="N2" s="17">
        <f ca="1">Q2-(L2+O2+P2)</f>
        <v>4958.251071752049</v>
      </c>
      <c r="O2" s="11" cm="1">
        <f t="array" aca="1" ref="O2" ca="1">INDIRECT("'data'!$F$" &amp; $A$1)</f>
        <v>119887.3</v>
      </c>
      <c r="P2" s="13">
        <f ca="1">IF(-(L2-Q2+O2)&lt;0, -(L2-Q2+O2), 0)</f>
        <v>0</v>
      </c>
      <c r="Q2" s="17" cm="1">
        <f t="array" aca="1" ref="Q2" ca="1">INDIRECT("'data'!$D$" &amp; $A$1)</f>
        <v>155693</v>
      </c>
      <c r="R2" s="17">
        <f ca="1">SUM(L2:P2)</f>
        <v>155693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20047.164179104479</v>
      </c>
      <c r="G3" s="14">
        <f ca="1">Q3-O3-P3-F3</f>
        <v>6015.93582089552</v>
      </c>
      <c r="H3" s="14"/>
      <c r="I3" s="14"/>
      <c r="J3" s="14"/>
      <c r="K3" s="13"/>
      <c r="L3" s="16">
        <f t="shared" ca="1" si="0"/>
        <v>26063.1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4212.8099999999995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30275.91</v>
      </c>
      <c r="R3" s="16">
        <f t="shared" ref="R3:R10" ca="1" si="2">SUM(L3:P3)</f>
        <v>30275.909999999996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377.2</v>
      </c>
      <c r="H4" s="14"/>
      <c r="I4" s="14"/>
      <c r="J4" s="14"/>
      <c r="K4" s="13"/>
      <c r="L4" s="16">
        <f t="shared" ca="1" si="0"/>
        <v>377.2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377.2</v>
      </c>
      <c r="R4" s="16">
        <f t="shared" ca="1" si="2"/>
        <v>377.2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5011.7910447761205</v>
      </c>
      <c r="G5" s="14">
        <f ca="1">Q7/parameters!$B$7-(G3+G4)</f>
        <v>354.22050094356109</v>
      </c>
      <c r="H5" s="14"/>
      <c r="I5" s="14"/>
      <c r="J5" s="14"/>
      <c r="K5" s="13"/>
      <c r="L5" s="16">
        <f t="shared" ca="1" si="0"/>
        <v>5366.0115457196816</v>
      </c>
      <c r="M5" s="16"/>
      <c r="N5" s="16"/>
      <c r="O5" s="11" cm="1">
        <f t="array" aca="1" ref="O5" ca="1">INDIRECT("'data'!$M$" &amp; $A$1)*parameters!$B$15</f>
        <v>9.8000000000000007</v>
      </c>
      <c r="P5" s="13" cm="1">
        <f t="array" aca="1" ref="P5" ca="1">-INDIRECT("'data'!$N$" &amp; $A$1)*parameters!$B$15</f>
        <v>-49</v>
      </c>
      <c r="Q5" s="16">
        <f ca="1">SUM(L5:P5)</f>
        <v>5326.8115457196818</v>
      </c>
      <c r="R5" s="16">
        <f t="shared" ca="1" si="2"/>
        <v>5326.8115457196818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23505.3</v>
      </c>
      <c r="I6" s="14"/>
      <c r="J6" s="14"/>
      <c r="K6" s="13"/>
      <c r="L6" s="16">
        <f t="shared" ca="1" si="0"/>
        <v>23505.3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23505.3</v>
      </c>
      <c r="R6" s="16">
        <f t="shared" ca="1" si="2"/>
        <v>23505.3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6457.22</v>
      </c>
      <c r="I7" s="14"/>
      <c r="J7" s="14"/>
      <c r="K7" s="13"/>
      <c r="L7" s="16">
        <f t="shared" ca="1" si="0"/>
        <v>6457.22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6457.22</v>
      </c>
      <c r="R7" s="16">
        <f t="shared" ca="1" si="2"/>
        <v>6457.22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8804.7251450778876</v>
      </c>
      <c r="J8" s="14">
        <f ca="1">Q10/J18</f>
        <v>14076.314854922111</v>
      </c>
      <c r="K8" s="13"/>
      <c r="L8" s="16">
        <f t="shared" ca="1" si="0"/>
        <v>22881.040000000001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7093.24</v>
      </c>
      <c r="P8" s="13" cm="1">
        <f t="array" aca="1" ref="P8" ca="1">-INDIRECT("'data'!$S$" &amp; $A$1)*parameters!$B$15</f>
        <v>-11.76</v>
      </c>
      <c r="Q8" s="16">
        <f ca="1">SUM(Q6:Q7)</f>
        <v>29962.52</v>
      </c>
      <c r="R8" s="16">
        <f t="shared" ca="1" si="2"/>
        <v>29962.52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5918.2199999999993</v>
      </c>
      <c r="L9" s="16">
        <f t="shared" ca="1" si="0"/>
        <v>5918.2199999999993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1971.76</v>
      </c>
      <c r="P9" s="13" cm="1">
        <f t="array" aca="1" ref="P9" ca="1">-INDIRECT("'data'!$V$" &amp; $A$1)*parameters!$B$15</f>
        <v>-159.74</v>
      </c>
      <c r="Q9" s="16" cm="1">
        <f t="array" aca="1" ref="Q9" ca="1">INDIRECT("'data'!$T$" &amp; $A$1)*parameters!$B$15</f>
        <v>7730.24</v>
      </c>
      <c r="R9" s="16">
        <f t="shared" ca="1" si="2"/>
        <v>7730.24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9308.7509530583211</v>
      </c>
      <c r="L10" s="16">
        <f t="shared" ca="1" si="0"/>
        <v>9308.7509530583211</v>
      </c>
      <c r="M10" s="16"/>
      <c r="N10" s="16">
        <f t="shared" ca="1" si="3"/>
        <v>0</v>
      </c>
      <c r="O10" s="11" cm="1">
        <f t="array" aca="1" ref="O10" ca="1">INDIRECT("'data'!$X$" &amp; $A$1)*parameters!$B$15</f>
        <v>3339.84</v>
      </c>
      <c r="P10" s="13" cm="1">
        <f t="array" aca="1" ref="P10" ca="1">-INDIRECT("'data'!$Y$" &amp; $A$1)*parameters!$B$15</f>
        <v>-290.08</v>
      </c>
      <c r="Q10" s="16" cm="1">
        <f t="array" aca="1" ref="Q10" ca="1">INDIRECT("'data'!$W$" &amp; $A$1)*parameters!$B$15</f>
        <v>12358.510953058321</v>
      </c>
      <c r="R10" s="16">
        <f t="shared" ca="1" si="2"/>
        <v>12358.510953058321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12269.172619630155</v>
      </c>
      <c r="N11" s="19"/>
      <c r="O11" s="21" cm="1">
        <f t="array" aca="1" ref="O11" ca="1">INDIRECT("'data'!$Z$" &amp; $A$1)*parameters!$B$15</f>
        <v>2242.2399999999998</v>
      </c>
      <c r="P11" s="27" cm="1">
        <f t="array" aca="1" ref="P11" ca="1">-INDIRECT("'data'!$AA$" &amp; $A$1)*parameters!$B$15</f>
        <v>-942.76</v>
      </c>
      <c r="Q11" s="16">
        <f ca="1">K9*parameters!$B$10+K10*parameters!$B$11</f>
        <v>13568.652619630155</v>
      </c>
      <c r="R11" s="16">
        <f t="shared" ref="R11:R17" ca="1" si="4">SUM(L11:P11)</f>
        <v>13568.652619630155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-191.94750226426549</v>
      </c>
      <c r="D12" s="9">
        <f ca="1">-(D17-Q4)</f>
        <v>-2.3914259836972747</v>
      </c>
      <c r="E12" s="9">
        <f ca="1">-(E17-Q5)</f>
        <v>-658.36996632490445</v>
      </c>
      <c r="F12" s="9">
        <f ca="1">-(F17-Q6)</f>
        <v>-1553.6552238805998</v>
      </c>
      <c r="G12" s="9">
        <f ca="1">-(G17-Q7)</f>
        <v>-290.13632183908067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-2696.5004402925479</v>
      </c>
      <c r="M12" s="17"/>
      <c r="N12" s="17"/>
      <c r="O12" s="10"/>
      <c r="P12" s="12"/>
      <c r="Q12" s="9">
        <f t="shared" ref="Q12:Q17" ca="1" si="6">SUM(L12:P12)</f>
        <v>-2696.5004402925479</v>
      </c>
      <c r="R12" s="17">
        <f t="shared" ca="1" si="4"/>
        <v>-2696.5004402925479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-1074.4851450778879</v>
      </c>
      <c r="J13" s="14">
        <f ca="1">-(J17-Q10)</f>
        <v>-1717.8039018637901</v>
      </c>
      <c r="K13" s="13">
        <f ca="1">-(K17-Q11)</f>
        <v>-1658.3183334281657</v>
      </c>
      <c r="L13" s="14">
        <f t="shared" ca="1" si="5"/>
        <v>-4450.6073803698437</v>
      </c>
      <c r="M13" s="16">
        <f ca="1">-E15</f>
        <v>-1534.5741316747426</v>
      </c>
      <c r="N13" s="16"/>
      <c r="O13" s="11"/>
      <c r="P13" s="13"/>
      <c r="Q13" s="14">
        <f t="shared" ca="1" si="6"/>
        <v>-5985.1815120445863</v>
      </c>
      <c r="R13" s="16">
        <f t="shared" ca="1" si="4"/>
        <v>-5985.1815120445863</v>
      </c>
    </row>
    <row r="14" spans="1:19">
      <c r="A14" s="18" t="s">
        <v>78</v>
      </c>
      <c r="B14" s="11"/>
      <c r="C14" s="14"/>
      <c r="D14" s="14"/>
      <c r="E14" s="14">
        <f ca="1">-(I13+J13)-K13</f>
        <v>4450.6073803698437</v>
      </c>
      <c r="F14" s="14"/>
      <c r="G14" s="14"/>
      <c r="H14" s="14"/>
      <c r="I14" s="14"/>
      <c r="J14" s="14"/>
      <c r="K14" s="13"/>
      <c r="L14" s="14">
        <f t="shared" ca="1" si="5"/>
        <v>4450.6073803698437</v>
      </c>
      <c r="M14" s="16"/>
      <c r="N14" s="16"/>
      <c r="O14" s="11"/>
      <c r="P14" s="13"/>
      <c r="Q14" s="14">
        <f t="shared" ca="1" si="6"/>
        <v>4450.6073803698437</v>
      </c>
      <c r="R14" s="16">
        <f t="shared" ca="1" si="4"/>
        <v>4450.6073803698437</v>
      </c>
    </row>
    <row r="15" spans="1:19">
      <c r="A15" s="18" t="s">
        <v>79</v>
      </c>
      <c r="B15" s="11"/>
      <c r="C15" s="14"/>
      <c r="D15" s="14"/>
      <c r="E15" s="14">
        <f ca="1">E17-E14</f>
        <v>1534.5741316747426</v>
      </c>
      <c r="F15" s="14"/>
      <c r="G15" s="14"/>
      <c r="H15" s="14"/>
      <c r="I15" s="14"/>
      <c r="J15" s="14"/>
      <c r="K15" s="13"/>
      <c r="L15" s="14">
        <f t="shared" ca="1" si="5"/>
        <v>1534.5741316747426</v>
      </c>
      <c r="M15" s="16"/>
      <c r="N15" s="16"/>
      <c r="O15" s="11"/>
      <c r="P15" s="13"/>
      <c r="Q15" s="14">
        <f t="shared" ca="1" si="6"/>
        <v>1534.5741316747426</v>
      </c>
      <c r="R15" s="16">
        <f t="shared" ca="1" si="4"/>
        <v>1534.5741316747426</v>
      </c>
    </row>
    <row r="16" spans="1:19">
      <c r="A16" s="30" t="s">
        <v>89</v>
      </c>
      <c r="B16" s="21">
        <f ca="1">Q2</f>
        <v>155693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155693</v>
      </c>
      <c r="M16" s="19"/>
      <c r="N16" s="19"/>
      <c r="O16" s="21"/>
      <c r="P16" s="27"/>
      <c r="Q16" s="22">
        <f t="shared" ca="1" si="6"/>
        <v>155693</v>
      </c>
      <c r="R16" s="19">
        <f t="shared" ca="1" si="4"/>
        <v>155693</v>
      </c>
    </row>
    <row r="17" spans="1:18">
      <c r="A17" s="29" t="s">
        <v>88</v>
      </c>
      <c r="B17" s="9">
        <f ca="1">B16</f>
        <v>155693</v>
      </c>
      <c r="C17" s="9">
        <f ca="1">SUM(C$2:C$11)</f>
        <v>30467.857502264265</v>
      </c>
      <c r="D17" s="9">
        <f ca="1">SUM(D$2:D$11)</f>
        <v>379.59142598369726</v>
      </c>
      <c r="E17" s="9">
        <f ca="1">$Q$5/parameters!$B$4</f>
        <v>5985.1815120445863</v>
      </c>
      <c r="F17" s="9">
        <f t="shared" ref="F17:K17" ca="1" si="7">SUM(F$2:F$11)</f>
        <v>25058.955223880599</v>
      </c>
      <c r="G17" s="9">
        <f t="shared" ca="1" si="7"/>
        <v>6747.3563218390809</v>
      </c>
      <c r="H17" s="9">
        <f t="shared" ca="1" si="7"/>
        <v>29962.52</v>
      </c>
      <c r="I17" s="9">
        <f t="shared" ca="1" si="7"/>
        <v>8804.7251450778876</v>
      </c>
      <c r="J17" s="9">
        <f t="shared" ca="1" si="7"/>
        <v>14076.314854922111</v>
      </c>
      <c r="K17" s="9">
        <f t="shared" ca="1" si="7"/>
        <v>15226.97095305832</v>
      </c>
      <c r="L17" s="17">
        <f t="shared" ca="1" si="5"/>
        <v>292402.47293907061</v>
      </c>
      <c r="M17" s="17"/>
      <c r="N17" s="17"/>
      <c r="O17" s="9"/>
      <c r="P17" s="14"/>
      <c r="Q17" s="11">
        <f t="shared" ca="1" si="6"/>
        <v>292402.47293907061</v>
      </c>
      <c r="R17" s="17">
        <f t="shared" ca="1" si="4"/>
        <v>292402.47293907061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0.87796494184959784</v>
      </c>
      <c r="J18" s="39">
        <f ca="1">I18</f>
        <v>0.87796494184959784</v>
      </c>
      <c r="K18" s="40">
        <f ca="1">1-(-K13)/K17</f>
        <v>0.89109335411879176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1726.6324365775645</v>
      </c>
      <c r="D2" s="9">
        <f ca="1">Q4/parameters!$B$3</f>
        <v>3795.8977648951168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5522.5302014726813</v>
      </c>
      <c r="M2" s="17"/>
      <c r="N2" s="17">
        <f ca="1">Q2-(L2+O2+P2)</f>
        <v>0</v>
      </c>
      <c r="O2" s="11" cm="1">
        <f t="array" aca="1" ref="O2" ca="1">INDIRECT("'data'!$F$" &amp; $A$1)</f>
        <v>985.4</v>
      </c>
      <c r="P2" s="13">
        <f ca="1">IF(-(L2-Q2+O2)&lt;0, -(L2-Q2+O2), 0)</f>
        <v>-160.20073886351963</v>
      </c>
      <c r="Q2" s="17" cm="1">
        <f t="array" aca="1" ref="Q2" ca="1">INDIRECT("'data'!$D$" &amp; $A$1)</f>
        <v>6347.7294626091616</v>
      </c>
      <c r="R2" s="17">
        <f ca="1">SUM(L2:P2)</f>
        <v>6347.7294626091616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1704.5731343283578</v>
      </c>
      <c r="G3" s="14">
        <f ca="1">Q3-O3-P3-F3</f>
        <v>11.181517898768107</v>
      </c>
      <c r="H3" s="14"/>
      <c r="I3" s="14"/>
      <c r="J3" s="14"/>
      <c r="K3" s="13"/>
      <c r="L3" s="16">
        <f t="shared" ca="1" si="0"/>
        <v>1715.7546522271259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1715.7546522271259</v>
      </c>
      <c r="R3" s="16">
        <f t="shared" ref="R3:R10" ca="1" si="2">SUM(L3:P3)</f>
        <v>1715.7546522271259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3771.9836089762775</v>
      </c>
      <c r="H4" s="14"/>
      <c r="I4" s="14"/>
      <c r="J4" s="14"/>
      <c r="K4" s="13"/>
      <c r="L4" s="16">
        <f t="shared" ca="1" si="0"/>
        <v>3771.9836089762775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3771.9836089762775</v>
      </c>
      <c r="R4" s="16">
        <f t="shared" ca="1" si="2"/>
        <v>3771.9836089762775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Q6/parameters!$B$5*28%</f>
        <v>662.889552238806</v>
      </c>
      <c r="G5" s="14">
        <f ca="1">Q7/parameters!$B$7-(G3+G4)</f>
        <v>1954.4942252670653</v>
      </c>
      <c r="H5" s="14"/>
      <c r="I5" s="14"/>
      <c r="J5" s="14"/>
      <c r="K5" s="13"/>
      <c r="L5" s="16">
        <f t="shared" ca="1" si="0"/>
        <v>2617.3837775058714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-34.299999999999997</v>
      </c>
      <c r="Q5" s="16">
        <f ca="1">SUM(L5:P5)</f>
        <v>2583.0837775058712</v>
      </c>
      <c r="R5" s="16">
        <f t="shared" ca="1" si="2"/>
        <v>2583.0837775058712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2220.6799999999998</v>
      </c>
      <c r="I6" s="14"/>
      <c r="J6" s="14"/>
      <c r="K6" s="13"/>
      <c r="L6" s="16">
        <f t="shared" ca="1" si="0"/>
        <v>2220.6799999999998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2220.6799999999998</v>
      </c>
      <c r="R6" s="16">
        <f t="shared" ca="1" si="2"/>
        <v>2220.6799999999998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5490.94</v>
      </c>
      <c r="I7" s="14"/>
      <c r="J7" s="14"/>
      <c r="K7" s="13"/>
      <c r="L7" s="16">
        <f t="shared" ca="1" si="0"/>
        <v>5490.94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5490.94</v>
      </c>
      <c r="R7" s="16">
        <f t="shared" ca="1" si="2"/>
        <v>5490.94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4469</v>
      </c>
      <c r="J8" s="14">
        <f ca="1">Q10/J18</f>
        <v>3399.4551920341396</v>
      </c>
      <c r="K8" s="13"/>
      <c r="L8" s="16">
        <f t="shared" ca="1" si="0"/>
        <v>7868.4551920341401</v>
      </c>
      <c r="M8" s="16"/>
      <c r="N8" s="16">
        <f t="shared" ca="1" si="3"/>
        <v>1779.6448079658585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-1936.48</v>
      </c>
      <c r="Q8" s="16">
        <f ca="1">SUM(Q6:Q7)</f>
        <v>7711.619999999999</v>
      </c>
      <c r="R8" s="16">
        <f t="shared" ca="1" si="2"/>
        <v>7711.619999999999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6802.18</v>
      </c>
      <c r="L9" s="16">
        <f t="shared" ca="1" si="0"/>
        <v>6802.18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-2422.56</v>
      </c>
      <c r="Q9" s="16" cm="1">
        <f t="array" aca="1" ref="Q9" ca="1">INDIRECT("'data'!$T$" &amp; $A$1)*parameters!$B$15</f>
        <v>4379.62</v>
      </c>
      <c r="R9" s="16">
        <f t="shared" ca="1" si="2"/>
        <v>4379.6200000000008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6920.2260881934562</v>
      </c>
      <c r="L10" s="16">
        <f t="shared" ca="1" si="0"/>
        <v>6920.2260881934562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-3588.7599999999998</v>
      </c>
      <c r="Q10" s="16" cm="1">
        <f t="array" aca="1" ref="Q10" ca="1">INDIRECT("'data'!$W$" &amp; $A$1)*parameters!$B$15</f>
        <v>3331.4660881934569</v>
      </c>
      <c r="R10" s="16">
        <f t="shared" ca="1" si="2"/>
        <v>3331.4660881934565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13465.583635846373</v>
      </c>
      <c r="N11" s="19"/>
      <c r="O11" s="21" cm="1">
        <f t="array" aca="1" ref="O11" ca="1">INDIRECT("'data'!$Z$" &amp; $A$1)*parameters!$B$15</f>
        <v>38.22</v>
      </c>
      <c r="P11" s="27" cm="1">
        <f t="array" aca="1" ref="P11" ca="1">-INDIRECT("'data'!$AA$" &amp; $A$1)*parameters!$B$15</f>
        <v>-1158.3599999999999</v>
      </c>
      <c r="Q11" s="16">
        <f ca="1">K9*parameters!$B$10+K10*parameters!$B$11</f>
        <v>12345.443635846372</v>
      </c>
      <c r="R11" s="16">
        <f t="shared" ref="R11:R17" ca="1" si="4">SUM(L11:P11)</f>
        <v>12345.443635846372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-10.87778435043856</v>
      </c>
      <c r="D12" s="9">
        <f ca="1">-(D17-Q4)</f>
        <v>-23.914155918839242</v>
      </c>
      <c r="E12" s="9">
        <f ca="1">-(E17-Q5)</f>
        <v>-319.25754553443358</v>
      </c>
      <c r="F12" s="9">
        <f ca="1">-(F17-Q6)</f>
        <v>-146.78268656716409</v>
      </c>
      <c r="G12" s="9">
        <f ca="1">-(G17-Q7)</f>
        <v>-246.71935214211135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-747.55152451298682</v>
      </c>
      <c r="M12" s="17"/>
      <c r="N12" s="17"/>
      <c r="O12" s="10"/>
      <c r="P12" s="12"/>
      <c r="Q12" s="9">
        <f t="shared" ref="Q12:Q17" ca="1" si="6">SUM(L12:P12)</f>
        <v>-747.55152451298682</v>
      </c>
      <c r="R12" s="17">
        <f t="shared" ca="1" si="4"/>
        <v>-747.55152451298682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-89.380000000000109</v>
      </c>
      <c r="J13" s="14">
        <f ca="1">-(J17-Q10)</f>
        <v>-67.989103840682674</v>
      </c>
      <c r="K13" s="13">
        <f ca="1">-(K17-Q11)</f>
        <v>-1376.9624523470848</v>
      </c>
      <c r="L13" s="14">
        <f t="shared" ca="1" si="5"/>
        <v>-1534.3315561877675</v>
      </c>
      <c r="M13" s="16">
        <f ca="1">-E15</f>
        <v>-1368.0097668525373</v>
      </c>
      <c r="N13" s="16"/>
      <c r="O13" s="11"/>
      <c r="P13" s="13"/>
      <c r="Q13" s="14">
        <f t="shared" ca="1" si="6"/>
        <v>-2902.3413230403048</v>
      </c>
      <c r="R13" s="16">
        <f t="shared" ca="1" si="4"/>
        <v>-2902.3413230403048</v>
      </c>
    </row>
    <row r="14" spans="1:22">
      <c r="A14" s="18" t="s">
        <v>78</v>
      </c>
      <c r="B14" s="11"/>
      <c r="C14" s="14"/>
      <c r="D14" s="14"/>
      <c r="E14" s="14">
        <f ca="1">-(I13+J13)-K13</f>
        <v>1534.3315561877675</v>
      </c>
      <c r="F14" s="14"/>
      <c r="G14" s="14"/>
      <c r="H14" s="14"/>
      <c r="I14" s="14"/>
      <c r="J14" s="14"/>
      <c r="K14" s="13"/>
      <c r="L14" s="14">
        <f t="shared" ca="1" si="5"/>
        <v>1534.3315561877675</v>
      </c>
      <c r="M14" s="16"/>
      <c r="N14" s="16"/>
      <c r="O14" s="11"/>
      <c r="P14" s="13"/>
      <c r="Q14" s="14">
        <f t="shared" ca="1" si="6"/>
        <v>1534.3315561877675</v>
      </c>
      <c r="R14" s="16">
        <f t="shared" ca="1" si="4"/>
        <v>1534.3315561877675</v>
      </c>
    </row>
    <row r="15" spans="1:22">
      <c r="A15" s="18" t="s">
        <v>79</v>
      </c>
      <c r="B15" s="11"/>
      <c r="C15" s="14"/>
      <c r="D15" s="14"/>
      <c r="E15" s="14">
        <f ca="1">E17-E14</f>
        <v>1368.0097668525373</v>
      </c>
      <c r="F15" s="14"/>
      <c r="G15" s="14"/>
      <c r="H15" s="14"/>
      <c r="I15" s="14"/>
      <c r="J15" s="14"/>
      <c r="K15" s="13"/>
      <c r="L15" s="14">
        <f t="shared" ca="1" si="5"/>
        <v>1368.0097668525373</v>
      </c>
      <c r="M15" s="16"/>
      <c r="N15" s="16"/>
      <c r="O15" s="11"/>
      <c r="P15" s="13"/>
      <c r="Q15" s="14">
        <f t="shared" ca="1" si="6"/>
        <v>1368.0097668525373</v>
      </c>
      <c r="R15" s="16">
        <f t="shared" ca="1" si="4"/>
        <v>1368.0097668525373</v>
      </c>
    </row>
    <row r="16" spans="1:22">
      <c r="A16" s="30" t="s">
        <v>89</v>
      </c>
      <c r="B16" s="21">
        <f ca="1">Q2</f>
        <v>6347.7294626091616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6347.7294626091616</v>
      </c>
      <c r="M16" s="19"/>
      <c r="N16" s="19"/>
      <c r="O16" s="21"/>
      <c r="P16" s="27"/>
      <c r="Q16" s="22">
        <f t="shared" ca="1" si="6"/>
        <v>6347.7294626091616</v>
      </c>
      <c r="R16" s="19">
        <f t="shared" ca="1" si="4"/>
        <v>6347.7294626091616</v>
      </c>
    </row>
    <row r="17" spans="1:18">
      <c r="A17" s="29" t="s">
        <v>88</v>
      </c>
      <c r="B17" s="9">
        <f ca="1">B16</f>
        <v>6347.7294626091616</v>
      </c>
      <c r="C17" s="9">
        <f ca="1">SUM(C$2:C$11)</f>
        <v>1726.6324365775645</v>
      </c>
      <c r="D17" s="9">
        <f ca="1">SUM(D$2:D$11)</f>
        <v>3795.8977648951168</v>
      </c>
      <c r="E17" s="9">
        <f ca="1">$Q$5/parameters!$B$4</f>
        <v>2902.3413230403048</v>
      </c>
      <c r="F17" s="9">
        <f t="shared" ref="F17:K17" ca="1" si="7">SUM(F$2:F$11)</f>
        <v>2367.4626865671639</v>
      </c>
      <c r="G17" s="9">
        <f t="shared" ca="1" si="7"/>
        <v>5737.6593521421109</v>
      </c>
      <c r="H17" s="9">
        <f t="shared" ca="1" si="7"/>
        <v>7711.619999999999</v>
      </c>
      <c r="I17" s="9">
        <f t="shared" ca="1" si="7"/>
        <v>4469</v>
      </c>
      <c r="J17" s="9">
        <f t="shared" ca="1" si="7"/>
        <v>3399.4551920341396</v>
      </c>
      <c r="K17" s="9">
        <f t="shared" ca="1" si="7"/>
        <v>13722.406088193457</v>
      </c>
      <c r="L17" s="17">
        <f t="shared" ca="1" si="5"/>
        <v>52180.204306059015</v>
      </c>
      <c r="M17" s="17"/>
      <c r="N17" s="17"/>
      <c r="O17" s="9"/>
      <c r="P17" s="14"/>
      <c r="Q17" s="11">
        <f t="shared" ca="1" si="6"/>
        <v>52180.204306059015</v>
      </c>
      <c r="R17" s="17">
        <f t="shared" ca="1" si="4"/>
        <v>52180.204306059015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0.89965590265312134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9650.6591526617685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9650.6591526617685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-9650.6591526617685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8303.0447761194046</v>
      </c>
      <c r="G3" s="14">
        <f ca="1">Q3-O3-P3-F3</f>
        <v>2392.4652238805957</v>
      </c>
      <c r="H3" s="14"/>
      <c r="I3" s="14"/>
      <c r="J3" s="14"/>
      <c r="K3" s="13"/>
      <c r="L3" s="16">
        <f t="shared" ca="1" si="0"/>
        <v>10695.51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37.799999999999997</v>
      </c>
      <c r="P3" s="13" cm="1">
        <f t="array" aca="1" ref="P3" ca="1">-INDIRECT("'data'!$I$" &amp; $A$1)*parameters!$B$13</f>
        <v>-1143.45</v>
      </c>
      <c r="Q3" s="16" cm="1">
        <f t="array" aca="1" ref="Q3" ca="1">INDIRECT("'data'!$G$" &amp; $A$1)*parameters!$B$13</f>
        <v>9589.8599999999988</v>
      </c>
      <c r="R3" s="16">
        <f t="shared" ref="R3:R10" ca="1" si="2">SUM(L3:P3)</f>
        <v>9589.8599999999988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2075.7611940298511</v>
      </c>
      <c r="G5" s="14">
        <f ca="1">Q7/parameters!$B$7-(G3+G4)</f>
        <v>15143.0833654611</v>
      </c>
      <c r="H5" s="14"/>
      <c r="I5" s="14"/>
      <c r="J5" s="14"/>
      <c r="K5" s="13"/>
      <c r="L5" s="16">
        <f t="shared" ca="1" si="0"/>
        <v>17218.84455949095</v>
      </c>
      <c r="M5" s="16"/>
      <c r="N5" s="16"/>
      <c r="O5" s="11" cm="1">
        <f t="array" aca="1" ref="O5" ca="1">INDIRECT("'data'!$M$" &amp; $A$1)*parameters!$B$15</f>
        <v>170.52</v>
      </c>
      <c r="P5" s="13" cm="1">
        <f t="array" aca="1" ref="P5" ca="1">-INDIRECT("'data'!$N$" &amp; $A$1)*parameters!$B$15</f>
        <v>-4293.38</v>
      </c>
      <c r="Q5" s="16">
        <f ca="1">SUM(L5:P5)</f>
        <v>13095.984559490949</v>
      </c>
      <c r="R5" s="16">
        <f t="shared" ca="1" si="2"/>
        <v>13095.984559490949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9735.32</v>
      </c>
      <c r="I6" s="14"/>
      <c r="J6" s="14"/>
      <c r="K6" s="13"/>
      <c r="L6" s="16">
        <f t="shared" ca="1" si="0"/>
        <v>9735.32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9735.32</v>
      </c>
      <c r="R6" s="16">
        <f t="shared" ca="1" si="2"/>
        <v>9735.32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16781.52</v>
      </c>
      <c r="I7" s="14"/>
      <c r="J7" s="14"/>
      <c r="K7" s="13"/>
      <c r="L7" s="16">
        <f t="shared" ca="1" si="0"/>
        <v>16781.52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16781.52</v>
      </c>
      <c r="R7" s="16">
        <f t="shared" ca="1" si="2"/>
        <v>16781.52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16618.303161076183</v>
      </c>
      <c r="J8" s="14">
        <f ca="1">Q10/J18</f>
        <v>11823.256838923819</v>
      </c>
      <c r="K8" s="13"/>
      <c r="L8" s="16">
        <f t="shared" ca="1" si="0"/>
        <v>28441.56</v>
      </c>
      <c r="M8" s="16"/>
      <c r="N8" s="16">
        <f t="shared" ca="1" si="3"/>
        <v>0</v>
      </c>
      <c r="O8" s="11" cm="1">
        <f t="array" aca="1" ref="O8" ca="1">INDIRECT("'data'!$R$" &amp; $A$1)*parameters!$B$15</f>
        <v>535.08000000000004</v>
      </c>
      <c r="P8" s="13" cm="1">
        <f t="array" aca="1" ref="P8" ca="1">-INDIRECT("'data'!$S$" &amp; $A$1)*parameters!$B$15</f>
        <v>-2459.8000000000002</v>
      </c>
      <c r="Q8" s="16">
        <f ca="1">SUM(Q6:Q7)</f>
        <v>26516.84</v>
      </c>
      <c r="R8" s="16">
        <f t="shared" ca="1" si="2"/>
        <v>26516.840000000004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13676.88</v>
      </c>
      <c r="L9" s="16">
        <f t="shared" ca="1" si="0"/>
        <v>13676.88</v>
      </c>
      <c r="M9" s="16"/>
      <c r="N9" s="16">
        <f t="shared" ca="1" si="3"/>
        <v>0</v>
      </c>
      <c r="O9" s="11" cm="1">
        <f t="array" aca="1" ref="O9" ca="1">INDIRECT("'data'!$U$" &amp; $A$1)*parameters!$B$15</f>
        <v>4089.54</v>
      </c>
      <c r="P9" s="13" cm="1">
        <f t="array" aca="1" ref="P9" ca="1">-INDIRECT("'data'!$V$" &amp; $A$1)*parameters!$B$15</f>
        <v>-2878.2599999999998</v>
      </c>
      <c r="Q9" s="16" cm="1">
        <f t="array" aca="1" ref="Q9" ca="1">INDIRECT("'data'!$T$" &amp; $A$1)*parameters!$B$15</f>
        <v>14888.16</v>
      </c>
      <c r="R9" s="16">
        <f t="shared" ca="1" si="2"/>
        <v>14888.159999999998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17238.689302987197</v>
      </c>
      <c r="L10" s="16">
        <f t="shared" ca="1" si="0"/>
        <v>17238.689302987197</v>
      </c>
      <c r="M10" s="16"/>
      <c r="N10" s="16">
        <f t="shared" ca="1" si="3"/>
        <v>0</v>
      </c>
      <c r="O10" s="11" cm="1">
        <f t="array" aca="1" ref="O10" ca="1">INDIRECT("'data'!$X$" &amp; $A$1)*parameters!$B$15</f>
        <v>4156.18</v>
      </c>
      <c r="P10" s="13" cm="1">
        <f t="array" aca="1" ref="P10" ca="1">-INDIRECT("'data'!$Y$" &amp; $A$1)*parameters!$B$15</f>
        <v>-10802.539999999999</v>
      </c>
      <c r="Q10" s="16" cm="1">
        <f t="array" aca="1" ref="Q10" ca="1">INDIRECT("'data'!$W$" &amp; $A$1)*parameters!$B$15</f>
        <v>10592.329302987198</v>
      </c>
      <c r="R10" s="16">
        <f t="shared" ca="1" si="2"/>
        <v>10592.329302987198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23704.700000568992</v>
      </c>
      <c r="N11" s="19"/>
      <c r="O11" s="21" cm="1">
        <f t="array" aca="1" ref="O11" ca="1">INDIRECT("'data'!$Z$" &amp; $A$1)*parameters!$B$15</f>
        <v>10981.88</v>
      </c>
      <c r="P11" s="27" cm="1">
        <f t="array" aca="1" ref="P11" ca="1">-INDIRECT("'data'!$AA$" &amp; $A$1)*parameters!$B$15</f>
        <v>-7005.04</v>
      </c>
      <c r="Q11" s="16">
        <f ca="1">K9*parameters!$B$10+K10*parameters!$B$11</f>
        <v>27681.540000568988</v>
      </c>
      <c r="R11" s="16">
        <f t="shared" ref="R11:R17" ca="1" si="4">SUM(L11:P11)</f>
        <v>27681.540000568988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-60.799152661769767</v>
      </c>
      <c r="D12" s="9">
        <f ca="1">-(D17-Q4)</f>
        <v>0</v>
      </c>
      <c r="E12" s="9">
        <f ca="1">-(E17-Q5)</f>
        <v>-1618.6048331955099</v>
      </c>
      <c r="F12" s="9">
        <f ca="1">-(F17-Q6)</f>
        <v>-643.4859701492569</v>
      </c>
      <c r="G12" s="9">
        <f ca="1">-(G17-Q7)</f>
        <v>-754.0285893416949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-3076.9185453482314</v>
      </c>
      <c r="M12" s="17"/>
      <c r="N12" s="17"/>
      <c r="O12" s="10"/>
      <c r="P12" s="12"/>
      <c r="Q12" s="9">
        <f t="shared" ref="Q12:Q17" ca="1" si="6">SUM(L12:P12)</f>
        <v>-3076.9185453482314</v>
      </c>
      <c r="R12" s="17">
        <f t="shared" ca="1" si="4"/>
        <v>-3076.9185453482314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-1730.1431610761829</v>
      </c>
      <c r="J13" s="14">
        <f ca="1">-(J17-Q10)</f>
        <v>-1230.9275359366202</v>
      </c>
      <c r="K13" s="13">
        <f ca="1">-(K17-Q11)</f>
        <v>-3234.0293024182101</v>
      </c>
      <c r="L13" s="14">
        <f t="shared" ca="1" si="5"/>
        <v>-6195.0999994310132</v>
      </c>
      <c r="M13" s="16">
        <f ca="1">-E15</f>
        <v>-8519.489393255446</v>
      </c>
      <c r="N13" s="16"/>
      <c r="O13" s="11"/>
      <c r="P13" s="13"/>
      <c r="Q13" s="14">
        <f t="shared" ca="1" si="6"/>
        <v>-14714.589392686459</v>
      </c>
      <c r="R13" s="16">
        <f t="shared" ca="1" si="4"/>
        <v>-14714.589392686459</v>
      </c>
    </row>
    <row r="14" spans="1:20">
      <c r="A14" s="18" t="s">
        <v>78</v>
      </c>
      <c r="B14" s="11"/>
      <c r="C14" s="14"/>
      <c r="D14" s="14"/>
      <c r="E14" s="14">
        <f ca="1">-(I13+J13)-K13</f>
        <v>6195.0999994310132</v>
      </c>
      <c r="F14" s="14"/>
      <c r="G14" s="14"/>
      <c r="H14" s="14"/>
      <c r="I14" s="14"/>
      <c r="J14" s="14"/>
      <c r="K14" s="13"/>
      <c r="L14" s="14">
        <f t="shared" ca="1" si="5"/>
        <v>6195.0999994310132</v>
      </c>
      <c r="M14" s="16"/>
      <c r="N14" s="16"/>
      <c r="O14" s="11"/>
      <c r="P14" s="13"/>
      <c r="Q14" s="14">
        <f t="shared" ca="1" si="6"/>
        <v>6195.0999994310132</v>
      </c>
      <c r="R14" s="16">
        <f t="shared" ca="1" si="4"/>
        <v>6195.0999994310132</v>
      </c>
    </row>
    <row r="15" spans="1:20">
      <c r="A15" s="18" t="s">
        <v>79</v>
      </c>
      <c r="B15" s="11"/>
      <c r="C15" s="14"/>
      <c r="D15" s="14"/>
      <c r="E15" s="14">
        <f ca="1">E17-E14</f>
        <v>8519.489393255446</v>
      </c>
      <c r="F15" s="14"/>
      <c r="G15" s="14"/>
      <c r="H15" s="14"/>
      <c r="I15" s="14"/>
      <c r="J15" s="14"/>
      <c r="K15" s="13"/>
      <c r="L15" s="14">
        <f t="shared" ca="1" si="5"/>
        <v>8519.489393255446</v>
      </c>
      <c r="M15" s="16"/>
      <c r="N15" s="16"/>
      <c r="O15" s="11"/>
      <c r="P15" s="13"/>
      <c r="Q15" s="14">
        <f t="shared" ca="1" si="6"/>
        <v>8519.489393255446</v>
      </c>
      <c r="R15" s="16">
        <f t="shared" ca="1" si="4"/>
        <v>8519.489393255446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9650.6591526617685</v>
      </c>
      <c r="D17" s="9">
        <f ca="1">SUM(D$2:D$11)</f>
        <v>0</v>
      </c>
      <c r="E17" s="9">
        <f ca="1">$Q$5/parameters!$B$4</f>
        <v>14714.589392686459</v>
      </c>
      <c r="F17" s="9">
        <f t="shared" ref="F17:K17" ca="1" si="7">SUM(F$2:F$11)</f>
        <v>10378.805970149257</v>
      </c>
      <c r="G17" s="9">
        <f t="shared" ca="1" si="7"/>
        <v>17535.548589341695</v>
      </c>
      <c r="H17" s="9">
        <f t="shared" ca="1" si="7"/>
        <v>26516.84</v>
      </c>
      <c r="I17" s="9">
        <f t="shared" ca="1" si="7"/>
        <v>16618.303161076183</v>
      </c>
      <c r="J17" s="9">
        <f t="shared" ca="1" si="7"/>
        <v>11823.256838923819</v>
      </c>
      <c r="K17" s="9">
        <f t="shared" ca="1" si="7"/>
        <v>30915.569302987198</v>
      </c>
      <c r="L17" s="17">
        <f t="shared" ca="1" si="5"/>
        <v>138153.57240782637</v>
      </c>
      <c r="M17" s="17"/>
      <c r="N17" s="17"/>
      <c r="O17" s="9"/>
      <c r="P17" s="14"/>
      <c r="Q17" s="11">
        <f t="shared" ca="1" si="6"/>
        <v>138153.57240782637</v>
      </c>
      <c r="R17" s="17">
        <f t="shared" ca="1" si="4"/>
        <v>138153.57240782637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0.89588930083255625</v>
      </c>
      <c r="J18" s="39">
        <f ca="1">I18</f>
        <v>0.89588930083255625</v>
      </c>
      <c r="K18" s="40">
        <f ca="1">1-(-K13)/K17</f>
        <v>0.89539156563079292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28080.86947770957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28080.86947770957</v>
      </c>
      <c r="M2" s="17"/>
      <c r="N2" s="17">
        <f ca="1">Q2-(L2+O2+P2)</f>
        <v>0</v>
      </c>
      <c r="O2" s="11" cm="1">
        <f t="array" aca="1" ref="O2" ca="1">INDIRECT("'data'!$F$" &amp; $A$1)</f>
        <v>13115.7</v>
      </c>
      <c r="P2" s="13">
        <f ca="1">IF(-(L2-Q2+O2)&lt;0, -(L2-Q2+O2), 0)</f>
        <v>-6896.5694777095705</v>
      </c>
      <c r="Q2" s="17" cm="1">
        <f t="array" aca="1" ref="Q2" ca="1">INDIRECT("'data'!$D$" &amp; $A$1)</f>
        <v>34300</v>
      </c>
      <c r="R2" s="17">
        <f ca="1">SUM(L2:P2)</f>
        <v>34300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27735.462686567167</v>
      </c>
      <c r="G3" s="14">
        <f ca="1">Q3-O3-P3-F3</f>
        <v>165.66231343282925</v>
      </c>
      <c r="H3" s="14"/>
      <c r="I3" s="14"/>
      <c r="J3" s="14"/>
      <c r="K3" s="13"/>
      <c r="L3" s="16">
        <f t="shared" ca="1" si="0"/>
        <v>27901.124999999996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858.06</v>
      </c>
      <c r="P3" s="13" cm="1">
        <f t="array" aca="1" ref="P3" ca="1">-INDIRECT("'data'!$I$" &amp; $A$1)*parameters!$B$13</f>
        <v>-855.22499999999991</v>
      </c>
      <c r="Q3" s="16" cm="1">
        <f t="array" aca="1" ref="Q3" ca="1">INDIRECT("'data'!$G$" &amp; $A$1)*parameters!$B$13</f>
        <v>27903.96</v>
      </c>
      <c r="R3" s="16">
        <f t="shared" ref="R3:R10" ca="1" si="2">SUM(L3:P3)</f>
        <v>27903.96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Q6/parameters!$B$5*24%</f>
        <v>8758.567164179105</v>
      </c>
      <c r="G5" s="14">
        <f ca="1">Q7/parameters!$B$7-(G3+G4)</f>
        <v>1882.4045622202534</v>
      </c>
      <c r="H5" s="14"/>
      <c r="I5" s="14"/>
      <c r="J5" s="14"/>
      <c r="K5" s="13"/>
      <c r="L5" s="16">
        <f t="shared" ca="1" si="0"/>
        <v>10640.971726399359</v>
      </c>
      <c r="M5" s="16"/>
      <c r="N5" s="16"/>
      <c r="O5" s="11" cm="1">
        <f t="array" aca="1" ref="O5" ca="1">INDIRECT("'data'!$M$" &amp; $A$1)*parameters!$B$15</f>
        <v>1771.84</v>
      </c>
      <c r="P5" s="13" cm="1">
        <f t="array" aca="1" ref="P5" ca="1">-INDIRECT("'data'!$N$" &amp; $A$1)*parameters!$B$15</f>
        <v>-14.7</v>
      </c>
      <c r="Q5" s="16">
        <f ca="1">SUM(L5:P5)</f>
        <v>12398.111726399358</v>
      </c>
      <c r="R5" s="16">
        <f t="shared" ca="1" si="2"/>
        <v>12398.111726399358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34231.4</v>
      </c>
      <c r="I6" s="14"/>
      <c r="J6" s="14"/>
      <c r="K6" s="13"/>
      <c r="L6" s="16">
        <f t="shared" ca="1" si="0"/>
        <v>34231.4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34231.4</v>
      </c>
      <c r="R6" s="16">
        <f t="shared" ca="1" si="2"/>
        <v>34231.4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1960</v>
      </c>
      <c r="I7" s="14"/>
      <c r="J7" s="14"/>
      <c r="K7" s="13"/>
      <c r="L7" s="16">
        <f t="shared" ca="1" si="0"/>
        <v>1960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1960</v>
      </c>
      <c r="R7" s="16">
        <f t="shared" ca="1" si="2"/>
        <v>1960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17000</v>
      </c>
      <c r="J8" s="14">
        <f ca="1">Q10/J18</f>
        <v>13091.642958748222</v>
      </c>
      <c r="K8" s="13"/>
      <c r="L8" s="16">
        <f t="shared" ca="1" si="0"/>
        <v>30091.64295874822</v>
      </c>
      <c r="M8" s="16"/>
      <c r="N8" s="16">
        <f t="shared" ca="1" si="3"/>
        <v>-3582.6429587482125</v>
      </c>
      <c r="O8" s="11" cm="1">
        <f t="array" aca="1" ref="O8" ca="1">INDIRECT("'data'!$R$" &amp; $A$1)*parameters!$B$15</f>
        <v>9963.66</v>
      </c>
      <c r="P8" s="13" cm="1">
        <f t="array" aca="1" ref="P8" ca="1">-INDIRECT("'data'!$S$" &amp; $A$1)*parameters!$B$15</f>
        <v>-281.26</v>
      </c>
      <c r="Q8" s="16">
        <f ca="1">SUM(Q6:Q7)</f>
        <v>36191.4</v>
      </c>
      <c r="R8" s="16">
        <f t="shared" ca="1" si="2"/>
        <v>36191.4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10073.42</v>
      </c>
      <c r="L9" s="16">
        <f t="shared" ca="1" si="0"/>
        <v>10073.42</v>
      </c>
      <c r="M9" s="16"/>
      <c r="N9" s="16">
        <f t="shared" ca="1" si="3"/>
        <v>0</v>
      </c>
      <c r="O9" s="11" cm="1">
        <f t="array" aca="1" ref="O9" ca="1">INDIRECT("'data'!$U$" &amp; $A$1)*parameters!$B$15</f>
        <v>6754.16</v>
      </c>
      <c r="P9" s="13" cm="1">
        <f t="array" aca="1" ref="P9" ca="1">-INDIRECT("'data'!$V$" &amp; $A$1)*parameters!$B$15</f>
        <v>-167.57999999999998</v>
      </c>
      <c r="Q9" s="16" cm="1">
        <f t="array" aca="1" ref="Q9" ca="1">INDIRECT("'data'!$T$" &amp; $A$1)*parameters!$B$15</f>
        <v>16660</v>
      </c>
      <c r="R9" s="16">
        <f t="shared" ca="1" si="2"/>
        <v>16660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5269.1100995732568</v>
      </c>
      <c r="L10" s="16">
        <f t="shared" ca="1" si="0"/>
        <v>5269.1100995732568</v>
      </c>
      <c r="M10" s="16"/>
      <c r="N10" s="16">
        <f t="shared" ca="1" si="3"/>
        <v>0</v>
      </c>
      <c r="O10" s="11" cm="1">
        <f t="array" aca="1" ref="O10" ca="1">INDIRECT("'data'!$X$" &amp; $A$1)*parameters!$B$15</f>
        <v>7861.5599999999995</v>
      </c>
      <c r="P10" s="13" cm="1">
        <f t="array" aca="1" ref="P10" ca="1">-INDIRECT("'data'!$Y$" &amp; $A$1)*parameters!$B$15</f>
        <v>-300.86</v>
      </c>
      <c r="Q10" s="16" cm="1">
        <f t="array" aca="1" ref="Q10" ca="1">INDIRECT("'data'!$W$" &amp; $A$1)*parameters!$B$15</f>
        <v>12829.810099573257</v>
      </c>
      <c r="R10" s="16">
        <f t="shared" ca="1" si="2"/>
        <v>12829.810099573257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13433.029485633</v>
      </c>
      <c r="N11" s="19"/>
      <c r="O11" s="21" cm="1">
        <f t="array" aca="1" ref="O11" ca="1">INDIRECT("'data'!$Z$" &amp; $A$1)*parameters!$B$15</f>
        <v>1381.8</v>
      </c>
      <c r="P11" s="27" cm="1">
        <f t="array" aca="1" ref="P11" ca="1">-INDIRECT("'data'!$AA$" &amp; $A$1)*parameters!$B$15</f>
        <v>-814.38</v>
      </c>
      <c r="Q11" s="16">
        <f ca="1">K9*parameters!$B$10+K10*parameters!$B$11</f>
        <v>14000.449485633</v>
      </c>
      <c r="R11" s="16">
        <f t="shared" ref="R11:R17" ca="1" si="4">SUM(L11:P11)</f>
        <v>14000.449485633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-176.90947770957064</v>
      </c>
      <c r="D12" s="9">
        <f ca="1">-(D17-Q4)</f>
        <v>0</v>
      </c>
      <c r="E12" s="9">
        <f ca="1">-(E17-Q5)</f>
        <v>-1532.3508875325042</v>
      </c>
      <c r="F12" s="9">
        <f ca="1">-(F17-Q6)</f>
        <v>-2262.6298507462707</v>
      </c>
      <c r="G12" s="9">
        <f ca="1">-(G17-Q7)</f>
        <v>-88.066875653082661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-4059.9570916414282</v>
      </c>
      <c r="M12" s="17"/>
      <c r="N12" s="17"/>
      <c r="O12" s="10"/>
      <c r="P12" s="12"/>
      <c r="Q12" s="9">
        <f t="shared" ref="Q12:Q17" ca="1" si="6">SUM(L12:P12)</f>
        <v>-4059.9570916414282</v>
      </c>
      <c r="R12" s="17">
        <f t="shared" ca="1" si="4"/>
        <v>-4059.9570916414282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-340</v>
      </c>
      <c r="J13" s="14">
        <f ca="1">-(J17-Q10)</f>
        <v>-261.83285917496505</v>
      </c>
      <c r="K13" s="13">
        <f ca="1">-(K17-Q11)</f>
        <v>-1342.0806139402575</v>
      </c>
      <c r="L13" s="14">
        <f t="shared" ca="1" si="5"/>
        <v>-1943.9134731152226</v>
      </c>
      <c r="M13" s="16">
        <f ca="1">-E15</f>
        <v>-11986.54914081664</v>
      </c>
      <c r="N13" s="16"/>
      <c r="O13" s="11"/>
      <c r="P13" s="13"/>
      <c r="Q13" s="14">
        <f t="shared" ca="1" si="6"/>
        <v>-13930.462613931863</v>
      </c>
      <c r="R13" s="16">
        <f t="shared" ca="1" si="4"/>
        <v>-13930.462613931863</v>
      </c>
    </row>
    <row r="14" spans="1:20">
      <c r="A14" s="18" t="s">
        <v>78</v>
      </c>
      <c r="B14" s="11"/>
      <c r="C14" s="14"/>
      <c r="D14" s="14"/>
      <c r="E14" s="14">
        <f ca="1">-(I13+J13)-K13</f>
        <v>1943.9134731152226</v>
      </c>
      <c r="F14" s="14"/>
      <c r="G14" s="14"/>
      <c r="H14" s="14"/>
      <c r="I14" s="14"/>
      <c r="J14" s="14"/>
      <c r="K14" s="13"/>
      <c r="L14" s="14">
        <f t="shared" ca="1" si="5"/>
        <v>1943.9134731152226</v>
      </c>
      <c r="M14" s="16"/>
      <c r="N14" s="16"/>
      <c r="O14" s="11"/>
      <c r="P14" s="13"/>
      <c r="Q14" s="14">
        <f t="shared" ca="1" si="6"/>
        <v>1943.9134731152226</v>
      </c>
      <c r="R14" s="16">
        <f t="shared" ca="1" si="4"/>
        <v>1943.9134731152226</v>
      </c>
    </row>
    <row r="15" spans="1:20">
      <c r="A15" s="18" t="s">
        <v>79</v>
      </c>
      <c r="B15" s="11"/>
      <c r="C15" s="14"/>
      <c r="D15" s="14"/>
      <c r="E15" s="14">
        <f ca="1">E17-E14</f>
        <v>11986.54914081664</v>
      </c>
      <c r="F15" s="14"/>
      <c r="G15" s="14"/>
      <c r="H15" s="14"/>
      <c r="I15" s="14"/>
      <c r="J15" s="14"/>
      <c r="K15" s="13"/>
      <c r="L15" s="14">
        <f t="shared" ca="1" si="5"/>
        <v>11986.54914081664</v>
      </c>
      <c r="M15" s="16"/>
      <c r="N15" s="16"/>
      <c r="O15" s="11"/>
      <c r="P15" s="13"/>
      <c r="Q15" s="14">
        <f t="shared" ca="1" si="6"/>
        <v>11986.54914081664</v>
      </c>
      <c r="R15" s="16">
        <f t="shared" ca="1" si="4"/>
        <v>11986.54914081664</v>
      </c>
    </row>
    <row r="16" spans="1:20">
      <c r="A16" s="30" t="s">
        <v>89</v>
      </c>
      <c r="B16" s="21">
        <f ca="1">Q2</f>
        <v>34300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34300</v>
      </c>
      <c r="M16" s="19"/>
      <c r="N16" s="19"/>
      <c r="O16" s="21"/>
      <c r="P16" s="27"/>
      <c r="Q16" s="22">
        <f t="shared" ca="1" si="6"/>
        <v>34300</v>
      </c>
      <c r="R16" s="19">
        <f t="shared" ca="1" si="4"/>
        <v>34300</v>
      </c>
    </row>
    <row r="17" spans="1:18">
      <c r="A17" s="29" t="s">
        <v>88</v>
      </c>
      <c r="B17" s="9">
        <f ca="1">B16</f>
        <v>34300</v>
      </c>
      <c r="C17" s="9">
        <f ca="1">SUM(C$2:C$11)</f>
        <v>28080.86947770957</v>
      </c>
      <c r="D17" s="9">
        <f ca="1">SUM(D$2:D$11)</f>
        <v>0</v>
      </c>
      <c r="E17" s="9">
        <f ca="1">$Q$5/parameters!$B$4</f>
        <v>13930.462613931863</v>
      </c>
      <c r="F17" s="9">
        <f t="shared" ref="F17:K17" ca="1" si="7">SUM(F$2:F$11)</f>
        <v>36494.029850746272</v>
      </c>
      <c r="G17" s="9">
        <f t="shared" ca="1" si="7"/>
        <v>2048.0668756530827</v>
      </c>
      <c r="H17" s="9">
        <f t="shared" ca="1" si="7"/>
        <v>36191.4</v>
      </c>
      <c r="I17" s="9">
        <f t="shared" ca="1" si="7"/>
        <v>17000</v>
      </c>
      <c r="J17" s="9">
        <f t="shared" ca="1" si="7"/>
        <v>13091.642958748222</v>
      </c>
      <c r="K17" s="9">
        <f t="shared" ca="1" si="7"/>
        <v>15342.530099573258</v>
      </c>
      <c r="L17" s="17">
        <f t="shared" ca="1" si="5"/>
        <v>196479.00187636225</v>
      </c>
      <c r="M17" s="17"/>
      <c r="N17" s="17"/>
      <c r="O17" s="9"/>
      <c r="P17" s="14"/>
      <c r="Q17" s="11">
        <f t="shared" ca="1" si="6"/>
        <v>196479.00187636225</v>
      </c>
      <c r="R17" s="17">
        <f t="shared" ca="1" si="4"/>
        <v>196479.00187636225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0.91252546970870296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3977.99637717621</v>
      </c>
      <c r="D2" s="9">
        <f ca="1">Q4/parameters!$B$3</f>
        <v>5067.082620509208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9045.0789976854176</v>
      </c>
      <c r="M2" s="17"/>
      <c r="N2" s="17">
        <f ca="1">Q2-(L2+O2+P2)</f>
        <v>0</v>
      </c>
      <c r="O2" s="11" cm="1">
        <f t="array" aca="1" ref="O2" ca="1">INDIRECT("'data'!$F$" &amp; $A$1)</f>
        <v>419.25</v>
      </c>
      <c r="P2" s="13">
        <f ca="1">IF(-(L2-Q2+O2)&lt;0, -(L2-Q2+O2), 0)</f>
        <v>-2705.3289976854176</v>
      </c>
      <c r="Q2" s="17" cm="1">
        <f t="array" aca="1" ref="Q2" ca="1">INDIRECT("'data'!$D$" &amp; $A$1)</f>
        <v>6759</v>
      </c>
      <c r="R2" s="17">
        <f ca="1">SUM(L2:P2)</f>
        <v>6759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3837.253731343284</v>
      </c>
      <c r="G3" s="14">
        <f ca="1">Q3-O3-P3-F3</f>
        <v>700.6362686567154</v>
      </c>
      <c r="H3" s="14"/>
      <c r="I3" s="14"/>
      <c r="J3" s="14"/>
      <c r="K3" s="13"/>
      <c r="L3" s="16">
        <f t="shared" ca="1" si="0"/>
        <v>4537.8899999999994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-584.95499999999993</v>
      </c>
      <c r="Q3" s="16" cm="1">
        <f t="array" aca="1" ref="Q3" ca="1">INDIRECT("'data'!$G$" &amp; $A$1)*parameters!$B$13</f>
        <v>3952.9349999999999</v>
      </c>
      <c r="R3" s="16">
        <f t="shared" ref="R3:R10" ca="1" si="2">SUM(L3:P3)</f>
        <v>3952.9349999999995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5035.16</v>
      </c>
      <c r="H4" s="14"/>
      <c r="I4" s="14"/>
      <c r="J4" s="14"/>
      <c r="K4" s="13"/>
      <c r="L4" s="16">
        <f t="shared" ca="1" si="0"/>
        <v>5035.16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5035.16</v>
      </c>
      <c r="R4" s="16">
        <f t="shared" ca="1" si="2"/>
        <v>5035.16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959.313432835821</v>
      </c>
      <c r="G5" s="14">
        <f ca="1">Q7/parameters!$B$7-(G3+G4)</f>
        <v>5086.1891022941727</v>
      </c>
      <c r="H5" s="14"/>
      <c r="I5" s="14"/>
      <c r="J5" s="14"/>
      <c r="K5" s="13"/>
      <c r="L5" s="16">
        <f t="shared" ca="1" si="0"/>
        <v>6045.5025351299937</v>
      </c>
      <c r="M5" s="16"/>
      <c r="N5" s="16"/>
      <c r="O5" s="11" cm="1">
        <f t="array" aca="1" ref="O5" ca="1">INDIRECT("'data'!$M$" &amp; $A$1)*parameters!$B$15</f>
        <v>463.53999999999996</v>
      </c>
      <c r="P5" s="13" cm="1">
        <f t="array" aca="1" ref="P5" ca="1">-INDIRECT("'data'!$N$" &amp; $A$1)*parameters!$B$15</f>
        <v>-1728.72</v>
      </c>
      <c r="Q5" s="16">
        <f ca="1">SUM(L5:P5)</f>
        <v>4780.3225351299934</v>
      </c>
      <c r="R5" s="16">
        <f t="shared" ca="1" si="2"/>
        <v>4780.3225351299934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4499.18</v>
      </c>
      <c r="I6" s="14"/>
      <c r="J6" s="14"/>
      <c r="K6" s="13"/>
      <c r="L6" s="16">
        <f t="shared" ca="1" si="0"/>
        <v>4499.18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4499.18</v>
      </c>
      <c r="R6" s="16">
        <f t="shared" ca="1" si="2"/>
        <v>4499.18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10356.64</v>
      </c>
      <c r="I7" s="14"/>
      <c r="J7" s="14"/>
      <c r="K7" s="13"/>
      <c r="L7" s="16">
        <f t="shared" ca="1" si="0"/>
        <v>10356.64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10356.64</v>
      </c>
      <c r="R7" s="16">
        <f t="shared" ca="1" si="2"/>
        <v>10356.64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7088.5528738740531</v>
      </c>
      <c r="J8" s="14">
        <f ca="1">Q10/J18</f>
        <v>5948.3871261259465</v>
      </c>
      <c r="K8" s="13"/>
      <c r="L8" s="16">
        <f t="shared" ca="1" si="0"/>
        <v>13036.939999999999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2358.86</v>
      </c>
      <c r="P8" s="13" cm="1">
        <f t="array" aca="1" ref="P8" ca="1">-INDIRECT("'data'!$S$" &amp; $A$1)*parameters!$B$15</f>
        <v>-539.98</v>
      </c>
      <c r="Q8" s="16">
        <f ca="1">SUM(Q6:Q7)</f>
        <v>14855.82</v>
      </c>
      <c r="R8" s="16">
        <f t="shared" ca="1" si="2"/>
        <v>14855.82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6854.12</v>
      </c>
      <c r="L9" s="16">
        <f t="shared" ca="1" si="0"/>
        <v>6854.12</v>
      </c>
      <c r="M9" s="16"/>
      <c r="N9" s="16">
        <f t="shared" ca="1" si="3"/>
        <v>0</v>
      </c>
      <c r="O9" s="11" cm="1">
        <f t="array" aca="1" ref="O9" ca="1">INDIRECT("'data'!$U$" &amp; $A$1)*parameters!$B$15</f>
        <v>841.81999999999994</v>
      </c>
      <c r="P9" s="13" cm="1">
        <f t="array" aca="1" ref="P9" ca="1">-INDIRECT("'data'!$V$" &amp; $A$1)*parameters!$B$15</f>
        <v>-1274</v>
      </c>
      <c r="Q9" s="16" cm="1">
        <f t="array" aca="1" ref="Q9" ca="1">INDIRECT("'data'!$T$" &amp; $A$1)*parameters!$B$15</f>
        <v>6421.94</v>
      </c>
      <c r="R9" s="16">
        <f t="shared" ca="1" si="2"/>
        <v>6421.94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7652.7963015647219</v>
      </c>
      <c r="L10" s="16">
        <f t="shared" ca="1" si="0"/>
        <v>7652.7963015647219</v>
      </c>
      <c r="M10" s="16"/>
      <c r="N10" s="16">
        <f t="shared" ca="1" si="3"/>
        <v>0</v>
      </c>
      <c r="O10" s="11" cm="1">
        <f t="array" aca="1" ref="O10" ca="1">INDIRECT("'data'!$X$" &amp; $A$1)*parameters!$B$15</f>
        <v>983.92</v>
      </c>
      <c r="P10" s="13" cm="1">
        <f t="array" aca="1" ref="P10" ca="1">-INDIRECT("'data'!$Y$" &amp; $A$1)*parameters!$B$15</f>
        <v>-3247.72</v>
      </c>
      <c r="Q10" s="16" cm="1">
        <f t="array" aca="1" ref="Q10" ca="1">INDIRECT("'data'!$W$" &amp; $A$1)*parameters!$B$15</f>
        <v>5388.9963015647227</v>
      </c>
      <c r="R10" s="16">
        <f t="shared" ca="1" si="2"/>
        <v>5388.9963015647227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12857.677619345659</v>
      </c>
      <c r="N11" s="19"/>
      <c r="O11" s="21" cm="1">
        <f t="array" aca="1" ref="O11" ca="1">INDIRECT("'data'!$Z$" &amp; $A$1)*parameters!$B$15</f>
        <v>6973.68</v>
      </c>
      <c r="P11" s="27" cm="1">
        <f t="array" aca="1" ref="P11" ca="1">-INDIRECT("'data'!$AA$" &amp; $A$1)*parameters!$B$15</f>
        <v>-6807.08</v>
      </c>
      <c r="Q11" s="16">
        <f ca="1">K9*parameters!$B$10+K10*parameters!$B$11</f>
        <v>13024.277619345659</v>
      </c>
      <c r="R11" s="16">
        <f t="shared" ref="R11:R17" ca="1" si="4">SUM(L11:P11)</f>
        <v>13024.277619345661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-25.061377176210044</v>
      </c>
      <c r="D12" s="9">
        <f ca="1">-(D17-Q4)</f>
        <v>-31.922620509208173</v>
      </c>
      <c r="E12" s="9">
        <f ca="1">-(E17-Q5)</f>
        <v>-590.82638074640363</v>
      </c>
      <c r="F12" s="9">
        <f ca="1">-(F17-Q6)</f>
        <v>-297.38716417910473</v>
      </c>
      <c r="G12" s="9">
        <f ca="1">-(G17-Q7)</f>
        <v>-465.34537095088854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-1410.5429135618151</v>
      </c>
      <c r="M12" s="17"/>
      <c r="N12" s="17"/>
      <c r="O12" s="10"/>
      <c r="P12" s="12"/>
      <c r="Q12" s="9">
        <f t="shared" ref="Q12:Q17" ca="1" si="6">SUM(L12:P12)</f>
        <v>-1410.5429135618151</v>
      </c>
      <c r="R12" s="17">
        <f t="shared" ca="1" si="4"/>
        <v>-1410.5429135618151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-666.61287387405355</v>
      </c>
      <c r="J13" s="14">
        <f ca="1">-(J17-Q10)</f>
        <v>-559.39082456122378</v>
      </c>
      <c r="K13" s="13">
        <f ca="1">-(K17-Q11)</f>
        <v>-1482.6386822190616</v>
      </c>
      <c r="L13" s="14">
        <f t="shared" ca="1" si="5"/>
        <v>-2708.6423806543389</v>
      </c>
      <c r="M13" s="16">
        <f ca="1">-E15</f>
        <v>-2662.5065352220581</v>
      </c>
      <c r="N13" s="16"/>
      <c r="O13" s="11"/>
      <c r="P13" s="13"/>
      <c r="Q13" s="14">
        <f t="shared" ca="1" si="6"/>
        <v>-5371.148915876397</v>
      </c>
      <c r="R13" s="16">
        <f t="shared" ca="1" si="4"/>
        <v>-5371.148915876397</v>
      </c>
    </row>
    <row r="14" spans="1:20">
      <c r="A14" s="18" t="s">
        <v>78</v>
      </c>
      <c r="B14" s="11"/>
      <c r="C14" s="14"/>
      <c r="D14" s="14"/>
      <c r="E14" s="14">
        <f ca="1">-(I13+J13)-K13</f>
        <v>2708.6423806543389</v>
      </c>
      <c r="F14" s="14"/>
      <c r="G14" s="14"/>
      <c r="H14" s="14"/>
      <c r="I14" s="14"/>
      <c r="J14" s="14"/>
      <c r="K14" s="13"/>
      <c r="L14" s="14">
        <f t="shared" ca="1" si="5"/>
        <v>2708.6423806543389</v>
      </c>
      <c r="M14" s="16"/>
      <c r="N14" s="16"/>
      <c r="O14" s="11"/>
      <c r="P14" s="13"/>
      <c r="Q14" s="14">
        <f t="shared" ca="1" si="6"/>
        <v>2708.6423806543389</v>
      </c>
      <c r="R14" s="16">
        <f t="shared" ca="1" si="4"/>
        <v>2708.6423806543389</v>
      </c>
    </row>
    <row r="15" spans="1:20">
      <c r="A15" s="18" t="s">
        <v>79</v>
      </c>
      <c r="B15" s="11"/>
      <c r="C15" s="14"/>
      <c r="D15" s="14"/>
      <c r="E15" s="14">
        <f ca="1">E17-E14</f>
        <v>2662.5065352220581</v>
      </c>
      <c r="F15" s="14"/>
      <c r="G15" s="14"/>
      <c r="H15" s="14"/>
      <c r="I15" s="14"/>
      <c r="J15" s="14"/>
      <c r="K15" s="13"/>
      <c r="L15" s="14">
        <f t="shared" ca="1" si="5"/>
        <v>2662.5065352220581</v>
      </c>
      <c r="M15" s="16"/>
      <c r="N15" s="16"/>
      <c r="O15" s="11"/>
      <c r="P15" s="13"/>
      <c r="Q15" s="14">
        <f t="shared" ca="1" si="6"/>
        <v>2662.5065352220581</v>
      </c>
      <c r="R15" s="16">
        <f t="shared" ca="1" si="4"/>
        <v>2662.5065352220581</v>
      </c>
    </row>
    <row r="16" spans="1:20">
      <c r="A16" s="30" t="s">
        <v>89</v>
      </c>
      <c r="B16" s="21">
        <f ca="1">Q2</f>
        <v>6759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6759</v>
      </c>
      <c r="M16" s="19"/>
      <c r="N16" s="19"/>
      <c r="O16" s="21"/>
      <c r="P16" s="27"/>
      <c r="Q16" s="22">
        <f t="shared" ca="1" si="6"/>
        <v>6759</v>
      </c>
      <c r="R16" s="19">
        <f t="shared" ca="1" si="4"/>
        <v>6759</v>
      </c>
    </row>
    <row r="17" spans="1:18">
      <c r="A17" s="29" t="s">
        <v>88</v>
      </c>
      <c r="B17" s="9">
        <f ca="1">B16</f>
        <v>6759</v>
      </c>
      <c r="C17" s="9">
        <f ca="1">SUM(C$2:C$11)</f>
        <v>3977.99637717621</v>
      </c>
      <c r="D17" s="9">
        <f ca="1">SUM(D$2:D$11)</f>
        <v>5067.082620509208</v>
      </c>
      <c r="E17" s="9">
        <f ca="1">$Q$5/parameters!$B$4</f>
        <v>5371.148915876397</v>
      </c>
      <c r="F17" s="9">
        <f t="shared" ref="F17:K17" ca="1" si="7">SUM(F$2:F$11)</f>
        <v>4796.567164179105</v>
      </c>
      <c r="G17" s="9">
        <f t="shared" ca="1" si="7"/>
        <v>10821.985370950888</v>
      </c>
      <c r="H17" s="9">
        <f t="shared" ca="1" si="7"/>
        <v>14855.82</v>
      </c>
      <c r="I17" s="9">
        <f t="shared" ca="1" si="7"/>
        <v>7088.5528738740531</v>
      </c>
      <c r="J17" s="9">
        <f t="shared" ca="1" si="7"/>
        <v>5948.3871261259465</v>
      </c>
      <c r="K17" s="9">
        <f t="shared" ca="1" si="7"/>
        <v>14506.916301564721</v>
      </c>
      <c r="L17" s="17">
        <f t="shared" ca="1" si="5"/>
        <v>79193.456750256533</v>
      </c>
      <c r="M17" s="17"/>
      <c r="N17" s="17"/>
      <c r="O17" s="9"/>
      <c r="P17" s="14"/>
      <c r="Q17" s="11">
        <f t="shared" ca="1" si="6"/>
        <v>79193.456750256533</v>
      </c>
      <c r="R17" s="17">
        <f t="shared" ca="1" si="4"/>
        <v>79193.456750256533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0.90595924362348235</v>
      </c>
      <c r="J18" s="39">
        <f ca="1">I18</f>
        <v>0.90595924362348235</v>
      </c>
      <c r="K18" s="40">
        <f ca="1">1-(-K13)/K17</f>
        <v>0.89779780544683063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79.36940452914358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79.36940452914358</v>
      </c>
      <c r="M2" s="17"/>
      <c r="N2" s="17">
        <f ca="1">Q2-(L2+O2+P2)</f>
        <v>0</v>
      </c>
      <c r="O2" s="11" cm="1">
        <f t="array" aca="1" ref="O2" ca="1">INDIRECT("'data'!$F$" &amp; $A$1)</f>
        <v>455</v>
      </c>
      <c r="P2" s="13">
        <f ca="1">IF(-(L2-Q2+O2)&lt;0, -(L2-Q2+O2), 0)</f>
        <v>-465.51518626829358</v>
      </c>
      <c r="Q2" s="17" cm="1">
        <f t="array" aca="1" ref="Q2" ca="1">INDIRECT("'data'!$D$" &amp; $A$1)</f>
        <v>68.85421826084999</v>
      </c>
      <c r="R2" s="17">
        <f ca="1">SUM(L2:P2)</f>
        <v>68.854218260850018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80.759377280609982</v>
      </c>
      <c r="H3" s="14"/>
      <c r="I3" s="14"/>
      <c r="J3" s="14"/>
      <c r="K3" s="13"/>
      <c r="L3" s="16">
        <f t="shared" ca="1" si="0"/>
        <v>80.759377280609982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-1.89</v>
      </c>
      <c r="Q3" s="16" cm="1">
        <f t="array" aca="1" ref="Q3" ca="1">INDIRECT("'data'!$G$" &amp; $A$1)*parameters!$B$13</f>
        <v>78.869377280609982</v>
      </c>
      <c r="R3" s="16">
        <f t="shared" ref="R3:R10" ca="1" si="2">SUM(L3:P3)</f>
        <v>78.869377280609982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476.31481289702845</v>
      </c>
      <c r="H5" s="14"/>
      <c r="I5" s="14"/>
      <c r="J5" s="14"/>
      <c r="K5" s="13"/>
      <c r="L5" s="16">
        <f t="shared" ca="1" si="0"/>
        <v>476.31481289702845</v>
      </c>
      <c r="M5" s="16"/>
      <c r="N5" s="48">
        <f ca="1">$E$14*parameters!$B$4-$P$5-$L$5-$O$5</f>
        <v>60.47910910297162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-217.56</v>
      </c>
      <c r="Q5" s="16">
        <f ca="1">SUM(L5:P5)</f>
        <v>319.23392200000006</v>
      </c>
      <c r="R5" s="16">
        <f t="shared" ca="1" si="2"/>
        <v>319.23392200000006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533.12</v>
      </c>
      <c r="I7" s="14"/>
      <c r="J7" s="14"/>
      <c r="K7" s="13"/>
      <c r="L7" s="16">
        <f t="shared" ca="1" si="0"/>
        <v>533.12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533.12</v>
      </c>
      <c r="R7" s="16">
        <f t="shared" ca="1" si="2"/>
        <v>533.12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2252.04</v>
      </c>
      <c r="J8" s="14">
        <f ca="1">Q10/J18</f>
        <v>0</v>
      </c>
      <c r="K8" s="13"/>
      <c r="L8" s="16">
        <f t="shared" ca="1" si="0"/>
        <v>2252.04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-1718.92</v>
      </c>
      <c r="Q8" s="16">
        <f ca="1">SUM(Q6:Q7)</f>
        <v>533.12</v>
      </c>
      <c r="R8" s="16">
        <f t="shared" ca="1" si="2"/>
        <v>533.11999999999989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2341.2199999999998</v>
      </c>
      <c r="L9" s="16">
        <f t="shared" ca="1" si="0"/>
        <v>2341.2199999999998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2341.2199999999998</v>
      </c>
      <c r="R9" s="16">
        <f t="shared" ca="1" si="2"/>
        <v>2341.2199999999998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2195.69</v>
      </c>
      <c r="L10" s="16">
        <f t="shared" ca="1" si="0"/>
        <v>2195.69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-2195.69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4488.8801999999996</v>
      </c>
      <c r="N11" s="19"/>
      <c r="O11" s="21" cm="1">
        <f t="array" aca="1" ref="O11" ca="1">INDIRECT("'data'!$Z$" &amp; $A$1)*parameters!$B$15</f>
        <v>78.400000000000006</v>
      </c>
      <c r="P11" s="27" cm="1">
        <f t="array" aca="1" ref="P11" ca="1">-INDIRECT("'data'!$AA$" &amp; $A$1)*parameters!$B$15</f>
        <v>-478.24</v>
      </c>
      <c r="Q11" s="16">
        <f ca="1">K9*parameters!$B$10+K10*parameters!$B$11</f>
        <v>4089.0401999999999</v>
      </c>
      <c r="R11" s="16">
        <f t="shared" ref="R11:R17" ca="1" si="4">SUM(L11:P11)</f>
        <v>4089.0401999999995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-0.50002724853359837</v>
      </c>
      <c r="D12" s="9">
        <f ca="1">-(D17-Q4)</f>
        <v>0</v>
      </c>
      <c r="E12" s="9">
        <f ca="1">-(E17-Q5)</f>
        <v>-39.455877999999984</v>
      </c>
      <c r="F12" s="9">
        <f ca="1">-(F17-Q6)</f>
        <v>0</v>
      </c>
      <c r="G12" s="9">
        <f ca="1">-(G17-Q7)</f>
        <v>-23.954190177638452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-63.910095426172035</v>
      </c>
      <c r="M12" s="17"/>
      <c r="N12" s="17"/>
      <c r="O12" s="10"/>
      <c r="P12" s="12"/>
      <c r="Q12" s="9">
        <f t="shared" ref="Q12:Q17" ca="1" si="6">SUM(L12:P12)</f>
        <v>-63.910095426172035</v>
      </c>
      <c r="R12" s="17">
        <f t="shared" ca="1" si="4"/>
        <v>-63.910095426172035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89.179999999999836</v>
      </c>
      <c r="J13" s="14">
        <f ca="1">-(J17-Q10)</f>
        <v>0</v>
      </c>
      <c r="K13" s="13">
        <f ca="1">-(K17-Q11)</f>
        <v>-447.86979999999994</v>
      </c>
      <c r="L13" s="14">
        <f t="shared" ca="1" si="5"/>
        <v>-358.6898000000001</v>
      </c>
      <c r="M13" s="16">
        <f ca="1">-E15</f>
        <v>0</v>
      </c>
      <c r="N13" s="16"/>
      <c r="O13" s="11"/>
      <c r="P13" s="13"/>
      <c r="Q13" s="14">
        <f t="shared" ca="1" si="6"/>
        <v>-358.6898000000001</v>
      </c>
      <c r="R13" s="16">
        <f t="shared" ca="1" si="4"/>
        <v>-358.6898000000001</v>
      </c>
    </row>
    <row r="14" spans="1:20">
      <c r="A14" s="18" t="s">
        <v>78</v>
      </c>
      <c r="B14" s="11"/>
      <c r="C14" s="14"/>
      <c r="D14" s="14"/>
      <c r="E14" s="14">
        <f ca="1">-(I13+J13)-K13</f>
        <v>358.6898000000001</v>
      </c>
      <c r="F14" s="14"/>
      <c r="G14" s="14"/>
      <c r="H14" s="14"/>
      <c r="I14" s="14"/>
      <c r="J14" s="14"/>
      <c r="K14" s="13"/>
      <c r="L14" s="14">
        <f t="shared" ca="1" si="5"/>
        <v>358.6898000000001</v>
      </c>
      <c r="M14" s="16"/>
      <c r="N14" s="16"/>
      <c r="O14" s="11"/>
      <c r="P14" s="13"/>
      <c r="Q14" s="14">
        <f t="shared" ca="1" si="6"/>
        <v>358.6898000000001</v>
      </c>
      <c r="R14" s="16">
        <f t="shared" ca="1" si="4"/>
        <v>358.6898000000001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68.85421826084999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68.85421826084999</v>
      </c>
      <c r="M16" s="19"/>
      <c r="N16" s="19"/>
      <c r="O16" s="21"/>
      <c r="P16" s="27"/>
      <c r="Q16" s="22">
        <f t="shared" ca="1" si="6"/>
        <v>68.85421826084999</v>
      </c>
      <c r="R16" s="19">
        <f t="shared" ca="1" si="4"/>
        <v>68.85421826084999</v>
      </c>
    </row>
    <row r="17" spans="1:18">
      <c r="A17" s="29" t="s">
        <v>88</v>
      </c>
      <c r="B17" s="9">
        <f ca="1">B16</f>
        <v>68.85421826084999</v>
      </c>
      <c r="C17" s="9">
        <f ca="1">SUM(C$2:C$11)</f>
        <v>79.36940452914358</v>
      </c>
      <c r="D17" s="9">
        <f ca="1">SUM(D$2:D$11)</f>
        <v>0</v>
      </c>
      <c r="E17" s="9">
        <f ca="1">$Q$5/parameters!$B$4</f>
        <v>358.68980000000005</v>
      </c>
      <c r="F17" s="9">
        <f t="shared" ref="F17:K17" ca="1" si="7">SUM(F$2:F$11)</f>
        <v>0</v>
      </c>
      <c r="G17" s="9">
        <f t="shared" ca="1" si="7"/>
        <v>557.07419017763846</v>
      </c>
      <c r="H17" s="9">
        <f t="shared" ca="1" si="7"/>
        <v>533.12</v>
      </c>
      <c r="I17" s="9">
        <f t="shared" ca="1" si="7"/>
        <v>2252.04</v>
      </c>
      <c r="J17" s="9">
        <f t="shared" ca="1" si="7"/>
        <v>0</v>
      </c>
      <c r="K17" s="9">
        <f t="shared" ca="1" si="7"/>
        <v>4536.91</v>
      </c>
      <c r="L17" s="17">
        <f t="shared" ca="1" si="5"/>
        <v>8386.0576129676319</v>
      </c>
      <c r="M17" s="17"/>
      <c r="N17" s="17"/>
      <c r="O17" s="9"/>
      <c r="P17" s="14"/>
      <c r="Q17" s="11">
        <f t="shared" ca="1" si="6"/>
        <v>8386.0576129676319</v>
      </c>
      <c r="R17" s="17">
        <f t="shared" ca="1" si="4"/>
        <v>8386.0576129676319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1.0395996518711923</v>
      </c>
      <c r="J18" s="39">
        <f ca="1">I18</f>
        <v>1.0395996518711923</v>
      </c>
      <c r="K18" s="40">
        <f ca="1">1-(-K13)/K17</f>
        <v>0.90128307592612589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12336.25842809701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12336.25842809701</v>
      </c>
      <c r="M2" s="17"/>
      <c r="N2" s="17">
        <f ca="1">Q2-(L2+O2+P2)</f>
        <v>0</v>
      </c>
      <c r="O2" s="11" cm="1">
        <f t="array" aca="1" ref="O2" ca="1">INDIRECT("'data'!$F$" &amp; $A$1)</f>
        <v>28.6</v>
      </c>
      <c r="P2" s="13">
        <f ca="1">IF(-(L2-Q2+O2)&lt;0, -(L2-Q2+O2), 0)</f>
        <v>-12364.85842809701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10019.820895522389</v>
      </c>
      <c r="G3" s="14">
        <f ca="1">Q3-O3-P3-F3</f>
        <v>2476.8591044776094</v>
      </c>
      <c r="H3" s="14"/>
      <c r="I3" s="14"/>
      <c r="J3" s="14"/>
      <c r="K3" s="13"/>
      <c r="L3" s="16">
        <f t="shared" ca="1" si="0"/>
        <v>12496.679999999998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-238.14</v>
      </c>
      <c r="Q3" s="16" cm="1">
        <f t="array" aca="1" ref="Q3" ca="1">INDIRECT("'data'!$G$" &amp; $A$1)*parameters!$B$13</f>
        <v>12258.539999999999</v>
      </c>
      <c r="R3" s="16">
        <f t="shared" ref="R3:R10" ca="1" si="2">SUM(L3:P3)</f>
        <v>12258.539999999999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2504.9552238805973</v>
      </c>
      <c r="G5" s="14">
        <f ca="1">Q7/parameters!$B$7-(G3+G4)</f>
        <v>5479.8807074346159</v>
      </c>
      <c r="H5" s="14"/>
      <c r="I5" s="14"/>
      <c r="J5" s="14"/>
      <c r="K5" s="13"/>
      <c r="L5" s="16">
        <f t="shared" ca="1" si="0"/>
        <v>7984.8359313152132</v>
      </c>
      <c r="M5" s="16"/>
      <c r="N5" s="16"/>
      <c r="O5" s="11" cm="1">
        <f t="array" aca="1" ref="O5" ca="1">INDIRECT("'data'!$M$" &amp; $A$1)*parameters!$B$15</f>
        <v>4949</v>
      </c>
      <c r="P5" s="13" cm="1">
        <f t="array" aca="1" ref="P5" ca="1">-INDIRECT("'data'!$N$" &amp; $A$1)*parameters!$B$15</f>
        <v>-2947.84</v>
      </c>
      <c r="Q5" s="16">
        <f ca="1">SUM(L5:P5)</f>
        <v>9985.995931315214</v>
      </c>
      <c r="R5" s="16">
        <f t="shared" ca="1" si="2"/>
        <v>9985.995931315214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11748.24</v>
      </c>
      <c r="I6" s="14"/>
      <c r="J6" s="14"/>
      <c r="K6" s="13"/>
      <c r="L6" s="16">
        <f t="shared" ca="1" si="0"/>
        <v>11748.24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11748.24</v>
      </c>
      <c r="R6" s="16">
        <f t="shared" ca="1" si="2"/>
        <v>11748.24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7614.5999999999995</v>
      </c>
      <c r="I7" s="14"/>
      <c r="J7" s="14"/>
      <c r="K7" s="13"/>
      <c r="L7" s="16">
        <f t="shared" ca="1" si="0"/>
        <v>7614.5999999999995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7614.5999999999995</v>
      </c>
      <c r="R7" s="16">
        <f t="shared" ca="1" si="2"/>
        <v>7614.5999999999995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5727.6739240759098</v>
      </c>
      <c r="J8" s="14">
        <f ca="1">Q10/J18</f>
        <v>11846.666075924089</v>
      </c>
      <c r="K8" s="13"/>
      <c r="L8" s="16">
        <f t="shared" ca="1" si="0"/>
        <v>17574.34</v>
      </c>
      <c r="M8" s="16"/>
      <c r="N8" s="16">
        <f t="shared" ca="1" si="3"/>
        <v>0</v>
      </c>
      <c r="O8" s="11" cm="1">
        <f t="array" aca="1" ref="O8" ca="1">INDIRECT("'data'!$R$" &amp; $A$1)*parameters!$B$15</f>
        <v>3352.58</v>
      </c>
      <c r="P8" s="13" cm="1">
        <f t="array" aca="1" ref="P8" ca="1">-INDIRECT("'data'!$S$" &amp; $A$1)*parameters!$B$15</f>
        <v>-1564.08</v>
      </c>
      <c r="Q8" s="16">
        <f ca="1">SUM(Q6:Q7)</f>
        <v>19362.84</v>
      </c>
      <c r="R8" s="16">
        <f t="shared" ca="1" si="2"/>
        <v>19362.839999999997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5606.58</v>
      </c>
      <c r="L9" s="16">
        <f t="shared" ca="1" si="0"/>
        <v>5606.58</v>
      </c>
      <c r="M9" s="16"/>
      <c r="N9" s="16">
        <f t="shared" ca="1" si="3"/>
        <v>0</v>
      </c>
      <c r="O9" s="11" cm="1">
        <f t="array" aca="1" ref="O9" ca="1">INDIRECT("'data'!$U$" &amp; $A$1)*parameters!$B$15</f>
        <v>3077.2</v>
      </c>
      <c r="P9" s="13" cm="1">
        <f t="array" aca="1" ref="P9" ca="1">-INDIRECT("'data'!$V$" &amp; $A$1)*parameters!$B$15</f>
        <v>-3482.92</v>
      </c>
      <c r="Q9" s="16" cm="1">
        <f t="array" aca="1" ref="Q9" ca="1">INDIRECT("'data'!$T$" &amp; $A$1)*parameters!$B$15</f>
        <v>5200.8599999999997</v>
      </c>
      <c r="R9" s="16">
        <f t="shared" ca="1" si="2"/>
        <v>5200.8599999999988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9610.4459743954485</v>
      </c>
      <c r="L10" s="16">
        <f t="shared" ca="1" si="0"/>
        <v>9610.4459743954485</v>
      </c>
      <c r="M10" s="16"/>
      <c r="N10" s="16">
        <f t="shared" ca="1" si="3"/>
        <v>0</v>
      </c>
      <c r="O10" s="11" cm="1">
        <f t="array" aca="1" ref="O10" ca="1">INDIRECT("'data'!$X$" &amp; $A$1)*parameters!$B$15</f>
        <v>9416.82</v>
      </c>
      <c r="P10" s="13" cm="1">
        <f t="array" aca="1" ref="P10" ca="1">-INDIRECT("'data'!$Y$" &amp; $A$1)*parameters!$B$15</f>
        <v>-8270.2199999999993</v>
      </c>
      <c r="Q10" s="16" cm="1">
        <f t="array" aca="1" ref="Q10" ca="1">INDIRECT("'data'!$W$" &amp; $A$1)*parameters!$B$15</f>
        <v>10757.045974395449</v>
      </c>
      <c r="R10" s="16">
        <f t="shared" ca="1" si="2"/>
        <v>10757.045974395451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13359.748737980086</v>
      </c>
      <c r="N11" s="19"/>
      <c r="O11" s="21" cm="1">
        <f t="array" aca="1" ref="O11" ca="1">INDIRECT("'data'!$Z$" &amp; $A$1)*parameters!$B$15</f>
        <v>9599.1</v>
      </c>
      <c r="P11" s="27" cm="1">
        <f t="array" aca="1" ref="P11" ca="1">-INDIRECT("'data'!$AA$" &amp; $A$1)*parameters!$B$15</f>
        <v>-9423.68</v>
      </c>
      <c r="Q11" s="16">
        <f ca="1">K9*parameters!$B$10+K10*parameters!$B$11</f>
        <v>13535.168737980086</v>
      </c>
      <c r="R11" s="16">
        <f t="shared" ref="R11:R17" ca="1" si="4">SUM(L11:P11)</f>
        <v>13535.168737980086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-77.718428097010474</v>
      </c>
      <c r="D12" s="9">
        <f ca="1">-(D17-Q4)</f>
        <v>0</v>
      </c>
      <c r="E12" s="9">
        <f ca="1">-(E17-Q5)</f>
        <v>-1234.2242162299699</v>
      </c>
      <c r="F12" s="9">
        <f ca="1">-(F17-Q6)</f>
        <v>-776.53611940298651</v>
      </c>
      <c r="G12" s="9">
        <f ca="1">-(G17-Q7)</f>
        <v>-342.13981191222592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-2430.6185756421928</v>
      </c>
      <c r="M12" s="17"/>
      <c r="N12" s="17"/>
      <c r="O12" s="10"/>
      <c r="P12" s="12"/>
      <c r="Q12" s="9">
        <f t="shared" ref="Q12:Q17" ca="1" si="6">SUM(L12:P12)</f>
        <v>-2430.6185756421928</v>
      </c>
      <c r="R12" s="17">
        <f t="shared" ca="1" si="4"/>
        <v>-2430.6185756421928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-526.81392407591011</v>
      </c>
      <c r="J13" s="14">
        <f ca="1">-(J17-Q10)</f>
        <v>-1089.6201015286406</v>
      </c>
      <c r="K13" s="13">
        <f ca="1">-(K17-Q11)</f>
        <v>-1681.8572364153624</v>
      </c>
      <c r="L13" s="14">
        <f t="shared" ca="1" si="5"/>
        <v>-3298.2912620199131</v>
      </c>
      <c r="M13" s="16">
        <f ca="1">-E15</f>
        <v>-7921.9288855252707</v>
      </c>
      <c r="N13" s="16"/>
      <c r="O13" s="11"/>
      <c r="P13" s="13"/>
      <c r="Q13" s="14">
        <f t="shared" ca="1" si="6"/>
        <v>-11220.220147545184</v>
      </c>
      <c r="R13" s="16">
        <f t="shared" ca="1" si="4"/>
        <v>-11220.220147545184</v>
      </c>
    </row>
    <row r="14" spans="1:20">
      <c r="A14" s="18" t="s">
        <v>78</v>
      </c>
      <c r="B14" s="11"/>
      <c r="C14" s="14"/>
      <c r="D14" s="14"/>
      <c r="E14" s="14">
        <f ca="1">-(I13+J13)-K13</f>
        <v>3298.2912620199131</v>
      </c>
      <c r="F14" s="14"/>
      <c r="G14" s="14"/>
      <c r="H14" s="14"/>
      <c r="I14" s="14"/>
      <c r="J14" s="14"/>
      <c r="K14" s="13"/>
      <c r="L14" s="14">
        <f t="shared" ca="1" si="5"/>
        <v>3298.2912620199131</v>
      </c>
      <c r="M14" s="16"/>
      <c r="N14" s="16"/>
      <c r="O14" s="11"/>
      <c r="P14" s="13"/>
      <c r="Q14" s="14">
        <f t="shared" ca="1" si="6"/>
        <v>3298.2912620199131</v>
      </c>
      <c r="R14" s="16">
        <f t="shared" ca="1" si="4"/>
        <v>3298.2912620199131</v>
      </c>
    </row>
    <row r="15" spans="1:20">
      <c r="A15" s="18" t="s">
        <v>79</v>
      </c>
      <c r="B15" s="11"/>
      <c r="C15" s="14"/>
      <c r="D15" s="14"/>
      <c r="E15" s="14">
        <f ca="1">E17-E14</f>
        <v>7921.9288855252707</v>
      </c>
      <c r="F15" s="14"/>
      <c r="G15" s="14"/>
      <c r="H15" s="14"/>
      <c r="I15" s="14"/>
      <c r="J15" s="14"/>
      <c r="K15" s="13"/>
      <c r="L15" s="14">
        <f t="shared" ca="1" si="5"/>
        <v>7921.9288855252707</v>
      </c>
      <c r="M15" s="16"/>
      <c r="N15" s="16"/>
      <c r="O15" s="11"/>
      <c r="P15" s="13"/>
      <c r="Q15" s="14">
        <f t="shared" ca="1" si="6"/>
        <v>7921.9288855252707</v>
      </c>
      <c r="R15" s="16">
        <f t="shared" ca="1" si="4"/>
        <v>7921.9288855252707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12336.25842809701</v>
      </c>
      <c r="D17" s="9">
        <f ca="1">SUM(D$2:D$11)</f>
        <v>0</v>
      </c>
      <c r="E17" s="9">
        <f ca="1">$Q$5/parameters!$B$4</f>
        <v>11220.220147545184</v>
      </c>
      <c r="F17" s="9">
        <f t="shared" ref="F17:K17" ca="1" si="7">SUM(F$2:F$11)</f>
        <v>12524.776119402986</v>
      </c>
      <c r="G17" s="9">
        <f t="shared" ca="1" si="7"/>
        <v>7956.7398119122254</v>
      </c>
      <c r="H17" s="9">
        <f t="shared" ca="1" si="7"/>
        <v>19362.84</v>
      </c>
      <c r="I17" s="9">
        <f t="shared" ca="1" si="7"/>
        <v>5727.6739240759098</v>
      </c>
      <c r="J17" s="9">
        <f t="shared" ca="1" si="7"/>
        <v>11846.666075924089</v>
      </c>
      <c r="K17" s="9">
        <f t="shared" ca="1" si="7"/>
        <v>15217.025974395448</v>
      </c>
      <c r="L17" s="17">
        <f t="shared" ca="1" si="5"/>
        <v>96192.200481352847</v>
      </c>
      <c r="M17" s="17"/>
      <c r="N17" s="17"/>
      <c r="O17" s="9"/>
      <c r="P17" s="14"/>
      <c r="Q17" s="11">
        <f t="shared" ca="1" si="6"/>
        <v>96192.200481352847</v>
      </c>
      <c r="R17" s="17">
        <f t="shared" ca="1" si="4"/>
        <v>96192.200481352847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0.90802305943753503</v>
      </c>
      <c r="J18" s="39">
        <f ca="1">I18</f>
        <v>0.90802305943753503</v>
      </c>
      <c r="K18" s="40">
        <f ca="1">1-(-K13)/K17</f>
        <v>0.88947529962521599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3466.3630874509404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3466.3630874509404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-3466.3630874509404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3141.0149253731347</v>
      </c>
      <c r="G3" s="14">
        <f ca="1">Q3-O3-P3-F3</f>
        <v>711.75007462686472</v>
      </c>
      <c r="H3" s="14"/>
      <c r="I3" s="14"/>
      <c r="J3" s="14"/>
      <c r="K3" s="13"/>
      <c r="L3" s="16">
        <f t="shared" ca="1" si="0"/>
        <v>3852.7649999999994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-411.07499999999999</v>
      </c>
      <c r="Q3" s="16" cm="1">
        <f t="array" aca="1" ref="Q3" ca="1">INDIRECT("'data'!$G$" &amp; $A$1)*parameters!$B$13</f>
        <v>3444.5249999999996</v>
      </c>
      <c r="R3" s="16">
        <f t="shared" ref="R3:R10" ca="1" si="2">SUM(L3:P3)</f>
        <v>3444.5249999999996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785.25373134328368</v>
      </c>
      <c r="G5" s="14">
        <f ca="1">Q7/parameters!$B$7-(G3+G4)</f>
        <v>12117.340834464045</v>
      </c>
      <c r="H5" s="14"/>
      <c r="I5" s="14"/>
      <c r="J5" s="14"/>
      <c r="K5" s="13"/>
      <c r="L5" s="16">
        <f t="shared" ca="1" si="0"/>
        <v>12902.594565807329</v>
      </c>
      <c r="M5" s="16"/>
      <c r="N5" s="16"/>
      <c r="O5" s="11" cm="1">
        <f t="array" aca="1" ref="O5" ca="1">INDIRECT("'data'!$M$" &amp; $A$1)*parameters!$B$15</f>
        <v>100.94</v>
      </c>
      <c r="P5" s="13" cm="1">
        <f t="array" aca="1" ref="P5" ca="1">-INDIRECT("'data'!$N$" &amp; $A$1)*parameters!$B$15</f>
        <v>-6262.2</v>
      </c>
      <c r="Q5" s="16">
        <f ca="1">SUM(L5:P5)</f>
        <v>6741.3345658073295</v>
      </c>
      <c r="R5" s="16">
        <f t="shared" ca="1" si="2"/>
        <v>6741.3345658073295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3682.84</v>
      </c>
      <c r="I6" s="14"/>
      <c r="J6" s="14"/>
      <c r="K6" s="13"/>
      <c r="L6" s="16">
        <f t="shared" ca="1" si="0"/>
        <v>3682.84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3682.84</v>
      </c>
      <c r="R6" s="16">
        <f t="shared" ca="1" si="2"/>
        <v>3682.84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12277.44</v>
      </c>
      <c r="I7" s="14"/>
      <c r="J7" s="14"/>
      <c r="K7" s="13"/>
      <c r="L7" s="16">
        <f t="shared" ca="1" si="0"/>
        <v>12277.44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12277.44</v>
      </c>
      <c r="R7" s="16">
        <f t="shared" ca="1" si="2"/>
        <v>12277.44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12145.269967421114</v>
      </c>
      <c r="J8" s="14">
        <f ca="1">Q10/J18</f>
        <v>5131.1500325788847</v>
      </c>
      <c r="K8" s="13"/>
      <c r="L8" s="16">
        <f t="shared" ca="1" si="0"/>
        <v>17276.419999999998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178.35999999999999</v>
      </c>
      <c r="P8" s="13" cm="1">
        <f t="array" aca="1" ref="P8" ca="1">-INDIRECT("'data'!$S$" &amp; $A$1)*parameters!$B$15</f>
        <v>-1494.5</v>
      </c>
      <c r="Q8" s="16">
        <f ca="1">SUM(Q6:Q7)</f>
        <v>15960.28</v>
      </c>
      <c r="R8" s="16">
        <f t="shared" ca="1" si="2"/>
        <v>15960.279999999999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9767.66</v>
      </c>
      <c r="L9" s="16">
        <f t="shared" ca="1" si="0"/>
        <v>9767.66</v>
      </c>
      <c r="M9" s="16"/>
      <c r="N9" s="16">
        <f t="shared" ca="1" si="3"/>
        <v>0</v>
      </c>
      <c r="O9" s="11" cm="1">
        <f t="array" aca="1" ref="O9" ca="1">INDIRECT("'data'!$U$" &amp; $A$1)*parameters!$B$15</f>
        <v>3472.14</v>
      </c>
      <c r="P9" s="13" cm="1">
        <f t="array" aca="1" ref="P9" ca="1">-INDIRECT("'data'!$V$" &amp; $A$1)*parameters!$B$15</f>
        <v>-2296.14</v>
      </c>
      <c r="Q9" s="16" cm="1">
        <f t="array" aca="1" ref="Q9" ca="1">INDIRECT("'data'!$T$" &amp; $A$1)*parameters!$B$15</f>
        <v>10943.66</v>
      </c>
      <c r="R9" s="16">
        <f t="shared" ca="1" si="2"/>
        <v>10943.66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10120.312233285917</v>
      </c>
      <c r="L10" s="16">
        <f t="shared" ca="1" si="0"/>
        <v>10120.312233285917</v>
      </c>
      <c r="M10" s="16"/>
      <c r="N10" s="16">
        <f t="shared" ca="1" si="3"/>
        <v>0</v>
      </c>
      <c r="O10" s="11" cm="1">
        <f t="array" aca="1" ref="O10" ca="1">INDIRECT("'data'!$X$" &amp; $A$1)*parameters!$B$15</f>
        <v>1994.3</v>
      </c>
      <c r="P10" s="13" cm="1">
        <f t="array" aca="1" ref="P10" ca="1">-INDIRECT("'data'!$Y$" &amp; $A$1)*parameters!$B$15</f>
        <v>-7491.12</v>
      </c>
      <c r="Q10" s="16" cm="1">
        <f t="array" aca="1" ref="Q10" ca="1">INDIRECT("'data'!$W$" &amp; $A$1)*parameters!$B$15</f>
        <v>4623.4922332859178</v>
      </c>
      <c r="R10" s="16">
        <f t="shared" ca="1" si="2"/>
        <v>4623.492233285916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19299.208920625886</v>
      </c>
      <c r="N11" s="19"/>
      <c r="O11" s="21" cm="1">
        <f t="array" aca="1" ref="O11" ca="1">INDIRECT("'data'!$Z$" &amp; $A$1)*parameters!$B$15</f>
        <v>6631.66</v>
      </c>
      <c r="P11" s="27" cm="1">
        <f t="array" aca="1" ref="P11" ca="1">-INDIRECT("'data'!$AA$" &amp; $A$1)*parameters!$B$15</f>
        <v>-8045.8</v>
      </c>
      <c r="Q11" s="16">
        <f ca="1">K9*parameters!$B$10+K10*parameters!$B$11</f>
        <v>17885.068920625887</v>
      </c>
      <c r="R11" s="16">
        <f t="shared" ref="R11:R17" ca="1" si="4">SUM(L11:P11)</f>
        <v>17885.068920625887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-21.838087450940748</v>
      </c>
      <c r="D12" s="9">
        <f ca="1">-(D17-Q4)</f>
        <v>0</v>
      </c>
      <c r="E12" s="9">
        <f ca="1">-(E17-Q5)</f>
        <v>-833.19865420090537</v>
      </c>
      <c r="F12" s="9">
        <f ca="1">-(F17-Q6)</f>
        <v>-243.42865671641812</v>
      </c>
      <c r="G12" s="9">
        <f ca="1">-(G17-Q7)</f>
        <v>-551.65090909090941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-1650.1163074591736</v>
      </c>
      <c r="M12" s="17"/>
      <c r="N12" s="17"/>
      <c r="O12" s="10"/>
      <c r="P12" s="12"/>
      <c r="Q12" s="9">
        <f t="shared" ref="Q12:Q17" ca="1" si="6">SUM(L12:P12)</f>
        <v>-1650.1163074591736</v>
      </c>
      <c r="R12" s="17">
        <f t="shared" ca="1" si="4"/>
        <v>-1650.1163074591736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-1201.6099674211146</v>
      </c>
      <c r="J13" s="14">
        <f ca="1">-(J17-Q10)</f>
        <v>-507.65779929296696</v>
      </c>
      <c r="K13" s="13">
        <f ca="1">-(K17-Q11)</f>
        <v>-2002.9033126600298</v>
      </c>
      <c r="L13" s="14">
        <f t="shared" ca="1" si="5"/>
        <v>-3712.1710793741113</v>
      </c>
      <c r="M13" s="16">
        <f ca="1">-E15</f>
        <v>-3862.3621406341235</v>
      </c>
      <c r="N13" s="16"/>
      <c r="O13" s="11"/>
      <c r="P13" s="13"/>
      <c r="Q13" s="14">
        <f t="shared" ca="1" si="6"/>
        <v>-7574.5332200082348</v>
      </c>
      <c r="R13" s="16">
        <f t="shared" ca="1" si="4"/>
        <v>-7574.5332200082348</v>
      </c>
    </row>
    <row r="14" spans="1:20">
      <c r="A14" s="18" t="s">
        <v>78</v>
      </c>
      <c r="B14" s="11"/>
      <c r="C14" s="14"/>
      <c r="D14" s="14"/>
      <c r="E14" s="14">
        <f ca="1">-(I13+J13)-K13</f>
        <v>3712.1710793741113</v>
      </c>
      <c r="F14" s="14"/>
      <c r="G14" s="14"/>
      <c r="H14" s="14"/>
      <c r="I14" s="14"/>
      <c r="J14" s="14"/>
      <c r="K14" s="13"/>
      <c r="L14" s="14">
        <f t="shared" ca="1" si="5"/>
        <v>3712.1710793741113</v>
      </c>
      <c r="M14" s="16"/>
      <c r="N14" s="16"/>
      <c r="O14" s="11"/>
      <c r="P14" s="13"/>
      <c r="Q14" s="14">
        <f t="shared" ca="1" si="6"/>
        <v>3712.1710793741113</v>
      </c>
      <c r="R14" s="16">
        <f t="shared" ca="1" si="4"/>
        <v>3712.1710793741113</v>
      </c>
    </row>
    <row r="15" spans="1:20">
      <c r="A15" s="18" t="s">
        <v>79</v>
      </c>
      <c r="B15" s="11"/>
      <c r="C15" s="14"/>
      <c r="D15" s="14"/>
      <c r="E15" s="14">
        <f ca="1">E17-E14</f>
        <v>3862.3621406341235</v>
      </c>
      <c r="F15" s="14"/>
      <c r="G15" s="14"/>
      <c r="H15" s="14"/>
      <c r="I15" s="14"/>
      <c r="J15" s="14"/>
      <c r="K15" s="13"/>
      <c r="L15" s="14">
        <f t="shared" ca="1" si="5"/>
        <v>3862.3621406341235</v>
      </c>
      <c r="M15" s="16"/>
      <c r="N15" s="16"/>
      <c r="O15" s="11"/>
      <c r="P15" s="13"/>
      <c r="Q15" s="14">
        <f t="shared" ca="1" si="6"/>
        <v>3862.3621406341235</v>
      </c>
      <c r="R15" s="16">
        <f t="shared" ca="1" si="4"/>
        <v>3862.3621406341235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3466.3630874509404</v>
      </c>
      <c r="D17" s="9">
        <f ca="1">SUM(D$2:D$11)</f>
        <v>0</v>
      </c>
      <c r="E17" s="9">
        <f ca="1">$Q$5/parameters!$B$4</f>
        <v>7574.5332200082348</v>
      </c>
      <c r="F17" s="9">
        <f t="shared" ref="F17:K17" ca="1" si="7">SUM(F$2:F$11)</f>
        <v>3926.2686567164183</v>
      </c>
      <c r="G17" s="9">
        <f t="shared" ca="1" si="7"/>
        <v>12829.09090909091</v>
      </c>
      <c r="H17" s="9">
        <f t="shared" ca="1" si="7"/>
        <v>15960.28</v>
      </c>
      <c r="I17" s="9">
        <f t="shared" ca="1" si="7"/>
        <v>12145.269967421114</v>
      </c>
      <c r="J17" s="9">
        <f t="shared" ca="1" si="7"/>
        <v>5131.1500325788847</v>
      </c>
      <c r="K17" s="9">
        <f t="shared" ca="1" si="7"/>
        <v>19887.972233285916</v>
      </c>
      <c r="L17" s="17">
        <f t="shared" ca="1" si="5"/>
        <v>80920.928106552426</v>
      </c>
      <c r="M17" s="17"/>
      <c r="N17" s="17"/>
      <c r="O17" s="9"/>
      <c r="P17" s="14"/>
      <c r="Q17" s="11">
        <f t="shared" ca="1" si="6"/>
        <v>80920.928106552426</v>
      </c>
      <c r="R17" s="17">
        <f t="shared" ca="1" si="4"/>
        <v>80920.928106552426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0.90106354402624611</v>
      </c>
      <c r="J18" s="39">
        <f ca="1">I18</f>
        <v>0.90106354402624611</v>
      </c>
      <c r="K18" s="40">
        <f ca="1">1-(-K13)/K17</f>
        <v>0.89929072259524634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8134.7791083828115</v>
      </c>
      <c r="D2" s="9">
        <f ca="1">Q4/parameters!$B$3</f>
        <v>466.61970413605718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8601.398812518868</v>
      </c>
      <c r="M2" s="17"/>
      <c r="N2" s="17">
        <f ca="1">Q2-(L2+O2+P2)</f>
        <v>0</v>
      </c>
      <c r="O2" s="11" cm="1">
        <f t="array" aca="1" ref="O2" ca="1">INDIRECT("'data'!$F$" &amp; $A$1)</f>
        <v>17631.900000000001</v>
      </c>
      <c r="P2" s="13">
        <f ca="1">IF(-(L2-Q2+O2)&lt;0, -(L2-Q2+O2), 0)</f>
        <v>-5240.2988125188695</v>
      </c>
      <c r="Q2" s="17" cm="1">
        <f t="array" aca="1" ref="Q2" ca="1">INDIRECT("'data'!$D$" &amp; $A$1)</f>
        <v>20993</v>
      </c>
      <c r="R2" s="17">
        <f ca="1">SUM(L2:P2)</f>
        <v>20993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7769.7910447761196</v>
      </c>
      <c r="G3" s="14">
        <f ca="1">Q3-O3-P3-F3</f>
        <v>290.11395522388011</v>
      </c>
      <c r="H3" s="14"/>
      <c r="I3" s="14"/>
      <c r="J3" s="14"/>
      <c r="K3" s="13"/>
      <c r="L3" s="16">
        <f t="shared" ca="1" si="0"/>
        <v>8059.9049999999997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82.214999999999989</v>
      </c>
      <c r="P3" s="13" cm="1">
        <f t="array" aca="1" ref="P3" ca="1">-INDIRECT("'data'!$I$" &amp; $A$1)*parameters!$B$13</f>
        <v>-58.589999999999996</v>
      </c>
      <c r="Q3" s="16" cm="1">
        <f t="array" aca="1" ref="Q3" ca="1">INDIRECT("'data'!$G$" &amp; $A$1)*parameters!$B$13</f>
        <v>8083.53</v>
      </c>
      <c r="R3" s="16">
        <f t="shared" ref="R3:R10" ca="1" si="2">SUM(L3:P3)</f>
        <v>8083.53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463.68</v>
      </c>
      <c r="H4" s="14"/>
      <c r="I4" s="14"/>
      <c r="J4" s="14"/>
      <c r="K4" s="13"/>
      <c r="L4" s="16">
        <f t="shared" ca="1" si="0"/>
        <v>463.68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463.68</v>
      </c>
      <c r="R4" s="16">
        <f t="shared" ca="1" si="2"/>
        <v>463.68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1942.4477611940301</v>
      </c>
      <c r="G5" s="14">
        <f ca="1">Q7/parameters!$B$7-(G3+G4)</f>
        <v>6038.619837879568</v>
      </c>
      <c r="H5" s="14"/>
      <c r="I5" s="14"/>
      <c r="J5" s="14"/>
      <c r="K5" s="13"/>
      <c r="L5" s="16">
        <f t="shared" ca="1" si="0"/>
        <v>7981.0675990735981</v>
      </c>
      <c r="M5" s="16"/>
      <c r="N5" s="16"/>
      <c r="O5" s="11" cm="1">
        <f t="array" aca="1" ref="O5" ca="1">INDIRECT("'data'!$M$" &amp; $A$1)*parameters!$B$15</f>
        <v>2450.98</v>
      </c>
      <c r="P5" s="13" cm="1">
        <f t="array" aca="1" ref="P5" ca="1">-INDIRECT("'data'!$N$" &amp; $A$1)*parameters!$B$15</f>
        <v>-1104.46</v>
      </c>
      <c r="Q5" s="16">
        <f ca="1">SUM(L5:P5)</f>
        <v>9327.5875990735985</v>
      </c>
      <c r="R5" s="16">
        <f t="shared" ca="1" si="2"/>
        <v>9327.5875990735985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9110.08</v>
      </c>
      <c r="I6" s="14"/>
      <c r="J6" s="14"/>
      <c r="K6" s="13"/>
      <c r="L6" s="16">
        <f t="shared" ca="1" si="0"/>
        <v>9110.08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9110.08</v>
      </c>
      <c r="R6" s="16">
        <f t="shared" ca="1" si="2"/>
        <v>9110.08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6500.34</v>
      </c>
      <c r="I7" s="14"/>
      <c r="J7" s="14"/>
      <c r="K7" s="13"/>
      <c r="L7" s="16">
        <f t="shared" ca="1" si="0"/>
        <v>6500.34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6500.34</v>
      </c>
      <c r="R7" s="16">
        <f t="shared" ca="1" si="2"/>
        <v>6500.34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4227.7076388595442</v>
      </c>
      <c r="J8" s="14">
        <f ca="1">Q10/J18</f>
        <v>11557.152361140457</v>
      </c>
      <c r="K8" s="13"/>
      <c r="L8" s="16">
        <f t="shared" ca="1" si="0"/>
        <v>15784.86</v>
      </c>
      <c r="M8" s="16"/>
      <c r="N8" s="16">
        <f t="shared" ca="1" si="3"/>
        <v>0</v>
      </c>
      <c r="O8" s="11" cm="1">
        <f t="array" aca="1" ref="O8" ca="1">INDIRECT("'data'!$R$" &amp; $A$1)*parameters!$B$15</f>
        <v>450.8</v>
      </c>
      <c r="P8" s="13" cm="1">
        <f t="array" aca="1" ref="P8" ca="1">-INDIRECT("'data'!$S$" &amp; $A$1)*parameters!$B$15</f>
        <v>-625.24</v>
      </c>
      <c r="Q8" s="16">
        <f ca="1">SUM(Q6:Q7)</f>
        <v>15610.42</v>
      </c>
      <c r="R8" s="16">
        <f t="shared" ca="1" si="2"/>
        <v>15610.42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4101.3</v>
      </c>
      <c r="L9" s="16">
        <f t="shared" ca="1" si="0"/>
        <v>4101.3</v>
      </c>
      <c r="M9" s="16"/>
      <c r="N9" s="16">
        <f t="shared" ca="1" si="3"/>
        <v>0</v>
      </c>
      <c r="O9" s="11" cm="1">
        <f t="array" aca="1" ref="O9" ca="1">INDIRECT("'data'!$U$" &amp; $A$1)*parameters!$B$15</f>
        <v>1722.84</v>
      </c>
      <c r="P9" s="13" cm="1">
        <f t="array" aca="1" ref="P9" ca="1">-INDIRECT("'data'!$V$" &amp; $A$1)*parameters!$B$15</f>
        <v>-2152.08</v>
      </c>
      <c r="Q9" s="16" cm="1">
        <f t="array" aca="1" ref="Q9" ca="1">INDIRECT("'data'!$T$" &amp; $A$1)*parameters!$B$15</f>
        <v>3672.06</v>
      </c>
      <c r="R9" s="16">
        <f t="shared" ca="1" si="2"/>
        <v>3672.0600000000004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10780.055761024179</v>
      </c>
      <c r="L10" s="16">
        <f t="shared" ca="1" si="0"/>
        <v>10780.055761024179</v>
      </c>
      <c r="M10" s="16"/>
      <c r="N10" s="16">
        <f t="shared" ca="1" si="3"/>
        <v>0</v>
      </c>
      <c r="O10" s="11" cm="1">
        <f t="array" aca="1" ref="O10" ca="1">INDIRECT("'data'!$X$" &amp; $A$1)*parameters!$B$15</f>
        <v>2330.44</v>
      </c>
      <c r="P10" s="13" cm="1">
        <f t="array" aca="1" ref="P10" ca="1">-INDIRECT("'data'!$Y$" &amp; $A$1)*parameters!$B$15</f>
        <v>-3072.2999999999997</v>
      </c>
      <c r="Q10" s="16" cm="1">
        <f t="array" aca="1" ref="Q10" ca="1">INDIRECT("'data'!$W$" &amp; $A$1)*parameters!$B$15</f>
        <v>10038.195761024181</v>
      </c>
      <c r="R10" s="16">
        <f t="shared" ca="1" si="2"/>
        <v>10038.195761024181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14710.729954480794</v>
      </c>
      <c r="N11" s="19"/>
      <c r="O11" s="21" cm="1">
        <f t="array" aca="1" ref="O11" ca="1">INDIRECT("'data'!$Z$" &amp; $A$1)*parameters!$B$15</f>
        <v>6905.08</v>
      </c>
      <c r="P11" s="27" cm="1">
        <f t="array" aca="1" ref="P11" ca="1">-INDIRECT("'data'!$AA$" &amp; $A$1)*parameters!$B$15</f>
        <v>-8489.74</v>
      </c>
      <c r="Q11" s="16">
        <f ca="1">K9*parameters!$B$10+K10*parameters!$B$11</f>
        <v>13126.069954480794</v>
      </c>
      <c r="R11" s="16">
        <f t="shared" ref="R11:R17" ca="1" si="4">SUM(L11:P11)</f>
        <v>13126.069954480792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-51.249108382811755</v>
      </c>
      <c r="D12" s="9">
        <f ca="1">-(D17-Q4)</f>
        <v>-2.9397041360571734</v>
      </c>
      <c r="E12" s="9">
        <f ca="1">-(E17-Q5)</f>
        <v>-1152.8479055034786</v>
      </c>
      <c r="F12" s="9">
        <f ca="1">-(F17-Q6)</f>
        <v>-602.15880597014984</v>
      </c>
      <c r="G12" s="9">
        <f ca="1">-(G17-Q7)</f>
        <v>-292.07379310344822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-2101.2693170959456</v>
      </c>
      <c r="M12" s="17"/>
      <c r="N12" s="17"/>
      <c r="O12" s="10"/>
      <c r="P12" s="12"/>
      <c r="Q12" s="9">
        <f t="shared" ref="Q12:Q17" ca="1" si="6">SUM(L12:P12)</f>
        <v>-2101.2693170959456</v>
      </c>
      <c r="R12" s="17">
        <f t="shared" ca="1" si="4"/>
        <v>-2101.2693170959456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-555.64763885954426</v>
      </c>
      <c r="J13" s="14">
        <f ca="1">-(J17-Q10)</f>
        <v>-1518.9566001162766</v>
      </c>
      <c r="K13" s="13">
        <f ca="1">-(K17-Q11)</f>
        <v>-1755.2858065433866</v>
      </c>
      <c r="L13" s="14">
        <f t="shared" ca="1" si="5"/>
        <v>-3829.8900455192074</v>
      </c>
      <c r="M13" s="16">
        <f ca="1">-E15</f>
        <v>-6650.5454590578702</v>
      </c>
      <c r="N13" s="16"/>
      <c r="O13" s="11"/>
      <c r="P13" s="13"/>
      <c r="Q13" s="14">
        <f t="shared" ca="1" si="6"/>
        <v>-10480.435504577077</v>
      </c>
      <c r="R13" s="16">
        <f t="shared" ca="1" si="4"/>
        <v>-10480.435504577077</v>
      </c>
    </row>
    <row r="14" spans="1:20">
      <c r="A14" s="18" t="s">
        <v>78</v>
      </c>
      <c r="B14" s="11"/>
      <c r="C14" s="14"/>
      <c r="D14" s="14"/>
      <c r="E14" s="14">
        <f ca="1">-(I13+J13)-K13</f>
        <v>3829.8900455192074</v>
      </c>
      <c r="F14" s="14"/>
      <c r="G14" s="14"/>
      <c r="H14" s="14"/>
      <c r="I14" s="14"/>
      <c r="J14" s="14"/>
      <c r="K14" s="13"/>
      <c r="L14" s="14">
        <f t="shared" ca="1" si="5"/>
        <v>3829.8900455192074</v>
      </c>
      <c r="M14" s="16"/>
      <c r="N14" s="16"/>
      <c r="O14" s="11"/>
      <c r="P14" s="13"/>
      <c r="Q14" s="14">
        <f t="shared" ca="1" si="6"/>
        <v>3829.8900455192074</v>
      </c>
      <c r="R14" s="16">
        <f t="shared" ca="1" si="4"/>
        <v>3829.8900455192074</v>
      </c>
    </row>
    <row r="15" spans="1:20">
      <c r="A15" s="18" t="s">
        <v>79</v>
      </c>
      <c r="B15" s="11"/>
      <c r="C15" s="14"/>
      <c r="D15" s="14"/>
      <c r="E15" s="14">
        <f ca="1">E17-E14</f>
        <v>6650.5454590578702</v>
      </c>
      <c r="F15" s="14"/>
      <c r="G15" s="14"/>
      <c r="H15" s="14"/>
      <c r="I15" s="14"/>
      <c r="J15" s="14"/>
      <c r="K15" s="13"/>
      <c r="L15" s="14">
        <f t="shared" ca="1" si="5"/>
        <v>6650.5454590578702</v>
      </c>
      <c r="M15" s="16"/>
      <c r="N15" s="16"/>
      <c r="O15" s="11"/>
      <c r="P15" s="13"/>
      <c r="Q15" s="14">
        <f t="shared" ca="1" si="6"/>
        <v>6650.5454590578702</v>
      </c>
      <c r="R15" s="16">
        <f t="shared" ca="1" si="4"/>
        <v>6650.5454590578702</v>
      </c>
    </row>
    <row r="16" spans="1:20">
      <c r="A16" s="30" t="s">
        <v>89</v>
      </c>
      <c r="B16" s="21">
        <f ca="1">Q2</f>
        <v>20993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20993</v>
      </c>
      <c r="M16" s="19"/>
      <c r="N16" s="19"/>
      <c r="O16" s="21"/>
      <c r="P16" s="27"/>
      <c r="Q16" s="22">
        <f t="shared" ca="1" si="6"/>
        <v>20993</v>
      </c>
      <c r="R16" s="19">
        <f t="shared" ca="1" si="4"/>
        <v>20993</v>
      </c>
    </row>
    <row r="17" spans="1:18">
      <c r="A17" s="29" t="s">
        <v>88</v>
      </c>
      <c r="B17" s="9">
        <f ca="1">B16</f>
        <v>20993</v>
      </c>
      <c r="C17" s="9">
        <f ca="1">SUM(C$2:C$11)</f>
        <v>8134.7791083828115</v>
      </c>
      <c r="D17" s="9">
        <f ca="1">SUM(D$2:D$11)</f>
        <v>466.61970413605718</v>
      </c>
      <c r="E17" s="9">
        <f ca="1">$Q$5/parameters!$B$4</f>
        <v>10480.435504577077</v>
      </c>
      <c r="F17" s="9">
        <f t="shared" ref="F17:K17" ca="1" si="7">SUM(F$2:F$11)</f>
        <v>9712.2388059701498</v>
      </c>
      <c r="G17" s="9">
        <f t="shared" ca="1" si="7"/>
        <v>6792.4137931034484</v>
      </c>
      <c r="H17" s="9">
        <f t="shared" ca="1" si="7"/>
        <v>15610.42</v>
      </c>
      <c r="I17" s="9">
        <f t="shared" ca="1" si="7"/>
        <v>4227.7076388595442</v>
      </c>
      <c r="J17" s="9">
        <f t="shared" ca="1" si="7"/>
        <v>11557.152361140457</v>
      </c>
      <c r="K17" s="9">
        <f t="shared" ca="1" si="7"/>
        <v>14881.355761024181</v>
      </c>
      <c r="L17" s="17">
        <f t="shared" ca="1" si="5"/>
        <v>102856.12267719374</v>
      </c>
      <c r="M17" s="17"/>
      <c r="N17" s="17"/>
      <c r="O17" s="9"/>
      <c r="P17" s="14"/>
      <c r="Q17" s="11">
        <f t="shared" ca="1" si="6"/>
        <v>102856.12267719374</v>
      </c>
      <c r="R17" s="17">
        <f t="shared" ca="1" si="4"/>
        <v>102856.12267719374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0.86856999435054727</v>
      </c>
      <c r="J18" s="39">
        <f ca="1">I18</f>
        <v>0.86856999435054727</v>
      </c>
      <c r="K18" s="40">
        <f ca="1">1-(-K13)/K17</f>
        <v>0.88204799114199917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640.7277125124283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640.7277125124283</v>
      </c>
      <c r="M2" s="17"/>
      <c r="N2" s="17">
        <f ca="1">Q2-(L2+O2+P2)</f>
        <v>0</v>
      </c>
      <c r="O2" s="11" cm="1">
        <f t="array" aca="1" ref="O2" ca="1">INDIRECT("'data'!$F$" &amp; $A$1)</f>
        <v>63.050000000000004</v>
      </c>
      <c r="P2" s="13">
        <f ca="1">IF(-(L2-Q2+O2)&lt;0, -(L2-Q2+O2), 0)</f>
        <v>-621.03836124325665</v>
      </c>
      <c r="Q2" s="17" cm="1">
        <f t="array" aca="1" ref="Q2" ca="1">INDIRECT("'data'!$D$" &amp; $A$1)</f>
        <v>82.73935126917165</v>
      </c>
      <c r="R2" s="17">
        <f ca="1">SUM(L2:P2)</f>
        <v>82.739351269171607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202.23</v>
      </c>
      <c r="H3" s="14"/>
      <c r="I3" s="14"/>
      <c r="J3" s="14"/>
      <c r="K3" s="13"/>
      <c r="L3" s="16">
        <f t="shared" ca="1" si="0"/>
        <v>202.23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17.009999999999998</v>
      </c>
      <c r="P3" s="13" cm="1">
        <f t="array" aca="1" ref="P3" ca="1">-INDIRECT("'data'!$I$" &amp; $A$1)*parameters!$B$13</f>
        <v>-219.23999999999998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636.69112792359999</v>
      </c>
      <c r="H4" s="14"/>
      <c r="I4" s="14"/>
      <c r="J4" s="14"/>
      <c r="K4" s="13"/>
      <c r="L4" s="16">
        <f t="shared" ca="1" si="0"/>
        <v>636.69112792359999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636.69112792359999</v>
      </c>
      <c r="R4" s="16">
        <f t="shared" ca="1" si="2"/>
        <v>636.69112792359999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1252.1551521181973</v>
      </c>
      <c r="H5" s="14"/>
      <c r="I5" s="14"/>
      <c r="J5" s="14"/>
      <c r="K5" s="13"/>
      <c r="L5" s="16">
        <f t="shared" ca="1" si="0"/>
        <v>1252.1551521181973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-946.68</v>
      </c>
      <c r="Q5" s="16">
        <f ca="1">SUM(L5:P5)</f>
        <v>305.47515211819734</v>
      </c>
      <c r="R5" s="16">
        <f t="shared" ca="1" si="2"/>
        <v>305.47515211819734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2001.1599999999999</v>
      </c>
      <c r="I7" s="14"/>
      <c r="J7" s="14"/>
      <c r="K7" s="13"/>
      <c r="L7" s="16">
        <f t="shared" ca="1" si="0"/>
        <v>2001.1599999999999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2001.1599999999999</v>
      </c>
      <c r="R7" s="16">
        <f t="shared" ca="1" si="2"/>
        <v>2001.1599999999999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1657.8685482921094</v>
      </c>
      <c r="J8" s="14">
        <f ca="1">Q10/J18</f>
        <v>1733.9114517078901</v>
      </c>
      <c r="K8" s="13"/>
      <c r="L8" s="16">
        <f t="shared" ca="1" si="0"/>
        <v>3391.7799999999997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14.7</v>
      </c>
      <c r="P8" s="13" cm="1">
        <f t="array" aca="1" ref="P8" ca="1">-INDIRECT("'data'!$S$" &amp; $A$1)*parameters!$B$15</f>
        <v>-1405.32</v>
      </c>
      <c r="Q8" s="16">
        <f ca="1">SUM(Q6:Q7)</f>
        <v>2001.1599999999999</v>
      </c>
      <c r="R8" s="16">
        <f t="shared" ca="1" si="2"/>
        <v>2001.1599999999996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1532.72</v>
      </c>
      <c r="L9" s="16">
        <f t="shared" ca="1" si="0"/>
        <v>1532.72</v>
      </c>
      <c r="M9" s="16"/>
      <c r="N9" s="16">
        <f t="shared" ca="1" si="3"/>
        <v>0</v>
      </c>
      <c r="O9" s="11" cm="1">
        <f t="array" aca="1" ref="O9" ca="1">INDIRECT("'data'!$U$" &amp; $A$1)*parameters!$B$15</f>
        <v>222.46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1755.18</v>
      </c>
      <c r="R9" s="16">
        <f t="shared" ca="1" si="2"/>
        <v>1755.18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2926.4263726884783</v>
      </c>
      <c r="L10" s="16">
        <f t="shared" ca="1" si="0"/>
        <v>2926.4263726884783</v>
      </c>
      <c r="M10" s="16"/>
      <c r="N10" s="16">
        <f t="shared" ca="1" si="3"/>
        <v>0</v>
      </c>
      <c r="O10" s="11" cm="1">
        <f t="array" aca="1" ref="O10" ca="1">INDIRECT("'data'!$X$" &amp; $A$1)*parameters!$B$15</f>
        <v>591.91999999999996</v>
      </c>
      <c r="P10" s="13" cm="1">
        <f t="array" aca="1" ref="P10" ca="1">-INDIRECT("'data'!$Y$" &amp; $A$1)*parameters!$B$15</f>
        <v>-1682.66</v>
      </c>
      <c r="Q10" s="16" cm="1">
        <f t="array" aca="1" ref="Q10" ca="1">INDIRECT("'data'!$W$" &amp; $A$1)*parameters!$B$15</f>
        <v>1835.6863726884778</v>
      </c>
      <c r="R10" s="16">
        <f t="shared" ca="1" si="2"/>
        <v>1835.6863726884783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4596.4434805120909</v>
      </c>
      <c r="N11" s="19"/>
      <c r="O11" s="21" cm="1">
        <f t="array" aca="1" ref="O11" ca="1">INDIRECT("'data'!$Z$" &amp; $A$1)*parameters!$B$15</f>
        <v>698.74</v>
      </c>
      <c r="P11" s="27" cm="1">
        <f t="array" aca="1" ref="P11" ca="1">-INDIRECT("'data'!$AA$" &amp; $A$1)*parameters!$B$15</f>
        <v>-1337.7</v>
      </c>
      <c r="Q11" s="16">
        <f ca="1">K9*parameters!$B$10+K10*parameters!$B$11</f>
        <v>3957.4834805120909</v>
      </c>
      <c r="R11" s="16">
        <f t="shared" ref="R11:R17" ca="1" si="4">SUM(L11:P11)</f>
        <v>3957.4834805120909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-4.0365845888283047</v>
      </c>
      <c r="E12" s="9">
        <f ca="1">-(E17-Q5)</f>
        <v>-37.755355879777198</v>
      </c>
      <c r="F12" s="9">
        <f ca="1">-(F17-Q6)</f>
        <v>0</v>
      </c>
      <c r="G12" s="9">
        <f ca="1">-(G17-Q7)</f>
        <v>-89.916280041797563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-131.70822051040307</v>
      </c>
      <c r="M12" s="17"/>
      <c r="N12" s="17"/>
      <c r="O12" s="10"/>
      <c r="P12" s="12"/>
      <c r="Q12" s="9">
        <f t="shared" ref="Q12:Q17" ca="1" si="6">SUM(L12:P12)</f>
        <v>-131.70822051040307</v>
      </c>
      <c r="R12" s="17">
        <f t="shared" ca="1" si="4"/>
        <v>-131.70822051040307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97.311451707890683</v>
      </c>
      <c r="J13" s="14">
        <f ca="1">-(J17-Q10)</f>
        <v>101.77492098058769</v>
      </c>
      <c r="K13" s="13">
        <f ca="1">-(K17-Q11)</f>
        <v>-501.66289217638769</v>
      </c>
      <c r="L13" s="14">
        <f t="shared" ca="1" si="5"/>
        <v>-302.57651948790931</v>
      </c>
      <c r="M13" s="16">
        <f ca="1">-E15</f>
        <v>-40.653988510065233</v>
      </c>
      <c r="N13" s="16"/>
      <c r="O13" s="11"/>
      <c r="P13" s="13"/>
      <c r="Q13" s="14">
        <f t="shared" ca="1" si="6"/>
        <v>-343.23050799797454</v>
      </c>
      <c r="R13" s="16">
        <f t="shared" ca="1" si="4"/>
        <v>-343.23050799797454</v>
      </c>
    </row>
    <row r="14" spans="1:19">
      <c r="A14" s="18" t="s">
        <v>78</v>
      </c>
      <c r="B14" s="11"/>
      <c r="C14" s="14"/>
      <c r="D14" s="14"/>
      <c r="E14" s="14">
        <f ca="1">-(I13+J13)-K13</f>
        <v>302.57651948790931</v>
      </c>
      <c r="F14" s="14"/>
      <c r="G14" s="14"/>
      <c r="H14" s="14"/>
      <c r="I14" s="14"/>
      <c r="J14" s="14"/>
      <c r="K14" s="13"/>
      <c r="L14" s="14">
        <f t="shared" ca="1" si="5"/>
        <v>302.57651948790931</v>
      </c>
      <c r="M14" s="16"/>
      <c r="N14" s="16"/>
      <c r="O14" s="11"/>
      <c r="P14" s="13"/>
      <c r="Q14" s="14">
        <f t="shared" ca="1" si="6"/>
        <v>302.57651948790931</v>
      </c>
      <c r="R14" s="16">
        <f t="shared" ca="1" si="4"/>
        <v>302.57651948790931</v>
      </c>
    </row>
    <row r="15" spans="1:19">
      <c r="A15" s="18" t="s">
        <v>79</v>
      </c>
      <c r="B15" s="11"/>
      <c r="C15" s="14"/>
      <c r="D15" s="14"/>
      <c r="E15" s="14">
        <f ca="1">E17-E14</f>
        <v>40.653988510065233</v>
      </c>
      <c r="F15" s="14"/>
      <c r="G15" s="14"/>
      <c r="H15" s="14"/>
      <c r="I15" s="14"/>
      <c r="J15" s="14"/>
      <c r="K15" s="13"/>
      <c r="L15" s="14">
        <f t="shared" ca="1" si="5"/>
        <v>40.653988510065233</v>
      </c>
      <c r="M15" s="16"/>
      <c r="N15" s="16"/>
      <c r="O15" s="11"/>
      <c r="P15" s="13"/>
      <c r="Q15" s="14">
        <f t="shared" ca="1" si="6"/>
        <v>40.653988510065233</v>
      </c>
      <c r="R15" s="16">
        <f t="shared" ca="1" si="4"/>
        <v>40.653988510065233</v>
      </c>
    </row>
    <row r="16" spans="1:19">
      <c r="A16" s="30" t="s">
        <v>89</v>
      </c>
      <c r="B16" s="21">
        <f ca="1">Q2</f>
        <v>82.73935126917165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82.73935126917165</v>
      </c>
      <c r="M16" s="19"/>
      <c r="N16" s="19"/>
      <c r="O16" s="21"/>
      <c r="P16" s="27"/>
      <c r="Q16" s="22">
        <f t="shared" ca="1" si="6"/>
        <v>82.73935126917165</v>
      </c>
      <c r="R16" s="19">
        <f t="shared" ca="1" si="4"/>
        <v>82.73935126917165</v>
      </c>
    </row>
    <row r="17" spans="1:18">
      <c r="A17" s="29" t="s">
        <v>88</v>
      </c>
      <c r="B17" s="9">
        <f ca="1">B16</f>
        <v>82.73935126917165</v>
      </c>
      <c r="C17" s="9">
        <f ca="1">SUM(C$2:C$11)</f>
        <v>0</v>
      </c>
      <c r="D17" s="9">
        <f ca="1">SUM(D$2:D$11)</f>
        <v>640.7277125124283</v>
      </c>
      <c r="E17" s="9">
        <f ca="1">$Q$5/parameters!$B$4</f>
        <v>343.23050799797454</v>
      </c>
      <c r="F17" s="9">
        <f t="shared" ref="F17:K17" ca="1" si="7">SUM(F$2:F$11)</f>
        <v>0</v>
      </c>
      <c r="G17" s="9">
        <f t="shared" ca="1" si="7"/>
        <v>2091.0762800417974</v>
      </c>
      <c r="H17" s="9">
        <f t="shared" ca="1" si="7"/>
        <v>2001.1599999999999</v>
      </c>
      <c r="I17" s="9">
        <f t="shared" ca="1" si="7"/>
        <v>1657.8685482921094</v>
      </c>
      <c r="J17" s="9">
        <f t="shared" ca="1" si="7"/>
        <v>1733.9114517078901</v>
      </c>
      <c r="K17" s="9">
        <f t="shared" ca="1" si="7"/>
        <v>4459.1463726884786</v>
      </c>
      <c r="L17" s="17">
        <f t="shared" ca="1" si="5"/>
        <v>13009.860224509848</v>
      </c>
      <c r="M17" s="17"/>
      <c r="N17" s="17"/>
      <c r="O17" s="9"/>
      <c r="P17" s="14"/>
      <c r="Q17" s="11">
        <f t="shared" ca="1" si="6"/>
        <v>13009.860224509848</v>
      </c>
      <c r="R17" s="17">
        <f t="shared" ca="1" si="4"/>
        <v>13009.860224509848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1.0586967234574407</v>
      </c>
      <c r="J18" s="39">
        <f ca="1">I18</f>
        <v>1.0586967234574407</v>
      </c>
      <c r="K18" s="40">
        <f ca="1">1-(-K13)/K17</f>
        <v>0.88749799844001787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5355.9826909530038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5355.9826909530038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-5355.9826909530038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5073.4328358208959</v>
      </c>
      <c r="G3" s="14">
        <f ca="1">Q3-O3-P3-F3</f>
        <v>233.687164179104</v>
      </c>
      <c r="H3" s="14"/>
      <c r="I3" s="14"/>
      <c r="J3" s="14"/>
      <c r="K3" s="13"/>
      <c r="L3" s="16">
        <f t="shared" ca="1" si="0"/>
        <v>5307.12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15.12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5322.24</v>
      </c>
      <c r="R3" s="16">
        <f t="shared" ref="R3:R10" ca="1" si="2">SUM(L3:P3)</f>
        <v>5322.24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1268.358208955224</v>
      </c>
      <c r="G5" s="14">
        <f ca="1">Q7/parameters!$B$7-(G3+G4)</f>
        <v>2876.3023865001019</v>
      </c>
      <c r="H5" s="14"/>
      <c r="I5" s="14"/>
      <c r="J5" s="14"/>
      <c r="K5" s="13"/>
      <c r="L5" s="16">
        <f t="shared" ca="1" si="0"/>
        <v>4144.6605954553261</v>
      </c>
      <c r="M5" s="16"/>
      <c r="N5" s="16"/>
      <c r="O5" s="11" cm="1">
        <f t="array" aca="1" ref="O5" ca="1">INDIRECT("'data'!$M$" &amp; $A$1)*parameters!$B$15</f>
        <v>1771.84</v>
      </c>
      <c r="P5" s="13" cm="1">
        <f t="array" aca="1" ref="P5" ca="1">-INDIRECT("'data'!$N$" &amp; $A$1)*parameters!$B$15</f>
        <v>-136.22</v>
      </c>
      <c r="Q5" s="16">
        <f ca="1">SUM(L5:P5)</f>
        <v>5780.280595455326</v>
      </c>
      <c r="R5" s="16">
        <f t="shared" ca="1" si="2"/>
        <v>5780.280595455326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5948.5999999999995</v>
      </c>
      <c r="I6" s="14"/>
      <c r="J6" s="14"/>
      <c r="K6" s="13"/>
      <c r="L6" s="16">
        <f t="shared" ca="1" si="0"/>
        <v>5948.5999999999995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5948.5999999999995</v>
      </c>
      <c r="R6" s="16">
        <f t="shared" ca="1" si="2"/>
        <v>5948.5999999999995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2976.2599999999998</v>
      </c>
      <c r="I7" s="14"/>
      <c r="J7" s="14"/>
      <c r="K7" s="13"/>
      <c r="L7" s="16">
        <f t="shared" ca="1" si="0"/>
        <v>2976.2599999999998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2976.2599999999998</v>
      </c>
      <c r="R7" s="16">
        <f t="shared" ca="1" si="2"/>
        <v>2976.2599999999998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5569.0917959264989</v>
      </c>
      <c r="J8" s="14">
        <f ca="1">Q10/J18</f>
        <v>2463.9682040734997</v>
      </c>
      <c r="K8" s="13"/>
      <c r="L8" s="16">
        <f t="shared" ca="1" si="0"/>
        <v>8033.0599999999986</v>
      </c>
      <c r="M8" s="16"/>
      <c r="N8" s="16">
        <f t="shared" ca="1" si="3"/>
        <v>0</v>
      </c>
      <c r="O8" s="11" cm="1">
        <f t="array" aca="1" ref="O8" ca="1">INDIRECT("'data'!$R$" &amp; $A$1)*parameters!$B$15</f>
        <v>957.46</v>
      </c>
      <c r="P8" s="13" cm="1">
        <f t="array" aca="1" ref="P8" ca="1">-INDIRECT("'data'!$S$" &amp; $A$1)*parameters!$B$15</f>
        <v>-65.66</v>
      </c>
      <c r="Q8" s="16">
        <f ca="1">SUM(Q6:Q7)</f>
        <v>8924.8599999999988</v>
      </c>
      <c r="R8" s="16">
        <f t="shared" ca="1" si="2"/>
        <v>8924.8599999999988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3102.6800000000003</v>
      </c>
      <c r="L9" s="16">
        <f t="shared" ca="1" si="0"/>
        <v>3102.6800000000003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2052.12</v>
      </c>
      <c r="P9" s="13" cm="1">
        <f t="array" aca="1" ref="P9" ca="1">-INDIRECT("'data'!$V$" &amp; $A$1)*parameters!$B$15</f>
        <v>-629.16</v>
      </c>
      <c r="Q9" s="16" cm="1">
        <f t="array" aca="1" ref="Q9" ca="1">INDIRECT("'data'!$T$" &amp; $A$1)*parameters!$B$15</f>
        <v>4525.6400000000003</v>
      </c>
      <c r="R9" s="16">
        <f t="shared" ca="1" si="2"/>
        <v>4525.6400000000003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3840.787283072546</v>
      </c>
      <c r="L10" s="16">
        <f t="shared" ca="1" si="0"/>
        <v>3840.787283072546</v>
      </c>
      <c r="M10" s="16"/>
      <c r="N10" s="16">
        <f t="shared" ca="1" si="3"/>
        <v>0</v>
      </c>
      <c r="O10" s="11" cm="1">
        <f t="array" aca="1" ref="O10" ca="1">INDIRECT("'data'!$X$" &amp; $A$1)*parameters!$B$15</f>
        <v>426.3</v>
      </c>
      <c r="P10" s="13" cm="1">
        <f t="array" aca="1" ref="P10" ca="1">-INDIRECT("'data'!$Y$" &amp; $A$1)*parameters!$B$15</f>
        <v>-2264.7799999999997</v>
      </c>
      <c r="Q10" s="16" cm="1">
        <f t="array" aca="1" ref="Q10" ca="1">INDIRECT("'data'!$W$" &amp; $A$1)*parameters!$B$15</f>
        <v>2002.3072830725462</v>
      </c>
      <c r="R10" s="16">
        <f t="shared" ca="1" si="2"/>
        <v>2002.3072830725459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5628.6562634423899</v>
      </c>
      <c r="N11" s="19"/>
      <c r="O11" s="21" cm="1">
        <f t="array" aca="1" ref="O11" ca="1">INDIRECT("'data'!$Z$" &amp; $A$1)*parameters!$B$15</f>
        <v>5287.0999999999995</v>
      </c>
      <c r="P11" s="27" cm="1">
        <f t="array" aca="1" ref="P11" ca="1">-INDIRECT("'data'!$AA$" &amp; $A$1)*parameters!$B$15</f>
        <v>-4696.16</v>
      </c>
      <c r="Q11" s="16">
        <f ca="1">K9*parameters!$B$10+K10*parameters!$B$11</f>
        <v>6219.5962634423895</v>
      </c>
      <c r="R11" s="16">
        <f t="shared" ref="R11:R17" ca="1" si="4">SUM(L11:P11)</f>
        <v>6219.5962634423886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-33.742690953004058</v>
      </c>
      <c r="D12" s="9">
        <f ca="1">-(D17-Q4)</f>
        <v>0</v>
      </c>
      <c r="E12" s="9">
        <f ca="1">-(E17-Q5)</f>
        <v>-714.41670280908511</v>
      </c>
      <c r="F12" s="9">
        <f ca="1">-(F17-Q6)</f>
        <v>-393.19104477612018</v>
      </c>
      <c r="G12" s="9">
        <f ca="1">-(G17-Q7)</f>
        <v>-133.72955067920611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-1275.0799892174155</v>
      </c>
      <c r="M12" s="17"/>
      <c r="N12" s="17"/>
      <c r="O12" s="10"/>
      <c r="P12" s="12"/>
      <c r="Q12" s="9">
        <f t="shared" ref="Q12:Q17" ca="1" si="6">SUM(L12:P12)</f>
        <v>-1275.0799892174155</v>
      </c>
      <c r="R12" s="17">
        <f t="shared" ca="1" si="4"/>
        <v>-1275.0799892174155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-1043.4517959264986</v>
      </c>
      <c r="J13" s="14">
        <f ca="1">-(J17-Q10)</f>
        <v>-461.66092100095352</v>
      </c>
      <c r="K13" s="13">
        <f ca="1">-(K17-Q11)</f>
        <v>-723.87101963015721</v>
      </c>
      <c r="L13" s="14">
        <f t="shared" ca="1" si="5"/>
        <v>-2228.9837365576095</v>
      </c>
      <c r="M13" s="16">
        <f ca="1">-E15</f>
        <v>-4265.7135617068016</v>
      </c>
      <c r="N13" s="16"/>
      <c r="O13" s="11"/>
      <c r="P13" s="13"/>
      <c r="Q13" s="14">
        <f t="shared" ca="1" si="6"/>
        <v>-6494.6972982644111</v>
      </c>
      <c r="R13" s="16">
        <f t="shared" ca="1" si="4"/>
        <v>-6494.6972982644111</v>
      </c>
    </row>
    <row r="14" spans="1:20">
      <c r="A14" s="18" t="s">
        <v>78</v>
      </c>
      <c r="B14" s="11"/>
      <c r="C14" s="14"/>
      <c r="D14" s="14"/>
      <c r="E14" s="14">
        <f ca="1">-(I13+J13)-K13</f>
        <v>2228.9837365576095</v>
      </c>
      <c r="F14" s="14"/>
      <c r="G14" s="14"/>
      <c r="H14" s="14"/>
      <c r="I14" s="14"/>
      <c r="J14" s="14"/>
      <c r="K14" s="13"/>
      <c r="L14" s="14">
        <f t="shared" ca="1" si="5"/>
        <v>2228.9837365576095</v>
      </c>
      <c r="M14" s="16"/>
      <c r="N14" s="16"/>
      <c r="O14" s="11"/>
      <c r="P14" s="13"/>
      <c r="Q14" s="14">
        <f t="shared" ca="1" si="6"/>
        <v>2228.9837365576095</v>
      </c>
      <c r="R14" s="16">
        <f t="shared" ca="1" si="4"/>
        <v>2228.9837365576095</v>
      </c>
    </row>
    <row r="15" spans="1:20">
      <c r="A15" s="18" t="s">
        <v>79</v>
      </c>
      <c r="B15" s="11"/>
      <c r="C15" s="14"/>
      <c r="D15" s="14"/>
      <c r="E15" s="14">
        <f ca="1">E17-E14</f>
        <v>4265.7135617068016</v>
      </c>
      <c r="F15" s="14"/>
      <c r="G15" s="14"/>
      <c r="H15" s="14"/>
      <c r="I15" s="14"/>
      <c r="J15" s="14"/>
      <c r="K15" s="13"/>
      <c r="L15" s="14">
        <f t="shared" ca="1" si="5"/>
        <v>4265.7135617068016</v>
      </c>
      <c r="M15" s="16"/>
      <c r="N15" s="16"/>
      <c r="O15" s="11"/>
      <c r="P15" s="13"/>
      <c r="Q15" s="14">
        <f t="shared" ca="1" si="6"/>
        <v>4265.7135617068016</v>
      </c>
      <c r="R15" s="16">
        <f t="shared" ca="1" si="4"/>
        <v>4265.7135617068016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5355.9826909530038</v>
      </c>
      <c r="D17" s="9">
        <f ca="1">SUM(D$2:D$11)</f>
        <v>0</v>
      </c>
      <c r="E17" s="9">
        <f ca="1">$Q$5/parameters!$B$4</f>
        <v>6494.6972982644111</v>
      </c>
      <c r="F17" s="9">
        <f t="shared" ref="F17:K17" ca="1" si="7">SUM(F$2:F$11)</f>
        <v>6341.7910447761196</v>
      </c>
      <c r="G17" s="9">
        <f t="shared" ca="1" si="7"/>
        <v>3109.9895506792059</v>
      </c>
      <c r="H17" s="9">
        <f t="shared" ca="1" si="7"/>
        <v>8924.8599999999988</v>
      </c>
      <c r="I17" s="9">
        <f t="shared" ca="1" si="7"/>
        <v>5569.0917959264989</v>
      </c>
      <c r="J17" s="9">
        <f t="shared" ca="1" si="7"/>
        <v>2463.9682040734997</v>
      </c>
      <c r="K17" s="9">
        <f t="shared" ca="1" si="7"/>
        <v>6943.4672830725467</v>
      </c>
      <c r="L17" s="17">
        <f t="shared" ca="1" si="5"/>
        <v>45203.84786774528</v>
      </c>
      <c r="M17" s="17"/>
      <c r="N17" s="17"/>
      <c r="O17" s="9"/>
      <c r="P17" s="14"/>
      <c r="Q17" s="11">
        <f t="shared" ca="1" si="6"/>
        <v>45203.84786774528</v>
      </c>
      <c r="R17" s="17">
        <f t="shared" ca="1" si="4"/>
        <v>45203.84786774528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0.81263519543891716</v>
      </c>
      <c r="J18" s="39">
        <f ca="1">I18</f>
        <v>0.81263519543891716</v>
      </c>
      <c r="K18" s="40">
        <f ca="1">1-(-K13)/K17</f>
        <v>0.89574790373177393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901.57012010599954</v>
      </c>
      <c r="D2" s="9">
        <f ca="1">Q4/parameters!$B$3</f>
        <v>2332.4571282852062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3234.0272483912058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-1961.2065242029528</v>
      </c>
      <c r="Q2" s="17" cm="1">
        <f t="array" aca="1" ref="Q2" ca="1">INDIRECT("'data'!$D$" &amp; $A$1)</f>
        <v>1272.8207241882531</v>
      </c>
      <c r="R2" s="17">
        <f ca="1">SUM(L2:P2)</f>
        <v>1272.8207241882531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889.1044776119403</v>
      </c>
      <c r="G3" s="14">
        <f ca="1">Q3-O3-P3-F3</f>
        <v>6.7857507373914814</v>
      </c>
      <c r="H3" s="14"/>
      <c r="I3" s="14"/>
      <c r="J3" s="14"/>
      <c r="K3" s="13"/>
      <c r="L3" s="16">
        <f t="shared" ca="1" si="0"/>
        <v>895.89022834933178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895.89022834933178</v>
      </c>
      <c r="R3" s="16">
        <f t="shared" ref="R3:R10" ca="1" si="2">SUM(L3:P3)</f>
        <v>895.89022834933178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2317.7626483770096</v>
      </c>
      <c r="H4" s="14"/>
      <c r="I4" s="14"/>
      <c r="J4" s="14"/>
      <c r="K4" s="13"/>
      <c r="L4" s="16">
        <f t="shared" ca="1" si="0"/>
        <v>2317.7626483770096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2317.7626483770096</v>
      </c>
      <c r="R4" s="16">
        <f t="shared" ca="1" si="2"/>
        <v>2317.7626483770096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Q6/parameters!$B$5*26%</f>
        <v>312.38805970149258</v>
      </c>
      <c r="G5" s="14">
        <f ca="1">Q7/parameters!$B$7-(G3+G4)</f>
        <v>1003.5602738218581</v>
      </c>
      <c r="H5" s="14"/>
      <c r="I5" s="14"/>
      <c r="J5" s="14"/>
      <c r="K5" s="13"/>
      <c r="L5" s="16">
        <f t="shared" ca="1" si="0"/>
        <v>1315.9483335233508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-544.88</v>
      </c>
      <c r="Q5" s="16">
        <f ca="1">SUM(L5:P5)</f>
        <v>771.06833352335082</v>
      </c>
      <c r="R5" s="16">
        <f t="shared" ca="1" si="2"/>
        <v>771.06833352335082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1127</v>
      </c>
      <c r="I6" s="14"/>
      <c r="J6" s="14"/>
      <c r="K6" s="13"/>
      <c r="L6" s="16">
        <f t="shared" ca="1" si="0"/>
        <v>1127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1127</v>
      </c>
      <c r="R6" s="16">
        <f t="shared" ca="1" si="2"/>
        <v>1127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3185</v>
      </c>
      <c r="I7" s="14"/>
      <c r="J7" s="14"/>
      <c r="K7" s="13"/>
      <c r="L7" s="16">
        <f t="shared" ca="1" si="0"/>
        <v>3185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3185</v>
      </c>
      <c r="R7" s="16">
        <f t="shared" ca="1" si="2"/>
        <v>3185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3500</v>
      </c>
      <c r="J8" s="14">
        <f ca="1">Q10/J18</f>
        <v>1190.6840395114718</v>
      </c>
      <c r="K8" s="13"/>
      <c r="L8" s="16">
        <f t="shared" ca="1" si="0"/>
        <v>4690.6840395114723</v>
      </c>
      <c r="M8" s="16"/>
      <c r="N8" s="16">
        <f t="shared" ca="1" si="3"/>
        <v>991.35596048852767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-1370.04</v>
      </c>
      <c r="Q8" s="16">
        <f ca="1">SUM(Q6:Q7)</f>
        <v>4312</v>
      </c>
      <c r="R8" s="16">
        <f t="shared" ca="1" si="2"/>
        <v>4312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3540.74</v>
      </c>
      <c r="L9" s="16">
        <f t="shared" ca="1" si="0"/>
        <v>3540.74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-110.74</v>
      </c>
      <c r="Q9" s="16" cm="1">
        <f t="array" aca="1" ref="Q9" ca="1">INDIRECT("'data'!$T$" &amp; $A$1)*parameters!$B$15</f>
        <v>3430</v>
      </c>
      <c r="R9" s="16">
        <f t="shared" ca="1" si="2"/>
        <v>3430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1473.6103587212424</v>
      </c>
      <c r="L10" s="16">
        <f t="shared" ca="1" si="0"/>
        <v>1473.6103587212424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-306.74</v>
      </c>
      <c r="Q10" s="16" cm="1">
        <f t="array" aca="1" ref="Q10" ca="1">INDIRECT("'data'!$W$" &amp; $A$1)*parameters!$B$15</f>
        <v>1166.8703587212424</v>
      </c>
      <c r="R10" s="16">
        <f t="shared" ca="1" si="2"/>
        <v>1166.8703587212424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4833.7405085002674</v>
      </c>
      <c r="N11" s="19"/>
      <c r="O11" s="21" cm="1">
        <f t="array" aca="1" ref="O11" ca="1">INDIRECT("'data'!$Z$" &amp; $A$1)*parameters!$B$15</f>
        <v>60.76</v>
      </c>
      <c r="P11" s="27" cm="1">
        <f t="array" aca="1" ref="P11" ca="1">-INDIRECT("'data'!$AA$" &amp; $A$1)*parameters!$B$15</f>
        <v>-298.89999999999998</v>
      </c>
      <c r="Q11" s="16">
        <f ca="1">K9*parameters!$B$10+K10*parameters!$B$11</f>
        <v>4595.600508500268</v>
      </c>
      <c r="R11" s="16">
        <f t="shared" ref="R11:R17" ca="1" si="4">SUM(L11:P11)</f>
        <v>4595.600508500268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-5.6798917566677574</v>
      </c>
      <c r="D12" s="9">
        <f ca="1">-(D17-Q4)</f>
        <v>-14.694479908196627</v>
      </c>
      <c r="E12" s="9">
        <f ca="1">-(E17-Q5)</f>
        <v>-95.300580547829895</v>
      </c>
      <c r="F12" s="9">
        <f ca="1">-(F17-Q6)</f>
        <v>-74.492537313432877</v>
      </c>
      <c r="G12" s="9">
        <f ca="1">-(G17-Q7)</f>
        <v>-143.10867293625915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-333.27616246238631</v>
      </c>
      <c r="M12" s="17"/>
      <c r="N12" s="17"/>
      <c r="O12" s="10"/>
      <c r="P12" s="12"/>
      <c r="Q12" s="9">
        <f t="shared" ref="Q12:Q17" ca="1" si="6">SUM(L12:P12)</f>
        <v>-333.27616246238631</v>
      </c>
      <c r="R12" s="17">
        <f t="shared" ca="1" si="4"/>
        <v>-333.27616246238631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</v>
      </c>
      <c r="J13" s="14">
        <f ca="1">-(J17-Q10)</f>
        <v>-23.813680790229455</v>
      </c>
      <c r="K13" s="13">
        <f ca="1">-(K17-Q11)</f>
        <v>-418.74985022097371</v>
      </c>
      <c r="L13" s="14">
        <f t="shared" ca="1" si="5"/>
        <v>-512.56353101120317</v>
      </c>
      <c r="M13" s="16">
        <f ca="1">-E15</f>
        <v>-353.80538305997754</v>
      </c>
      <c r="N13" s="16"/>
      <c r="O13" s="11"/>
      <c r="P13" s="13"/>
      <c r="Q13" s="14">
        <f t="shared" ca="1" si="6"/>
        <v>-866.36891407118071</v>
      </c>
      <c r="R13" s="16">
        <f t="shared" ca="1" si="4"/>
        <v>-866.36891407118071</v>
      </c>
    </row>
    <row r="14" spans="1:19">
      <c r="A14" s="18" t="s">
        <v>78</v>
      </c>
      <c r="B14" s="11"/>
      <c r="C14" s="14"/>
      <c r="D14" s="14"/>
      <c r="E14" s="14">
        <f ca="1">-(I13+J13)-K13</f>
        <v>512.56353101120317</v>
      </c>
      <c r="F14" s="14"/>
      <c r="G14" s="14"/>
      <c r="H14" s="14"/>
      <c r="I14" s="14"/>
      <c r="J14" s="14"/>
      <c r="K14" s="13"/>
      <c r="L14" s="14">
        <f t="shared" ca="1" si="5"/>
        <v>512.56353101120317</v>
      </c>
      <c r="M14" s="16"/>
      <c r="N14" s="16"/>
      <c r="O14" s="11"/>
      <c r="P14" s="13"/>
      <c r="Q14" s="14">
        <f t="shared" ca="1" si="6"/>
        <v>512.56353101120317</v>
      </c>
      <c r="R14" s="16">
        <f t="shared" ca="1" si="4"/>
        <v>512.56353101120317</v>
      </c>
    </row>
    <row r="15" spans="1:19">
      <c r="A15" s="18" t="s">
        <v>79</v>
      </c>
      <c r="B15" s="11"/>
      <c r="C15" s="14"/>
      <c r="D15" s="14"/>
      <c r="E15" s="14">
        <f ca="1">E17-E14</f>
        <v>353.80538305997754</v>
      </c>
      <c r="F15" s="14"/>
      <c r="G15" s="14"/>
      <c r="H15" s="14"/>
      <c r="I15" s="14"/>
      <c r="J15" s="14"/>
      <c r="K15" s="13"/>
      <c r="L15" s="14">
        <f t="shared" ca="1" si="5"/>
        <v>353.80538305997754</v>
      </c>
      <c r="M15" s="16"/>
      <c r="N15" s="16"/>
      <c r="O15" s="11"/>
      <c r="P15" s="13"/>
      <c r="Q15" s="14">
        <f t="shared" ca="1" si="6"/>
        <v>353.80538305997754</v>
      </c>
      <c r="R15" s="16">
        <f t="shared" ca="1" si="4"/>
        <v>353.80538305997754</v>
      </c>
    </row>
    <row r="16" spans="1:19">
      <c r="A16" s="30" t="s">
        <v>89</v>
      </c>
      <c r="B16" s="21">
        <f ca="1">Q2</f>
        <v>1272.8207241882531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1272.8207241882531</v>
      </c>
      <c r="M16" s="19"/>
      <c r="N16" s="19"/>
      <c r="O16" s="21"/>
      <c r="P16" s="27"/>
      <c r="Q16" s="22">
        <f t="shared" ca="1" si="6"/>
        <v>1272.8207241882531</v>
      </c>
      <c r="R16" s="19">
        <f t="shared" ca="1" si="4"/>
        <v>1272.8207241882531</v>
      </c>
    </row>
    <row r="17" spans="1:18">
      <c r="A17" s="29" t="s">
        <v>88</v>
      </c>
      <c r="B17" s="9">
        <f ca="1">B16</f>
        <v>1272.8207241882531</v>
      </c>
      <c r="C17" s="9">
        <f ca="1">SUM(C$2:C$11)</f>
        <v>901.57012010599954</v>
      </c>
      <c r="D17" s="9">
        <f ca="1">SUM(D$2:D$11)</f>
        <v>2332.4571282852062</v>
      </c>
      <c r="E17" s="9">
        <f ca="1">$Q$5/parameters!$B$4</f>
        <v>866.36891407118071</v>
      </c>
      <c r="F17" s="9">
        <f t="shared" ref="F17:K17" ca="1" si="7">SUM(F$2:F$11)</f>
        <v>1201.4925373134329</v>
      </c>
      <c r="G17" s="9">
        <f t="shared" ca="1" si="7"/>
        <v>3328.1086729362592</v>
      </c>
      <c r="H17" s="9">
        <f t="shared" ca="1" si="7"/>
        <v>4312</v>
      </c>
      <c r="I17" s="9">
        <f t="shared" ca="1" si="7"/>
        <v>3500</v>
      </c>
      <c r="J17" s="9">
        <f t="shared" ca="1" si="7"/>
        <v>1190.6840395114718</v>
      </c>
      <c r="K17" s="9">
        <f t="shared" ca="1" si="7"/>
        <v>5014.3503587212417</v>
      </c>
      <c r="L17" s="17">
        <f t="shared" ca="1" si="5"/>
        <v>23919.85249513304</v>
      </c>
      <c r="M17" s="17"/>
      <c r="N17" s="17"/>
      <c r="O17" s="9"/>
      <c r="P17" s="14"/>
      <c r="Q17" s="11">
        <f t="shared" ca="1" si="6"/>
        <v>23919.85249513304</v>
      </c>
      <c r="R17" s="17">
        <f t="shared" ca="1" si="4"/>
        <v>23919.85249513304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0.916489710478116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2661.9809694374562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2661.9809694374562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-2661.9809694374562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42.524999999999999</v>
      </c>
      <c r="H3" s="14"/>
      <c r="I3" s="14"/>
      <c r="J3" s="14"/>
      <c r="K3" s="13"/>
      <c r="L3" s="16">
        <f t="shared" ca="1" si="0"/>
        <v>42.524999999999999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-42.524999999999999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2645.2104893300002</v>
      </c>
      <c r="H4" s="14"/>
      <c r="I4" s="14"/>
      <c r="J4" s="14"/>
      <c r="K4" s="13"/>
      <c r="L4" s="16">
        <f t="shared" ca="1" si="0"/>
        <v>2645.2104893300002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2645.2104893300002</v>
      </c>
      <c r="R4" s="16">
        <f t="shared" ca="1" si="2"/>
        <v>2645.2104893300002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1351.0523894578787</v>
      </c>
      <c r="H5" s="14"/>
      <c r="I5" s="14"/>
      <c r="J5" s="14"/>
      <c r="K5" s="13"/>
      <c r="L5" s="16">
        <f t="shared" ca="1" si="0"/>
        <v>1351.0523894578787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1351.0523894578787</v>
      </c>
      <c r="R5" s="16">
        <f t="shared" ca="1" si="2"/>
        <v>1351.0523894578787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3865.12</v>
      </c>
      <c r="I7" s="14"/>
      <c r="J7" s="14"/>
      <c r="K7" s="13"/>
      <c r="L7" s="16">
        <f t="shared" ca="1" si="0"/>
        <v>3865.12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3865.12</v>
      </c>
      <c r="R7" s="16">
        <f t="shared" ca="1" si="2"/>
        <v>3865.12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3211.2734663996393</v>
      </c>
      <c r="J8" s="14">
        <f ca="1">Q10/J18</f>
        <v>1509.3865336003603</v>
      </c>
      <c r="K8" s="13"/>
      <c r="L8" s="16">
        <f t="shared" ca="1" si="0"/>
        <v>4720.66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-855.54</v>
      </c>
      <c r="Q8" s="16">
        <f ca="1">SUM(Q6:Q7)</f>
        <v>3865.12</v>
      </c>
      <c r="R8" s="16">
        <f t="shared" ca="1" si="2"/>
        <v>3865.12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2982.14</v>
      </c>
      <c r="L9" s="16">
        <f t="shared" ca="1" si="0"/>
        <v>2982.14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-463.53999999999996</v>
      </c>
      <c r="Q9" s="16" cm="1">
        <f t="array" aca="1" ref="Q9" ca="1">INDIRECT("'data'!$T$" &amp; $A$1)*parameters!$B$15</f>
        <v>2518.6</v>
      </c>
      <c r="R9" s="16">
        <f t="shared" ca="1" si="2"/>
        <v>2518.6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2239.2710217962886</v>
      </c>
      <c r="L10" s="16">
        <f t="shared" ca="1" si="0"/>
        <v>2239.2710217962886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-1055.46</v>
      </c>
      <c r="Q10" s="16" cm="1">
        <f t="array" aca="1" ref="Q10" ca="1">INDIRECT("'data'!$W$" &amp; $A$1)*parameters!$B$15</f>
        <v>1183.8110217962887</v>
      </c>
      <c r="R10" s="16">
        <f t="shared" ca="1" si="2"/>
        <v>1183.8110217962885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5796.204678744808</v>
      </c>
      <c r="N11" s="19"/>
      <c r="O11" s="21" cm="1">
        <f t="array" aca="1" ref="O11" ca="1">INDIRECT("'data'!$Z$" &amp; $A$1)*parameters!$B$15</f>
        <v>41.16</v>
      </c>
      <c r="P11" s="27" cm="1">
        <f t="array" aca="1" ref="P11" ca="1">-INDIRECT("'data'!$AA$" &amp; $A$1)*parameters!$B$15</f>
        <v>-1108.3799999999999</v>
      </c>
      <c r="Q11" s="16">
        <f ca="1">K9*parameters!$B$10+K10*parameters!$B$11</f>
        <v>4728.9846787448078</v>
      </c>
      <c r="R11" s="16">
        <f t="shared" ref="R11:R17" ca="1" si="4">SUM(L11:P11)</f>
        <v>4728.9846787448078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-16.770480107456024</v>
      </c>
      <c r="E12" s="9">
        <f ca="1">-(E17-Q5)</f>
        <v>-166.9840031914232</v>
      </c>
      <c r="F12" s="9">
        <f ca="1">-(F17-Q6)</f>
        <v>0</v>
      </c>
      <c r="G12" s="9">
        <f ca="1">-(G17-Q7)</f>
        <v>-173.66787878787909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-357.42236208675831</v>
      </c>
      <c r="M12" s="17"/>
      <c r="N12" s="17"/>
      <c r="O12" s="10"/>
      <c r="P12" s="12"/>
      <c r="Q12" s="9">
        <f t="shared" ref="Q12:Q17" ca="1" si="6">SUM(L12:P12)</f>
        <v>-357.42236208675831</v>
      </c>
      <c r="R12" s="17">
        <f t="shared" ca="1" si="4"/>
        <v>-357.42236208675831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-692.67346639963944</v>
      </c>
      <c r="J13" s="14">
        <f ca="1">-(J17-Q10)</f>
        <v>-325.57551180407154</v>
      </c>
      <c r="K13" s="13">
        <f ca="1">-(K17-Q11)</f>
        <v>-492.42634305148022</v>
      </c>
      <c r="L13" s="14">
        <f t="shared" ca="1" si="5"/>
        <v>-1510.6753212551912</v>
      </c>
      <c r="M13" s="16">
        <f ca="1">-E15</f>
        <v>-7.3610713941106951</v>
      </c>
      <c r="N13" s="16"/>
      <c r="O13" s="11"/>
      <c r="P13" s="13"/>
      <c r="Q13" s="14">
        <f t="shared" ca="1" si="6"/>
        <v>-1518.0363926493019</v>
      </c>
      <c r="R13" s="16">
        <f t="shared" ca="1" si="4"/>
        <v>-1518.0363926493019</v>
      </c>
    </row>
    <row r="14" spans="1:22">
      <c r="A14" s="18" t="s">
        <v>78</v>
      </c>
      <c r="B14" s="11"/>
      <c r="C14" s="14"/>
      <c r="D14" s="14"/>
      <c r="E14" s="14">
        <f ca="1">-(I13+J13)-K13</f>
        <v>1510.6753212551912</v>
      </c>
      <c r="F14" s="14"/>
      <c r="G14" s="14"/>
      <c r="H14" s="14"/>
      <c r="I14" s="14"/>
      <c r="J14" s="14"/>
      <c r="K14" s="13"/>
      <c r="L14" s="14">
        <f t="shared" ca="1" si="5"/>
        <v>1510.6753212551912</v>
      </c>
      <c r="M14" s="16"/>
      <c r="N14" s="16"/>
      <c r="O14" s="11"/>
      <c r="P14" s="13"/>
      <c r="Q14" s="14">
        <f t="shared" ca="1" si="6"/>
        <v>1510.6753212551912</v>
      </c>
      <c r="R14" s="16">
        <f t="shared" ca="1" si="4"/>
        <v>1510.6753212551912</v>
      </c>
    </row>
    <row r="15" spans="1:22">
      <c r="A15" s="18" t="s">
        <v>79</v>
      </c>
      <c r="B15" s="11"/>
      <c r="C15" s="14"/>
      <c r="D15" s="14"/>
      <c r="E15" s="14">
        <f ca="1">E17-E14</f>
        <v>7.3610713941106951</v>
      </c>
      <c r="F15" s="14"/>
      <c r="G15" s="14"/>
      <c r="H15" s="14"/>
      <c r="I15" s="14"/>
      <c r="J15" s="14"/>
      <c r="K15" s="13"/>
      <c r="L15" s="14">
        <f t="shared" ca="1" si="5"/>
        <v>7.3610713941106951</v>
      </c>
      <c r="M15" s="16"/>
      <c r="N15" s="16"/>
      <c r="O15" s="11"/>
      <c r="P15" s="13"/>
      <c r="Q15" s="14">
        <f t="shared" ca="1" si="6"/>
        <v>7.3610713941106951</v>
      </c>
      <c r="R15" s="16">
        <f t="shared" ca="1" si="4"/>
        <v>7.3610713941106951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2661.9809694374562</v>
      </c>
      <c r="E17" s="9">
        <f ca="1">$Q$5/parameters!$B$4</f>
        <v>1518.0363926493019</v>
      </c>
      <c r="F17" s="9">
        <f t="shared" ref="F17:K17" ca="1" si="7">SUM(F$2:F$11)</f>
        <v>0</v>
      </c>
      <c r="G17" s="9">
        <f t="shared" ca="1" si="7"/>
        <v>4038.787878787879</v>
      </c>
      <c r="H17" s="9">
        <f t="shared" ca="1" si="7"/>
        <v>3865.12</v>
      </c>
      <c r="I17" s="9">
        <f t="shared" ca="1" si="7"/>
        <v>3211.2734663996393</v>
      </c>
      <c r="J17" s="9">
        <f t="shared" ca="1" si="7"/>
        <v>1509.3865336003603</v>
      </c>
      <c r="K17" s="9">
        <f t="shared" ca="1" si="7"/>
        <v>5221.411021796288</v>
      </c>
      <c r="L17" s="17">
        <f t="shared" ca="1" si="5"/>
        <v>22025.996262670924</v>
      </c>
      <c r="M17" s="17"/>
      <c r="N17" s="17"/>
      <c r="O17" s="9"/>
      <c r="P17" s="14"/>
      <c r="Q17" s="11">
        <f t="shared" ca="1" si="6"/>
        <v>22025.996262670924</v>
      </c>
      <c r="R17" s="17">
        <f t="shared" ca="1" si="4"/>
        <v>22025.996262670924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0.78429944579704725</v>
      </c>
      <c r="J18" s="39">
        <f ca="1">I18</f>
        <v>0.78429944579704725</v>
      </c>
      <c r="K18" s="40">
        <f ca="1">1-(-K13)/K17</f>
        <v>0.90569094426853336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4447.7860521284083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4447.7860521284083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-3745.2860521284083</v>
      </c>
      <c r="Q2" s="17" cm="1">
        <f t="array" aca="1" ref="Q2" ca="1">INDIRECT("'data'!$D$" &amp; $A$1)</f>
        <v>702.5</v>
      </c>
      <c r="R2" s="17">
        <f ca="1">SUM(L2:P2)</f>
        <v>702.5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4412.2776119402988</v>
      </c>
      <c r="G3" s="14">
        <f ca="1">Q3-O3-P3-F3</f>
        <v>34.892388059701261</v>
      </c>
      <c r="H3" s="14"/>
      <c r="I3" s="14"/>
      <c r="J3" s="14"/>
      <c r="K3" s="13"/>
      <c r="L3" s="16">
        <f t="shared" ca="1" si="0"/>
        <v>4447.17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6.6149999999999993</v>
      </c>
      <c r="P3" s="13" cm="1">
        <f t="array" aca="1" ref="P3" ca="1">-INDIRECT("'data'!$I$" &amp; $A$1)*parameters!$B$13</f>
        <v>-34.019999999999996</v>
      </c>
      <c r="Q3" s="16" cm="1">
        <f t="array" aca="1" ref="Q3" ca="1">INDIRECT("'data'!$G$" &amp; $A$1)*parameters!$B$13</f>
        <v>4419.7649999999994</v>
      </c>
      <c r="R3" s="16">
        <f t="shared" ref="R3:R10" ca="1" si="2">SUM(L3:P3)</f>
        <v>4419.7649999999994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1550.2597014925373</v>
      </c>
      <c r="G5" s="14">
        <f ca="1">Q7/parameters!$B$7-(G3+G4)</f>
        <v>533.44616993402917</v>
      </c>
      <c r="H5" s="14"/>
      <c r="I5" s="14"/>
      <c r="J5" s="14"/>
      <c r="K5" s="13"/>
      <c r="L5" s="16">
        <f t="shared" ca="1" si="0"/>
        <v>2083.7058714265663</v>
      </c>
      <c r="M5" s="16"/>
      <c r="N5" s="16"/>
      <c r="O5" s="11" cm="1">
        <f t="array" aca="1" ref="O5" ca="1">INDIRECT("'data'!$M$" &amp; $A$1)*parameters!$B$15</f>
        <v>857.5</v>
      </c>
      <c r="P5" s="13" cm="1">
        <f t="array" aca="1" ref="P5" ca="1">-INDIRECT("'data'!$N$" &amp; $A$1)*parameters!$B$15</f>
        <v>-915.31999999999994</v>
      </c>
      <c r="Q5" s="16">
        <f ca="1">SUM(L5:P5)</f>
        <v>2025.8858714265664</v>
      </c>
      <c r="R5" s="16">
        <f t="shared" ca="1" si="2"/>
        <v>2025.8858714265664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5592.86</v>
      </c>
      <c r="I6" s="14"/>
      <c r="J6" s="14"/>
      <c r="K6" s="13"/>
      <c r="L6" s="16">
        <f t="shared" ca="1" si="0"/>
        <v>5592.86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5592.86</v>
      </c>
      <c r="R6" s="16">
        <f t="shared" ca="1" si="2"/>
        <v>5592.86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543.9</v>
      </c>
      <c r="I7" s="14"/>
      <c r="J7" s="14"/>
      <c r="K7" s="13"/>
      <c r="L7" s="16">
        <f t="shared" ca="1" si="0"/>
        <v>543.9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543.9</v>
      </c>
      <c r="R7" s="16">
        <f t="shared" ca="1" si="2"/>
        <v>543.9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1537.5888371067065</v>
      </c>
      <c r="J8" s="14">
        <f ca="1">Q10/J18</f>
        <v>4440.4111628932924</v>
      </c>
      <c r="K8" s="13"/>
      <c r="L8" s="16">
        <f t="shared" ca="1" si="0"/>
        <v>5977.9999999999991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254.79999999999998</v>
      </c>
      <c r="P8" s="13" cm="1">
        <f t="array" aca="1" ref="P8" ca="1">-INDIRECT("'data'!$S$" &amp; $A$1)*parameters!$B$15</f>
        <v>-96.039999999999992</v>
      </c>
      <c r="Q8" s="16">
        <f ca="1">SUM(Q6:Q7)</f>
        <v>6136.7599999999993</v>
      </c>
      <c r="R8" s="16">
        <f t="shared" ca="1" si="2"/>
        <v>6136.7599999999993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1449.42</v>
      </c>
      <c r="L9" s="16">
        <f t="shared" ca="1" si="0"/>
        <v>1449.42</v>
      </c>
      <c r="M9" s="16"/>
      <c r="N9" s="16">
        <f t="shared" ca="1" si="3"/>
        <v>0</v>
      </c>
      <c r="O9" s="11" cm="1">
        <f t="array" aca="1" ref="O9" ca="1">INDIRECT("'data'!$U$" &amp; $A$1)*parameters!$B$15</f>
        <v>941.78</v>
      </c>
      <c r="P9" s="13" cm="1">
        <f t="array" aca="1" ref="P9" ca="1">-INDIRECT("'data'!$V$" &amp; $A$1)*parameters!$B$15</f>
        <v>-967.26</v>
      </c>
      <c r="Q9" s="16" cm="1">
        <f t="array" aca="1" ref="Q9" ca="1">INDIRECT("'data'!$T$" &amp; $A$1)*parameters!$B$15</f>
        <v>1423.94</v>
      </c>
      <c r="R9" s="16">
        <f t="shared" ca="1" si="2"/>
        <v>1423.9399999999998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2024.8040682788046</v>
      </c>
      <c r="L10" s="16">
        <f t="shared" ca="1" si="0"/>
        <v>2024.8040682788046</v>
      </c>
      <c r="M10" s="16"/>
      <c r="N10" s="16">
        <f t="shared" ca="1" si="3"/>
        <v>0</v>
      </c>
      <c r="O10" s="11" cm="1">
        <f t="array" aca="1" ref="O10" ca="1">INDIRECT("'data'!$X$" &amp; $A$1)*parameters!$B$15</f>
        <v>3313.38</v>
      </c>
      <c r="P10" s="13" cm="1">
        <f t="array" aca="1" ref="P10" ca="1">-INDIRECT("'data'!$Y$" &amp; $A$1)*parameters!$B$15</f>
        <v>-1225.98</v>
      </c>
      <c r="Q10" s="16" cm="1">
        <f t="array" aca="1" ref="Q10" ca="1">INDIRECT("'data'!$W$" &amp; $A$1)*parameters!$B$15</f>
        <v>4112.2040682788047</v>
      </c>
      <c r="R10" s="16">
        <f t="shared" ca="1" si="2"/>
        <v>4112.2040682788047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3281.1662987197719</v>
      </c>
      <c r="N11" s="19"/>
      <c r="O11" s="21" cm="1">
        <f t="array" aca="1" ref="O11" ca="1">INDIRECT("'data'!$Z$" &amp; $A$1)*parameters!$B$15</f>
        <v>2668.54</v>
      </c>
      <c r="P11" s="27" cm="1">
        <f t="array" aca="1" ref="P11" ca="1">-INDIRECT("'data'!$AA$" &amp; $A$1)*parameters!$B$15</f>
        <v>-2845.92</v>
      </c>
      <c r="Q11" s="16">
        <f ca="1">K9*parameters!$B$10+K10*parameters!$B$11</f>
        <v>3103.7862987197718</v>
      </c>
      <c r="R11" s="16">
        <f t="shared" ref="R11:R17" ca="1" si="4">SUM(L11:P11)</f>
        <v>3103.7862987197714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-28.021052128408883</v>
      </c>
      <c r="D12" s="9">
        <f ca="1">-(D17-Q4)</f>
        <v>0</v>
      </c>
      <c r="E12" s="9">
        <f ca="1">-(E17-Q5)</f>
        <v>-250.39038860328333</v>
      </c>
      <c r="F12" s="9">
        <f ca="1">-(F17-Q6)</f>
        <v>-369.67731343283685</v>
      </c>
      <c r="G12" s="9">
        <f ca="1">-(G17-Q7)</f>
        <v>-24.438557993730456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-672.52731215825952</v>
      </c>
      <c r="M12" s="17"/>
      <c r="N12" s="17"/>
      <c r="O12" s="10"/>
      <c r="P12" s="12"/>
      <c r="Q12" s="9">
        <f t="shared" ref="Q12:Q17" ca="1" si="6">SUM(L12:P12)</f>
        <v>-672.52731215825952</v>
      </c>
      <c r="R12" s="17">
        <f t="shared" ca="1" si="4"/>
        <v>-672.52731215825952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-113.64883710670642</v>
      </c>
      <c r="J13" s="14">
        <f ca="1">-(J17-Q10)</f>
        <v>-328.20709461448769</v>
      </c>
      <c r="K13" s="13">
        <f ca="1">-(K17-Q11)</f>
        <v>-370.43776955903286</v>
      </c>
      <c r="L13" s="14">
        <f t="shared" ca="1" si="5"/>
        <v>-812.29370128022697</v>
      </c>
      <c r="M13" s="16">
        <f ca="1">-E15</f>
        <v>-1463.9825587496227</v>
      </c>
      <c r="N13" s="16"/>
      <c r="O13" s="11"/>
      <c r="P13" s="13"/>
      <c r="Q13" s="14">
        <f t="shared" ca="1" si="6"/>
        <v>-2276.2762600298497</v>
      </c>
      <c r="R13" s="16">
        <f t="shared" ca="1" si="4"/>
        <v>-2276.2762600298497</v>
      </c>
    </row>
    <row r="14" spans="1:20">
      <c r="A14" s="18" t="s">
        <v>78</v>
      </c>
      <c r="B14" s="11"/>
      <c r="C14" s="14"/>
      <c r="D14" s="14"/>
      <c r="E14" s="14">
        <f ca="1">-(I13+J13)-K13</f>
        <v>812.29370128022697</v>
      </c>
      <c r="F14" s="14"/>
      <c r="G14" s="14"/>
      <c r="H14" s="14"/>
      <c r="I14" s="14"/>
      <c r="J14" s="14"/>
      <c r="K14" s="13"/>
      <c r="L14" s="14">
        <f t="shared" ca="1" si="5"/>
        <v>812.29370128022697</v>
      </c>
      <c r="M14" s="16"/>
      <c r="N14" s="16"/>
      <c r="O14" s="11"/>
      <c r="P14" s="13"/>
      <c r="Q14" s="14">
        <f t="shared" ca="1" si="6"/>
        <v>812.29370128022697</v>
      </c>
      <c r="R14" s="16">
        <f t="shared" ca="1" si="4"/>
        <v>812.29370128022697</v>
      </c>
    </row>
    <row r="15" spans="1:20">
      <c r="A15" s="18" t="s">
        <v>79</v>
      </c>
      <c r="B15" s="11"/>
      <c r="C15" s="14"/>
      <c r="D15" s="14"/>
      <c r="E15" s="14">
        <f ca="1">E17-E14</f>
        <v>1463.9825587496227</v>
      </c>
      <c r="F15" s="14"/>
      <c r="G15" s="14"/>
      <c r="H15" s="14"/>
      <c r="I15" s="14"/>
      <c r="J15" s="14"/>
      <c r="K15" s="13"/>
      <c r="L15" s="14">
        <f t="shared" ca="1" si="5"/>
        <v>1463.9825587496227</v>
      </c>
      <c r="M15" s="16"/>
      <c r="N15" s="16"/>
      <c r="O15" s="11"/>
      <c r="P15" s="13"/>
      <c r="Q15" s="14">
        <f t="shared" ca="1" si="6"/>
        <v>1463.9825587496227</v>
      </c>
      <c r="R15" s="16">
        <f t="shared" ca="1" si="4"/>
        <v>1463.9825587496227</v>
      </c>
    </row>
    <row r="16" spans="1:20">
      <c r="A16" s="30" t="s">
        <v>89</v>
      </c>
      <c r="B16" s="21">
        <f ca="1">Q2</f>
        <v>702.5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702.5</v>
      </c>
      <c r="M16" s="19"/>
      <c r="N16" s="19"/>
      <c r="O16" s="21"/>
      <c r="P16" s="27"/>
      <c r="Q16" s="22">
        <f t="shared" ca="1" si="6"/>
        <v>702.5</v>
      </c>
      <c r="R16" s="19">
        <f t="shared" ca="1" si="4"/>
        <v>702.5</v>
      </c>
    </row>
    <row r="17" spans="1:18">
      <c r="A17" s="29" t="s">
        <v>88</v>
      </c>
      <c r="B17" s="9">
        <f ca="1">B16</f>
        <v>702.5</v>
      </c>
      <c r="C17" s="9">
        <f ca="1">SUM(C$2:C$11)</f>
        <v>4447.7860521284083</v>
      </c>
      <c r="D17" s="9">
        <f ca="1">SUM(D$2:D$11)</f>
        <v>0</v>
      </c>
      <c r="E17" s="9">
        <f ca="1">$Q$5/parameters!$B$4</f>
        <v>2276.2762600298497</v>
      </c>
      <c r="F17" s="9">
        <f t="shared" ref="F17:K17" ca="1" si="7">SUM(F$2:F$11)</f>
        <v>5962.5373134328365</v>
      </c>
      <c r="G17" s="9">
        <f t="shared" ca="1" si="7"/>
        <v>568.33855799373043</v>
      </c>
      <c r="H17" s="9">
        <f t="shared" ca="1" si="7"/>
        <v>6136.7599999999993</v>
      </c>
      <c r="I17" s="9">
        <f t="shared" ca="1" si="7"/>
        <v>1537.5888371067065</v>
      </c>
      <c r="J17" s="9">
        <f t="shared" ca="1" si="7"/>
        <v>4440.4111628932924</v>
      </c>
      <c r="K17" s="9">
        <f t="shared" ca="1" si="7"/>
        <v>3474.2240682788047</v>
      </c>
      <c r="L17" s="17">
        <f t="shared" ca="1" si="5"/>
        <v>29546.422251863623</v>
      </c>
      <c r="M17" s="17"/>
      <c r="N17" s="17"/>
      <c r="O17" s="9"/>
      <c r="P17" s="14"/>
      <c r="Q17" s="11">
        <f t="shared" ca="1" si="6"/>
        <v>29546.422251863623</v>
      </c>
      <c r="R17" s="17">
        <f t="shared" ca="1" si="4"/>
        <v>29546.422251863623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0.92608632791549117</v>
      </c>
      <c r="J18" s="39">
        <f ca="1">I18</f>
        <v>0.92608632791549117</v>
      </c>
      <c r="K18" s="40">
        <f ca="1">1-(-K13)/K17</f>
        <v>0.89337539482807315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7430.0945959545134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7430.0945959545134</v>
      </c>
      <c r="M2" s="17"/>
      <c r="N2" s="17">
        <f ca="1">Q2-(L2+O2+P2)</f>
        <v>0</v>
      </c>
      <c r="O2" s="11" cm="1">
        <f t="array" aca="1" ref="O2" ca="1">INDIRECT("'data'!$F$" &amp; $A$1)</f>
        <v>28.6</v>
      </c>
      <c r="P2" s="13">
        <f ca="1">IF(-(L2-Q2+O2)&lt;0, -(L2-Q2+O2), 0)</f>
        <v>-7458.6945959545137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6944.8358208955224</v>
      </c>
      <c r="G3" s="14">
        <f ca="1">Q3-O3-P3-F3</f>
        <v>499.87417910447766</v>
      </c>
      <c r="H3" s="14"/>
      <c r="I3" s="14"/>
      <c r="J3" s="14"/>
      <c r="K3" s="13"/>
      <c r="L3" s="16">
        <f t="shared" ca="1" si="0"/>
        <v>7444.71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215.45999999999998</v>
      </c>
      <c r="P3" s="13" cm="1">
        <f t="array" aca="1" ref="P3" ca="1">-INDIRECT("'data'!$I$" &amp; $A$1)*parameters!$B$13</f>
        <v>-276.88499999999999</v>
      </c>
      <c r="Q3" s="16" cm="1">
        <f t="array" aca="1" ref="Q3" ca="1">INDIRECT("'data'!$G$" &amp; $A$1)*parameters!$B$13</f>
        <v>7383.2849999999999</v>
      </c>
      <c r="R3" s="16">
        <f t="shared" ref="R3:R10" ca="1" si="2">SUM(L3:P3)</f>
        <v>7383.2849999999999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1736.2089552238806</v>
      </c>
      <c r="G5" s="14">
        <f ca="1">Q7/parameters!$B$7-(G3+G4)</f>
        <v>2372.5396139989707</v>
      </c>
      <c r="H5" s="14"/>
      <c r="I5" s="14"/>
      <c r="J5" s="14"/>
      <c r="K5" s="13"/>
      <c r="L5" s="16">
        <f t="shared" ca="1" si="0"/>
        <v>4108.7485692228511</v>
      </c>
      <c r="M5" s="16"/>
      <c r="N5" s="16"/>
      <c r="O5" s="11" cm="1">
        <f t="array" aca="1" ref="O5" ca="1">INDIRECT("'data'!$M$" &amp; $A$1)*parameters!$B$15</f>
        <v>2004.2232595217008</v>
      </c>
      <c r="P5" s="13" cm="1">
        <f t="array" aca="1" ref="P5" ca="1">-INDIRECT("'data'!$N$" &amp; $A$1)*parameters!$B$15</f>
        <v>-3815.3597419663124</v>
      </c>
      <c r="Q5" s="16">
        <f ca="1">SUM(L5:P5)</f>
        <v>2297.6120867782397</v>
      </c>
      <c r="R5" s="16">
        <f t="shared" ca="1" si="2"/>
        <v>2297.6120867782397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8142.82</v>
      </c>
      <c r="I6" s="14"/>
      <c r="J6" s="14"/>
      <c r="K6" s="13"/>
      <c r="L6" s="16">
        <f t="shared" ca="1" si="0"/>
        <v>8142.82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8142.82</v>
      </c>
      <c r="R6" s="16">
        <f t="shared" ca="1" si="2"/>
        <v>8142.82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2748.9</v>
      </c>
      <c r="I7" s="14"/>
      <c r="J7" s="14"/>
      <c r="K7" s="13"/>
      <c r="L7" s="16">
        <f t="shared" ca="1" si="0"/>
        <v>2748.9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2748.9</v>
      </c>
      <c r="R7" s="16">
        <f t="shared" ca="1" si="2"/>
        <v>2748.9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1413.2876719981791</v>
      </c>
      <c r="J8" s="14">
        <f ca="1">Q10/J18</f>
        <v>13185.77232800182</v>
      </c>
      <c r="K8" s="13"/>
      <c r="L8" s="16">
        <f t="shared" ca="1" si="0"/>
        <v>14599.06</v>
      </c>
      <c r="M8" s="16"/>
      <c r="N8" s="16">
        <f t="shared" ca="1" si="3"/>
        <v>0</v>
      </c>
      <c r="O8" s="11" cm="1">
        <f t="array" aca="1" ref="O8" ca="1">INDIRECT("'data'!$R$" &amp; $A$1)*parameters!$B$15</f>
        <v>915.31999999999994</v>
      </c>
      <c r="P8" s="13" cm="1">
        <f t="array" aca="1" ref="P8" ca="1">-INDIRECT("'data'!$S$" &amp; $A$1)*parameters!$B$15</f>
        <v>-4622.66</v>
      </c>
      <c r="Q8" s="16">
        <f ca="1">SUM(Q6:Q7)</f>
        <v>10891.72</v>
      </c>
      <c r="R8" s="16">
        <f t="shared" ca="1" si="2"/>
        <v>10891.72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1649.274697251928</v>
      </c>
      <c r="L9" s="16">
        <f t="shared" ca="1" si="0"/>
        <v>1649.274697251928</v>
      </c>
      <c r="M9" s="16"/>
      <c r="N9" s="16">
        <f t="shared" ca="1" si="3"/>
        <v>0</v>
      </c>
      <c r="O9" s="11" cm="1">
        <f t="array" aca="1" ref="O9" ca="1">INDIRECT("'data'!$U$" &amp; $A$1)*parameters!$B$15</f>
        <v>1547.7179368174725</v>
      </c>
      <c r="P9" s="13" cm="1">
        <f t="array" aca="1" ref="P9" ca="1">-INDIRECT("'data'!$V$" &amp; $A$1)*parameters!$B$15</f>
        <v>-1979.8326340694005</v>
      </c>
      <c r="Q9" s="16" cm="1">
        <f t="array" aca="1" ref="Q9" ca="1">INDIRECT("'data'!$T$" &amp; $A$1)*parameters!$B$15</f>
        <v>1217.1600000000001</v>
      </c>
      <c r="R9" s="16">
        <f t="shared" ca="1" si="2"/>
        <v>1217.1600000000001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2490.9735348593931</v>
      </c>
      <c r="L10" s="16">
        <f t="shared" ca="1" si="0"/>
        <v>2490.9735348593931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13465.473681975045</v>
      </c>
      <c r="P10" s="13" cm="1">
        <f t="array" aca="1" ref="P10" ca="1">-INDIRECT("'data'!$Y$" &amp; $A$1)*parameters!$B$15</f>
        <v>-4600.5180845442537</v>
      </c>
      <c r="Q10" s="16" cm="1">
        <f t="array" aca="1" ref="Q10" ca="1">INDIRECT("'data'!$W$" &amp; $A$1)*parameters!$B$15</f>
        <v>11355.929132290184</v>
      </c>
      <c r="R10" s="16">
        <f t="shared" ca="1" si="2"/>
        <v>11355.929132290184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3606.3154553958902</v>
      </c>
      <c r="N11" s="19"/>
      <c r="O11" s="21" cm="1">
        <f t="array" aca="1" ref="O11" ca="1">INDIRECT("'data'!$Z$" &amp; $A$1)*parameters!$B$15</f>
        <v>5894.7</v>
      </c>
      <c r="P11" s="27" cm="1">
        <f t="array" aca="1" ref="P11" ca="1">-INDIRECT("'data'!$AA$" &amp; $A$1)*parameters!$B$15</f>
        <v>-5808.46</v>
      </c>
      <c r="Q11" s="16">
        <f ca="1">K9*parameters!$B$10+K10*parameters!$B$11</f>
        <v>3692.55545539589</v>
      </c>
      <c r="R11" s="16">
        <f t="shared" ref="R11:R17" ca="1" si="4">SUM(L11:P11)</f>
        <v>3692.5554553958891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-46.809595954513497</v>
      </c>
      <c r="D12" s="9">
        <f ca="1">-(D17-Q4)</f>
        <v>0</v>
      </c>
      <c r="E12" s="9">
        <f ca="1">-(E17-Q5)</f>
        <v>-283.97452757933297</v>
      </c>
      <c r="F12" s="9">
        <f ca="1">-(F17-Q6)</f>
        <v>-538.22477611940303</v>
      </c>
      <c r="G12" s="9">
        <f ca="1">-(G17-Q7)</f>
        <v>-123.51379310344828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-992.52269275669778</v>
      </c>
      <c r="M12" s="17"/>
      <c r="N12" s="17"/>
      <c r="O12" s="10"/>
      <c r="P12" s="12"/>
      <c r="Q12" s="9">
        <f t="shared" ref="Q12:Q17" ca="1" si="6">SUM(L12:P12)</f>
        <v>-992.52269275669778</v>
      </c>
      <c r="R12" s="17">
        <f t="shared" ca="1" si="4"/>
        <v>-992.52269275669778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-196.12767199817904</v>
      </c>
      <c r="J13" s="14">
        <f ca="1">-(J17-Q10)</f>
        <v>-1829.8431957116354</v>
      </c>
      <c r="K13" s="13">
        <f ca="1">-(K17-Q11)</f>
        <v>-447.69277671543114</v>
      </c>
      <c r="L13" s="14">
        <f t="shared" ca="1" si="5"/>
        <v>-2473.6636444252454</v>
      </c>
      <c r="M13" s="16">
        <f ca="1">-E15</f>
        <v>-107.92296993232731</v>
      </c>
      <c r="N13" s="16"/>
      <c r="O13" s="11"/>
      <c r="P13" s="13"/>
      <c r="Q13" s="14">
        <f t="shared" ca="1" si="6"/>
        <v>-2581.5866143575727</v>
      </c>
      <c r="R13" s="16">
        <f t="shared" ca="1" si="4"/>
        <v>-2581.5866143575727</v>
      </c>
    </row>
    <row r="14" spans="1:20">
      <c r="A14" s="18" t="s">
        <v>78</v>
      </c>
      <c r="B14" s="11"/>
      <c r="C14" s="14"/>
      <c r="D14" s="14"/>
      <c r="E14" s="14">
        <f ca="1">-(I13+J13)-K13</f>
        <v>2473.6636444252454</v>
      </c>
      <c r="F14" s="14"/>
      <c r="G14" s="14"/>
      <c r="H14" s="14"/>
      <c r="I14" s="14"/>
      <c r="J14" s="14"/>
      <c r="K14" s="13"/>
      <c r="L14" s="14">
        <f t="shared" ca="1" si="5"/>
        <v>2473.6636444252454</v>
      </c>
      <c r="M14" s="16"/>
      <c r="N14" s="16"/>
      <c r="O14" s="11"/>
      <c r="P14" s="13"/>
      <c r="Q14" s="14">
        <f t="shared" ca="1" si="6"/>
        <v>2473.6636444252454</v>
      </c>
      <c r="R14" s="16">
        <f t="shared" ca="1" si="4"/>
        <v>2473.6636444252454</v>
      </c>
    </row>
    <row r="15" spans="1:20">
      <c r="A15" s="18" t="s">
        <v>79</v>
      </c>
      <c r="B15" s="11"/>
      <c r="C15" s="14"/>
      <c r="D15" s="14"/>
      <c r="E15" s="14">
        <f ca="1">E17-E14</f>
        <v>107.92296993232731</v>
      </c>
      <c r="F15" s="14"/>
      <c r="G15" s="14"/>
      <c r="H15" s="14"/>
      <c r="I15" s="14"/>
      <c r="J15" s="14"/>
      <c r="K15" s="13"/>
      <c r="L15" s="14">
        <f t="shared" ca="1" si="5"/>
        <v>107.92296993232731</v>
      </c>
      <c r="M15" s="16"/>
      <c r="N15" s="16"/>
      <c r="O15" s="11"/>
      <c r="P15" s="13"/>
      <c r="Q15" s="14">
        <f t="shared" ca="1" si="6"/>
        <v>107.92296993232731</v>
      </c>
      <c r="R15" s="16">
        <f t="shared" ca="1" si="4"/>
        <v>107.92296993232731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7430.0945959545134</v>
      </c>
      <c r="D17" s="9">
        <f ca="1">SUM(D$2:D$11)</f>
        <v>0</v>
      </c>
      <c r="E17" s="9">
        <f ca="1">$Q$5/parameters!$B$4</f>
        <v>2581.5866143575727</v>
      </c>
      <c r="F17" s="9">
        <f t="shared" ref="F17:K17" ca="1" si="7">SUM(F$2:F$11)</f>
        <v>8681.0447761194027</v>
      </c>
      <c r="G17" s="9">
        <f t="shared" ca="1" si="7"/>
        <v>2872.4137931034484</v>
      </c>
      <c r="H17" s="9">
        <f t="shared" ca="1" si="7"/>
        <v>10891.72</v>
      </c>
      <c r="I17" s="9">
        <f t="shared" ca="1" si="7"/>
        <v>1413.2876719981791</v>
      </c>
      <c r="J17" s="9">
        <f t="shared" ca="1" si="7"/>
        <v>13185.77232800182</v>
      </c>
      <c r="K17" s="9">
        <f t="shared" ca="1" si="7"/>
        <v>4140.2482321113212</v>
      </c>
      <c r="L17" s="17">
        <f t="shared" ca="1" si="5"/>
        <v>51196.168011646259</v>
      </c>
      <c r="M17" s="17"/>
      <c r="N17" s="17"/>
      <c r="O17" s="9"/>
      <c r="P17" s="14"/>
      <c r="Q17" s="11">
        <f t="shared" ca="1" si="6"/>
        <v>51196.168011646259</v>
      </c>
      <c r="R17" s="17">
        <f t="shared" ca="1" si="4"/>
        <v>51196.168011646259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0.86122593730625019</v>
      </c>
      <c r="J18" s="39">
        <f ca="1">I18</f>
        <v>0.86122593730625019</v>
      </c>
      <c r="K18" s="40">
        <f ca="1">1-(-K13)/K17</f>
        <v>0.89186813166341716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9726.7384522491684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9726.7384522491684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-9726.7384522491684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9329.0149253731342</v>
      </c>
      <c r="G3" s="14">
        <f ca="1">Q3-O3-P3-F3</f>
        <v>446.06507462686568</v>
      </c>
      <c r="H3" s="14"/>
      <c r="I3" s="14"/>
      <c r="J3" s="14"/>
      <c r="K3" s="13"/>
      <c r="L3" s="16">
        <f t="shared" ca="1" si="0"/>
        <v>9775.08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-110.565</v>
      </c>
      <c r="Q3" s="16" cm="1">
        <f t="array" aca="1" ref="Q3" ca="1">INDIRECT("'data'!$G$" &amp; $A$1)*parameters!$B$13</f>
        <v>9665.4599999999991</v>
      </c>
      <c r="R3" s="16">
        <f t="shared" ref="R3:R10" ca="1" si="2">SUM(L3:P3)</f>
        <v>9665.4599999999991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1776.955223880597</v>
      </c>
      <c r="G5" s="14">
        <f ca="1">Q7/parameters!$B$7-(G3+G4)</f>
        <v>2255.33513435955</v>
      </c>
      <c r="H5" s="14"/>
      <c r="I5" s="14"/>
      <c r="J5" s="14"/>
      <c r="K5" s="13"/>
      <c r="L5" s="16">
        <f t="shared" ca="1" si="0"/>
        <v>4032.2903582401468</v>
      </c>
      <c r="M5" s="16"/>
      <c r="N5" s="16"/>
      <c r="O5" s="11" cm="1">
        <f t="array" aca="1" ref="O5" ca="1">INDIRECT("'data'!$M$" &amp; $A$1)*parameters!$B$15</f>
        <v>7074.62</v>
      </c>
      <c r="P5" s="13" cm="1">
        <f t="array" aca="1" ref="P5" ca="1">-INDIRECT("'data'!$N$" &amp; $A$1)*parameters!$B$15</f>
        <v>-137.19999999999999</v>
      </c>
      <c r="Q5" s="16">
        <f ca="1">SUM(L5:P5)</f>
        <v>10969.710358240147</v>
      </c>
      <c r="R5" s="16">
        <f t="shared" ca="1" si="2"/>
        <v>10969.710358240147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10417.4</v>
      </c>
      <c r="I6" s="14"/>
      <c r="J6" s="14"/>
      <c r="K6" s="13"/>
      <c r="L6" s="16">
        <f t="shared" ca="1" si="0"/>
        <v>10417.4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10417.4</v>
      </c>
      <c r="R6" s="16">
        <f t="shared" ca="1" si="2"/>
        <v>10417.4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2585.2399999999998</v>
      </c>
      <c r="I7" s="14"/>
      <c r="J7" s="14"/>
      <c r="K7" s="13"/>
      <c r="L7" s="16">
        <f t="shared" ca="1" si="0"/>
        <v>2585.2399999999998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2585.2399999999998</v>
      </c>
      <c r="R7" s="16">
        <f t="shared" ca="1" si="2"/>
        <v>2585.2399999999998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5268.2684805560139</v>
      </c>
      <c r="J8" s="14">
        <f ca="1">Q10/J18</f>
        <v>7012.1115194439853</v>
      </c>
      <c r="K8" s="13"/>
      <c r="L8" s="16">
        <f t="shared" ca="1" si="0"/>
        <v>12280.38</v>
      </c>
      <c r="M8" s="16"/>
      <c r="N8" s="16">
        <f t="shared" ca="1" si="3"/>
        <v>0</v>
      </c>
      <c r="O8" s="11" cm="1">
        <f t="array" aca="1" ref="O8" ca="1">INDIRECT("'data'!$R$" &amp; $A$1)*parameters!$B$15</f>
        <v>1252.44</v>
      </c>
      <c r="P8" s="13" cm="1">
        <f t="array" aca="1" ref="P8" ca="1">-INDIRECT("'data'!$S$" &amp; $A$1)*parameters!$B$15</f>
        <v>-530.17999999999995</v>
      </c>
      <c r="Q8" s="16">
        <f ca="1">SUM(Q6:Q7)</f>
        <v>13002.64</v>
      </c>
      <c r="R8" s="16">
        <f t="shared" ca="1" si="2"/>
        <v>13002.64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4149.32</v>
      </c>
      <c r="L9" s="16">
        <f t="shared" ca="1" si="0"/>
        <v>4149.32</v>
      </c>
      <c r="M9" s="16"/>
      <c r="N9" s="16">
        <f t="shared" ca="1" si="3"/>
        <v>0</v>
      </c>
      <c r="O9" s="11" cm="1">
        <f t="array" aca="1" ref="O9" ca="1">INDIRECT("'data'!$U$" &amp; $A$1)*parameters!$B$15</f>
        <v>2483.3200000000002</v>
      </c>
      <c r="P9" s="13" cm="1">
        <f t="array" aca="1" ref="P9" ca="1">-INDIRECT("'data'!$V$" &amp; $A$1)*parameters!$B$15</f>
        <v>-2309.86</v>
      </c>
      <c r="Q9" s="16" cm="1">
        <f t="array" aca="1" ref="Q9" ca="1">INDIRECT("'data'!$T$" &amp; $A$1)*parameters!$B$15</f>
        <v>4322.78</v>
      </c>
      <c r="R9" s="16">
        <f t="shared" ca="1" si="2"/>
        <v>4322.7799999999988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7333.4180654338543</v>
      </c>
      <c r="L10" s="16">
        <f t="shared" ca="1" si="0"/>
        <v>7333.4180654338543</v>
      </c>
      <c r="M10" s="16"/>
      <c r="N10" s="16">
        <f t="shared" ca="1" si="3"/>
        <v>0</v>
      </c>
      <c r="O10" s="11" cm="1">
        <f t="array" aca="1" ref="O10" ca="1">INDIRECT("'data'!$X$" &amp; $A$1)*parameters!$B$15</f>
        <v>2581.3200000000002</v>
      </c>
      <c r="P10" s="13" cm="1">
        <f t="array" aca="1" ref="P10" ca="1">-INDIRECT("'data'!$Y$" &amp; $A$1)*parameters!$B$15</f>
        <v>-4161.08</v>
      </c>
      <c r="Q10" s="16" cm="1">
        <f t="array" aca="1" ref="Q10" ca="1">INDIRECT("'data'!$W$" &amp; $A$1)*parameters!$B$15</f>
        <v>5753.658065433855</v>
      </c>
      <c r="R10" s="16">
        <f t="shared" ca="1" si="2"/>
        <v>5753.6580654338541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13929.140336273114</v>
      </c>
      <c r="N11" s="19"/>
      <c r="O11" s="21" cm="1">
        <f t="array" aca="1" ref="O11" ca="1">INDIRECT("'data'!$Z$" &amp; $A$1)*parameters!$B$15</f>
        <v>5972.12</v>
      </c>
      <c r="P11" s="27" cm="1">
        <f t="array" aca="1" ref="P11" ca="1">-INDIRECT("'data'!$AA$" &amp; $A$1)*parameters!$B$15</f>
        <v>-9694.16</v>
      </c>
      <c r="Q11" s="16">
        <f ca="1">K9*parameters!$B$10+K10*parameters!$B$11</f>
        <v>10207.100336273113</v>
      </c>
      <c r="R11" s="16">
        <f t="shared" ref="R11:R17" ca="1" si="4">SUM(L11:P11)</f>
        <v>10207.100336273113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-61.278452249169277</v>
      </c>
      <c r="D12" s="9">
        <f ca="1">-(D17-Q4)</f>
        <v>0</v>
      </c>
      <c r="E12" s="9">
        <f ca="1">-(E17-Q5)</f>
        <v>-1355.8068982094555</v>
      </c>
      <c r="F12" s="9">
        <f ca="1">-(F17-Q6)</f>
        <v>-688.57014925373187</v>
      </c>
      <c r="G12" s="9">
        <f ca="1">-(G17-Q7)</f>
        <v>-116.16020898641591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-2221.8157086987726</v>
      </c>
      <c r="M12" s="17"/>
      <c r="N12" s="17"/>
      <c r="O12" s="10"/>
      <c r="P12" s="12"/>
      <c r="Q12" s="9">
        <f t="shared" ref="Q12:Q17" ca="1" si="6">SUM(L12:P12)</f>
        <v>-2221.8157086987726</v>
      </c>
      <c r="R12" s="17">
        <f t="shared" ca="1" si="4"/>
        <v>-2221.8157086987726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-945.48848055601411</v>
      </c>
      <c r="J13" s="14">
        <f ca="1">-(J17-Q10)</f>
        <v>-1258.4534540101304</v>
      </c>
      <c r="K13" s="13">
        <f ca="1">-(K17-Q11)</f>
        <v>-1275.6377291607405</v>
      </c>
      <c r="L13" s="14">
        <f t="shared" ca="1" si="5"/>
        <v>-3479.579663726885</v>
      </c>
      <c r="M13" s="16">
        <f ca="1">-E15</f>
        <v>-8845.9375927227175</v>
      </c>
      <c r="N13" s="16"/>
      <c r="O13" s="11"/>
      <c r="P13" s="13"/>
      <c r="Q13" s="14">
        <f t="shared" ca="1" si="6"/>
        <v>-12325.517256449602</v>
      </c>
      <c r="R13" s="16">
        <f t="shared" ca="1" si="4"/>
        <v>-12325.517256449602</v>
      </c>
    </row>
    <row r="14" spans="1:20">
      <c r="A14" s="18" t="s">
        <v>78</v>
      </c>
      <c r="B14" s="11"/>
      <c r="C14" s="14"/>
      <c r="D14" s="14"/>
      <c r="E14" s="14">
        <f ca="1">-(I13+J13)-K13</f>
        <v>3479.579663726885</v>
      </c>
      <c r="F14" s="14"/>
      <c r="G14" s="14"/>
      <c r="H14" s="14"/>
      <c r="I14" s="14"/>
      <c r="J14" s="14"/>
      <c r="K14" s="13"/>
      <c r="L14" s="14">
        <f t="shared" ca="1" si="5"/>
        <v>3479.579663726885</v>
      </c>
      <c r="M14" s="16"/>
      <c r="N14" s="16"/>
      <c r="O14" s="11"/>
      <c r="P14" s="13"/>
      <c r="Q14" s="14">
        <f t="shared" ca="1" si="6"/>
        <v>3479.579663726885</v>
      </c>
      <c r="R14" s="16">
        <f t="shared" ca="1" si="4"/>
        <v>3479.579663726885</v>
      </c>
    </row>
    <row r="15" spans="1:20">
      <c r="A15" s="18" t="s">
        <v>79</v>
      </c>
      <c r="B15" s="11"/>
      <c r="C15" s="14"/>
      <c r="D15" s="14"/>
      <c r="E15" s="14">
        <f ca="1">E17-E14</f>
        <v>8845.9375927227175</v>
      </c>
      <c r="F15" s="14"/>
      <c r="G15" s="14"/>
      <c r="H15" s="14"/>
      <c r="I15" s="14"/>
      <c r="J15" s="14"/>
      <c r="K15" s="13"/>
      <c r="L15" s="14">
        <f t="shared" ca="1" si="5"/>
        <v>8845.9375927227175</v>
      </c>
      <c r="M15" s="16"/>
      <c r="N15" s="16"/>
      <c r="O15" s="11"/>
      <c r="P15" s="13"/>
      <c r="Q15" s="14">
        <f t="shared" ca="1" si="6"/>
        <v>8845.9375927227175</v>
      </c>
      <c r="R15" s="16">
        <f t="shared" ca="1" si="4"/>
        <v>8845.9375927227175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9726.7384522491684</v>
      </c>
      <c r="D17" s="9">
        <f ca="1">SUM(D$2:D$11)</f>
        <v>0</v>
      </c>
      <c r="E17" s="9">
        <f ca="1">$Q$5/parameters!$B$4</f>
        <v>12325.517256449602</v>
      </c>
      <c r="F17" s="9">
        <f t="shared" ref="F17:K17" ca="1" si="7">SUM(F$2:F$11)</f>
        <v>11105.970149253732</v>
      </c>
      <c r="G17" s="9">
        <f t="shared" ca="1" si="7"/>
        <v>2701.4002089864157</v>
      </c>
      <c r="H17" s="9">
        <f t="shared" ca="1" si="7"/>
        <v>13002.64</v>
      </c>
      <c r="I17" s="9">
        <f t="shared" ca="1" si="7"/>
        <v>5268.2684805560139</v>
      </c>
      <c r="J17" s="9">
        <f t="shared" ca="1" si="7"/>
        <v>7012.1115194439853</v>
      </c>
      <c r="K17" s="9">
        <f t="shared" ca="1" si="7"/>
        <v>11482.738065433854</v>
      </c>
      <c r="L17" s="17">
        <f t="shared" ca="1" si="5"/>
        <v>72625.384132372768</v>
      </c>
      <c r="M17" s="17"/>
      <c r="N17" s="17"/>
      <c r="O17" s="9"/>
      <c r="P17" s="14"/>
      <c r="Q17" s="11">
        <f t="shared" ca="1" si="6"/>
        <v>72625.384132372768</v>
      </c>
      <c r="R17" s="17">
        <f t="shared" ca="1" si="4"/>
        <v>72625.384132372768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0.82053145468086941</v>
      </c>
      <c r="J18" s="39">
        <f ca="1">I18</f>
        <v>0.82053145468086941</v>
      </c>
      <c r="K18" s="40">
        <f ca="1">1-(-K13)/K17</f>
        <v>0.88890822712391615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5268.6631340310296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5268.6631340310296</v>
      </c>
      <c r="M2" s="17"/>
      <c r="N2" s="17">
        <f ca="1">Q2-(L2+O2+P2)</f>
        <v>0</v>
      </c>
      <c r="O2" s="11" cm="1">
        <f t="array" aca="1" ref="O2" ca="1">INDIRECT("'data'!$F$" &amp; $A$1)</f>
        <v>1181.7</v>
      </c>
      <c r="P2" s="13">
        <f ca="1">IF(-(L2-Q2+O2)&lt;0, -(L2-Q2+O2), 0)</f>
        <v>-6450.3631340310294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5257.8985074626871</v>
      </c>
      <c r="G3" s="14">
        <f ca="1">Q3-O3-P3-F3</f>
        <v>56.952048823945916</v>
      </c>
      <c r="H3" s="14"/>
      <c r="I3" s="14"/>
      <c r="J3" s="14"/>
      <c r="K3" s="13"/>
      <c r="L3" s="16">
        <f t="shared" ca="1" si="0"/>
        <v>5314.850556286633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31.184999999999999</v>
      </c>
      <c r="P3" s="13" cm="1">
        <f t="array" aca="1" ref="P3" ca="1">-INDIRECT("'data'!$I$" &amp; $A$1)*parameters!$B$13</f>
        <v>-110.565</v>
      </c>
      <c r="Q3" s="16" cm="1">
        <f t="array" aca="1" ref="Q3" ca="1">INDIRECT("'data'!$G$" &amp; $A$1)*parameters!$B$13</f>
        <v>5235.4705562866338</v>
      </c>
      <c r="R3" s="16">
        <f t="shared" ref="R3:R10" ca="1" si="2">SUM(L3:P3)</f>
        <v>5235.4705562866338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Q6/parameters!$B$5*22%</f>
        <v>1482.9970149253734</v>
      </c>
      <c r="G5" s="14">
        <f ca="1">Q7/parameters!$B$7-(G3+G4)</f>
        <v>65.931963715239036</v>
      </c>
      <c r="H5" s="14"/>
      <c r="I5" s="14"/>
      <c r="J5" s="14"/>
      <c r="K5" s="13"/>
      <c r="L5" s="16">
        <f t="shared" ca="1" si="0"/>
        <v>1548.9289786406125</v>
      </c>
      <c r="M5" s="16"/>
      <c r="N5" s="16"/>
      <c r="O5" s="11" cm="1">
        <f t="array" aca="1" ref="O5" ca="1">INDIRECT("'data'!$M$" &amp; $A$1)*parameters!$B$15</f>
        <v>3248.7</v>
      </c>
      <c r="P5" s="13" cm="1">
        <f t="array" aca="1" ref="P5" ca="1">-INDIRECT("'data'!$N$" &amp; $A$1)*parameters!$B$15</f>
        <v>-1765.96</v>
      </c>
      <c r="Q5" s="16">
        <f ca="1">SUM(L5:P5)</f>
        <v>3031.6689786406123</v>
      </c>
      <c r="R5" s="16">
        <f t="shared" ca="1" si="2"/>
        <v>3031.6689786406123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6322.96</v>
      </c>
      <c r="I6" s="14"/>
      <c r="J6" s="14"/>
      <c r="K6" s="13"/>
      <c r="L6" s="16">
        <f t="shared" ca="1" si="0"/>
        <v>6322.96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6322.96</v>
      </c>
      <c r="R6" s="16">
        <f t="shared" ca="1" si="2"/>
        <v>6322.96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117.6</v>
      </c>
      <c r="I7" s="14"/>
      <c r="J7" s="14"/>
      <c r="K7" s="13"/>
      <c r="L7" s="16">
        <f t="shared" ca="1" si="0"/>
        <v>117.6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117.6</v>
      </c>
      <c r="R7" s="16">
        <f t="shared" ca="1" si="2"/>
        <v>117.6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211.92223108723331</v>
      </c>
      <c r="J8" s="14">
        <f ca="1">Q10/J18</f>
        <v>6121.817768912766</v>
      </c>
      <c r="K8" s="13"/>
      <c r="L8" s="16">
        <f t="shared" ca="1" si="0"/>
        <v>6333.74</v>
      </c>
      <c r="M8" s="16"/>
      <c r="N8" s="16">
        <f t="shared" ca="1" si="3"/>
        <v>0</v>
      </c>
      <c r="O8" s="11" cm="1">
        <f t="array" aca="1" ref="O8" ca="1">INDIRECT("'data'!$R$" &amp; $A$1)*parameters!$B$15</f>
        <v>230.29999999999998</v>
      </c>
      <c r="P8" s="13" cm="1">
        <f t="array" aca="1" ref="P8" ca="1">-INDIRECT("'data'!$S$" &amp; $A$1)*parameters!$B$15</f>
        <v>-123.48</v>
      </c>
      <c r="Q8" s="16">
        <f ca="1">SUM(Q6:Q7)</f>
        <v>6440.56</v>
      </c>
      <c r="R8" s="16">
        <f t="shared" ca="1" si="2"/>
        <v>6440.56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1607.2000000000003</v>
      </c>
      <c r="L9" s="16">
        <f t="shared" ca="1" si="0"/>
        <v>1607.2000000000003</v>
      </c>
      <c r="M9" s="16"/>
      <c r="N9" s="16">
        <f t="shared" ca="1" si="3"/>
        <v>-2.8421709430404007E-13</v>
      </c>
      <c r="O9" s="11" cm="1">
        <f t="array" aca="1" ref="O9" ca="1">INDIRECT("'data'!$U$" &amp; $A$1)*parameters!$B$15</f>
        <v>694.81999999999994</v>
      </c>
      <c r="P9" s="13" cm="1">
        <f t="array" aca="1" ref="P9" ca="1">-INDIRECT("'data'!$V$" &amp; $A$1)*parameters!$B$15</f>
        <v>-2114.84</v>
      </c>
      <c r="Q9" s="16" cm="1">
        <f t="array" aca="1" ref="Q9" ca="1">INDIRECT("'data'!$T$" &amp; $A$1)*parameters!$B$15</f>
        <v>187.18</v>
      </c>
      <c r="R9" s="16">
        <f t="shared" ca="1" si="2"/>
        <v>187.17999999999984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1771.2865718349931</v>
      </c>
      <c r="L10" s="16">
        <f t="shared" ca="1" si="0"/>
        <v>1771.2865718349931</v>
      </c>
      <c r="M10" s="16"/>
      <c r="N10" s="16">
        <f t="shared" ca="1" si="3"/>
        <v>0</v>
      </c>
      <c r="O10" s="11" cm="1">
        <f t="array" aca="1" ref="O10" ca="1">INDIRECT("'data'!$X$" &amp; $A$1)*parameters!$B$15</f>
        <v>6091.68</v>
      </c>
      <c r="P10" s="13" cm="1">
        <f t="array" aca="1" ref="P10" ca="1">-INDIRECT("'data'!$Y$" &amp; $A$1)*parameters!$B$15</f>
        <v>-2455.88</v>
      </c>
      <c r="Q10" s="16" cm="1">
        <f t="array" aca="1" ref="Q10" ca="1">INDIRECT("'data'!$W$" &amp; $A$1)*parameters!$B$15</f>
        <v>5407.0865718349933</v>
      </c>
      <c r="R10" s="16">
        <f t="shared" ca="1" si="2"/>
        <v>5407.0865718349933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3177.154451778094</v>
      </c>
      <c r="N11" s="19"/>
      <c r="O11" s="21" cm="1">
        <f t="array" aca="1" ref="O11" ca="1">INDIRECT("'data'!$Z$" &amp; $A$1)*parameters!$B$15</f>
        <v>3853.36</v>
      </c>
      <c r="P11" s="27" cm="1">
        <f t="array" aca="1" ref="P11" ca="1">-INDIRECT("'data'!$AA$" &amp; $A$1)*parameters!$B$15</f>
        <v>-3996.44</v>
      </c>
      <c r="Q11" s="16">
        <f ca="1">K9*parameters!$B$10+K10*parameters!$B$11</f>
        <v>3034.074451778094</v>
      </c>
      <c r="R11" s="16">
        <f t="shared" ref="R11:R17" ca="1" si="4">SUM(L11:P11)</f>
        <v>3034.0744517780936</v>
      </c>
    </row>
    <row r="12" spans="1:19">
      <c r="A12" s="29" t="s">
        <v>86</v>
      </c>
      <c r="B12" s="10">
        <f ca="1">-(B17-Q2)</f>
        <v>0</v>
      </c>
      <c r="C12" s="9">
        <f ca="1">-(C17-Q3)</f>
        <v>-33.192577744395749</v>
      </c>
      <c r="D12" s="9">
        <f ca="1">-(D17-Q4)</f>
        <v>0</v>
      </c>
      <c r="E12" s="9">
        <f ca="1">-(E17-Q5)</f>
        <v>-374.70066028142401</v>
      </c>
      <c r="F12" s="9">
        <f ca="1">-(F17-Q6)</f>
        <v>-417.93552238806024</v>
      </c>
      <c r="G12" s="9">
        <f ca="1">-(G17-Q7)</f>
        <v>-5.2840125391849568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-831.1127729530649</v>
      </c>
      <c r="M12" s="17"/>
      <c r="N12" s="17"/>
      <c r="O12" s="10"/>
      <c r="P12" s="12"/>
      <c r="Q12" s="9">
        <f t="shared" ref="Q12:Q17" ca="1" si="6">SUM(L12:P12)</f>
        <v>-831.1127729530649</v>
      </c>
      <c r="R12" s="17">
        <f t="shared" ca="1" si="4"/>
        <v>-831.1127729530649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-24.742231087233307</v>
      </c>
      <c r="J13" s="14">
        <f ca="1">-(J17-Q10)</f>
        <v>-714.73119707777278</v>
      </c>
      <c r="K13" s="13">
        <f ca="1">-(K17-Q11)</f>
        <v>-344.41212005689931</v>
      </c>
      <c r="L13" s="14">
        <f t="shared" ca="1" si="5"/>
        <v>-1083.8855482219055</v>
      </c>
      <c r="M13" s="16">
        <f ca="1">-E15</f>
        <v>-2322.4840907001308</v>
      </c>
      <c r="N13" s="16"/>
      <c r="O13" s="11"/>
      <c r="P13" s="13"/>
      <c r="Q13" s="14">
        <f t="shared" ca="1" si="6"/>
        <v>-3406.3696389220363</v>
      </c>
      <c r="R13" s="16">
        <f t="shared" ca="1" si="4"/>
        <v>-3406.3696389220363</v>
      </c>
    </row>
    <row r="14" spans="1:19">
      <c r="A14" s="18" t="s">
        <v>78</v>
      </c>
      <c r="B14" s="11"/>
      <c r="C14" s="14"/>
      <c r="D14" s="14"/>
      <c r="E14" s="14">
        <f ca="1">-(I13+J13)-K13</f>
        <v>1083.8855482219055</v>
      </c>
      <c r="F14" s="14"/>
      <c r="G14" s="14"/>
      <c r="H14" s="14"/>
      <c r="I14" s="14"/>
      <c r="J14" s="14"/>
      <c r="K14" s="13"/>
      <c r="L14" s="14">
        <f t="shared" ca="1" si="5"/>
        <v>1083.8855482219055</v>
      </c>
      <c r="M14" s="16"/>
      <c r="N14" s="16"/>
      <c r="O14" s="11"/>
      <c r="P14" s="13"/>
      <c r="Q14" s="14">
        <f t="shared" ca="1" si="6"/>
        <v>1083.8855482219055</v>
      </c>
      <c r="R14" s="16">
        <f t="shared" ca="1" si="4"/>
        <v>1083.8855482219055</v>
      </c>
    </row>
    <row r="15" spans="1:19">
      <c r="A15" s="18" t="s">
        <v>79</v>
      </c>
      <c r="B15" s="11"/>
      <c r="C15" s="14"/>
      <c r="D15" s="14"/>
      <c r="E15" s="14">
        <f ca="1">E17-E14</f>
        <v>2322.4840907001308</v>
      </c>
      <c r="F15" s="14"/>
      <c r="G15" s="14"/>
      <c r="H15" s="14"/>
      <c r="I15" s="14"/>
      <c r="J15" s="14"/>
      <c r="K15" s="13"/>
      <c r="L15" s="14">
        <f t="shared" ca="1" si="5"/>
        <v>2322.4840907001308</v>
      </c>
      <c r="M15" s="16"/>
      <c r="N15" s="16"/>
      <c r="O15" s="11"/>
      <c r="P15" s="13"/>
      <c r="Q15" s="14">
        <f t="shared" ca="1" si="6"/>
        <v>2322.4840907001308</v>
      </c>
      <c r="R15" s="16">
        <f t="shared" ca="1" si="4"/>
        <v>2322.4840907001308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5268.6631340310296</v>
      </c>
      <c r="D17" s="9">
        <f ca="1">SUM(D$2:D$11)</f>
        <v>0</v>
      </c>
      <c r="E17" s="9">
        <f ca="1">$Q$5/parameters!$B$4</f>
        <v>3406.3696389220363</v>
      </c>
      <c r="F17" s="9">
        <f t="shared" ref="F17:K17" ca="1" si="7">SUM(F$2:F$11)</f>
        <v>6740.8955223880603</v>
      </c>
      <c r="G17" s="9">
        <f t="shared" ca="1" si="7"/>
        <v>122.88401253918495</v>
      </c>
      <c r="H17" s="9">
        <f t="shared" ca="1" si="7"/>
        <v>6440.56</v>
      </c>
      <c r="I17" s="9">
        <f t="shared" ca="1" si="7"/>
        <v>211.92223108723331</v>
      </c>
      <c r="J17" s="9">
        <f t="shared" ca="1" si="7"/>
        <v>6121.817768912766</v>
      </c>
      <c r="K17" s="9">
        <f t="shared" ca="1" si="7"/>
        <v>3378.4865718349934</v>
      </c>
      <c r="L17" s="17">
        <f t="shared" ca="1" si="5"/>
        <v>31691.598879715304</v>
      </c>
      <c r="M17" s="17"/>
      <c r="N17" s="17"/>
      <c r="O17" s="9"/>
      <c r="P17" s="14"/>
      <c r="Q17" s="11">
        <f t="shared" ca="1" si="6"/>
        <v>31691.598879715304</v>
      </c>
      <c r="R17" s="17">
        <f t="shared" ca="1" si="4"/>
        <v>31691.598879715304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0.88324853433121564</v>
      </c>
      <c r="J18" s="39">
        <f ca="1">I18</f>
        <v>0.88324853433121564</v>
      </c>
      <c r="K18" s="40">
        <f ca="1">1-(-K13)/K17</f>
        <v>0.89805727720568229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S23"/>
  <sheetViews>
    <sheetView zoomScaleNormal="100" workbookViewId="0">
      <selection activeCell="G4" sqref="G4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5816.2624534567776</v>
      </c>
      <c r="D2" s="9">
        <f ca="1">Q4/parameters!$B$3</f>
        <v>1805.3738552883162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7621.6363087450936</v>
      </c>
      <c r="M2" s="17"/>
      <c r="N2" s="17">
        <f ca="1">Q2-(L2+O2+P2)</f>
        <v>0</v>
      </c>
      <c r="O2" s="11" cm="1">
        <f t="array" aca="1" ref="O2" ca="1">INDIRECT("'data'!$F$" &amp; $A$1)</f>
        <v>120979.95</v>
      </c>
      <c r="P2" s="13">
        <f ca="1">IF(-(L2-Q2+O2)&lt;0, -(L2-Q2+O2), 0)</f>
        <v>-12246.586308745085</v>
      </c>
      <c r="Q2" s="17" cm="1">
        <f t="array" aca="1" ref="Q2" ca="1">INDIRECT("'data'!$D$" &amp; $A$1)</f>
        <v>116355</v>
      </c>
      <c r="R2" s="17">
        <f ca="1">SUM(L2:P2)</f>
        <v>116355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5183.7611940298511</v>
      </c>
      <c r="G3" s="14">
        <f ca="1">Q3-O3-P3-F3</f>
        <v>608.14380597014861</v>
      </c>
      <c r="H3" s="14"/>
      <c r="I3" s="14"/>
      <c r="J3" s="14"/>
      <c r="K3" s="13"/>
      <c r="L3" s="16">
        <f t="shared" ca="1" si="0"/>
        <v>5791.9049999999997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-13.229999999999999</v>
      </c>
      <c r="Q3" s="16" cm="1">
        <f t="array" aca="1" ref="Q3" ca="1">INDIRECT("'data'!$G$" &amp; $A$1)*parameters!$B$13</f>
        <v>5779.62</v>
      </c>
      <c r="R3" s="16">
        <f t="shared" ref="R3:R10" ca="1" si="2">SUM(L3:P3)</f>
        <v>5779.62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Q7/[2]parameters!$B$7-G3-G5</f>
        <v>103.32490900807238</v>
      </c>
      <c r="H4" s="14"/>
      <c r="I4" s="14"/>
      <c r="J4" s="14"/>
      <c r="K4" s="13"/>
      <c r="L4" s="16">
        <f t="shared" ca="1" si="0"/>
        <v>103.32490900807238</v>
      </c>
      <c r="M4" s="16"/>
      <c r="N4" s="16">
        <f t="shared" ca="1" si="1"/>
        <v>1690.6750909919276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1794</v>
      </c>
      <c r="R4" s="16">
        <f t="shared" ca="1" si="2"/>
        <v>1794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1295.940298507463</v>
      </c>
      <c r="G5" s="38">
        <f ca="1">E14*[2]parameters!$B$4-O5-P5-F5</f>
        <v>662.78415858499761</v>
      </c>
      <c r="H5" s="14"/>
      <c r="I5" s="14"/>
      <c r="J5" s="14"/>
      <c r="K5" s="13"/>
      <c r="L5" s="16">
        <f t="shared" ca="1" si="0"/>
        <v>1958.7244570924606</v>
      </c>
      <c r="M5" s="16"/>
      <c r="N5" s="16"/>
      <c r="O5" s="11" cm="1">
        <f t="array" aca="1" ref="O5" ca="1">INDIRECT("'data'!$M$" &amp; $A$1)*parameters!$B$15</f>
        <v>977.06</v>
      </c>
      <c r="P5" s="13" cm="1">
        <f t="array" aca="1" ref="P5" ca="1">-INDIRECT("'data'!$N$" &amp; $A$1)*parameters!$B$15</f>
        <v>-41.16</v>
      </c>
      <c r="Q5" s="16">
        <f ca="1">SUM(L5:P5)</f>
        <v>2894.6244570924609</v>
      </c>
      <c r="R5" s="16">
        <f t="shared" ca="1" si="2"/>
        <v>2894.6244570924609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6077.96</v>
      </c>
      <c r="I6" s="14"/>
      <c r="J6" s="14"/>
      <c r="K6" s="13"/>
      <c r="L6" s="16">
        <f t="shared" ca="1" si="0"/>
        <v>6077.96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6077.96</v>
      </c>
      <c r="R6" s="16">
        <f t="shared" ca="1" si="2"/>
        <v>6077.96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1315.16</v>
      </c>
      <c r="I7" s="14"/>
      <c r="J7" s="14"/>
      <c r="K7" s="13"/>
      <c r="L7" s="16">
        <f t="shared" ca="1" si="0"/>
        <v>1315.16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1315.16</v>
      </c>
      <c r="R7" s="16">
        <f t="shared" ca="1" si="2"/>
        <v>1315.16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3326.6216468674779</v>
      </c>
      <c r="J8" s="14">
        <f ca="1">Q10/J18</f>
        <v>4068.4583531325216</v>
      </c>
      <c r="K8" s="13"/>
      <c r="L8" s="16">
        <f t="shared" ca="1" si="0"/>
        <v>7395.08</v>
      </c>
      <c r="M8" s="16"/>
      <c r="N8" s="16">
        <f t="shared" ca="1" si="3"/>
        <v>0</v>
      </c>
      <c r="O8" s="11" cm="1">
        <f t="array" aca="1" ref="O8" ca="1">INDIRECT("'data'!$R$" &amp; $A$1)*parameters!$B$15</f>
        <v>7.84</v>
      </c>
      <c r="P8" s="13" cm="1">
        <f t="array" aca="1" ref="P8" ca="1">-INDIRECT("'data'!$S$" &amp; $A$1)*parameters!$B$15</f>
        <v>-9.8000000000000007</v>
      </c>
      <c r="Q8" s="16">
        <f ca="1">SUM(Q6:Q7)</f>
        <v>7393.12</v>
      </c>
      <c r="R8" s="16">
        <f t="shared" ca="1" si="2"/>
        <v>7393.12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2402.96</v>
      </c>
      <c r="L9" s="16">
        <f t="shared" ca="1" si="0"/>
        <v>2402.96</v>
      </c>
      <c r="M9" s="16"/>
      <c r="N9" s="16">
        <f t="shared" ca="1" si="3"/>
        <v>0</v>
      </c>
      <c r="O9" s="11" cm="1">
        <f t="array" aca="1" ref="O9" ca="1">INDIRECT("'data'!$U$" &amp; $A$1)*parameters!$B$15</f>
        <v>179.34</v>
      </c>
      <c r="P9" s="13" cm="1">
        <f t="array" aca="1" ref="P9" ca="1">-INDIRECT("'data'!$V$" &amp; $A$1)*parameters!$B$15</f>
        <v>-469.42</v>
      </c>
      <c r="Q9" s="16" cm="1">
        <f t="array" aca="1" ref="Q9" ca="1">INDIRECT("'data'!$T$" &amp; $A$1)*parameters!$B$15</f>
        <v>2112.88</v>
      </c>
      <c r="R9" s="16">
        <f t="shared" ca="1" si="2"/>
        <v>2112.88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2929.0122901849218</v>
      </c>
      <c r="L10" s="16">
        <f t="shared" ca="1" si="0"/>
        <v>2929.0122901849218</v>
      </c>
      <c r="M10" s="16"/>
      <c r="N10" s="16">
        <f t="shared" ca="1" si="3"/>
        <v>0</v>
      </c>
      <c r="O10" s="11" cm="1">
        <f t="array" aca="1" ref="O10" ca="1">INDIRECT("'data'!$X$" &amp; $A$1)*parameters!$B$15</f>
        <v>549.78</v>
      </c>
      <c r="P10" s="13" cm="1">
        <f t="array" aca="1" ref="P10" ca="1">-INDIRECT("'data'!$Y$" &amp; $A$1)*parameters!$B$15</f>
        <v>-894.74</v>
      </c>
      <c r="Q10" s="16" cm="1">
        <f t="array" aca="1" ref="Q10" ca="1">INDIRECT("'data'!$W$" &amp; $A$1)*parameters!$B$15</f>
        <v>2584.0522901849217</v>
      </c>
      <c r="R10" s="16">
        <f t="shared" ca="1" si="2"/>
        <v>2584.0522901849217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6615.2329695590324</v>
      </c>
      <c r="N11" s="19"/>
      <c r="O11" s="21" cm="1">
        <f t="array" aca="1" ref="O11" ca="1">INDIRECT("'data'!$Z$" &amp; $A$1)*parameters!$B$15</f>
        <v>588</v>
      </c>
      <c r="P11" s="27" cm="1">
        <f t="array" aca="1" ref="P11" ca="1">-INDIRECT("'data'!$AA$" &amp; $A$1)*parameters!$B$15</f>
        <v>-2425.5</v>
      </c>
      <c r="Q11" s="16">
        <f ca="1">K9*parameters!$B$10+K10*parameters!$B$11</f>
        <v>4777.7329695590324</v>
      </c>
      <c r="R11" s="16">
        <f t="shared" ref="R11:R17" ca="1" si="4">SUM(L11:P11)</f>
        <v>4777.7329695590324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-36.64245345677773</v>
      </c>
      <c r="D12" s="9">
        <f ca="1">-(D17-Q4)</f>
        <v>-11.373855288316236</v>
      </c>
      <c r="E12" s="9">
        <f ca="1">-(E17-Q5)</f>
        <v>-357.76257334850652</v>
      </c>
      <c r="F12" s="9">
        <f ca="1">-(F17-Q6)</f>
        <v>-401.74149253731412</v>
      </c>
      <c r="G12" s="9">
        <f ca="1">-(G17-Q7)</f>
        <v>-59.092873563218518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-866.61324819413312</v>
      </c>
      <c r="M12" s="17"/>
      <c r="N12" s="17"/>
      <c r="O12" s="10"/>
      <c r="P12" s="12"/>
      <c r="Q12" s="9">
        <f t="shared" ref="Q12:Q17" ca="1" si="6">SUM(L12:P12)</f>
        <v>-866.61324819413312</v>
      </c>
      <c r="R12" s="17">
        <f t="shared" ca="1" si="4"/>
        <v>-866.61324819413312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-1213.7416468674778</v>
      </c>
      <c r="J13" s="14">
        <f ca="1">-(J17-Q10)</f>
        <v>-1484.4060629475998</v>
      </c>
      <c r="K13" s="13">
        <f ca="1">-(K17-Q11)</f>
        <v>-554.23932062588938</v>
      </c>
      <c r="L13" s="14">
        <f t="shared" ca="1" si="5"/>
        <v>-3252.387030440967</v>
      </c>
      <c r="M13" s="16">
        <f ca="1">-E15</f>
        <v>0</v>
      </c>
      <c r="N13" s="16"/>
      <c r="O13" s="11"/>
      <c r="P13" s="13"/>
      <c r="Q13" s="14">
        <f t="shared" ca="1" si="6"/>
        <v>-3252.387030440967</v>
      </c>
      <c r="R13" s="16">
        <f t="shared" ca="1" si="4"/>
        <v>-3252.387030440967</v>
      </c>
    </row>
    <row r="14" spans="1:19">
      <c r="A14" s="18" t="s">
        <v>78</v>
      </c>
      <c r="B14" s="11"/>
      <c r="C14" s="14"/>
      <c r="D14" s="14"/>
      <c r="E14" s="14">
        <f ca="1">-(I13+J13)-K13</f>
        <v>3252.387030440967</v>
      </c>
      <c r="F14" s="14"/>
      <c r="G14" s="14"/>
      <c r="H14" s="14"/>
      <c r="I14" s="14"/>
      <c r="J14" s="14"/>
      <c r="K14" s="13"/>
      <c r="L14" s="14">
        <f t="shared" ca="1" si="5"/>
        <v>3252.387030440967</v>
      </c>
      <c r="M14" s="16"/>
      <c r="N14" s="16"/>
      <c r="O14" s="11"/>
      <c r="P14" s="13"/>
      <c r="Q14" s="14">
        <f t="shared" ca="1" si="6"/>
        <v>3252.387030440967</v>
      </c>
      <c r="R14" s="16">
        <f t="shared" ca="1" si="4"/>
        <v>3252.387030440967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116355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116355</v>
      </c>
      <c r="M16" s="19"/>
      <c r="N16" s="19"/>
      <c r="O16" s="21"/>
      <c r="P16" s="27"/>
      <c r="Q16" s="22">
        <f t="shared" ca="1" si="6"/>
        <v>116355</v>
      </c>
      <c r="R16" s="19">
        <f t="shared" ca="1" si="4"/>
        <v>116355</v>
      </c>
    </row>
    <row r="17" spans="1:18">
      <c r="A17" s="29" t="s">
        <v>88</v>
      </c>
      <c r="B17" s="9">
        <f ca="1">B16</f>
        <v>116355</v>
      </c>
      <c r="C17" s="9">
        <f ca="1">SUM(C$2:C$11)</f>
        <v>5816.2624534567776</v>
      </c>
      <c r="D17" s="9">
        <f ca="1">SUM(D$2:D$11)</f>
        <v>1805.3738552883162</v>
      </c>
      <c r="E17" s="9">
        <f ca="1">$Q$5/parameters!$B$4</f>
        <v>3252.3870304409675</v>
      </c>
      <c r="F17" s="9">
        <f t="shared" ref="F17:K17" ca="1" si="7">SUM(F$2:F$11)</f>
        <v>6479.7014925373142</v>
      </c>
      <c r="G17" s="9">
        <f t="shared" ca="1" si="7"/>
        <v>1374.2528735632186</v>
      </c>
      <c r="H17" s="9">
        <f t="shared" ca="1" si="7"/>
        <v>7393.12</v>
      </c>
      <c r="I17" s="9">
        <f t="shared" ca="1" si="7"/>
        <v>3326.6216468674779</v>
      </c>
      <c r="J17" s="9">
        <f t="shared" ca="1" si="7"/>
        <v>4068.4583531325216</v>
      </c>
      <c r="K17" s="9">
        <f t="shared" ca="1" si="7"/>
        <v>5331.9722901849218</v>
      </c>
      <c r="L17" s="17">
        <f t="shared" ca="1" si="5"/>
        <v>155203.14999547153</v>
      </c>
      <c r="M17" s="17"/>
      <c r="N17" s="17"/>
      <c r="O17" s="9"/>
      <c r="P17" s="14"/>
      <c r="Q17" s="11">
        <f t="shared" ca="1" si="6"/>
        <v>155203.14999547153</v>
      </c>
      <c r="R17" s="17">
        <f t="shared" ca="1" si="4"/>
        <v>155203.14999547153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0.63514286392911534</v>
      </c>
      <c r="J18" s="39">
        <f ca="1">I18</f>
        <v>0.63514286392911534</v>
      </c>
      <c r="K18" s="40">
        <f ca="1">1-(-K13)/K17</f>
        <v>0.89605360071991913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5928.4794203481933</v>
      </c>
      <c r="D2" s="9">
        <f ca="1">Q4/parameters!$B$3</f>
        <v>1427.6340947972226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7356.1135151454164</v>
      </c>
      <c r="M2" s="17"/>
      <c r="N2" s="17">
        <f ca="1">Q2-(L2+O2+P2)</f>
        <v>1426.0864848545825</v>
      </c>
      <c r="O2" s="11" cm="1">
        <f t="array" aca="1" ref="O2" ca="1">INDIRECT("'data'!$F$" &amp; $A$1)</f>
        <v>15217.800000000001</v>
      </c>
      <c r="P2" s="13">
        <f ca="1">IF(-(L2-Q2+O2)&lt;0, -(L2-Q2+O2), 0)</f>
        <v>0</v>
      </c>
      <c r="Q2" s="17" cm="1">
        <f t="array" aca="1" ref="Q2" ca="1">INDIRECT("'data'!$D$" &amp; $A$1)</f>
        <v>24000</v>
      </c>
      <c r="R2" s="17">
        <f ca="1">SUM(L2:P2)</f>
        <v>24000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4248.4776119402986</v>
      </c>
      <c r="G3" s="14">
        <f ca="1">Q3-O3-P3-F3</f>
        <v>1206.0623880597013</v>
      </c>
      <c r="H3" s="14"/>
      <c r="I3" s="14"/>
      <c r="J3" s="14"/>
      <c r="K3" s="13"/>
      <c r="L3" s="16">
        <f t="shared" ca="1" si="0"/>
        <v>5454.54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436.59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5891.13</v>
      </c>
      <c r="R3" s="16">
        <f t="shared" ref="R3:R10" ca="1" si="2">SUM(L3:P3)</f>
        <v>5891.13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1418.64</v>
      </c>
      <c r="H4" s="14"/>
      <c r="I4" s="14"/>
      <c r="J4" s="14"/>
      <c r="K4" s="13"/>
      <c r="L4" s="16">
        <f t="shared" ca="1" si="0"/>
        <v>1418.64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1418.64</v>
      </c>
      <c r="R4" s="16">
        <f t="shared" ca="1" si="2"/>
        <v>1418.64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1062.1194029850747</v>
      </c>
      <c r="G5" s="14">
        <f ca="1">Q7/parameters!$B$7-(G3+G4)</f>
        <v>1878.996671501427</v>
      </c>
      <c r="H5" s="14"/>
      <c r="I5" s="14"/>
      <c r="J5" s="14"/>
      <c r="K5" s="13"/>
      <c r="L5" s="16">
        <f t="shared" ca="1" si="0"/>
        <v>2941.1160744865019</v>
      </c>
      <c r="M5" s="16"/>
      <c r="N5" s="16"/>
      <c r="O5" s="11" cm="1">
        <f t="array" aca="1" ref="O5" ca="1">INDIRECT("'data'!$M$" &amp; $A$1)*parameters!$B$15</f>
        <v>377.3</v>
      </c>
      <c r="P5" s="13" cm="1">
        <f t="array" aca="1" ref="P5" ca="1">-INDIRECT("'data'!$N$" &amp; $A$1)*parameters!$B$15</f>
        <v>-128.38</v>
      </c>
      <c r="Q5" s="16">
        <f ca="1">SUM(L5:P5)</f>
        <v>3190.036074486502</v>
      </c>
      <c r="R5" s="16">
        <f t="shared" ca="1" si="2"/>
        <v>3190.036074486502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4981.34</v>
      </c>
      <c r="I6" s="14"/>
      <c r="J6" s="14"/>
      <c r="K6" s="13"/>
      <c r="L6" s="16">
        <f t="shared" ca="1" si="0"/>
        <v>4981.34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4981.34</v>
      </c>
      <c r="R6" s="16">
        <f t="shared" ca="1" si="2"/>
        <v>4981.34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4310.04</v>
      </c>
      <c r="I7" s="14"/>
      <c r="J7" s="14"/>
      <c r="K7" s="13"/>
      <c r="L7" s="16">
        <f t="shared" ca="1" si="0"/>
        <v>4310.04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4310.04</v>
      </c>
      <c r="R7" s="16">
        <f t="shared" ca="1" si="2"/>
        <v>4310.04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3294.9491321911264</v>
      </c>
      <c r="J8" s="14">
        <f ca="1">Q10/J18</f>
        <v>5046.8108678088756</v>
      </c>
      <c r="K8" s="13"/>
      <c r="L8" s="16">
        <f t="shared" ca="1" si="0"/>
        <v>8341.760000000002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957.46</v>
      </c>
      <c r="P8" s="13" cm="1">
        <f t="array" aca="1" ref="P8" ca="1">-INDIRECT("'data'!$S$" &amp; $A$1)*parameters!$B$15</f>
        <v>-7.84</v>
      </c>
      <c r="Q8" s="16">
        <f ca="1">SUM(Q6:Q7)</f>
        <v>9291.380000000001</v>
      </c>
      <c r="R8" s="16">
        <f t="shared" ca="1" si="2"/>
        <v>9291.380000000001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1472.94</v>
      </c>
      <c r="L9" s="16">
        <f t="shared" ca="1" si="0"/>
        <v>1472.94</v>
      </c>
      <c r="M9" s="16"/>
      <c r="N9" s="16">
        <f t="shared" ca="1" si="3"/>
        <v>0</v>
      </c>
      <c r="O9" s="11" cm="1">
        <f t="array" aca="1" ref="O9" ca="1">INDIRECT("'data'!$U$" &amp; $A$1)*parameters!$B$15</f>
        <v>1191.68</v>
      </c>
      <c r="P9" s="13" cm="1">
        <f t="array" aca="1" ref="P9" ca="1">-INDIRECT("'data'!$V$" &amp; $A$1)*parameters!$B$15</f>
        <v>-58.8</v>
      </c>
      <c r="Q9" s="16" cm="1">
        <f t="array" aca="1" ref="Q9" ca="1">INDIRECT("'data'!$T$" &amp; $A$1)*parameters!$B$15</f>
        <v>2605.8200000000002</v>
      </c>
      <c r="R9" s="16">
        <f t="shared" ca="1" si="2"/>
        <v>2605.8199999999997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1526.584893314367</v>
      </c>
      <c r="L10" s="16">
        <f t="shared" ca="1" si="0"/>
        <v>1526.584893314367</v>
      </c>
      <c r="M10" s="16"/>
      <c r="N10" s="16">
        <f t="shared" ca="1" si="3"/>
        <v>0</v>
      </c>
      <c r="O10" s="11" cm="1">
        <f t="array" aca="1" ref="O10" ca="1">INDIRECT("'data'!$X$" &amp; $A$1)*parameters!$B$15</f>
        <v>2658.74</v>
      </c>
      <c r="P10" s="13" cm="1">
        <f t="array" aca="1" ref="P10" ca="1">-INDIRECT("'data'!$Y$" &amp; $A$1)*parameters!$B$15</f>
        <v>-194.04</v>
      </c>
      <c r="Q10" s="16" cm="1">
        <f t="array" aca="1" ref="Q10" ca="1">INDIRECT("'data'!$W$" &amp; $A$1)*parameters!$B$15</f>
        <v>3991.2848933143669</v>
      </c>
      <c r="R10" s="16">
        <f t="shared" ca="1" si="2"/>
        <v>3991.2848933143669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2970.8466082503555</v>
      </c>
      <c r="N11" s="19"/>
      <c r="O11" s="21" cm="1">
        <f t="array" aca="1" ref="O11" ca="1">INDIRECT("'data'!$Z$" &amp; $A$1)*parameters!$B$15</f>
        <v>677.18</v>
      </c>
      <c r="P11" s="27" cm="1">
        <f t="array" aca="1" ref="P11" ca="1">-INDIRECT("'data'!$AA$" &amp; $A$1)*parameters!$B$15</f>
        <v>-950.6</v>
      </c>
      <c r="Q11" s="16">
        <f ca="1">K9*parameters!$B$10+K10*parameters!$B$11</f>
        <v>2697.4266082503555</v>
      </c>
      <c r="R11" s="16">
        <f t="shared" ref="R11:R17" ca="1" si="4">SUM(L11:P11)</f>
        <v>2697.4266082503555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-37.349420348193235</v>
      </c>
      <c r="D12" s="9">
        <f ca="1">-(D17-Q4)</f>
        <v>-8.9940947972224876</v>
      </c>
      <c r="E12" s="9">
        <f ca="1">-(E17-Q5)</f>
        <v>-394.27412156574746</v>
      </c>
      <c r="F12" s="9">
        <f ca="1">-(F17-Q6)</f>
        <v>-329.25701492537337</v>
      </c>
      <c r="G12" s="9">
        <f ca="1">-(G17-Q7)</f>
        <v>-193.65905956112874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-963.5337111976653</v>
      </c>
      <c r="M12" s="17"/>
      <c r="N12" s="17"/>
      <c r="O12" s="10"/>
      <c r="P12" s="12"/>
      <c r="Q12" s="9">
        <f t="shared" ref="Q12:Q17" ca="1" si="6">SUM(L12:P12)</f>
        <v>-963.5337111976653</v>
      </c>
      <c r="R12" s="17">
        <f t="shared" ca="1" si="4"/>
        <v>-963.5337111976653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-689.12913219112625</v>
      </c>
      <c r="J13" s="14">
        <f ca="1">-(J17-Q10)</f>
        <v>-1055.5259744945088</v>
      </c>
      <c r="K13" s="13">
        <f ca="1">-(K17-Q11)</f>
        <v>-302.09828506401163</v>
      </c>
      <c r="L13" s="14">
        <f t="shared" ca="1" si="5"/>
        <v>-2046.7533917496467</v>
      </c>
      <c r="M13" s="16">
        <f ca="1">-E15</f>
        <v>-1537.5568043026028</v>
      </c>
      <c r="N13" s="16"/>
      <c r="O13" s="11"/>
      <c r="P13" s="13"/>
      <c r="Q13" s="14">
        <f t="shared" ca="1" si="6"/>
        <v>-3584.3101960522495</v>
      </c>
      <c r="R13" s="16">
        <f t="shared" ca="1" si="4"/>
        <v>-3584.3101960522495</v>
      </c>
    </row>
    <row r="14" spans="1:20">
      <c r="A14" s="18" t="s">
        <v>78</v>
      </c>
      <c r="B14" s="11"/>
      <c r="C14" s="14"/>
      <c r="D14" s="14"/>
      <c r="E14" s="14">
        <f ca="1">-(I13+J13)-K13</f>
        <v>2046.7533917496467</v>
      </c>
      <c r="F14" s="14"/>
      <c r="G14" s="14"/>
      <c r="H14" s="14"/>
      <c r="I14" s="14"/>
      <c r="J14" s="14"/>
      <c r="K14" s="13"/>
      <c r="L14" s="14">
        <f t="shared" ca="1" si="5"/>
        <v>2046.7533917496467</v>
      </c>
      <c r="M14" s="16"/>
      <c r="N14" s="16"/>
      <c r="O14" s="11"/>
      <c r="P14" s="13"/>
      <c r="Q14" s="14">
        <f t="shared" ca="1" si="6"/>
        <v>2046.7533917496467</v>
      </c>
      <c r="R14" s="16">
        <f t="shared" ca="1" si="4"/>
        <v>2046.7533917496467</v>
      </c>
    </row>
    <row r="15" spans="1:20">
      <c r="A15" s="18" t="s">
        <v>79</v>
      </c>
      <c r="B15" s="11"/>
      <c r="C15" s="14"/>
      <c r="D15" s="14"/>
      <c r="E15" s="14">
        <f ca="1">E17-E14</f>
        <v>1537.5568043026028</v>
      </c>
      <c r="F15" s="14"/>
      <c r="G15" s="14"/>
      <c r="H15" s="14"/>
      <c r="I15" s="14"/>
      <c r="J15" s="14"/>
      <c r="K15" s="13"/>
      <c r="L15" s="14">
        <f t="shared" ca="1" si="5"/>
        <v>1537.5568043026028</v>
      </c>
      <c r="M15" s="16"/>
      <c r="N15" s="16"/>
      <c r="O15" s="11"/>
      <c r="P15" s="13"/>
      <c r="Q15" s="14">
        <f t="shared" ca="1" si="6"/>
        <v>1537.5568043026028</v>
      </c>
      <c r="R15" s="16">
        <f t="shared" ca="1" si="4"/>
        <v>1537.5568043026028</v>
      </c>
    </row>
    <row r="16" spans="1:20">
      <c r="A16" s="30" t="s">
        <v>89</v>
      </c>
      <c r="B16" s="21">
        <f ca="1">Q2</f>
        <v>24000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24000</v>
      </c>
      <c r="M16" s="19"/>
      <c r="N16" s="19"/>
      <c r="O16" s="21"/>
      <c r="P16" s="27"/>
      <c r="Q16" s="22">
        <f t="shared" ca="1" si="6"/>
        <v>24000</v>
      </c>
      <c r="R16" s="19">
        <f t="shared" ca="1" si="4"/>
        <v>24000</v>
      </c>
    </row>
    <row r="17" spans="1:18">
      <c r="A17" s="29" t="s">
        <v>88</v>
      </c>
      <c r="B17" s="9">
        <f ca="1">B16</f>
        <v>24000</v>
      </c>
      <c r="C17" s="9">
        <f ca="1">SUM(C$2:C$11)</f>
        <v>5928.4794203481933</v>
      </c>
      <c r="D17" s="9">
        <f ca="1">SUM(D$2:D$11)</f>
        <v>1427.6340947972226</v>
      </c>
      <c r="E17" s="9">
        <f ca="1">$Q$5/parameters!$B$4</f>
        <v>3584.3101960522495</v>
      </c>
      <c r="F17" s="9">
        <f t="shared" ref="F17:K17" ca="1" si="7">SUM(F$2:F$11)</f>
        <v>5310.5970149253735</v>
      </c>
      <c r="G17" s="9">
        <f t="shared" ca="1" si="7"/>
        <v>4503.6990595611287</v>
      </c>
      <c r="H17" s="9">
        <f t="shared" ca="1" si="7"/>
        <v>9291.380000000001</v>
      </c>
      <c r="I17" s="9">
        <f t="shared" ca="1" si="7"/>
        <v>3294.9491321911264</v>
      </c>
      <c r="J17" s="9">
        <f t="shared" ca="1" si="7"/>
        <v>5046.8108678088756</v>
      </c>
      <c r="K17" s="9">
        <f t="shared" ca="1" si="7"/>
        <v>2999.5248933143671</v>
      </c>
      <c r="L17" s="17">
        <f t="shared" ca="1" si="5"/>
        <v>65387.38467899854</v>
      </c>
      <c r="M17" s="17"/>
      <c r="N17" s="17"/>
      <c r="O17" s="9"/>
      <c r="P17" s="14"/>
      <c r="Q17" s="11">
        <f t="shared" ca="1" si="6"/>
        <v>65387.38467899854</v>
      </c>
      <c r="R17" s="17">
        <f t="shared" ca="1" si="4"/>
        <v>65387.38467899854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0.79085287676873528</v>
      </c>
      <c r="J18" s="39">
        <f ca="1">I18</f>
        <v>0.79085287676873528</v>
      </c>
      <c r="K18" s="40">
        <f ca="1">1-(-K13)/K17</f>
        <v>0.89928462146209964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1230.0364082929657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1230.0364082929657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-912.83959963283314</v>
      </c>
      <c r="Q2" s="17" cm="1">
        <f t="array" aca="1" ref="Q2" ca="1">INDIRECT("'data'!$D$" &amp; $A$1)</f>
        <v>317.19680866013249</v>
      </c>
      <c r="R2" s="17">
        <f ca="1">SUM(L2:P2)</f>
        <v>317.19680866013255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311.85000000000002</v>
      </c>
      <c r="H3" s="14"/>
      <c r="I3" s="14"/>
      <c r="J3" s="14"/>
      <c r="K3" s="13"/>
      <c r="L3" s="16">
        <f t="shared" ca="1" si="0"/>
        <v>311.85000000000002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74.655000000000001</v>
      </c>
      <c r="P3" s="13" cm="1">
        <f t="array" aca="1" ref="P3" ca="1">-INDIRECT("'data'!$I$" &amp; $A$1)*parameters!$B$13</f>
        <v>-386.505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1222.28717892072</v>
      </c>
      <c r="H4" s="14"/>
      <c r="I4" s="14"/>
      <c r="J4" s="14"/>
      <c r="K4" s="13"/>
      <c r="L4" s="16">
        <f t="shared" ca="1" si="0"/>
        <v>1222.28717892072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1222.28717892072</v>
      </c>
      <c r="R4" s="16">
        <f t="shared" ca="1" si="2"/>
        <v>1222.28717892072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2521.0352348723832</v>
      </c>
      <c r="H5" s="14"/>
      <c r="I5" s="14"/>
      <c r="J5" s="14"/>
      <c r="K5" s="13"/>
      <c r="L5" s="16">
        <f t="shared" ca="1" si="0"/>
        <v>2521.0352348723832</v>
      </c>
      <c r="M5" s="16"/>
      <c r="N5" s="48">
        <f ca="1">$E$14*parameters!$B$4-$P$5-$L$5-$O$5</f>
        <v>2862.039553252795</v>
      </c>
      <c r="O5" s="11" cm="1">
        <f t="array" aca="1" ref="O5" ca="1">INDIRECT("'data'!$M$" &amp; $A$1)*parameters!$B$15</f>
        <v>288.12</v>
      </c>
      <c r="P5" s="13" cm="1">
        <f t="array" aca="1" ref="P5" ca="1">-INDIRECT("'data'!$N$" &amp; $A$1)*parameters!$B$15</f>
        <v>-5033.28</v>
      </c>
      <c r="Q5" s="16">
        <f ca="1">SUM(L5:P5)</f>
        <v>637.91478812517835</v>
      </c>
      <c r="R5" s="16">
        <f t="shared" ca="1" si="2"/>
        <v>637.91478812517835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3880.7999999999997</v>
      </c>
      <c r="I7" s="14"/>
      <c r="J7" s="14"/>
      <c r="K7" s="13"/>
      <c r="L7" s="16">
        <f t="shared" ca="1" si="0"/>
        <v>3880.7999999999997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3880.7999999999997</v>
      </c>
      <c r="R7" s="16">
        <f t="shared" ca="1" si="2"/>
        <v>3880.7999999999997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3338</v>
      </c>
      <c r="J8" s="14">
        <f ca="1">Q10/J18</f>
        <v>1229.0113798008535</v>
      </c>
      <c r="K8" s="13"/>
      <c r="L8" s="16">
        <f t="shared" ca="1" si="0"/>
        <v>4567.0113798008533</v>
      </c>
      <c r="M8" s="16"/>
      <c r="N8" s="16">
        <f t="shared" ca="1" si="3"/>
        <v>-1085.0713798008542</v>
      </c>
      <c r="O8" s="11" cm="1">
        <f t="array" aca="1" ref="O8" ca="1">INDIRECT("'data'!$R$" &amp; $A$1)*parameters!$B$15</f>
        <v>605.64</v>
      </c>
      <c r="P8" s="13" cm="1">
        <f t="array" aca="1" ref="P8" ca="1">-INDIRECT("'data'!$S$" &amp; $A$1)*parameters!$B$15</f>
        <v>-206.78</v>
      </c>
      <c r="Q8" s="16">
        <f ca="1">SUM(Q6:Q7)</f>
        <v>3880.7999999999997</v>
      </c>
      <c r="R8" s="16">
        <f t="shared" ca="1" si="2"/>
        <v>3880.7999999999988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2710.68</v>
      </c>
      <c r="L9" s="16">
        <f t="shared" ca="1" si="0"/>
        <v>2710.68</v>
      </c>
      <c r="M9" s="16"/>
      <c r="N9" s="16">
        <f t="shared" ca="1" si="3"/>
        <v>0</v>
      </c>
      <c r="O9" s="11" cm="1">
        <f t="array" aca="1" ref="O9" ca="1">INDIRECT("'data'!$U$" &amp; $A$1)*parameters!$B$15</f>
        <v>560.55999999999995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3271.24</v>
      </c>
      <c r="R9" s="16">
        <f t="shared" ca="1" si="2"/>
        <v>3271.24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3305.5511522048364</v>
      </c>
      <c r="L10" s="16">
        <f t="shared" ca="1" si="0"/>
        <v>3305.5511522048364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-2101.12</v>
      </c>
      <c r="Q10" s="16" cm="1">
        <f t="array" aca="1" ref="Q10" ca="1">INDIRECT("'data'!$W$" &amp; $A$1)*parameters!$B$15</f>
        <v>1204.4311522048365</v>
      </c>
      <c r="R10" s="16">
        <f t="shared" ca="1" si="2"/>
        <v>1204.4311522048365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5914.1331908961583</v>
      </c>
      <c r="N11" s="19"/>
      <c r="O11" s="21" cm="1">
        <f t="array" aca="1" ref="O11" ca="1">INDIRECT("'data'!$Z$" &amp; $A$1)*parameters!$B$15</f>
        <v>807.52</v>
      </c>
      <c r="P11" s="27" cm="1">
        <f t="array" aca="1" ref="P11" ca="1">-INDIRECT("'data'!$AA$" &amp; $A$1)*parameters!$B$15</f>
        <v>-1330.84</v>
      </c>
      <c r="Q11" s="16">
        <f ca="1">K9*parameters!$B$10+K10*parameters!$B$11</f>
        <v>5390.8131908961586</v>
      </c>
      <c r="R11" s="16">
        <f t="shared" ref="R11:R17" ca="1" si="4">SUM(L11:P11)</f>
        <v>5390.8131908961586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-7.7492293722457362</v>
      </c>
      <c r="E12" s="9">
        <f ca="1">-(E17-Q5)</f>
        <v>-78.843400779516401</v>
      </c>
      <c r="F12" s="9">
        <f ca="1">-(F17-Q6)</f>
        <v>0</v>
      </c>
      <c r="G12" s="9">
        <f ca="1">-(G17-Q7)</f>
        <v>-174.37241379310353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-260.96504394486567</v>
      </c>
      <c r="M12" s="17"/>
      <c r="N12" s="17"/>
      <c r="O12" s="10"/>
      <c r="P12" s="12"/>
      <c r="Q12" s="9">
        <f t="shared" ref="Q12:Q17" ca="1" si="6">SUM(L12:P12)</f>
        <v>-260.96504394486567</v>
      </c>
      <c r="R12" s="17">
        <f t="shared" ca="1" si="4"/>
        <v>-260.96504394486567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-66.760000000000218</v>
      </c>
      <c r="J13" s="14">
        <f ca="1">-(J17-Q10)</f>
        <v>-24.580227596017039</v>
      </c>
      <c r="K13" s="13">
        <f ca="1">-(K17-Q11)</f>
        <v>-625.41796130867806</v>
      </c>
      <c r="L13" s="14">
        <f t="shared" ca="1" si="5"/>
        <v>-716.75818890469532</v>
      </c>
      <c r="M13" s="16">
        <f ca="1">-E15</f>
        <v>0</v>
      </c>
      <c r="N13" s="16"/>
      <c r="O13" s="11"/>
      <c r="P13" s="13"/>
      <c r="Q13" s="14">
        <f t="shared" ca="1" si="6"/>
        <v>-716.75818890469532</v>
      </c>
      <c r="R13" s="16">
        <f t="shared" ca="1" si="4"/>
        <v>-716.75818890469532</v>
      </c>
    </row>
    <row r="14" spans="1:19">
      <c r="A14" s="18" t="s">
        <v>78</v>
      </c>
      <c r="B14" s="11"/>
      <c r="C14" s="14"/>
      <c r="D14" s="14"/>
      <c r="E14" s="14">
        <f ca="1">-(I13+J13)-K13</f>
        <v>716.75818890469532</v>
      </c>
      <c r="F14" s="14"/>
      <c r="G14" s="14"/>
      <c r="H14" s="14"/>
      <c r="I14" s="14"/>
      <c r="J14" s="14"/>
      <c r="K14" s="13"/>
      <c r="L14" s="14">
        <f t="shared" ca="1" si="5"/>
        <v>716.75818890469532</v>
      </c>
      <c r="M14" s="16"/>
      <c r="N14" s="16"/>
      <c r="O14" s="11"/>
      <c r="P14" s="13"/>
      <c r="Q14" s="14">
        <f t="shared" ca="1" si="6"/>
        <v>716.75818890469532</v>
      </c>
      <c r="R14" s="16">
        <f t="shared" ca="1" si="4"/>
        <v>716.75818890469532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317.19680866013249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317.19680866013249</v>
      </c>
      <c r="M16" s="19"/>
      <c r="N16" s="19"/>
      <c r="O16" s="21"/>
      <c r="P16" s="27"/>
      <c r="Q16" s="22">
        <f t="shared" ca="1" si="6"/>
        <v>317.19680866013249</v>
      </c>
      <c r="R16" s="19">
        <f t="shared" ca="1" si="4"/>
        <v>317.19680866013249</v>
      </c>
    </row>
    <row r="17" spans="1:18">
      <c r="A17" s="29" t="s">
        <v>88</v>
      </c>
      <c r="B17" s="9">
        <f ca="1">B16</f>
        <v>317.19680866013249</v>
      </c>
      <c r="C17" s="9">
        <f ca="1">SUM(C$2:C$11)</f>
        <v>0</v>
      </c>
      <c r="D17" s="9">
        <f ca="1">SUM(D$2:D$11)</f>
        <v>1230.0364082929657</v>
      </c>
      <c r="E17" s="9">
        <f ca="1">$Q$5/parameters!$B$4</f>
        <v>716.75818890469475</v>
      </c>
      <c r="F17" s="9">
        <f t="shared" ref="F17:K17" ca="1" si="7">SUM(F$2:F$11)</f>
        <v>0</v>
      </c>
      <c r="G17" s="9">
        <f t="shared" ca="1" si="7"/>
        <v>4055.1724137931033</v>
      </c>
      <c r="H17" s="9">
        <f t="shared" ca="1" si="7"/>
        <v>3880.7999999999997</v>
      </c>
      <c r="I17" s="9">
        <f t="shared" ca="1" si="7"/>
        <v>3338</v>
      </c>
      <c r="J17" s="9">
        <f t="shared" ca="1" si="7"/>
        <v>1229.0113798008535</v>
      </c>
      <c r="K17" s="9">
        <f t="shared" ca="1" si="7"/>
        <v>6016.2311522048367</v>
      </c>
      <c r="L17" s="17">
        <f t="shared" ca="1" si="5"/>
        <v>20783.206351656583</v>
      </c>
      <c r="M17" s="17"/>
      <c r="N17" s="17"/>
      <c r="O17" s="9"/>
      <c r="P17" s="14"/>
      <c r="Q17" s="11">
        <f t="shared" ca="1" si="6"/>
        <v>20783.206351656583</v>
      </c>
      <c r="R17" s="17">
        <f t="shared" ca="1" si="4"/>
        <v>20783.206351656583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0.89604489164624701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5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5</v>
      </c>
      <c r="R2" s="17">
        <f ca="1">SUM(L2:P2)</f>
        <v>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330.75</v>
      </c>
      <c r="H3" s="14"/>
      <c r="I3" s="14"/>
      <c r="J3" s="14"/>
      <c r="K3" s="13"/>
      <c r="L3" s="16">
        <f t="shared" ca="1" si="0"/>
        <v>330.75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17.954999999999998</v>
      </c>
      <c r="P3" s="13" cm="1">
        <f t="array" aca="1" ref="P3" ca="1">-INDIRECT("'data'!$I$" &amp; $A$1)*parameters!$B$13</f>
        <v>-348.70499999999998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3305.5927377220482</v>
      </c>
      <c r="H5" s="14"/>
      <c r="I5" s="14"/>
      <c r="J5" s="14"/>
      <c r="K5" s="13"/>
      <c r="L5" s="16">
        <f t="shared" ca="1" si="0"/>
        <v>3305.5927377220482</v>
      </c>
      <c r="M5" s="16"/>
      <c r="N5" s="16"/>
      <c r="O5" s="11" cm="1">
        <f t="array" aca="1" ref="O5" ca="1">INDIRECT("'data'!$M$" &amp; $A$1)*parameters!$B$15</f>
        <v>115.64</v>
      </c>
      <c r="P5" s="13" cm="1">
        <f t="array" aca="1" ref="P5" ca="1">-INDIRECT("'data'!$N$" &amp; $A$1)*parameters!$B$15</f>
        <v>-1254.4000000000001</v>
      </c>
      <c r="Q5" s="16">
        <f ca="1">SUM(L5:P5)</f>
        <v>2166.832737722048</v>
      </c>
      <c r="R5" s="16">
        <f t="shared" ca="1" si="2"/>
        <v>2166.832737722048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3479.98</v>
      </c>
      <c r="I7" s="14"/>
      <c r="J7" s="14"/>
      <c r="K7" s="13"/>
      <c r="L7" s="16">
        <f t="shared" ca="1" si="0"/>
        <v>3479.98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3479.98</v>
      </c>
      <c r="R7" s="16">
        <f t="shared" ca="1" si="2"/>
        <v>3479.98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4222.2142443876819</v>
      </c>
      <c r="J8" s="14">
        <f ca="1">Q10/J18</f>
        <v>3273.8057556123176</v>
      </c>
      <c r="K8" s="13"/>
      <c r="L8" s="16">
        <f t="shared" ca="1" si="0"/>
        <v>7496.0199999999995</v>
      </c>
      <c r="M8" s="16"/>
      <c r="N8" s="16">
        <f t="shared" ca="1" si="3"/>
        <v>0</v>
      </c>
      <c r="O8" s="11" cm="1">
        <f t="array" aca="1" ref="O8" ca="1">INDIRECT("'data'!$R$" &amp; $A$1)*parameters!$B$15</f>
        <v>82.32</v>
      </c>
      <c r="P8" s="13" cm="1">
        <f t="array" aca="1" ref="P8" ca="1">-INDIRECT("'data'!$S$" &amp; $A$1)*parameters!$B$15</f>
        <v>-4098.3599999999997</v>
      </c>
      <c r="Q8" s="16">
        <f ca="1">SUM(Q6:Q7)</f>
        <v>3479.98</v>
      </c>
      <c r="R8" s="16">
        <f t="shared" ca="1" si="2"/>
        <v>3479.9799999999996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4417.84</v>
      </c>
      <c r="L9" s="16">
        <f t="shared" ca="1" si="0"/>
        <v>4417.84</v>
      </c>
      <c r="M9" s="16"/>
      <c r="N9" s="16">
        <f t="shared" ca="1" si="3"/>
        <v>0</v>
      </c>
      <c r="O9" s="11" cm="1">
        <f t="array" aca="1" ref="O9" ca="1">INDIRECT("'data'!$U$" &amp; $A$1)*parameters!$B$15</f>
        <v>515.48</v>
      </c>
      <c r="P9" s="13" cm="1">
        <f t="array" aca="1" ref="P9" ca="1">-INDIRECT("'data'!$V$" &amp; $A$1)*parameters!$B$15</f>
        <v>-846.72</v>
      </c>
      <c r="Q9" s="16" cm="1">
        <f t="array" aca="1" ref="Q9" ca="1">INDIRECT("'data'!$T$" &amp; $A$1)*parameters!$B$15</f>
        <v>4086.6</v>
      </c>
      <c r="R9" s="16">
        <f t="shared" ca="1" si="2"/>
        <v>4086.5999999999995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6183.1336557610239</v>
      </c>
      <c r="L10" s="16">
        <f t="shared" ca="1" si="0"/>
        <v>6183.1336557610239</v>
      </c>
      <c r="M10" s="16"/>
      <c r="N10" s="16">
        <f t="shared" ca="1" si="3"/>
        <v>0</v>
      </c>
      <c r="O10" s="11" cm="1">
        <f t="array" aca="1" ref="O10" ca="1">INDIRECT("'data'!$X$" &amp; $A$1)*parameters!$B$15</f>
        <v>1055.46</v>
      </c>
      <c r="P10" s="13" cm="1">
        <f t="array" aca="1" ref="P10" ca="1">-INDIRECT("'data'!$Y$" &amp; $A$1)*parameters!$B$15</f>
        <v>-4069.94</v>
      </c>
      <c r="Q10" s="16" cm="1">
        <f t="array" aca="1" ref="Q10" ca="1">INDIRECT("'data'!$W$" &amp; $A$1)*parameters!$B$15</f>
        <v>3168.6536557610239</v>
      </c>
      <c r="R10" s="16">
        <f t="shared" ca="1" si="2"/>
        <v>3168.6536557610239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9204.6845439544795</v>
      </c>
      <c r="N11" s="19"/>
      <c r="O11" s="21" cm="1">
        <f t="array" aca="1" ref="O11" ca="1">INDIRECT("'data'!$Z$" &amp; $A$1)*parameters!$B$15</f>
        <v>1494.5</v>
      </c>
      <c r="P11" s="27" cm="1">
        <f t="array" aca="1" ref="P11" ca="1">-INDIRECT("'data'!$AA$" &amp; $A$1)*parameters!$B$15</f>
        <v>-1228.92</v>
      </c>
      <c r="Q11" s="16">
        <f ca="1">K9*parameters!$B$10+K10*parameters!$B$11</f>
        <v>9470.2645439544794</v>
      </c>
      <c r="R11" s="16">
        <f t="shared" ref="R11:R17" ca="1" si="4">SUM(L11:P11)</f>
        <v>9470.2645439544794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-267.81078780834287</v>
      </c>
      <c r="F12" s="9">
        <f ca="1">-(F17-Q6)</f>
        <v>0</v>
      </c>
      <c r="G12" s="9">
        <f ca="1">-(G17-Q7)</f>
        <v>-156.36273772204822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-424.17352553039109</v>
      </c>
      <c r="M12" s="17"/>
      <c r="N12" s="17"/>
      <c r="O12" s="10"/>
      <c r="P12" s="12"/>
      <c r="Q12" s="9">
        <f t="shared" ref="Q12:Q17" ca="1" si="6">SUM(L12:P12)</f>
        <v>-424.17352553039109</v>
      </c>
      <c r="R12" s="17">
        <f t="shared" ca="1" si="4"/>
        <v>-424.17352553039109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-135.61424438768199</v>
      </c>
      <c r="J13" s="14">
        <f ca="1">-(J17-Q10)</f>
        <v>-105.15209985129377</v>
      </c>
      <c r="K13" s="13">
        <f ca="1">-(K17-Q11)</f>
        <v>-1130.7091118065437</v>
      </c>
      <c r="L13" s="14">
        <f t="shared" ca="1" si="5"/>
        <v>-1371.4754560455194</v>
      </c>
      <c r="M13" s="16">
        <f ca="1">-E15</f>
        <v>-1063.1680694848715</v>
      </c>
      <c r="N13" s="16"/>
      <c r="O13" s="11"/>
      <c r="P13" s="13"/>
      <c r="Q13" s="14">
        <f t="shared" ca="1" si="6"/>
        <v>-2434.6435255303909</v>
      </c>
      <c r="R13" s="16">
        <f t="shared" ca="1" si="4"/>
        <v>-2434.6435255303909</v>
      </c>
    </row>
    <row r="14" spans="1:20">
      <c r="A14" s="18" t="s">
        <v>78</v>
      </c>
      <c r="B14" s="11"/>
      <c r="C14" s="14"/>
      <c r="D14" s="14"/>
      <c r="E14" s="14">
        <f ca="1">-(I13+J13)-K13</f>
        <v>1371.4754560455194</v>
      </c>
      <c r="F14" s="14"/>
      <c r="G14" s="14"/>
      <c r="H14" s="14"/>
      <c r="I14" s="14"/>
      <c r="J14" s="14"/>
      <c r="K14" s="13"/>
      <c r="L14" s="14">
        <f t="shared" ca="1" si="5"/>
        <v>1371.4754560455194</v>
      </c>
      <c r="M14" s="16"/>
      <c r="N14" s="16"/>
      <c r="O14" s="11"/>
      <c r="P14" s="13"/>
      <c r="Q14" s="14">
        <f t="shared" ca="1" si="6"/>
        <v>1371.4754560455194</v>
      </c>
      <c r="R14" s="16">
        <f t="shared" ca="1" si="4"/>
        <v>1371.4754560455194</v>
      </c>
    </row>
    <row r="15" spans="1:20">
      <c r="A15" s="18" t="s">
        <v>79</v>
      </c>
      <c r="B15" s="11"/>
      <c r="C15" s="14"/>
      <c r="D15" s="14"/>
      <c r="E15" s="14">
        <f ca="1">E17-E14</f>
        <v>1063.1680694848715</v>
      </c>
      <c r="F15" s="14"/>
      <c r="G15" s="14"/>
      <c r="H15" s="14"/>
      <c r="I15" s="14"/>
      <c r="J15" s="14"/>
      <c r="K15" s="13"/>
      <c r="L15" s="14">
        <f t="shared" ca="1" si="5"/>
        <v>1063.1680694848715</v>
      </c>
      <c r="M15" s="16"/>
      <c r="N15" s="16"/>
      <c r="O15" s="11"/>
      <c r="P15" s="13"/>
      <c r="Q15" s="14">
        <f t="shared" ca="1" si="6"/>
        <v>1063.1680694848715</v>
      </c>
      <c r="R15" s="16">
        <f t="shared" ca="1" si="4"/>
        <v>1063.1680694848715</v>
      </c>
    </row>
    <row r="16" spans="1:20">
      <c r="A16" s="30" t="s">
        <v>89</v>
      </c>
      <c r="B16" s="21">
        <f ca="1">Q2</f>
        <v>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</v>
      </c>
      <c r="M16" s="19"/>
      <c r="N16" s="19"/>
      <c r="O16" s="21"/>
      <c r="P16" s="27"/>
      <c r="Q16" s="22">
        <f t="shared" ca="1" si="6"/>
        <v>5</v>
      </c>
      <c r="R16" s="19">
        <f t="shared" ca="1" si="4"/>
        <v>5</v>
      </c>
    </row>
    <row r="17" spans="1:18">
      <c r="A17" s="29" t="s">
        <v>88</v>
      </c>
      <c r="B17" s="9">
        <f ca="1">B16</f>
        <v>5</v>
      </c>
      <c r="C17" s="9">
        <f ca="1">SUM(C$2:C$11)</f>
        <v>0</v>
      </c>
      <c r="D17" s="9">
        <f ca="1">SUM(D$2:D$11)</f>
        <v>0</v>
      </c>
      <c r="E17" s="9">
        <f ca="1">$Q$5/parameters!$B$4</f>
        <v>2434.6435255303909</v>
      </c>
      <c r="F17" s="9">
        <f t="shared" ref="F17:K17" ca="1" si="7">SUM(F$2:F$11)</f>
        <v>0</v>
      </c>
      <c r="G17" s="9">
        <f t="shared" ca="1" si="7"/>
        <v>3636.3427377220482</v>
      </c>
      <c r="H17" s="9">
        <f t="shared" ca="1" si="7"/>
        <v>3479.98</v>
      </c>
      <c r="I17" s="9">
        <f t="shared" ca="1" si="7"/>
        <v>4222.2142443876819</v>
      </c>
      <c r="J17" s="9">
        <f t="shared" ca="1" si="7"/>
        <v>3273.8057556123176</v>
      </c>
      <c r="K17" s="9">
        <f t="shared" ca="1" si="7"/>
        <v>10600.973655761023</v>
      </c>
      <c r="L17" s="17">
        <f t="shared" ca="1" si="5"/>
        <v>27652.959919013461</v>
      </c>
      <c r="M17" s="17"/>
      <c r="N17" s="17"/>
      <c r="O17" s="9"/>
      <c r="P17" s="14"/>
      <c r="Q17" s="11">
        <f t="shared" ca="1" si="6"/>
        <v>27652.959919013461</v>
      </c>
      <c r="R17" s="17">
        <f t="shared" ca="1" si="4"/>
        <v>27652.959919013461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0.96788077616668899</v>
      </c>
      <c r="J18" s="39">
        <f ca="1">I18</f>
        <v>0.96788077616668899</v>
      </c>
      <c r="K18" s="40">
        <f ca="1">1-(-K13)/K17</f>
        <v>0.89333912633656365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3528.1775183657037</v>
      </c>
      <c r="D2" s="9">
        <f ca="1">Q4/parameters!$B$3</f>
        <v>98.138271107980287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3626.3157894736842</v>
      </c>
      <c r="M2" s="17"/>
      <c r="N2" s="17">
        <f ca="1">Q2-(L2+O2+P2)</f>
        <v>359.68421052631675</v>
      </c>
      <c r="O2" s="11" cm="1">
        <f t="array" aca="1" ref="O2" ca="1">INDIRECT("'data'!$F$" &amp; $A$1)</f>
        <v>10114</v>
      </c>
      <c r="P2" s="13">
        <f ca="1">IF(-(L2-Q2+O2)&lt;0, -(L2-Q2+O2), 0)</f>
        <v>0</v>
      </c>
      <c r="Q2" s="17" cm="1">
        <f t="array" aca="1" ref="Q2" ca="1">INDIRECT("'data'!$D$" &amp; $A$1)</f>
        <v>14100</v>
      </c>
      <c r="R2" s="17">
        <f ca="1">SUM(L2:P2)</f>
        <v>14100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3248</v>
      </c>
      <c r="G3" s="14">
        <f ca="1">Q3-O3-P3-F3</f>
        <v>163.44999999999982</v>
      </c>
      <c r="H3" s="14"/>
      <c r="I3" s="14"/>
      <c r="J3" s="14"/>
      <c r="K3" s="13"/>
      <c r="L3" s="16">
        <f t="shared" ca="1" si="0"/>
        <v>3411.45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111.50999999999999</v>
      </c>
      <c r="P3" s="13" cm="1">
        <f t="array" aca="1" ref="P3" ca="1">-INDIRECT("'data'!$I$" &amp; $A$1)*parameters!$B$13</f>
        <v>-17.009999999999998</v>
      </c>
      <c r="Q3" s="16" cm="1">
        <f t="array" aca="1" ref="Q3" ca="1">INDIRECT("'data'!$G$" &amp; $A$1)*parameters!$B$13</f>
        <v>3505.95</v>
      </c>
      <c r="R3" s="16">
        <f t="shared" ref="R3:R10" ca="1" si="2">SUM(L3:P3)</f>
        <v>3505.95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97.52000000000001</v>
      </c>
      <c r="H4" s="14"/>
      <c r="I4" s="14"/>
      <c r="J4" s="14"/>
      <c r="K4" s="13"/>
      <c r="L4" s="16">
        <f t="shared" ca="1" si="0"/>
        <v>97.52000000000001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97.52000000000001</v>
      </c>
      <c r="R4" s="16">
        <f t="shared" ca="1" si="2"/>
        <v>97.52000000000001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812</v>
      </c>
      <c r="G5" s="14">
        <f ca="1">Q7/parameters!$B$7-(G3+G4)</f>
        <v>1604.8189237199583</v>
      </c>
      <c r="H5" s="14"/>
      <c r="I5" s="14"/>
      <c r="J5" s="14"/>
      <c r="K5" s="13"/>
      <c r="L5" s="16">
        <f t="shared" ca="1" si="0"/>
        <v>2416.8189237199585</v>
      </c>
      <c r="M5" s="16"/>
      <c r="N5" s="16"/>
      <c r="O5" s="11" cm="1">
        <f t="array" aca="1" ref="O5" ca="1">INDIRECT("'data'!$M$" &amp; $A$1)*parameters!$B$15</f>
        <v>694.81999999999994</v>
      </c>
      <c r="P5" s="13" cm="1">
        <f t="array" aca="1" ref="P5" ca="1">-INDIRECT("'data'!$N$" &amp; $A$1)*parameters!$B$15</f>
        <v>-343.98</v>
      </c>
      <c r="Q5" s="16">
        <f ca="1">SUM(L5:P5)</f>
        <v>2767.6589237199582</v>
      </c>
      <c r="R5" s="16">
        <f t="shared" ca="1" si="2"/>
        <v>2767.6589237199582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3808.2799999999997</v>
      </c>
      <c r="I6" s="14"/>
      <c r="J6" s="14"/>
      <c r="K6" s="13"/>
      <c r="L6" s="16">
        <f t="shared" ca="1" si="0"/>
        <v>3808.2799999999997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3808.2799999999997</v>
      </c>
      <c r="R6" s="16">
        <f t="shared" ca="1" si="2"/>
        <v>3808.2799999999997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1785.56</v>
      </c>
      <c r="I7" s="14"/>
      <c r="J7" s="14"/>
      <c r="K7" s="13"/>
      <c r="L7" s="16">
        <f t="shared" ca="1" si="0"/>
        <v>1785.56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1785.56</v>
      </c>
      <c r="R7" s="16">
        <f t="shared" ca="1" si="2"/>
        <v>1785.56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947.07565923944287</v>
      </c>
      <c r="J8" s="14">
        <f ca="1">Q10/J18</f>
        <v>4969.1843407605575</v>
      </c>
      <c r="K8" s="13"/>
      <c r="L8" s="16">
        <f t="shared" ca="1" si="0"/>
        <v>5916.26</v>
      </c>
      <c r="M8" s="16"/>
      <c r="N8" s="16">
        <f t="shared" ca="1" si="3"/>
        <v>0</v>
      </c>
      <c r="O8" s="11" cm="1">
        <f t="array" aca="1" ref="O8" ca="1">INDIRECT("'data'!$R$" &amp; $A$1)*parameters!$B$15</f>
        <v>163.66</v>
      </c>
      <c r="P8" s="13" cm="1">
        <f t="array" aca="1" ref="P8" ca="1">-INDIRECT("'data'!$S$" &amp; $A$1)*parameters!$B$15</f>
        <v>-486.08</v>
      </c>
      <c r="Q8" s="16">
        <f ca="1">SUM(Q6:Q7)</f>
        <v>5593.84</v>
      </c>
      <c r="R8" s="16">
        <f t="shared" ca="1" si="2"/>
        <v>5593.84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828.09999999999991</v>
      </c>
      <c r="L9" s="16">
        <f t="shared" ca="1" si="0"/>
        <v>828.09999999999991</v>
      </c>
      <c r="M9" s="16"/>
      <c r="N9" s="16">
        <f t="shared" ca="1" si="3"/>
        <v>0</v>
      </c>
      <c r="O9" s="11" cm="1">
        <f t="array" aca="1" ref="O9" ca="1">INDIRECT("'data'!$U$" &amp; $A$1)*parameters!$B$15</f>
        <v>765.38</v>
      </c>
      <c r="P9" s="13" cm="1">
        <f t="array" aca="1" ref="P9" ca="1">-INDIRECT("'data'!$V$" &amp; $A$1)*parameters!$B$15</f>
        <v>-830.06</v>
      </c>
      <c r="Q9" s="16" cm="1">
        <f t="array" aca="1" ref="Q9" ca="1">INDIRECT("'data'!$T$" &amp; $A$1)*parameters!$B$15</f>
        <v>763.42</v>
      </c>
      <c r="R9" s="16">
        <f t="shared" ca="1" si="2"/>
        <v>763.42000000000007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2503.2266856330011</v>
      </c>
      <c r="L10" s="16">
        <f t="shared" ca="1" si="0"/>
        <v>2503.2266856330011</v>
      </c>
      <c r="M10" s="16"/>
      <c r="N10" s="16">
        <f t="shared" ca="1" si="3"/>
        <v>0</v>
      </c>
      <c r="O10" s="11" cm="1">
        <f t="array" aca="1" ref="O10" ca="1">INDIRECT("'data'!$X$" &amp; $A$1)*parameters!$B$15</f>
        <v>3088.96</v>
      </c>
      <c r="P10" s="13" cm="1">
        <f t="array" aca="1" ref="P10" ca="1">-INDIRECT("'data'!$Y$" &amp; $A$1)*parameters!$B$15</f>
        <v>-1586.62</v>
      </c>
      <c r="Q10" s="16" cm="1">
        <f t="array" aca="1" ref="Q10" ca="1">INDIRECT("'data'!$W$" &amp; $A$1)*parameters!$B$15</f>
        <v>4005.5666856330013</v>
      </c>
      <c r="R10" s="16">
        <f t="shared" ca="1" si="2"/>
        <v>4005.5666856330017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3020.3689496443803</v>
      </c>
      <c r="N11" s="19"/>
      <c r="O11" s="21" cm="1">
        <f t="array" aca="1" ref="O11" ca="1">INDIRECT("'data'!$Z$" &amp; $A$1)*parameters!$B$15</f>
        <v>2372.58</v>
      </c>
      <c r="P11" s="27" cm="1">
        <f t="array" aca="1" ref="P11" ca="1">-INDIRECT("'data'!$AA$" &amp; $A$1)*parameters!$B$15</f>
        <v>-2461.7599999999998</v>
      </c>
      <c r="Q11" s="16">
        <f ca="1">K9*parameters!$B$10+K10*parameters!$B$11</f>
        <v>2931.1889496443805</v>
      </c>
      <c r="R11" s="16">
        <f t="shared" ref="R11:R17" ca="1" si="4">SUM(L11:P11)</f>
        <v>2931.1889496443805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-22.227518365703872</v>
      </c>
      <c r="D12" s="9">
        <f ca="1">-(D17-Q4)</f>
        <v>-0.61827110798027718</v>
      </c>
      <c r="E12" s="9">
        <f ca="1">-(E17-Q5)</f>
        <v>-342.07020405527555</v>
      </c>
      <c r="F12" s="9">
        <f ca="1">-(F17-Q6)</f>
        <v>-251.72000000000025</v>
      </c>
      <c r="G12" s="9">
        <f ca="1">-(G17-Q7)</f>
        <v>-80.228923719958175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-696.86491724891812</v>
      </c>
      <c r="M12" s="17"/>
      <c r="N12" s="17"/>
      <c r="O12" s="10"/>
      <c r="P12" s="12"/>
      <c r="Q12" s="9">
        <f t="shared" ref="Q12:Q17" ca="1" si="6">SUM(L12:P12)</f>
        <v>-696.86491724891812</v>
      </c>
      <c r="R12" s="17">
        <f t="shared" ca="1" si="4"/>
        <v>-696.86491724891812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-183.65565923944291</v>
      </c>
      <c r="J13" s="14">
        <f ca="1">-(J17-Q10)</f>
        <v>-963.61765512755619</v>
      </c>
      <c r="K13" s="13">
        <f ca="1">-(K17-Q11)</f>
        <v>-400.13773598862053</v>
      </c>
      <c r="L13" s="14">
        <f t="shared" ca="1" si="5"/>
        <v>-1547.4110503556196</v>
      </c>
      <c r="M13" s="16">
        <f ca="1">-E15</f>
        <v>-1562.3180774196142</v>
      </c>
      <c r="N13" s="16"/>
      <c r="O13" s="11"/>
      <c r="P13" s="13"/>
      <c r="Q13" s="14">
        <f t="shared" ca="1" si="6"/>
        <v>-3109.7291277752338</v>
      </c>
      <c r="R13" s="16">
        <f t="shared" ca="1" si="4"/>
        <v>-3109.7291277752338</v>
      </c>
    </row>
    <row r="14" spans="1:20">
      <c r="A14" s="18" t="s">
        <v>78</v>
      </c>
      <c r="B14" s="11"/>
      <c r="C14" s="14"/>
      <c r="D14" s="14"/>
      <c r="E14" s="14">
        <f ca="1">-(I13+J13)-K13</f>
        <v>1547.4110503556196</v>
      </c>
      <c r="F14" s="14"/>
      <c r="G14" s="14"/>
      <c r="H14" s="14"/>
      <c r="I14" s="14"/>
      <c r="J14" s="14"/>
      <c r="K14" s="13"/>
      <c r="L14" s="14">
        <f t="shared" ca="1" si="5"/>
        <v>1547.4110503556196</v>
      </c>
      <c r="M14" s="16"/>
      <c r="N14" s="16"/>
      <c r="O14" s="11"/>
      <c r="P14" s="13"/>
      <c r="Q14" s="14">
        <f t="shared" ca="1" si="6"/>
        <v>1547.4110503556196</v>
      </c>
      <c r="R14" s="16">
        <f t="shared" ca="1" si="4"/>
        <v>1547.4110503556196</v>
      </c>
    </row>
    <row r="15" spans="1:20">
      <c r="A15" s="18" t="s">
        <v>79</v>
      </c>
      <c r="B15" s="11"/>
      <c r="C15" s="14"/>
      <c r="D15" s="14"/>
      <c r="E15" s="14">
        <f ca="1">E17-E14</f>
        <v>1562.3180774196142</v>
      </c>
      <c r="F15" s="14"/>
      <c r="G15" s="14"/>
      <c r="H15" s="14"/>
      <c r="I15" s="14"/>
      <c r="J15" s="14"/>
      <c r="K15" s="13"/>
      <c r="L15" s="14">
        <f t="shared" ca="1" si="5"/>
        <v>1562.3180774196142</v>
      </c>
      <c r="M15" s="16"/>
      <c r="N15" s="16"/>
      <c r="O15" s="11"/>
      <c r="P15" s="13"/>
      <c r="Q15" s="14">
        <f t="shared" ca="1" si="6"/>
        <v>1562.3180774196142</v>
      </c>
      <c r="R15" s="16">
        <f t="shared" ca="1" si="4"/>
        <v>1562.3180774196142</v>
      </c>
    </row>
    <row r="16" spans="1:20">
      <c r="A16" s="30" t="s">
        <v>89</v>
      </c>
      <c r="B16" s="21">
        <f ca="1">Q2</f>
        <v>14100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14100</v>
      </c>
      <c r="M16" s="19"/>
      <c r="N16" s="19"/>
      <c r="O16" s="21"/>
      <c r="P16" s="27"/>
      <c r="Q16" s="22">
        <f t="shared" ca="1" si="6"/>
        <v>14100</v>
      </c>
      <c r="R16" s="19">
        <f t="shared" ca="1" si="4"/>
        <v>14100</v>
      </c>
    </row>
    <row r="17" spans="1:18">
      <c r="A17" s="29" t="s">
        <v>88</v>
      </c>
      <c r="B17" s="9">
        <f ca="1">B16</f>
        <v>14100</v>
      </c>
      <c r="C17" s="9">
        <f ca="1">SUM(C$2:C$11)</f>
        <v>3528.1775183657037</v>
      </c>
      <c r="D17" s="9">
        <f ca="1">SUM(D$2:D$11)</f>
        <v>98.138271107980287</v>
      </c>
      <c r="E17" s="9">
        <f ca="1">$Q$5/parameters!$B$4</f>
        <v>3109.7291277752338</v>
      </c>
      <c r="F17" s="9">
        <f t="shared" ref="F17:K17" ca="1" si="7">SUM(F$2:F$11)</f>
        <v>4060</v>
      </c>
      <c r="G17" s="9">
        <f t="shared" ca="1" si="7"/>
        <v>1865.7889237199581</v>
      </c>
      <c r="H17" s="9">
        <f t="shared" ca="1" si="7"/>
        <v>5593.84</v>
      </c>
      <c r="I17" s="9">
        <f t="shared" ca="1" si="7"/>
        <v>947.07565923944287</v>
      </c>
      <c r="J17" s="9">
        <f t="shared" ca="1" si="7"/>
        <v>4969.1843407605575</v>
      </c>
      <c r="K17" s="9">
        <f t="shared" ca="1" si="7"/>
        <v>3331.326685633001</v>
      </c>
      <c r="L17" s="17">
        <f t="shared" ca="1" si="5"/>
        <v>41603.26052660188</v>
      </c>
      <c r="M17" s="17"/>
      <c r="N17" s="17"/>
      <c r="O17" s="9"/>
      <c r="P17" s="14"/>
      <c r="Q17" s="11">
        <f t="shared" ca="1" si="6"/>
        <v>41603.26052660188</v>
      </c>
      <c r="R17" s="17">
        <f t="shared" ca="1" si="4"/>
        <v>41603.26052660188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0.80608132259789134</v>
      </c>
      <c r="J18" s="39">
        <f ca="1">I18</f>
        <v>0.80608132259789134</v>
      </c>
      <c r="K18" s="40">
        <f ca="1">1-(-K13)/K17</f>
        <v>0.87988637148248083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2024-08-12T09:31:47Z</dcterms:modified>
</cp:coreProperties>
</file>