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79A38108-50BD-3441-8E93-093855EEB7A3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4" l="1"/>
  <c r="J18" i="34" s="1"/>
  <c r="I18" i="35"/>
  <c r="J18" i="35" s="1"/>
  <c r="I18" i="27" l="1"/>
  <c r="J18" i="27" s="1"/>
  <c r="I18" i="15"/>
  <c r="J18" i="15"/>
  <c r="I18" i="21"/>
  <c r="J18" i="21"/>
  <c r="I18" i="20" l="1"/>
  <c r="J18" i="20" s="1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3" i="49"/>
  <c r="G24" i="49"/>
  <c r="G25" i="49"/>
  <c r="G26" i="49"/>
  <c r="G27" i="49"/>
  <c r="G28" i="49"/>
  <c r="G29" i="49"/>
  <c r="G30" i="49"/>
  <c r="G31" i="49"/>
  <c r="G32" i="49"/>
  <c r="G3" i="49"/>
  <c r="J22" i="49" l="1"/>
  <c r="G22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P5" i="33" a="1"/>
  <c r="Q7" i="28" a="1"/>
  <c r="O8" i="42" a="1"/>
  <c r="Q10" i="43" a="1"/>
  <c r="P11" i="34" a="1"/>
  <c r="O8" i="21" a="1"/>
  <c r="P5" i="42" a="1"/>
  <c r="Q7" i="23" a="1"/>
  <c r="Q6" i="35" a="1"/>
  <c r="O2" i="31" a="1"/>
  <c r="O2" i="38" a="1"/>
  <c r="O4" i="36" a="1"/>
  <c r="O4" i="35" a="1"/>
  <c r="Q9" i="35" a="1"/>
  <c r="P10" i="26" a="1"/>
  <c r="P3" i="27" a="1"/>
  <c r="Q3" i="15" a="1"/>
  <c r="O8" i="39" a="1"/>
  <c r="Q7" i="29" a="1"/>
  <c r="O3" i="11" a="1"/>
  <c r="O5" i="32" a="1"/>
  <c r="P11" i="18" a="1"/>
  <c r="O11" i="24" a="1"/>
  <c r="Q2" i="28" a="1"/>
  <c r="Q10" i="37" a="1"/>
  <c r="O8" i="19" a="1"/>
  <c r="P4" i="15" a="1"/>
  <c r="P10" i="20" a="1"/>
  <c r="O10" i="14" a="1"/>
  <c r="P10" i="43" a="1"/>
  <c r="P8" i="20" a="1"/>
  <c r="P11" i="23" a="1"/>
  <c r="O8" i="34" a="1"/>
  <c r="Q2" i="37" a="1"/>
  <c r="Q10" i="39" a="1"/>
  <c r="O4" i="30" a="1"/>
  <c r="Q6" i="24" a="1"/>
  <c r="P5" i="28" a="1"/>
  <c r="Q10" i="34" a="1"/>
  <c r="Q7" i="18" a="1"/>
  <c r="P8" i="35" a="1"/>
  <c r="P9" i="22" a="1"/>
  <c r="Q6" i="18" a="1"/>
  <c r="P4" i="43" a="1"/>
  <c r="O8" i="43" a="1"/>
  <c r="Q9" i="32" a="1"/>
  <c r="Q9" i="42" a="1"/>
  <c r="O8" i="32" a="1"/>
  <c r="Q10" i="32" a="1"/>
  <c r="O10" i="33" a="1"/>
  <c r="Q3" i="38" a="1"/>
  <c r="O11" i="31" a="1"/>
  <c r="O10" i="31" a="1"/>
  <c r="O5" i="15" a="1"/>
  <c r="O8" i="24" a="1"/>
  <c r="Q7" i="33" a="1"/>
  <c r="P3" i="26" a="1"/>
  <c r="P8" i="37" a="1"/>
  <c r="O3" i="28" a="1"/>
  <c r="Q7" i="15" a="1"/>
  <c r="Q2" i="17" a="1"/>
  <c r="P3" i="20" a="1"/>
  <c r="P10" i="39" a="1"/>
  <c r="Q6" i="39" a="1"/>
  <c r="Q3" i="20" a="1"/>
  <c r="O9" i="23" a="1"/>
  <c r="P5" i="36" a="1"/>
  <c r="Q10" i="23" a="1"/>
  <c r="P3" i="19" a="1"/>
  <c r="P4" i="23" a="1"/>
  <c r="Q9" i="43" a="1"/>
  <c r="P5" i="14" a="1"/>
  <c r="O2" i="40" a="1"/>
  <c r="Q2" i="39" a="1"/>
  <c r="Q7" i="30" a="1"/>
  <c r="P4" i="38" a="1"/>
  <c r="Q3" i="35" a="1"/>
  <c r="O8" i="18" a="1"/>
  <c r="Q10" i="20" a="1"/>
  <c r="P3" i="31" a="1"/>
  <c r="Q3" i="41" a="1"/>
  <c r="O3" i="20" a="1"/>
  <c r="Q4" i="24" a="1"/>
  <c r="P10" i="30" a="1"/>
  <c r="O11" i="18" a="1"/>
  <c r="Q3" i="43" a="1"/>
  <c r="P5" i="24" a="1"/>
  <c r="Q3" i="30" a="1"/>
  <c r="O8" i="16" a="1"/>
  <c r="Q9" i="11" a="1"/>
  <c r="P10" i="38" a="1"/>
  <c r="Q7" i="21" a="1"/>
  <c r="O8" i="23" a="1"/>
  <c r="O3" i="16" a="1"/>
  <c r="P9" i="19" a="1"/>
  <c r="O5" i="17" a="1"/>
  <c r="P10" i="17" a="1"/>
  <c r="O4" i="37" a="1"/>
  <c r="Q7" i="32" a="1"/>
  <c r="O4" i="17" a="1"/>
  <c r="Q10" i="27" a="1"/>
  <c r="Q3" i="24" a="1"/>
  <c r="O2" i="29" a="1"/>
  <c r="Q10" i="16" a="1"/>
  <c r="O5" i="21" a="1"/>
  <c r="Q7" i="16" a="1"/>
  <c r="O5" i="40" a="1"/>
  <c r="P4" i="30" a="1"/>
  <c r="O3" i="21" a="1"/>
  <c r="O2" i="33" a="1"/>
  <c r="P5" i="32" a="1"/>
  <c r="P3" i="30" a="1"/>
  <c r="O11" i="39" a="1"/>
  <c r="Q3" i="32" a="1"/>
  <c r="O4" i="15" a="1"/>
  <c r="O11" i="20" a="1"/>
  <c r="P4" i="35" a="1"/>
  <c r="P3" i="42" a="1"/>
  <c r="P4" i="42" a="1"/>
  <c r="P3" i="28" a="1"/>
  <c r="P5" i="41" a="1"/>
  <c r="Q2" i="29" a="1"/>
  <c r="P10" i="41" a="1"/>
  <c r="O8" i="17" a="1"/>
  <c r="Q2" i="41" a="1"/>
  <c r="P5" i="40" a="1"/>
  <c r="O9" i="41" a="1"/>
  <c r="Q4" i="21" a="1"/>
  <c r="P9" i="11" a="1"/>
  <c r="O2" i="27" a="1"/>
  <c r="O8" i="37" a="1"/>
  <c r="P3" i="35" a="1"/>
  <c r="P9" i="37" a="1"/>
  <c r="O9" i="34" a="1"/>
  <c r="P11" i="42" a="1"/>
  <c r="O9" i="20" a="1"/>
  <c r="P5" i="26" a="1"/>
  <c r="O3" i="18" a="1"/>
  <c r="P9" i="15" a="1"/>
  <c r="O3" i="43" a="1"/>
  <c r="O3" i="22" a="1"/>
  <c r="P10" i="19" a="1"/>
  <c r="P11" i="30" a="1"/>
  <c r="P5" i="23" a="1"/>
  <c r="Q2" i="16" a="1"/>
  <c r="Q4" i="29" a="1"/>
  <c r="O5" i="35" a="1"/>
  <c r="O3" i="37" a="1"/>
  <c r="O4" i="27" a="1"/>
  <c r="Q6" i="27" a="1"/>
  <c r="Q6" i="22" a="1"/>
  <c r="O9" i="17" a="1"/>
  <c r="O3" i="31" a="1"/>
  <c r="O10" i="19" a="1"/>
  <c r="O3" i="24" a="1"/>
  <c r="Q10" i="33" a="1"/>
  <c r="Q2" i="27" a="1"/>
  <c r="P10" i="23" a="1"/>
  <c r="O2" i="36" a="1"/>
  <c r="Q10" i="11" a="1"/>
  <c r="P4" i="40" a="1"/>
  <c r="P4" i="20" a="1"/>
  <c r="P10" i="32" a="1"/>
  <c r="P3" i="16" a="1"/>
  <c r="O2" i="35" a="1"/>
  <c r="P8" i="24" a="1"/>
  <c r="O5" i="43" a="1"/>
  <c r="O9" i="40" a="1"/>
  <c r="P9" i="24" a="1"/>
  <c r="O5" i="33" a="1"/>
  <c r="O10" i="16" a="1"/>
  <c r="Q9" i="15" a="1"/>
  <c r="O5" i="41" a="1"/>
  <c r="Q10" i="21" a="1"/>
  <c r="P5" i="18" a="1"/>
  <c r="Q2" i="15" a="1"/>
  <c r="Q7" i="35" a="1"/>
  <c r="Q7" i="39" a="1"/>
  <c r="Q3" i="40" a="1"/>
  <c r="Q4" i="22" a="1"/>
  <c r="O2" i="28" a="1"/>
  <c r="Q3" i="22" a="1"/>
  <c r="P4" i="24" a="1"/>
  <c r="Q2" i="43" a="1"/>
  <c r="Q10" i="40" a="1"/>
  <c r="O3" i="15" a="1"/>
  <c r="O11" i="37" a="1"/>
  <c r="O4" i="16" a="1"/>
  <c r="O3" i="41" a="1"/>
  <c r="P5" i="27" a="1"/>
  <c r="O5" i="37" a="1"/>
  <c r="O10" i="39" a="1"/>
  <c r="Q6" i="21" a="1"/>
  <c r="P10" i="18" a="1"/>
  <c r="O10" i="20" a="1"/>
  <c r="O10" i="21" a="1"/>
  <c r="Q2" i="22" a="1"/>
  <c r="P5" i="11" a="1"/>
  <c r="Q9" i="41" a="1"/>
  <c r="Q10" i="31" a="1"/>
  <c r="Q7" i="38" a="1"/>
  <c r="Q4" i="33" a="1"/>
  <c r="Q4" i="18" a="1"/>
  <c r="O10" i="17" a="1"/>
  <c r="Q3" i="19" a="1"/>
  <c r="O4" i="28" a="1"/>
  <c r="Q6" i="23" a="1"/>
  <c r="P5" i="20" a="1"/>
  <c r="P3" i="14" a="1"/>
  <c r="Q4" i="11" a="1"/>
  <c r="P5" i="31" a="1"/>
  <c r="P4" i="36" a="1"/>
  <c r="Q3" i="37" a="1"/>
  <c r="O10" i="28" a="1"/>
  <c r="P4" i="41" a="1"/>
  <c r="P9" i="14" a="1"/>
  <c r="P3" i="15" a="1"/>
  <c r="O11" i="15" a="1"/>
  <c r="Q9" i="27" a="1"/>
  <c r="Q2" i="18" a="1"/>
  <c r="P10" i="27" a="1"/>
  <c r="P9" i="41" a="1"/>
  <c r="Q7" i="14" a="1"/>
  <c r="O5" i="14" a="1"/>
  <c r="P4" i="29" a="1"/>
  <c r="Q6" i="31" a="1"/>
  <c r="O9" i="36" a="1"/>
  <c r="O3" i="39" a="1"/>
  <c r="P11" i="27" a="1"/>
  <c r="Q9" i="23" a="1"/>
  <c r="P10" i="31" a="1"/>
  <c r="P9" i="17" a="1"/>
  <c r="P5" i="21" a="1"/>
  <c r="O3" i="40" a="1"/>
  <c r="P3" i="37" a="1"/>
  <c r="O10" i="34" a="1"/>
  <c r="P11" i="31" a="1"/>
  <c r="P4" i="39" a="1"/>
  <c r="P5" i="34" a="1"/>
  <c r="O5" i="38" a="1"/>
  <c r="Q2" i="40" a="1"/>
  <c r="O10" i="24" a="1"/>
  <c r="Q3" i="17" a="1"/>
  <c r="P8" i="34" a="1"/>
  <c r="P10" i="21" a="1"/>
  <c r="O8" i="30" a="1"/>
  <c r="O10" i="37" a="1"/>
  <c r="P3" i="34" a="1"/>
  <c r="Q9" i="14" a="1"/>
  <c r="P9" i="42" a="1"/>
  <c r="Q7" i="24" a="1"/>
  <c r="O4" i="11" a="1"/>
  <c r="O4" i="24" a="1"/>
  <c r="P4" i="21" a="1"/>
  <c r="O4" i="29" a="1"/>
  <c r="P3" i="21" a="1"/>
  <c r="O5" i="34" a="1"/>
  <c r="P11" i="26" a="1"/>
  <c r="Q3" i="14" a="1"/>
  <c r="Q3" i="26" a="1"/>
  <c r="P8" i="31" a="1"/>
  <c r="Q9" i="28" a="1"/>
  <c r="P3" i="40" a="1"/>
  <c r="P8" i="22" a="1"/>
  <c r="P9" i="31" a="1"/>
  <c r="O11" i="14" a="1"/>
  <c r="O3" i="42" a="1"/>
  <c r="P3" i="22" a="1"/>
  <c r="Q4" i="32" a="1"/>
  <c r="P10" i="37" a="1"/>
  <c r="O9" i="38" a="1"/>
  <c r="P11" i="36" a="1"/>
  <c r="Q10" i="26" a="1"/>
  <c r="O11" i="42" a="1"/>
  <c r="P11" i="39" a="1"/>
  <c r="O11" i="21" a="1"/>
  <c r="O10" i="40" a="1"/>
  <c r="Q9" i="38" a="1"/>
  <c r="P11" i="21" a="1"/>
  <c r="O10" i="22" a="1"/>
  <c r="Q6" i="38" a="1"/>
  <c r="Q3" i="33" a="1"/>
  <c r="O11" i="17" a="1"/>
  <c r="O10" i="35" a="1"/>
  <c r="O2" i="41" a="1"/>
  <c r="O8" i="15" a="1"/>
  <c r="O5" i="22" a="1"/>
  <c r="O9" i="33" a="1"/>
  <c r="P3" i="29" a="1"/>
  <c r="O2" i="20" a="1"/>
  <c r="Q3" i="36" a="1"/>
  <c r="O5" i="36" a="1"/>
  <c r="O5" i="29" a="1"/>
  <c r="O5" i="20" a="1"/>
  <c r="Q6" i="32" a="1"/>
  <c r="O11" i="11" a="1"/>
  <c r="O9" i="27" a="1"/>
  <c r="P5" i="19" a="1"/>
  <c r="Q10" i="30" a="1"/>
  <c r="P10" i="42" a="1"/>
  <c r="P11" i="14" a="1"/>
  <c r="O9" i="26" a="1"/>
  <c r="O8" i="26" a="1"/>
  <c r="P5" i="35" a="1"/>
  <c r="O9" i="37" a="1"/>
  <c r="O2" i="26" a="1"/>
  <c r="Q10" i="41" a="1"/>
  <c r="O8" i="35" a="1"/>
  <c r="Q7" i="34" a="1"/>
  <c r="P9" i="33" a="1"/>
  <c r="Q9" i="39" a="1"/>
  <c r="O10" i="43" a="1"/>
  <c r="O4" i="43" a="1"/>
  <c r="Q9" i="19" a="1"/>
  <c r="Q4" i="27" a="1"/>
  <c r="Q3" i="16" a="1"/>
  <c r="O3" i="17" a="1"/>
  <c r="O2" i="23" a="1"/>
  <c r="O8" i="38" a="1"/>
  <c r="O10" i="38" a="1"/>
  <c r="P8" i="38" a="1"/>
  <c r="Q4" i="23" a="1"/>
  <c r="Q3" i="18" a="1"/>
  <c r="P10" i="33" a="1"/>
  <c r="Q10" i="29" a="1"/>
  <c r="O4" i="31" a="1"/>
  <c r="P9" i="34" a="1"/>
  <c r="P11" i="19" a="1"/>
  <c r="O2" i="39" a="1"/>
  <c r="P8" i="26" a="1"/>
  <c r="P9" i="23" a="1"/>
  <c r="Q6" i="15" a="1"/>
  <c r="O9" i="15" a="1"/>
  <c r="O8" i="14" a="1"/>
  <c r="O5" i="42" a="1"/>
  <c r="O10" i="32" a="1"/>
  <c r="P9" i="38" a="1"/>
  <c r="Q10" i="22" a="1"/>
  <c r="O9" i="31" a="1"/>
  <c r="P9" i="29" a="1"/>
  <c r="O11" i="41" a="1"/>
  <c r="Q10" i="35" a="1"/>
  <c r="Q9" i="33" a="1"/>
  <c r="P8" i="15" a="1"/>
  <c r="O4" i="20" a="1"/>
  <c r="Q9" i="36" a="1"/>
  <c r="O9" i="32" a="1"/>
  <c r="Q6" i="29" a="1"/>
  <c r="P3" i="43" a="1"/>
  <c r="O4" i="19" a="1"/>
  <c r="Q9" i="17" a="1"/>
  <c r="Q7" i="26" a="1"/>
  <c r="Q6" i="16" a="1"/>
  <c r="O11" i="32" a="1"/>
  <c r="P8" i="42" a="1"/>
  <c r="P3" i="11" a="1"/>
  <c r="O4" i="23" a="1"/>
  <c r="P11" i="20" a="1"/>
  <c r="Q9" i="26" a="1"/>
  <c r="P3" i="38" a="1"/>
  <c r="P11" i="29" a="1"/>
  <c r="P9" i="43" a="1"/>
  <c r="P8" i="30" a="1"/>
  <c r="O2" i="18" a="1"/>
  <c r="Q3" i="28" a="1"/>
  <c r="O4" i="34" a="1"/>
  <c r="P10" i="22" a="1"/>
  <c r="P8" i="40" a="1"/>
  <c r="P10" i="15" a="1"/>
  <c r="O3" i="27" a="1"/>
  <c r="P10" i="28" a="1"/>
  <c r="Q6" i="37" a="1"/>
  <c r="O9" i="43" a="1"/>
  <c r="Q6" i="42" a="1"/>
  <c r="O10" i="36" a="1"/>
  <c r="O5" i="39" a="1"/>
  <c r="Q4" i="14" a="1"/>
  <c r="Q6" i="14" a="1"/>
  <c r="O9" i="14" a="1"/>
  <c r="P11" i="11" a="1"/>
  <c r="P4" i="33" a="1"/>
  <c r="O3" i="38" a="1"/>
  <c r="O2" i="43" a="1"/>
  <c r="O2" i="11" a="1"/>
  <c r="P11" i="28" a="1"/>
  <c r="Q2" i="38" a="1"/>
  <c r="O8" i="28" a="1"/>
  <c r="O3" i="34" a="1"/>
  <c r="Q6" i="41" a="1"/>
  <c r="O4" i="21" a="1"/>
  <c r="O8" i="31" a="1"/>
  <c r="P3" i="18" a="1"/>
  <c r="P8" i="41" a="1"/>
  <c r="O4" i="18" a="1"/>
  <c r="O4" i="26" a="1"/>
  <c r="Q9" i="18" a="1"/>
  <c r="Q7" i="22" a="1"/>
  <c r="O5" i="27" a="1"/>
  <c r="P11" i="15" a="1"/>
  <c r="P4" i="32" a="1"/>
  <c r="O3" i="26" a="1"/>
  <c r="P9" i="18" a="1"/>
  <c r="Q4" i="15" a="1"/>
  <c r="P3" i="33" a="1"/>
  <c r="O10" i="26" a="1"/>
  <c r="Q2" i="33" a="1"/>
  <c r="P5" i="39" a="1"/>
  <c r="P11" i="32" a="1"/>
  <c r="O3" i="36" a="1"/>
  <c r="Q10" i="28" a="1"/>
  <c r="Q4" i="16" a="1"/>
  <c r="Q3" i="31" a="1"/>
  <c r="P8" i="32" a="1"/>
  <c r="O2" i="24" a="1"/>
  <c r="Q9" i="21" a="1"/>
  <c r="Q9" i="29" a="1"/>
  <c r="O10" i="41" a="1"/>
  <c r="O2" i="42" a="1"/>
  <c r="P3" i="36" a="1"/>
  <c r="Q4" i="40" a="1"/>
  <c r="Q9" i="40" a="1"/>
  <c r="P11" i="16" a="1"/>
  <c r="O5" i="16" a="1"/>
  <c r="O8" i="41" a="1"/>
  <c r="P4" i="19" a="1"/>
  <c r="O9" i="11" a="1"/>
  <c r="O8" i="29" a="1"/>
  <c r="O8" i="40" a="1"/>
  <c r="Q7" i="17" a="1"/>
  <c r="Q9" i="34" a="1"/>
  <c r="P11" i="38" a="1"/>
  <c r="Q2" i="35" a="1"/>
  <c r="O5" i="26" a="1"/>
  <c r="O5" i="23" a="1"/>
  <c r="Q6" i="43" a="1"/>
  <c r="Q3" i="11" a="1"/>
  <c r="O11" i="28" a="1"/>
  <c r="O2" i="22" a="1"/>
  <c r="P5" i="43" a="1"/>
  <c r="P8" i="29" a="1"/>
  <c r="O5" i="24" a="1"/>
  <c r="O9" i="21" a="1"/>
  <c r="P5" i="16" a="1"/>
  <c r="O9" i="30" a="1"/>
  <c r="O9" i="28" a="1"/>
  <c r="P8" i="16" a="1"/>
  <c r="P9" i="30" a="1"/>
  <c r="Q10" i="14" a="1"/>
  <c r="Q2" i="23" a="1"/>
  <c r="P4" i="26" a="1"/>
  <c r="O11" i="22" a="1"/>
  <c r="O2" i="34" a="1"/>
  <c r="O9" i="22" a="1"/>
  <c r="P5" i="22" a="1"/>
  <c r="P4" i="31" a="1"/>
  <c r="O2" i="14" a="1"/>
  <c r="O9" i="19" a="1"/>
  <c r="P11" i="43" a="1"/>
  <c r="Q10" i="38" a="1"/>
  <c r="P4" i="17" a="1"/>
  <c r="Q10" i="19" a="1"/>
  <c r="O11" i="33" a="1"/>
  <c r="P8" i="36" a="1"/>
  <c r="O2" i="30" a="1"/>
  <c r="Q9" i="22" a="1"/>
  <c r="P9" i="20" a="1"/>
  <c r="Q2" i="11" a="1"/>
  <c r="O11" i="23" a="1"/>
  <c r="Q2" i="34" a="1"/>
  <c r="O5" i="31" a="1"/>
  <c r="Q4" i="39" a="1"/>
  <c r="O9" i="24" a="1"/>
  <c r="P10" i="29" a="1"/>
  <c r="P3" i="41" a="1"/>
  <c r="O11" i="40" a="1"/>
  <c r="Q6" i="26" a="1"/>
  <c r="Q9" i="30" a="1"/>
  <c r="Q3" i="21" a="1"/>
  <c r="O5" i="18" a="1"/>
  <c r="P5" i="38" a="1"/>
  <c r="Q9" i="37" a="1"/>
  <c r="Q6" i="34" a="1"/>
  <c r="P4" i="34" a="1"/>
  <c r="P9" i="36" a="1"/>
  <c r="P10" i="34" a="1"/>
  <c r="Q7" i="19" a="1"/>
  <c r="P11" i="41" a="1"/>
  <c r="P8" i="18" a="1"/>
  <c r="O8" i="33" a="1"/>
  <c r="O10" i="11" a="1"/>
  <c r="Q3" i="34" a="1"/>
  <c r="O9" i="42" a="1"/>
  <c r="O8" i="22" a="1"/>
  <c r="O10" i="29" a="1"/>
  <c r="O11" i="30" a="1"/>
  <c r="O11" i="36" a="1"/>
  <c r="Q10" i="17" a="1"/>
  <c r="Q2" i="30" a="1"/>
  <c r="P8" i="14" a="1"/>
  <c r="O8" i="27" a="1"/>
  <c r="O11" i="38" a="1"/>
  <c r="O3" i="35" a="1"/>
  <c r="P9" i="16" a="1"/>
  <c r="O4" i="42" a="1"/>
  <c r="Q7" i="11" a="1"/>
  <c r="O4" i="38" a="1"/>
  <c r="P10" i="14" a="1"/>
  <c r="Q4" i="26" a="1"/>
  <c r="P11" i="22" a="1"/>
  <c r="O4" i="40" a="1"/>
  <c r="Q3" i="39" a="1"/>
  <c r="Q4" i="35" a="1"/>
  <c r="O9" i="16" a="1"/>
  <c r="O3" i="23" a="1"/>
  <c r="P4" i="27" a="1"/>
  <c r="P5" i="37" a="1"/>
  <c r="Q7" i="20" a="1"/>
  <c r="P11" i="17" a="1"/>
  <c r="Q7" i="41" a="1"/>
  <c r="P8" i="28" a="1"/>
  <c r="Q4" i="43" a="1"/>
  <c r="Q7" i="37" a="1"/>
  <c r="Q4" i="19" a="1"/>
  <c r="Q4" i="28" a="1"/>
  <c r="P3" i="39" a="1"/>
  <c r="Q7" i="27" a="1"/>
  <c r="Q6" i="28" a="1"/>
  <c r="O10" i="18" a="1"/>
  <c r="Q4" i="31" a="1"/>
  <c r="Q2" i="20" a="1"/>
  <c r="P11" i="40" a="1"/>
  <c r="Q10" i="15" a="1"/>
  <c r="O2" i="21" a="1"/>
  <c r="O4" i="14" a="1"/>
  <c r="Q3" i="23" a="1"/>
  <c r="Q2" i="36" a="1"/>
  <c r="Q3" i="27" a="1"/>
  <c r="O11" i="26" a="1"/>
  <c r="Q2" i="31" a="1"/>
  <c r="O8" i="11" a="1"/>
  <c r="Q9" i="24" a="1"/>
  <c r="Q10" i="24" a="1"/>
  <c r="P10" i="11" a="1"/>
  <c r="O3" i="30" a="1"/>
  <c r="P8" i="19" a="1"/>
  <c r="Q9" i="31" a="1"/>
  <c r="O2" i="17" a="1"/>
  <c r="O11" i="27" a="1"/>
  <c r="Q2" i="42" a="1"/>
  <c r="O11" i="43" a="1"/>
  <c r="O3" i="19" a="1"/>
  <c r="P5" i="30" a="1"/>
  <c r="O2" i="19" a="1"/>
  <c r="O5" i="19" a="1"/>
  <c r="Q2" i="26" a="1"/>
  <c r="O3" i="29" a="1"/>
  <c r="P8" i="27" a="1"/>
  <c r="O10" i="27" a="1"/>
  <c r="O9" i="29" a="1"/>
  <c r="Q10" i="18" a="1"/>
  <c r="Q2" i="19" a="1"/>
  <c r="P9" i="40" a="1"/>
  <c r="Q10" i="42" a="1"/>
  <c r="Q4" i="38" a="1"/>
  <c r="P11" i="37" a="1"/>
  <c r="Q7" i="43" a="1"/>
  <c r="P5" i="17" a="1"/>
  <c r="Q7" i="36" a="1"/>
  <c r="Q10" i="36" a="1"/>
  <c r="Q6" i="33" a="1"/>
  <c r="O4" i="39" a="1"/>
  <c r="P8" i="23" a="1"/>
  <c r="P10" i="40" a="1"/>
  <c r="Q4" i="20" a="1"/>
  <c r="P11" i="33" a="1"/>
  <c r="P9" i="39" a="1"/>
  <c r="Q4" i="17" a="1"/>
  <c r="O2" i="16" a="1"/>
  <c r="Q7" i="42" a="1"/>
  <c r="O4" i="33" a="1"/>
  <c r="P9" i="26" a="1"/>
  <c r="P11" i="35" a="1"/>
  <c r="P3" i="17" a="1"/>
  <c r="Q4" i="42" a="1"/>
  <c r="O11" i="29" a="1"/>
  <c r="Q7" i="40" a="1"/>
  <c r="Q3" i="29" a="1"/>
  <c r="O2" i="15" a="1"/>
  <c r="Q4" i="36" a="1"/>
  <c r="P4" i="28" a="1"/>
  <c r="Q6" i="30" a="1"/>
  <c r="P3" i="24" a="1"/>
  <c r="P3" i="23" a="1"/>
  <c r="P10" i="16" a="1"/>
  <c r="P8" i="39" a="1"/>
  <c r="P8" i="43" a="1"/>
  <c r="Q4" i="30" a="1"/>
  <c r="O3" i="32" a="1"/>
  <c r="Q2" i="21" a="1"/>
  <c r="Q6" i="19" a="1"/>
  <c r="P9" i="32" a="1"/>
  <c r="P8" i="11" a="1"/>
  <c r="O11" i="16" a="1"/>
  <c r="Q4" i="34" a="1"/>
  <c r="O4" i="22" a="1"/>
  <c r="Q6" i="40" a="1"/>
  <c r="Q4" i="37" a="1"/>
  <c r="Q2" i="14" a="1"/>
  <c r="O2" i="37" a="1"/>
  <c r="Q2" i="32" a="1"/>
  <c r="P10" i="35" a="1"/>
  <c r="Q6" i="36" a="1"/>
  <c r="P9" i="27" a="1"/>
  <c r="O11" i="19" a="1"/>
  <c r="P3" i="32" a="1"/>
  <c r="Q6" i="11" a="1"/>
  <c r="O3" i="14" a="1"/>
  <c r="O10" i="23" a="1"/>
  <c r="O8" i="20" a="1"/>
  <c r="P4" i="18" a="1"/>
  <c r="O10" i="30" a="1"/>
  <c r="P5" i="15" a="1"/>
  <c r="Q2" i="24" a="1"/>
  <c r="P10" i="24" a="1"/>
  <c r="P5" i="29" a="1"/>
  <c r="Q3" i="42" a="1"/>
  <c r="P8" i="17" a="1"/>
  <c r="Q7" i="31" a="1"/>
  <c r="O11" i="35" a="1"/>
  <c r="Q4" i="41" a="1"/>
  <c r="P4" i="22" a="1"/>
  <c r="O4" i="32" a="1"/>
  <c r="O9" i="35" a="1"/>
  <c r="P11" i="24" a="1"/>
  <c r="P9" i="21" a="1"/>
  <c r="O11" i="34" a="1"/>
  <c r="O5" i="28" a="1"/>
  <c r="O5" i="30" a="1"/>
  <c r="P9" i="35" a="1"/>
  <c r="O4" i="41" a="1"/>
  <c r="P9" i="28" a="1"/>
  <c r="O9" i="39" a="1"/>
  <c r="P8" i="33" a="1"/>
  <c r="O10" i="15" a="1"/>
  <c r="P8" i="21" a="1"/>
  <c r="P4" i="11" a="1"/>
  <c r="P10" i="36" a="1"/>
  <c r="Q6" i="17" a="1"/>
  <c r="O5" i="11" a="1"/>
  <c r="O3" i="33" a="1"/>
  <c r="Q9" i="20" a="1"/>
  <c r="P4" i="37" a="1"/>
  <c r="O8" i="36" a="1"/>
  <c r="P4" i="14" a="1"/>
  <c r="Q9" i="16" a="1"/>
  <c r="O2" i="32" a="1"/>
  <c r="O9" i="18" a="1"/>
  <c r="O10" i="42" a="1"/>
  <c r="P4" i="16" a="1"/>
  <c r="Q6" i="19" l="1"/>
  <c r="Q6" i="35"/>
  <c r="F5" i="35" s="1"/>
  <c r="Q6" i="26"/>
  <c r="Q6" i="43"/>
  <c r="Q6" i="34"/>
  <c r="F5" i="34" s="1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Q6" i="37"/>
  <c r="Q6" i="28"/>
  <c r="Q6" i="17"/>
  <c r="Q6" i="36"/>
  <c r="F5" i="36" s="1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B16" i="34" s="1"/>
  <c r="B17" i="34" s="1"/>
  <c r="B12" i="34" s="1"/>
  <c r="B18" i="34" s="1"/>
  <c r="O11" i="34"/>
  <c r="Q9" i="33"/>
  <c r="Q2" i="18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H7" i="34" l="1"/>
  <c r="K9" i="34"/>
  <c r="I8" i="34"/>
  <c r="I17" i="34" s="1"/>
  <c r="I13" i="34" s="1"/>
  <c r="C2" i="34"/>
  <c r="C17" i="34" s="1"/>
  <c r="C12" i="34" s="1"/>
  <c r="C18" i="34" s="1"/>
  <c r="F3" i="34"/>
  <c r="H6" i="34"/>
  <c r="G4" i="34"/>
  <c r="D2" i="34"/>
  <c r="D17" i="34" s="1"/>
  <c r="D12" i="34" s="1"/>
  <c r="D18" i="34" s="1"/>
  <c r="K10" i="34"/>
  <c r="J8" i="34"/>
  <c r="J17" i="34" s="1"/>
  <c r="J13" i="34" s="1"/>
  <c r="F3" i="20"/>
  <c r="G3" i="20" s="1"/>
  <c r="G4" i="20"/>
  <c r="H7" i="15"/>
  <c r="C2" i="15"/>
  <c r="C17" i="15" s="1"/>
  <c r="C12" i="15" s="1"/>
  <c r="C18" i="15" s="1"/>
  <c r="K10" i="15"/>
  <c r="F3" i="15"/>
  <c r="F17" i="15" s="1"/>
  <c r="F12" i="15" s="1"/>
  <c r="F18" i="15" s="1"/>
  <c r="H6" i="15"/>
  <c r="K9" i="15"/>
  <c r="G4" i="15"/>
  <c r="D2" i="15"/>
  <c r="D17" i="15" s="1"/>
  <c r="D12" i="15" s="1"/>
  <c r="D18" i="15" s="1"/>
  <c r="K9" i="35"/>
  <c r="C2" i="35"/>
  <c r="C17" i="35" s="1"/>
  <c r="C12" i="35" s="1"/>
  <c r="C18" i="35" s="1"/>
  <c r="H7" i="35"/>
  <c r="K10" i="35"/>
  <c r="D2" i="35"/>
  <c r="D17" i="35" s="1"/>
  <c r="D12" i="35" s="1"/>
  <c r="D18" i="35" s="1"/>
  <c r="G4" i="35"/>
  <c r="F3" i="35"/>
  <c r="F17" i="35" s="1"/>
  <c r="F12" i="35" s="1"/>
  <c r="F18" i="35" s="1"/>
  <c r="H6" i="35"/>
  <c r="F5" i="11"/>
  <c r="F3" i="39"/>
  <c r="G3" i="39" s="1"/>
  <c r="F5" i="26"/>
  <c r="F5" i="37"/>
  <c r="F5" i="29"/>
  <c r="F5" i="40"/>
  <c r="F5" i="19"/>
  <c r="F5" i="17"/>
  <c r="F5" i="28"/>
  <c r="F5" i="41"/>
  <c r="F5" i="42"/>
  <c r="F5" i="30"/>
  <c r="F5" i="43"/>
  <c r="F5" i="22"/>
  <c r="F5" i="31"/>
  <c r="F5" i="23"/>
  <c r="F5" i="32"/>
  <c r="F5" i="24"/>
  <c r="F5" i="18"/>
  <c r="F5" i="33"/>
  <c r="F5" i="38"/>
  <c r="Q8" i="17"/>
  <c r="Q8" i="23"/>
  <c r="Q8" i="32"/>
  <c r="Q8" i="15"/>
  <c r="Q8" i="18"/>
  <c r="Q8" i="14"/>
  <c r="Q8" i="36"/>
  <c r="Q8" i="39"/>
  <c r="Q8" i="34"/>
  <c r="Q8" i="26"/>
  <c r="Q8" i="16"/>
  <c r="Q8" i="37"/>
  <c r="Q8" i="27"/>
  <c r="Q8" i="40"/>
  <c r="Q8" i="41"/>
  <c r="Q8" i="11"/>
  <c r="Q8" i="29"/>
  <c r="I18" i="29" s="1"/>
  <c r="J18" i="29" s="1"/>
  <c r="Q8" i="42"/>
  <c r="Q8" i="21"/>
  <c r="Q8" i="30"/>
  <c r="Q8" i="43"/>
  <c r="Q8" i="28"/>
  <c r="Q8" i="22"/>
  <c r="Q8" i="31"/>
  <c r="Q8" i="20"/>
  <c r="Q8" i="35"/>
  <c r="Q8" i="24"/>
  <c r="Q8" i="33"/>
  <c r="Q8" i="38"/>
  <c r="K17" i="34" l="1"/>
  <c r="F17" i="34"/>
  <c r="F12" i="34" s="1"/>
  <c r="F18" i="34" s="1"/>
  <c r="G3" i="34"/>
  <c r="H17" i="34"/>
  <c r="H12" i="34" s="1"/>
  <c r="H18" i="34" s="1"/>
  <c r="J8" i="35"/>
  <c r="J17" i="35" s="1"/>
  <c r="J13" i="35" s="1"/>
  <c r="I8" i="35"/>
  <c r="I17" i="35" s="1"/>
  <c r="I13" i="35" s="1"/>
  <c r="J8" i="15"/>
  <c r="J17" i="15" s="1"/>
  <c r="J13" i="15" s="1"/>
  <c r="I8" i="15"/>
  <c r="I17" i="15" s="1"/>
  <c r="I13" i="15" s="1"/>
  <c r="G5" i="20"/>
  <c r="H17" i="15"/>
  <c r="H12" i="15" s="1"/>
  <c r="H18" i="15" s="1"/>
  <c r="K17" i="15"/>
  <c r="G3" i="15"/>
  <c r="G5" i="15" s="1"/>
  <c r="G17" i="15" s="1"/>
  <c r="G12" i="15" s="1"/>
  <c r="G18" i="15" s="1"/>
  <c r="H17" i="35"/>
  <c r="H12" i="35" s="1"/>
  <c r="H18" i="35" s="1"/>
  <c r="G3" i="35"/>
  <c r="K17" i="35"/>
  <c r="I18" i="41"/>
  <c r="J18" i="41" s="1"/>
  <c r="I18" i="37"/>
  <c r="I18" i="14"/>
  <c r="J18" i="14" s="1"/>
  <c r="G5" i="39"/>
  <c r="L2" i="35"/>
  <c r="P2" i="35" s="1"/>
  <c r="G5" i="34" l="1"/>
  <c r="G17" i="34" s="1"/>
  <c r="G12" i="34" s="1"/>
  <c r="G18" i="34" s="1"/>
  <c r="G5" i="35"/>
  <c r="G17" i="35" s="1"/>
  <c r="G12" i="35" s="1"/>
  <c r="G18" i="3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G4" i="41"/>
  <c r="L4" i="41" s="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N4" i="39" l="1"/>
  <c r="R4" i="39" s="1"/>
  <c r="D17" i="39"/>
  <c r="D12" i="39" s="1"/>
  <c r="D17" i="38"/>
  <c r="D12" i="38" s="1"/>
  <c r="D17" i="40"/>
  <c r="D17" i="41"/>
  <c r="D12" i="41" s="1"/>
  <c r="D17" i="36"/>
  <c r="D12" i="36" s="1"/>
  <c r="D17" i="42"/>
  <c r="D17" i="43"/>
  <c r="N4" i="41"/>
  <c r="R4" i="41" s="1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L2" i="34" l="1"/>
  <c r="P2" i="34" s="1"/>
  <c r="L10" i="34" l="1"/>
  <c r="N10" i="34" s="1"/>
  <c r="R10" i="34" l="1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G4" i="19"/>
  <c r="L4" i="19" s="1"/>
  <c r="D2" i="19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9"/>
  <c r="R4" i="19" s="1"/>
  <c r="C12" i="19"/>
  <c r="C18" i="19" s="1"/>
  <c r="L2" i="19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L4" i="16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N2" i="20"/>
  <c r="R2" i="20" s="1"/>
  <c r="B16" i="20"/>
  <c r="Q11" i="34"/>
  <c r="K13" i="34" s="1"/>
  <c r="F3" i="18"/>
  <c r="G3" i="18" s="1"/>
  <c r="G4" i="29"/>
  <c r="L4" i="29" s="1"/>
  <c r="F3" i="16"/>
  <c r="F3" i="17"/>
  <c r="F3" i="22"/>
  <c r="F3" i="11"/>
  <c r="B16" i="37"/>
  <c r="B17" i="37" s="1"/>
  <c r="B12" i="37" s="1"/>
  <c r="B18" i="37" s="1"/>
  <c r="B16" i="39"/>
  <c r="L16" i="39" s="1"/>
  <c r="H6" i="39"/>
  <c r="L6" i="39" s="1"/>
  <c r="N6" i="39" s="1"/>
  <c r="R6" i="39" s="1"/>
  <c r="F3" i="33"/>
  <c r="G3" i="33" s="1"/>
  <c r="H6" i="33"/>
  <c r="L6" i="33" s="1"/>
  <c r="N6" i="33" s="1"/>
  <c r="R6" i="33" s="1"/>
  <c r="L6" i="34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K18" i="34" l="1"/>
  <c r="E14" i="34"/>
  <c r="F17" i="22"/>
  <c r="F12" i="22" s="1"/>
  <c r="F18" i="22" s="1"/>
  <c r="G3" i="22"/>
  <c r="F17" i="16"/>
  <c r="F12" i="16" s="1"/>
  <c r="F18" i="16" s="1"/>
  <c r="G3" i="16"/>
  <c r="F17" i="11"/>
  <c r="F12" i="11" s="1"/>
  <c r="F18" i="11" s="1"/>
  <c r="G3" i="11"/>
  <c r="F17" i="17"/>
  <c r="F12" i="17" s="1"/>
  <c r="F18" i="17" s="1"/>
  <c r="G3" i="17"/>
  <c r="F17" i="18"/>
  <c r="F12" i="18" s="1"/>
  <c r="F18" i="18" s="1"/>
  <c r="F17" i="39"/>
  <c r="F12" i="39" s="1"/>
  <c r="F18" i="39" s="1"/>
  <c r="Q11" i="15"/>
  <c r="K13" i="15" s="1"/>
  <c r="Q11" i="11"/>
  <c r="Q11" i="17"/>
  <c r="Q11" i="18"/>
  <c r="Q11" i="22"/>
  <c r="Q11" i="16"/>
  <c r="Q11" i="21"/>
  <c r="Q11" i="14"/>
  <c r="Q11" i="37"/>
  <c r="L9" i="20"/>
  <c r="M11" i="20"/>
  <c r="K17" i="20"/>
  <c r="B17" i="20"/>
  <c r="L16" i="20"/>
  <c r="I8" i="20"/>
  <c r="J8" i="20"/>
  <c r="J17" i="20" s="1"/>
  <c r="J13" i="20" s="1"/>
  <c r="L7" i="20"/>
  <c r="H17" i="20"/>
  <c r="H12" i="20" s="1"/>
  <c r="H18" i="20" s="1"/>
  <c r="Q11" i="19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8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5" l="1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I18" i="19"/>
  <c r="J18" i="19" s="1"/>
  <c r="R11" i="34"/>
  <c r="R11" i="20"/>
  <c r="L3" i="34"/>
  <c r="L3" i="15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18"/>
  <c r="J18" i="18" s="1"/>
  <c r="J8" i="18" s="1"/>
  <c r="I18" i="31"/>
  <c r="J18" i="31" s="1"/>
  <c r="J8" i="31" s="1"/>
  <c r="J17" i="31" s="1"/>
  <c r="J13" i="31" s="1"/>
  <c r="R2" i="42"/>
  <c r="I18" i="17"/>
  <c r="I8" i="17" s="1"/>
  <c r="I17" i="17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J8" i="29"/>
  <c r="J17" i="29" s="1"/>
  <c r="J13" i="29" s="1"/>
  <c r="I18" i="39"/>
  <c r="I18" i="30"/>
  <c r="I18" i="38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19"/>
  <c r="K18" i="19" s="1"/>
  <c r="K13" i="21"/>
  <c r="K18" i="21" s="1"/>
  <c r="K13" i="18"/>
  <c r="K18" i="18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I8" i="19" l="1"/>
  <c r="I17" i="19" s="1"/>
  <c r="I13" i="19" s="1"/>
  <c r="R11" i="21"/>
  <c r="R11" i="40"/>
  <c r="R11" i="26"/>
  <c r="R11" i="39"/>
  <c r="R11" i="11"/>
  <c r="R11" i="41"/>
  <c r="R11" i="29"/>
  <c r="R11" i="15"/>
  <c r="R11" i="42"/>
  <c r="R11" i="38"/>
  <c r="R11" i="18"/>
  <c r="R11" i="31"/>
  <c r="R11" i="24"/>
  <c r="R11" i="16"/>
  <c r="R11" i="17"/>
  <c r="R11" i="23"/>
  <c r="R11" i="36"/>
  <c r="R11" i="33"/>
  <c r="R11" i="37"/>
  <c r="R11" i="22"/>
  <c r="R11" i="28"/>
  <c r="R11" i="27"/>
  <c r="R11" i="14"/>
  <c r="R11" i="32"/>
  <c r="R11" i="30"/>
  <c r="R11" i="19"/>
  <c r="Q5" i="31"/>
  <c r="Q5" i="40"/>
  <c r="Q5" i="22"/>
  <c r="Q5" i="24"/>
  <c r="E17" i="24" s="1"/>
  <c r="E12" i="24" s="1"/>
  <c r="E18" i="24" s="1"/>
  <c r="Q5" i="28"/>
  <c r="E17" i="28" s="1"/>
  <c r="E12" i="28" s="1"/>
  <c r="E18" i="28" s="1"/>
  <c r="Q5" i="30"/>
  <c r="E17" i="30" s="1"/>
  <c r="E12" i="30" s="1"/>
  <c r="E18" i="30" s="1"/>
  <c r="R5" i="23"/>
  <c r="Q5" i="23"/>
  <c r="E17" i="23" s="1"/>
  <c r="E12" i="23" s="1"/>
  <c r="E18" i="23" s="1"/>
  <c r="E14" i="20"/>
  <c r="L13" i="20"/>
  <c r="L8" i="15"/>
  <c r="N8" i="15" s="1"/>
  <c r="R8" i="15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1"/>
  <c r="L5" i="41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R16" i="15"/>
  <c r="Q16" i="15"/>
  <c r="J17" i="22"/>
  <c r="J13" i="22" s="1"/>
  <c r="J17" i="18"/>
  <c r="J13" i="18" s="1"/>
  <c r="L3" i="21"/>
  <c r="G17" i="22"/>
  <c r="G12" i="22" s="1"/>
  <c r="G18" i="22" s="1"/>
  <c r="G12" i="11"/>
  <c r="G18" i="11" s="1"/>
  <c r="R2" i="15"/>
  <c r="N3" i="17"/>
  <c r="R3" i="17" s="1"/>
  <c r="R5" i="22"/>
  <c r="L5" i="16"/>
  <c r="G12" i="16"/>
  <c r="G18" i="16" s="1"/>
  <c r="G5" i="21"/>
  <c r="L5" i="21" s="1"/>
  <c r="I13" i="17"/>
  <c r="N3" i="15"/>
  <c r="R3" i="15" s="1"/>
  <c r="G5" i="14"/>
  <c r="L5" i="14" s="1"/>
  <c r="L3" i="14"/>
  <c r="N5" i="29" l="1"/>
  <c r="Q5" i="29" s="1"/>
  <c r="L4" i="20"/>
  <c r="Q5" i="21"/>
  <c r="Q5" i="43"/>
  <c r="Q5" i="32"/>
  <c r="N3" i="23"/>
  <c r="R3" i="23" s="1"/>
  <c r="Q5" i="42"/>
  <c r="Q5" i="16"/>
  <c r="Q5" i="14"/>
  <c r="Q5" i="41"/>
  <c r="Q5" i="27"/>
  <c r="Q5" i="39"/>
  <c r="Q5" i="36"/>
  <c r="Q5" i="17"/>
  <c r="E17" i="17" s="1"/>
  <c r="E12" i="17" s="1"/>
  <c r="E18" i="17" s="1"/>
  <c r="Q5" i="38"/>
  <c r="Q5" i="33"/>
  <c r="Q5" i="26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24"/>
  <c r="R3" i="24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41"/>
  <c r="G12" i="41" s="1"/>
  <c r="G18" i="41" s="1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33"/>
  <c r="R5" i="26"/>
  <c r="G17" i="36"/>
  <c r="G12" i="36" s="1"/>
  <c r="G18" i="36" s="1"/>
  <c r="R5" i="42"/>
  <c r="E14" i="33"/>
  <c r="R5" i="32"/>
  <c r="R5" i="41"/>
  <c r="R5" i="38"/>
  <c r="L8" i="43"/>
  <c r="N8" i="43" s="1"/>
  <c r="R8" i="43" s="1"/>
  <c r="G17" i="39"/>
  <c r="G12" i="39" s="1"/>
  <c r="G18" i="39" s="1"/>
  <c r="R5" i="29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L13" i="34"/>
  <c r="N8" i="41"/>
  <c r="I13" i="41"/>
  <c r="E14" i="16"/>
  <c r="L13" i="16"/>
  <c r="L13" i="21"/>
  <c r="E14" i="21"/>
  <c r="G17" i="21"/>
  <c r="G12" i="21" s="1"/>
  <c r="G18" i="21" s="1"/>
  <c r="G17" i="14"/>
  <c r="G12" i="14" s="1"/>
  <c r="G18" i="14" s="1"/>
  <c r="E14" i="11"/>
  <c r="E17" i="22"/>
  <c r="L17" i="22" s="1"/>
  <c r="R5" i="16"/>
  <c r="L13" i="19"/>
  <c r="E14" i="19"/>
  <c r="E14" i="22"/>
  <c r="L13" i="22"/>
  <c r="L13" i="18"/>
  <c r="E14" i="18"/>
  <c r="G5" i="18" s="1"/>
  <c r="G4" i="18" s="1"/>
  <c r="R5" i="21"/>
  <c r="N3" i="14"/>
  <c r="R3" i="14" s="1"/>
  <c r="R5" i="14"/>
  <c r="R11" i="43" l="1"/>
  <c r="N4" i="20"/>
  <c r="R4" i="20" s="1"/>
  <c r="Q5" i="37"/>
  <c r="L4" i="18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E17" i="41"/>
  <c r="E12" i="41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33"/>
  <c r="E12" i="33" s="1"/>
  <c r="E18" i="33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L14" i="34"/>
  <c r="Q14" i="34" s="1"/>
  <c r="E14" i="41"/>
  <c r="L13" i="41"/>
  <c r="R17" i="22"/>
  <c r="Q17" i="22"/>
  <c r="E12" i="22"/>
  <c r="E18" i="22" s="1"/>
  <c r="E17" i="21"/>
  <c r="L17" i="21" s="1"/>
  <c r="E17" i="16"/>
  <c r="L17" i="16" s="1"/>
  <c r="L14" i="18"/>
  <c r="L14" i="22"/>
  <c r="L14" i="19"/>
  <c r="E15" i="22"/>
  <c r="L14" i="17"/>
  <c r="E15" i="17"/>
  <c r="E17" i="14"/>
  <c r="L5" i="34" l="1"/>
  <c r="Q5" i="34" s="1"/>
  <c r="E17" i="34" s="1"/>
  <c r="Q5" i="20"/>
  <c r="E17" i="20" s="1"/>
  <c r="N4" i="18"/>
  <c r="R4" i="18" s="1"/>
  <c r="L4" i="34"/>
  <c r="L5" i="18"/>
  <c r="L3" i="18"/>
  <c r="G17" i="18"/>
  <c r="G12" i="18" s="1"/>
  <c r="G18" i="18" s="1"/>
  <c r="R12" i="40"/>
  <c r="L12" i="41"/>
  <c r="R12" i="41" s="1"/>
  <c r="E18" i="41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Q13" i="31" s="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Q17" i="24"/>
  <c r="E15" i="26"/>
  <c r="L17" i="43"/>
  <c r="R17" i="43" s="1"/>
  <c r="L17" i="32"/>
  <c r="R17" i="32" s="1"/>
  <c r="E15" i="27"/>
  <c r="L17" i="29"/>
  <c r="R17" i="29" s="1"/>
  <c r="L12" i="43"/>
  <c r="R12" i="43" s="1"/>
  <c r="E15" i="39"/>
  <c r="E15" i="36"/>
  <c r="L17" i="41"/>
  <c r="R17" i="41" s="1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7" i="39"/>
  <c r="Q17" i="39"/>
  <c r="R12" i="23"/>
  <c r="Q12" i="23"/>
  <c r="R14" i="34"/>
  <c r="L14" i="41"/>
  <c r="E15" i="41"/>
  <c r="R17" i="16"/>
  <c r="Q17" i="16"/>
  <c r="R17" i="21"/>
  <c r="Q17" i="21"/>
  <c r="R14" i="19"/>
  <c r="Q14" i="19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2" i="14"/>
  <c r="E15" i="34" l="1"/>
  <c r="E12" i="34"/>
  <c r="E18" i="34" s="1"/>
  <c r="R5" i="34"/>
  <c r="N4" i="34"/>
  <c r="R4" i="34" s="1"/>
  <c r="N3" i="20"/>
  <c r="R3" i="20" s="1"/>
  <c r="N3" i="18"/>
  <c r="R3" i="18" s="1"/>
  <c r="L17" i="34"/>
  <c r="Q17" i="34" s="1"/>
  <c r="L12" i="34"/>
  <c r="Q12" i="34" s="1"/>
  <c r="Q12" i="41"/>
  <c r="L12" i="27"/>
  <c r="Q12" i="27" s="1"/>
  <c r="E18" i="27"/>
  <c r="L12" i="39"/>
  <c r="R12" i="39" s="1"/>
  <c r="E18" i="39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Q13" i="27" s="1"/>
  <c r="L15" i="33"/>
  <c r="Q15" i="33" s="1"/>
  <c r="Q14" i="36"/>
  <c r="M13" i="32"/>
  <c r="R13" i="32" s="1"/>
  <c r="L15" i="21"/>
  <c r="Q15" i="21" s="1"/>
  <c r="M13" i="26"/>
  <c r="Q13" i="26" s="1"/>
  <c r="L15" i="36"/>
  <c r="R15" i="36" s="1"/>
  <c r="M13" i="43"/>
  <c r="R13" i="43" s="1"/>
  <c r="L15" i="16"/>
  <c r="R15" i="16" s="1"/>
  <c r="L14" i="37"/>
  <c r="Q14" i="37" s="1"/>
  <c r="L15" i="43"/>
  <c r="Q15" i="43" s="1"/>
  <c r="L15" i="26"/>
  <c r="R15" i="26" s="1"/>
  <c r="R17" i="36"/>
  <c r="Q17" i="32"/>
  <c r="Q17" i="41"/>
  <c r="Q17" i="29"/>
  <c r="M13" i="36"/>
  <c r="R13" i="36" s="1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R13" i="33" s="1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L15" i="41"/>
  <c r="M13" i="41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Q13" i="16" s="1"/>
  <c r="L12" i="16"/>
  <c r="M13" i="21"/>
  <c r="Q13" i="21" s="1"/>
  <c r="M13" i="34" l="1"/>
  <c r="R13" i="34" s="1"/>
  <c r="L15" i="34"/>
  <c r="Q15" i="34" s="1"/>
  <c r="R17" i="34"/>
  <c r="R12" i="34"/>
  <c r="R12" i="27"/>
  <c r="Q12" i="14"/>
  <c r="Q12" i="39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3" i="37" s="1"/>
  <c r="Q15" i="26"/>
  <c r="R15" i="43"/>
  <c r="R15" i="32"/>
  <c r="Q12" i="29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3" i="41"/>
  <c r="Q13" i="41"/>
  <c r="R15" i="41"/>
  <c r="Q15" i="41"/>
  <c r="R12" i="21"/>
  <c r="Q12" i="21"/>
  <c r="R12" i="16"/>
  <c r="Q12" i="16"/>
  <c r="R13" i="21"/>
  <c r="R13" i="16"/>
  <c r="Q13" i="34" l="1"/>
  <c r="R15" i="34"/>
  <c r="R15" i="20"/>
  <c r="Q15" i="20"/>
  <c r="Q13" i="20"/>
  <c r="R13" i="20"/>
  <c r="Q12" i="20"/>
  <c r="R12" i="20"/>
  <c r="R13" i="37"/>
  <c r="Q15" i="37"/>
  <c r="L2" i="14"/>
  <c r="P2" i="14" s="1"/>
  <c r="N2" i="14" l="1"/>
  <c r="L3" i="11"/>
  <c r="C12" i="11"/>
  <c r="C18" i="11" s="1"/>
  <c r="R2" i="14" l="1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R13" i="15" s="1"/>
  <c r="L12" i="15"/>
  <c r="H12" i="11"/>
  <c r="H18" i="11" s="1"/>
  <c r="L5" i="11"/>
  <c r="Q5" i="11" l="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Q13" i="11" s="1"/>
  <c r="L12" i="11"/>
  <c r="L15" i="11"/>
  <c r="J8" i="14"/>
  <c r="J17" i="14" s="1"/>
  <c r="I8" i="14"/>
  <c r="I17" i="14" s="1"/>
  <c r="R13" i="11" l="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F17" i="19" l="1"/>
  <c r="F12" i="19" s="1"/>
  <c r="F18" i="19" s="1"/>
  <c r="G5" i="19" l="1"/>
  <c r="L5" i="19" s="1"/>
  <c r="L3" i="19"/>
  <c r="R5" i="19" l="1"/>
  <c r="Q5" i="19"/>
  <c r="E17" i="19" s="1"/>
  <c r="G17" i="19"/>
  <c r="G12" i="19" s="1"/>
  <c r="G18" i="19" s="1"/>
  <c r="N3" i="19"/>
  <c r="R3" i="19" s="1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s="1"/>
  <c r="R12" i="19" l="1"/>
  <c r="Q15" i="19"/>
  <c r="R13" i="19"/>
  <c r="Q5" i="18" l="1"/>
  <c r="E17" i="18" s="1"/>
  <c r="R5" i="18"/>
  <c r="E15" i="18" l="1"/>
  <c r="E12" i="18"/>
  <c r="L17" i="18"/>
  <c r="R17" i="18" l="1"/>
  <c r="Q17" i="18"/>
  <c r="E18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<sst xmlns="http://schemas.openxmlformats.org/spreadsheetml/2006/main" count="1164" uniqueCount="109">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</sst>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A9" sqref="A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6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153211.86540688347</v>
      </c>
      <c r="D3" s="1">
        <f>VLOOKUP($B3, '[1]Pro of iron ore'!$B$2:$X$31, $A$1, FALSE)*(1-VLOOKUP($B3, '[1]Foundry share'!$B$2:$X$31, $A$1, FALSE))</f>
        <v>94923.993533899906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3.9000000000000004</v>
      </c>
      <c r="G3" s="1">
        <f>VLOOKUP($B3, '[1]Pro of pig iron'!$B$2:$X$31, $A$1, FALSE)*(1-VLOOKUP($B3, '[1]Foundry share'!$B$2:$X$31, $A$1, FALSE))</f>
        <v>234379.43819123748</v>
      </c>
      <c r="H3" s="1">
        <f>VLOOKUP($B3, '[1]Exp of pig iron'!$B$2:$X$31, $A$1, FALSE)</f>
        <v>1291</v>
      </c>
      <c r="I3" s="1">
        <f>VLOOKUP($B3, '[1]Imp of pig iron'!$B$2:$X$31, $A$1, FALSE)</f>
        <v>815</v>
      </c>
      <c r="J3" s="1">
        <f>VLOOKUP($B3, '[1]Pro of DRI'!$B$2:$X$31, $A$1, FALSE)*(1-VLOOKUP($B3, '[1]Foundry share'!$B$2:$X$31, $A$1, FALSE))</f>
        <v>400.16977666251921</v>
      </c>
      <c r="K3" s="1">
        <f>VLOOKUP($B3, '[1]Exp of DRI'!$B$2:$X$31, $A$1, FALSE)</f>
        <v>39</v>
      </c>
      <c r="L3" s="1">
        <f>VLOOKUP($B3, '[1]Imp of DRI'!$B$2:$X$31, $A$1, FALSE)</f>
        <v>1545</v>
      </c>
      <c r="M3" s="1">
        <f>VLOOKUP($B3, '[1]Exp of scrap'!$B$2:$X$31, $A$1, FALSE)</f>
        <v>0</v>
      </c>
      <c r="N3" s="1">
        <f>VLOOKUP($B3, '[1]Imp of scrap'!$B$2:$X$31, $A$1, FALSE)</f>
        <v>10225</v>
      </c>
      <c r="O3" s="1">
        <f>VLOOKUP($B3, '[1]Pro of BOF steel'!$B$2:$X$31, $A$1, FALSE)</f>
        <v>232717</v>
      </c>
      <c r="P3" s="1">
        <f>VLOOKUP($B3, '[1]Pro of OHF steel'!$B$2:$X$31, $A$1, FALSE)</f>
        <v>0</v>
      </c>
      <c r="Q3" s="1">
        <f>VLOOKUP($B3, '[1]Pro of EAF steel'!$B$2:$X$31, $A$1, FALSE)</f>
        <v>41672</v>
      </c>
      <c r="R3" s="1">
        <f>VLOOKUP($B3, '[1]Exp of ingots and semis'!$B$2:$X$31, $A$1, FALSE)</f>
        <v>6155</v>
      </c>
      <c r="S3" s="1">
        <f>VLOOKUP($B3, '[1]Imp of ingots and semis'!$B$2:$X$31, $A$1, FALSE)</f>
        <v>3860</v>
      </c>
      <c r="T3" s="1">
        <f>VLOOKUP($B3, '[1]Pro of hr long'!$B$2:$X$31, $A$1, FALSE)+VLOOKUP($B3, '[1]Pro of seamless tubes'!$B$2:$X$31, $A$1, FALSE)</f>
        <v>171369</v>
      </c>
      <c r="U3" s="1">
        <f>VLOOKUP($B3, '[1]Exp of long'!$B$2:$X$31, $A$1, FALSE)</f>
        <v>5668</v>
      </c>
      <c r="V3" s="1">
        <f>VLOOKUP($B3, '[1]Imp of long'!$B$2:$X$31, $A$1, FALSE)</f>
        <v>2848</v>
      </c>
      <c r="W3" s="1">
        <f>VLOOKUP($B3, '[1]Pro of hr flat'!$B$2:$X$31, $A$1, FALSE)*parameters!$B$8</f>
        <v>81806.495021337119</v>
      </c>
      <c r="X3" s="1">
        <f>VLOOKUP($B3, '[1]Exp of flat'!$B$2:$X$31, $A$1, FALSE)</f>
        <v>5782</v>
      </c>
      <c r="Y3" s="1">
        <f>VLOOKUP($B3, '[1]Imp of flat'!$B$2:$X$31, $A$1, FALSE)</f>
        <v>25070</v>
      </c>
      <c r="Z3" s="1">
        <f>VLOOKUP($B3, '[1]Indirect exp'!$B$2:$X$31, $A$1, FALSE)</f>
        <v>25123</v>
      </c>
      <c r="AA3" s="1">
        <f>VLOOKUP($B3, '[1]Indirect imp'!$B$2:$X$31, $A$1, FALSE)</f>
        <v>7405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98825.448094485357</v>
      </c>
      <c r="D4" s="1">
        <f>VLOOKUP($B4, '[1]Pro of iron ore'!$B$2:$X$31, $A$1, FALSE)*(1-VLOOKUP($B4, '[1]Foundry share'!$B$2:$X$31, $A$1, FALSE))</f>
        <v>63261.397951030427</v>
      </c>
      <c r="E4" s="47">
        <f>VLOOKUP($B4, '[1]Iron content'!$B$2:$X$31, $A$1, FALSE)</f>
        <v>0.64013266998341622</v>
      </c>
      <c r="F4" s="1">
        <f>VLOOKUP($B4, '[1]Exp of usable iron ore'!$B$2:$X$31, $A$1, FALSE)*parameters!$B$12</f>
        <v>40722.5</v>
      </c>
      <c r="G4" s="1">
        <f>VLOOKUP($B4, '[1]Pro of pig iron'!$B$2:$X$31, $A$1, FALSE)*(1-VLOOKUP($B4, '[1]Foundry share'!$B$2:$X$31, $A$1, FALSE))</f>
        <v>20582.07943440455</v>
      </c>
      <c r="H4" s="1">
        <f>VLOOKUP($B4, '[1]Exp of pig iron'!$B$2:$X$31, $A$1, FALSE)</f>
        <v>286</v>
      </c>
      <c r="I4" s="1">
        <f>VLOOKUP($B4, '[1]Imp of pig iron'!$B$2:$X$31, $A$1, FALSE)</f>
        <v>10</v>
      </c>
      <c r="J4" s="1">
        <f>VLOOKUP($B4, '[1]Pro of DRI'!$B$2:$X$31, $A$1, FALSE)*(1-VLOOKUP($B4, '[1]Foundry share'!$B$2:$X$31, $A$1, FALSE))</f>
        <v>7474.186667245448</v>
      </c>
      <c r="K4" s="1">
        <f>VLOOKUP($B4, '[1]Exp of DRI'!$B$2:$X$31, $A$1, FALSE)</f>
        <v>29</v>
      </c>
      <c r="L4" s="1">
        <f>VLOOKUP($B4, '[1]Imp of DRI'!$B$2:$X$31, $A$1, FALSE)</f>
        <v>62</v>
      </c>
      <c r="M4" s="1">
        <f>VLOOKUP($B4, '[1]Exp of scrap'!$B$2:$X$31, $A$1, FALSE)</f>
        <v>0</v>
      </c>
      <c r="N4" s="1">
        <f>VLOOKUP($B4, '[1]Imp of scrap'!$B$2:$X$31, $A$1, FALSE)</f>
        <v>3062</v>
      </c>
      <c r="O4" s="1">
        <f>VLOOKUP($B4, '[1]Pro of BOF steel'!$B$2:$X$31, $A$1, FALSE)</f>
        <v>16500</v>
      </c>
      <c r="P4" s="1">
        <f>VLOOKUP($B4, '[1]Pro of OHF steel'!$B$2:$X$31, $A$1, FALSE)</f>
        <v>1825</v>
      </c>
      <c r="Q4" s="1">
        <f>VLOOKUP($B4, '[1]Pro of EAF steel'!$B$2:$X$31, $A$1, FALSE)</f>
        <v>14300</v>
      </c>
      <c r="R4" s="1">
        <f>VLOOKUP($B4, '[1]Exp of ingots and semis'!$B$2:$X$31, $A$1, FALSE)</f>
        <v>389</v>
      </c>
      <c r="S4" s="1">
        <f>VLOOKUP($B4, '[1]Imp of ingots and semis'!$B$2:$X$31, $A$1, FALSE)</f>
        <v>259</v>
      </c>
      <c r="T4" s="1">
        <f>VLOOKUP($B4, '[1]Pro of hr long'!$B$2:$X$31, $A$1, FALSE)+VLOOKUP($B4, '[1]Pro of seamless tubes'!$B$2:$X$31, $A$1, FALSE)</f>
        <v>15320</v>
      </c>
      <c r="U4" s="1">
        <f>VLOOKUP($B4, '[1]Exp of long'!$B$2:$X$31, $A$1, FALSE)</f>
        <v>379</v>
      </c>
      <c r="V4" s="1">
        <f>VLOOKUP($B4, '[1]Imp of long'!$B$2:$X$31, $A$1, FALSE)</f>
        <v>0</v>
      </c>
      <c r="W4" s="1">
        <f>VLOOKUP($B4, '[1]Pro of hr flat'!$B$2:$X$31, $A$1, FALSE)*parameters!$B$8</f>
        <v>22399.096728307253</v>
      </c>
      <c r="X4" s="1">
        <f>VLOOKUP($B4, '[1]Exp of flat'!$B$2:$X$31, $A$1, FALSE)</f>
        <v>4437</v>
      </c>
      <c r="Y4" s="1">
        <f>VLOOKUP($B4, '[1]Imp of flat'!$B$2:$X$31, $A$1, FALSE)</f>
        <v>1838.5</v>
      </c>
      <c r="Z4" s="1">
        <f>VLOOKUP($B4, '[1]Indirect exp'!$B$2:$X$31, $A$1, FALSE)</f>
        <v>1760</v>
      </c>
      <c r="AA4" s="1">
        <f>VLOOKUP($B4, '[1]Indirect imp'!$B$2:$X$31, $A$1, FALSE)</f>
        <v>998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0.7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0.65</v>
      </c>
      <c r="G5" s="1">
        <f>VLOOKUP($B5, '[1]Pro of pig iron'!$B$2:$X$31, $A$1, FALSE)*(1-VLOOKUP($B5, '[1]Foundry share'!$B$2:$X$31, $A$1, FALSE))</f>
        <v>82974</v>
      </c>
      <c r="H5" s="1">
        <f>VLOOKUP($B5, '[1]Exp of pig iron'!$B$2:$X$31, $A$1, FALSE)</f>
        <v>35</v>
      </c>
      <c r="I5" s="1">
        <f>VLOOKUP($B5, '[1]Imp of pig iron'!$B$2:$X$31, $A$1, FALSE)</f>
        <v>599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3</v>
      </c>
      <c r="M5" s="1">
        <f>VLOOKUP($B5, '[1]Exp of scrap'!$B$2:$X$31, $A$1, FALSE)</f>
        <v>6809</v>
      </c>
      <c r="N5" s="1">
        <f>VLOOKUP($B5, '[1]Imp of scrap'!$B$2:$X$31, $A$1, FALSE)</f>
        <v>261</v>
      </c>
      <c r="O5" s="1">
        <f>VLOOKUP($B5, '[1]Pro of BOF steel'!$B$2:$X$31, $A$1, FALSE)</f>
        <v>82956</v>
      </c>
      <c r="P5" s="1">
        <f>VLOOKUP($B5, '[1]Pro of OHF steel'!$B$2:$X$31, $A$1, FALSE)</f>
        <v>0</v>
      </c>
      <c r="Q5" s="1">
        <f>VLOOKUP($B5, '[1]Pro of EAF steel'!$B$2:$X$31, $A$1, FALSE)</f>
        <v>29762</v>
      </c>
      <c r="R5" s="1">
        <f>VLOOKUP($B5, '[1]Exp of ingots and semis'!$B$2:$X$31, $A$1, FALSE)</f>
        <v>3112</v>
      </c>
      <c r="S5" s="1">
        <f>VLOOKUP($B5, '[1]Imp of ingots and semis'!$B$2:$X$31, $A$1, FALSE)</f>
        <v>99</v>
      </c>
      <c r="T5" s="1">
        <f>VLOOKUP($B5, '[1]Pro of hr long'!$B$2:$X$31, $A$1, FALSE)+VLOOKUP($B5, '[1]Pro of seamless tubes'!$B$2:$X$31, $A$1, FALSE)</f>
        <v>36651</v>
      </c>
      <c r="U5" s="1">
        <f>VLOOKUP($B5, '[1]Exp of long'!$B$2:$X$31, $A$1, FALSE)</f>
        <v>4568</v>
      </c>
      <c r="V5" s="1">
        <f>VLOOKUP($B5, '[1]Imp of long'!$B$2:$X$31, $A$1, FALSE)</f>
        <v>506</v>
      </c>
      <c r="W5" s="1">
        <f>VLOOKUP($B5, '[1]Pro of hr flat'!$B$2:$X$31, $A$1, FALSE)*parameters!$B$8</f>
        <v>64318.586059743953</v>
      </c>
      <c r="X5" s="1">
        <f>VLOOKUP($B5, '[1]Exp of flat'!$B$2:$X$31, $A$1, FALSE)</f>
        <v>23526</v>
      </c>
      <c r="Y5" s="1">
        <f>VLOOKUP($B5, '[1]Imp of flat'!$B$2:$X$31, $A$1, FALSE)</f>
        <v>3357</v>
      </c>
      <c r="Z5" s="1">
        <f>VLOOKUP($B5, '[1]Indirect exp'!$B$2:$X$31, $A$1, FALSE)</f>
        <v>26038</v>
      </c>
      <c r="AA5" s="1">
        <f>VLOOKUP($B5, '[1]Indirect imp'!$B$2:$X$31, $A$1, FALSE)</f>
        <v>4624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54724</v>
      </c>
      <c r="D6" s="1">
        <f>VLOOKUP($B6, '[1]Pro of iron ore'!$B$2:$X$31, $A$1, FALSE)*(1-VLOOKUP($B6, '[1]Foundry share'!$B$2:$X$31, $A$1, FALSE))</f>
        <v>34460</v>
      </c>
      <c r="E6" s="47">
        <f>VLOOKUP($B6, '[1]Iron content'!$B$2:$X$31, $A$1, FALSE)</f>
        <v>0.62970543088955488</v>
      </c>
      <c r="F6" s="1">
        <f>VLOOKUP($B6, '[1]Exp of usable iron ore'!$B$2:$X$31, $A$1, FALSE)*parameters!$B$12</f>
        <v>5512.6500000000005</v>
      </c>
      <c r="G6" s="1">
        <f>VLOOKUP($B6, '[1]Pro of pig iron'!$B$2:$X$31, $A$1, FALSE)*(1-VLOOKUP($B6, '[1]Foundry share'!$B$2:$X$31, $A$1, FALSE))</f>
        <v>42291</v>
      </c>
      <c r="H6" s="1">
        <f>VLOOKUP($B6, '[1]Exp of pig iron'!$B$2:$X$31, $A$1, FALSE)</f>
        <v>171</v>
      </c>
      <c r="I6" s="1">
        <f>VLOOKUP($B6, '[1]Imp of pig iron'!$B$2:$X$31, $A$1, FALSE)</f>
        <v>6218</v>
      </c>
      <c r="J6" s="1">
        <f>VLOOKUP($B6, '[1]Pro of DRI'!$B$2:$X$31, $A$1, FALSE)*(1-VLOOKUP($B6, '[1]Foundry share'!$B$2:$X$31, $A$1, FALSE))</f>
        <v>180</v>
      </c>
      <c r="K6" s="1">
        <f>VLOOKUP($B6, '[1]Exp of DRI'!$B$2:$X$31, $A$1, FALSE)</f>
        <v>24</v>
      </c>
      <c r="L6" s="1">
        <f>VLOOKUP($B6, '[1]Imp of DRI'!$B$2:$X$31, $A$1, FALSE)</f>
        <v>2640</v>
      </c>
      <c r="M6" s="1">
        <f>VLOOKUP($B6, '[1]Exp of scrap'!$B$2:$X$31, $A$1, FALSE)</f>
        <v>11899</v>
      </c>
      <c r="N6" s="1">
        <f>VLOOKUP($B6, '[1]Imp of scrap'!$B$2:$X$31, $A$1, FALSE)</f>
        <v>4596</v>
      </c>
      <c r="O6" s="1">
        <f>VLOOKUP($B6, '[1]Pro of BOF steel'!$B$2:$X$31, $A$1, FALSE)</f>
        <v>47713</v>
      </c>
      <c r="P6" s="1">
        <f>VLOOKUP($B6, '[1]Pro of OHF steel'!$B$2:$X$31, $A$1, FALSE)</f>
        <v>0</v>
      </c>
      <c r="Q6" s="1">
        <f>VLOOKUP($B6, '[1]Pro of EAF steel'!$B$2:$X$31, $A$1, FALSE)</f>
        <v>51968</v>
      </c>
      <c r="R6" s="1">
        <f>VLOOKUP($B6, '[1]Exp of ingots and semis'!$B$2:$X$31, $A$1, FALSE)</f>
        <v>262</v>
      </c>
      <c r="S6" s="1">
        <f>VLOOKUP($B6, '[1]Imp of ingots and semis'!$B$2:$X$31, $A$1, FALSE)</f>
        <v>6616</v>
      </c>
      <c r="T6" s="1">
        <f>VLOOKUP($B6, '[1]Pro of hr long'!$B$2:$X$31, $A$1, FALSE)+VLOOKUP($B6, '[1]Pro of seamless tubes'!$B$2:$X$31, $A$1, FALSE)</f>
        <v>29504</v>
      </c>
      <c r="U6" s="1">
        <f>VLOOKUP($B6, '[1]Exp of long'!$B$2:$X$31, $A$1, FALSE)</f>
        <v>1992</v>
      </c>
      <c r="V6" s="1">
        <f>VLOOKUP($B6, '[1]Imp of long'!$B$2:$X$31, $A$1, FALSE)</f>
        <v>9040</v>
      </c>
      <c r="W6" s="1">
        <f>VLOOKUP($B6, '[1]Pro of hr flat'!$B$2:$X$31, $A$1, FALSE)*parameters!$B$8</f>
        <v>70852.263157894733</v>
      </c>
      <c r="X6" s="1">
        <f>VLOOKUP($B6, '[1]Exp of flat'!$B$2:$X$31, $A$1, FALSE)</f>
        <v>4255</v>
      </c>
      <c r="Y6" s="1">
        <f>VLOOKUP($B6, '[1]Imp of flat'!$B$2:$X$31, $A$1, FALSE)</f>
        <v>12076</v>
      </c>
      <c r="Z6" s="1">
        <f>VLOOKUP($B6, '[1]Indirect exp'!$B$2:$X$31, $A$1, FALSE)</f>
        <v>15907</v>
      </c>
      <c r="AA6" s="1">
        <f>VLOOKUP($B6, '[1]Indirect imp'!$B$2:$X$31, $A$1, FALSE)</f>
        <v>33324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96980</v>
      </c>
      <c r="D7" s="1">
        <f>VLOOKUP($B7, '[1]Pro of iron ore'!$B$2:$X$31, $A$1, FALSE)*(1-VLOOKUP($B7, '[1]Foundry share'!$B$2:$X$31, $A$1, FALSE))</f>
        <v>56200</v>
      </c>
      <c r="E7" s="47">
        <f>VLOOKUP($B7, '[1]Iron content'!$B$2:$X$31, $A$1, FALSE)</f>
        <v>0.57950092802639719</v>
      </c>
      <c r="F7" s="1">
        <f>VLOOKUP($B7, '[1]Exp of usable iron ore'!$B$2:$X$31, $A$1, FALSE)*parameters!$B$12</f>
        <v>11042.85</v>
      </c>
      <c r="G7" s="1">
        <f>VLOOKUP($B7, '[1]Pro of pig iron'!$B$2:$X$31, $A$1, FALSE)*(1-VLOOKUP($B7, '[1]Foundry share'!$B$2:$X$31, $A$1, FALSE))</f>
        <v>50321</v>
      </c>
      <c r="H7" s="1">
        <f>VLOOKUP($B7, '[1]Exp of pig iron'!$B$2:$X$31, $A$1, FALSE)</f>
        <v>5405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3140</v>
      </c>
      <c r="K7" s="1">
        <f>VLOOKUP($B7, '[1]Exp of DRI'!$B$2:$X$31, $A$1, FALSE)</f>
        <v>1316</v>
      </c>
      <c r="L7" s="1">
        <f>VLOOKUP($B7, '[1]Imp of DRI'!$B$2:$X$31, $A$1, FALSE)</f>
        <v>0</v>
      </c>
      <c r="M7" s="1">
        <f>VLOOKUP($B7, '[1]Exp of scrap'!$B$2:$X$31, $A$1, FALSE)</f>
        <v>12836</v>
      </c>
      <c r="N7" s="1">
        <f>VLOOKUP($B7, '[1]Imp of scrap'!$B$2:$X$31, $A$1, FALSE)</f>
        <v>161</v>
      </c>
      <c r="O7" s="1">
        <f>VLOOKUP($B7, '[1]Pro of BOF steel'!$B$2:$X$31, $A$1, FALSE)</f>
        <v>40373</v>
      </c>
      <c r="P7" s="1">
        <f>VLOOKUP($B7, '[1]Pro of OHF steel'!$B$2:$X$31, $A$1, FALSE)</f>
        <v>14520</v>
      </c>
      <c r="Q7" s="1">
        <f>VLOOKUP($B7, '[1]Pro of EAF steel'!$B$2:$X$31, $A$1, FALSE)</f>
        <v>10690</v>
      </c>
      <c r="R7" s="1">
        <f>VLOOKUP($B7, '[1]Exp of ingots and semis'!$B$2:$X$31, $A$1, FALSE)</f>
        <v>13417</v>
      </c>
      <c r="S7" s="1">
        <f>VLOOKUP($B7, '[1]Imp of ingots and semis'!$B$2:$X$31, $A$1, FALSE)</f>
        <v>26</v>
      </c>
      <c r="T7" s="1">
        <f>VLOOKUP($B7, '[1]Pro of hr long'!$B$2:$X$31, $A$1, FALSE)+VLOOKUP($B7, '[1]Pro of seamless tubes'!$B$2:$X$31, $A$1, FALSE)</f>
        <v>22200</v>
      </c>
      <c r="U7" s="1">
        <f>VLOOKUP($B7, '[1]Exp of long'!$B$2:$X$31, $A$1, FALSE)</f>
        <v>4553</v>
      </c>
      <c r="V7" s="1">
        <f>VLOOKUP($B7, '[1]Imp of long'!$B$2:$X$31, $A$1, FALSE)</f>
        <v>1176</v>
      </c>
      <c r="W7" s="1">
        <f>VLOOKUP($B7, '[1]Pro of hr flat'!$B$2:$X$31, $A$1, FALSE)*parameters!$B$8</f>
        <v>33226.05547652916</v>
      </c>
      <c r="X7" s="1">
        <f>VLOOKUP($B7, '[1]Exp of flat'!$B$2:$X$31, $A$1, FALSE)</f>
        <v>11100</v>
      </c>
      <c r="Y7" s="1">
        <f>VLOOKUP($B7, '[1]Imp of flat'!$B$2:$X$31, $A$1, FALSE)</f>
        <v>1883</v>
      </c>
      <c r="Z7" s="1">
        <f>VLOOKUP($B7, '[1]Indirect exp'!$B$2:$X$31, $A$1, FALSE)</f>
        <v>2363</v>
      </c>
      <c r="AA7" s="1">
        <f>VLOOKUP($B7, '[1]Indirect imp'!$B$2:$X$31, $A$1, FALSE)</f>
        <v>4352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27556</v>
      </c>
      <c r="H8" s="1">
        <f>VLOOKUP($B8, '[1]Exp of pig iron'!$B$2:$X$31, $A$1, FALSE)</f>
        <v>0</v>
      </c>
      <c r="I8" s="1">
        <f>VLOOKUP($B8, '[1]Imp of pig iron'!$B$2:$X$31, $A$1, FALSE)</f>
        <v>1751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854</v>
      </c>
      <c r="M8" s="1">
        <f>VLOOKUP($B8, '[1]Exp of scrap'!$B$2:$X$31, $A$1, FALSE)</f>
        <v>221</v>
      </c>
      <c r="N8" s="1">
        <f>VLOOKUP($B8, '[1]Imp of scrap'!$B$2:$X$31, $A$1, FALSE)</f>
        <v>7547</v>
      </c>
      <c r="O8" s="1">
        <f>VLOOKUP($B8, '[1]Pro of BOF steel'!$B$2:$X$31, $A$1, FALSE)</f>
        <v>26651</v>
      </c>
      <c r="P8" s="1">
        <f>VLOOKUP($B8, '[1]Pro of OHF steel'!$B$2:$X$31, $A$1, FALSE)</f>
        <v>0</v>
      </c>
      <c r="Q8" s="1">
        <f>VLOOKUP($B8, '[1]Pro of EAF steel'!$B$2:$X$31, $A$1, FALSE)</f>
        <v>20870</v>
      </c>
      <c r="R8" s="1">
        <f>VLOOKUP($B8, '[1]Exp of ingots and semis'!$B$2:$X$31, $A$1, FALSE)</f>
        <v>89</v>
      </c>
      <c r="S8" s="1">
        <f>VLOOKUP($B8, '[1]Imp of ingots and semis'!$B$2:$X$31, $A$1, FALSE)</f>
        <v>4805</v>
      </c>
      <c r="T8" s="1">
        <f>VLOOKUP($B8, '[1]Pro of hr long'!$B$2:$X$31, $A$1, FALSE)+VLOOKUP($B8, '[1]Pro of seamless tubes'!$B$2:$X$31, $A$1, FALSE)</f>
        <v>20133</v>
      </c>
      <c r="U8" s="1">
        <f>VLOOKUP($B8, '[1]Exp of long'!$B$2:$X$31, $A$1, FALSE)</f>
        <v>2403</v>
      </c>
      <c r="V8" s="1">
        <f>VLOOKUP($B8, '[1]Imp of long'!$B$2:$X$31, $A$1, FALSE)</f>
        <v>2911</v>
      </c>
      <c r="W8" s="1">
        <f>VLOOKUP($B8, '[1]Pro of hr flat'!$B$2:$X$31, $A$1, FALSE)*parameters!$B$8</f>
        <v>28481.002844950213</v>
      </c>
      <c r="X8" s="1">
        <f>VLOOKUP($B8, '[1]Exp of flat'!$B$2:$X$31, $A$1, FALSE)</f>
        <v>11347</v>
      </c>
      <c r="Y8" s="1">
        <f>VLOOKUP($B8, '[1]Imp of flat'!$B$2:$X$31, $A$1, FALSE)</f>
        <v>9454</v>
      </c>
      <c r="Z8" s="1">
        <f>VLOOKUP($B8, '[1]Indirect exp'!$B$2:$X$31, $A$1, FALSE)</f>
        <v>13809</v>
      </c>
      <c r="AA8" s="1">
        <f>VLOOKUP($B8, '[1]Indirect imp'!$B$2:$X$31, $A$1, FALSE)</f>
        <v>3097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412</v>
      </c>
      <c r="D9" s="1">
        <f>VLOOKUP($B9, '[1]Pro of iron ore'!$B$2:$X$31, $A$1, FALSE)*(1-VLOOKUP($B9, '[1]Foundry share'!$B$2:$X$31, $A$1, FALSE))</f>
        <v>238</v>
      </c>
      <c r="E9" s="47">
        <f>VLOOKUP($B9, '[1]Iron content'!$B$2:$X$31, $A$1, FALSE)</f>
        <v>0.57766990291262132</v>
      </c>
      <c r="F9" s="1">
        <f>VLOOKUP($B9, '[1]Exp of usable iron ore'!$B$2:$X$31, $A$1, FALSE)*parameters!$B$12</f>
        <v>5.8500000000000005</v>
      </c>
      <c r="G9" s="1">
        <f>VLOOKUP($B9, '[1]Pro of pig iron'!$B$2:$X$31, $A$1, FALSE)*(1-VLOOKUP($B9, '[1]Foundry share'!$B$2:$X$31, $A$1, FALSE))</f>
        <v>30018</v>
      </c>
      <c r="H9" s="1">
        <f>VLOOKUP($B9, '[1]Exp of pig iron'!$B$2:$X$31, $A$1, FALSE)</f>
        <v>113</v>
      </c>
      <c r="I9" s="1">
        <f>VLOOKUP($B9, '[1]Imp of pig iron'!$B$2:$X$31, $A$1, FALSE)</f>
        <v>342</v>
      </c>
      <c r="J9" s="1">
        <f>VLOOKUP($B9, '[1]Pro of DRI'!$B$2:$X$31, $A$1, FALSE)*(1-VLOOKUP($B9, '[1]Foundry share'!$B$2:$X$31, $A$1, FALSE))</f>
        <v>593</v>
      </c>
      <c r="K9" s="1">
        <f>VLOOKUP($B9, '[1]Exp of DRI'!$B$2:$X$31, $A$1, FALSE)</f>
        <v>118</v>
      </c>
      <c r="L9" s="1">
        <f>VLOOKUP($B9, '[1]Imp of DRI'!$B$2:$X$31, $A$1, FALSE)</f>
        <v>100</v>
      </c>
      <c r="M9" s="1">
        <f>VLOOKUP($B9, '[1]Exp of scrap'!$B$2:$X$31, $A$1, FALSE)</f>
        <v>6957</v>
      </c>
      <c r="N9" s="1">
        <f>VLOOKUP($B9, '[1]Imp of scrap'!$B$2:$X$31, $A$1, FALSE)</f>
        <v>5412</v>
      </c>
      <c r="O9" s="1">
        <f>VLOOKUP($B9, '[1]Pro of BOF steel'!$B$2:$X$31, $A$1, FALSE)</f>
        <v>32158</v>
      </c>
      <c r="P9" s="1">
        <f>VLOOKUP($B9, '[1]Pro of OHF steel'!$B$2:$X$31, $A$1, FALSE)</f>
        <v>0</v>
      </c>
      <c r="Q9" s="1">
        <f>VLOOKUP($B9, '[1]Pro of EAF steel'!$B$2:$X$31, $A$1, FALSE)</f>
        <v>14216</v>
      </c>
      <c r="R9" s="1">
        <f>VLOOKUP($B9, '[1]Exp of ingots and semis'!$B$2:$X$31, $A$1, FALSE)</f>
        <v>2105</v>
      </c>
      <c r="S9" s="1">
        <f>VLOOKUP($B9, '[1]Imp of ingots and semis'!$B$2:$X$31, $A$1, FALSE)</f>
        <v>1946</v>
      </c>
      <c r="T9" s="1">
        <f>VLOOKUP($B9, '[1]Pro of hr long'!$B$2:$X$31, $A$1, FALSE)+VLOOKUP($B9, '[1]Pro of seamless tubes'!$B$2:$X$31, $A$1, FALSE)</f>
        <v>15119</v>
      </c>
      <c r="U9" s="1">
        <f>VLOOKUP($B9, '[1]Exp of long'!$B$2:$X$31, $A$1, FALSE)</f>
        <v>7495</v>
      </c>
      <c r="V9" s="1">
        <f>VLOOKUP($B9, '[1]Imp of long'!$B$2:$X$31, $A$1, FALSE)</f>
        <v>5798</v>
      </c>
      <c r="W9" s="1">
        <f>VLOOKUP($B9, '[1]Pro of hr flat'!$B$2:$X$31, $A$1, FALSE)*parameters!$B$8</f>
        <v>25607.156472261737</v>
      </c>
      <c r="X9" s="1">
        <f>VLOOKUP($B9, '[1]Exp of flat'!$B$2:$X$31, $A$1, FALSE)</f>
        <v>14402</v>
      </c>
      <c r="Y9" s="1">
        <f>VLOOKUP($B9, '[1]Imp of flat'!$B$2:$X$31, $A$1, FALSE)</f>
        <v>10272</v>
      </c>
      <c r="Z9" s="1">
        <f>VLOOKUP($B9, '[1]Indirect exp'!$B$2:$X$31, $A$1, FALSE)</f>
        <v>22459</v>
      </c>
      <c r="AA9" s="1">
        <f>VLOOKUP($B9, '[1]Indirect imp'!$B$2:$X$31, $A$1, FALSE)</f>
        <v>14752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3645.2156251663441</v>
      </c>
      <c r="D10" s="1">
        <f>VLOOKUP($B10, '[1]Pro of iron ore'!$B$2:$X$31, $A$1, FALSE)*(1-VLOOKUP($B10, '[1]Foundry share'!$B$2:$X$31, $A$1, FALSE))</f>
        <v>1890.1818123755997</v>
      </c>
      <c r="E10" s="47">
        <f>VLOOKUP($B10, '[1]Iron content'!$B$2:$X$31, $A$1, FALSE)</f>
        <v>0.51853772361939332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5515.5505285119998</v>
      </c>
      <c r="H10" s="1">
        <f>VLOOKUP($B10, '[1]Exp of pig iron'!$B$2:$X$31, $A$1, FALSE)</f>
        <v>49</v>
      </c>
      <c r="I10" s="1">
        <f>VLOOKUP($B10, '[1]Imp of pig iron'!$B$2:$X$31, $A$1, FALSE)</f>
        <v>287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19</v>
      </c>
      <c r="M10" s="1">
        <f>VLOOKUP($B10, '[1]Exp of scrap'!$B$2:$X$31, $A$1, FALSE)</f>
        <v>82</v>
      </c>
      <c r="N10" s="1">
        <f>VLOOKUP($B10, '[1]Imp of scrap'!$B$2:$X$31, $A$1, FALSE)</f>
        <v>12898</v>
      </c>
      <c r="O10" s="1">
        <f>VLOOKUP($B10, '[1]Pro of BOF steel'!$B$2:$X$31, $A$1, FALSE)</f>
        <v>5832</v>
      </c>
      <c r="P10" s="1">
        <f>VLOOKUP($B10, '[1]Pro of OHF steel'!$B$2:$X$31, $A$1, FALSE)</f>
        <v>0</v>
      </c>
      <c r="Q10" s="1">
        <f>VLOOKUP($B10, '[1]Pro of EAF steel'!$B$2:$X$31, $A$1, FALSE)</f>
        <v>14646</v>
      </c>
      <c r="R10" s="1">
        <f>VLOOKUP($B10, '[1]Exp of ingots and semis'!$B$2:$X$31, $A$1, FALSE)</f>
        <v>3759</v>
      </c>
      <c r="S10" s="1">
        <f>VLOOKUP($B10, '[1]Imp of ingots and semis'!$B$2:$X$31, $A$1, FALSE)</f>
        <v>1687</v>
      </c>
      <c r="T10" s="1">
        <f>VLOOKUP($B10, '[1]Pro of hr long'!$B$2:$X$31, $A$1, FALSE)+VLOOKUP($B10, '[1]Pro of seamless tubes'!$B$2:$X$31, $A$1, FALSE)</f>
        <v>10300</v>
      </c>
      <c r="U10" s="1">
        <f>VLOOKUP($B10, '[1]Exp of long'!$B$2:$X$31, $A$1, FALSE)</f>
        <v>7182</v>
      </c>
      <c r="V10" s="1">
        <f>VLOOKUP($B10, '[1]Imp of long'!$B$2:$X$31, $A$1, FALSE)</f>
        <v>867</v>
      </c>
      <c r="W10" s="1">
        <f>VLOOKUP($B10, '[1]Pro of hr flat'!$B$2:$X$31, $A$1, FALSE)*parameters!$B$8</f>
        <v>6901.4036699237931</v>
      </c>
      <c r="X10" s="1">
        <f>VLOOKUP($B10, '[1]Exp of flat'!$B$2:$X$31, $A$1, FALSE)</f>
        <v>1111</v>
      </c>
      <c r="Y10" s="1">
        <f>VLOOKUP($B10, '[1]Imp of flat'!$B$2:$X$31, $A$1, FALSE)</f>
        <v>5273</v>
      </c>
      <c r="Z10" s="1">
        <f>VLOOKUP($B10, '[1]Indirect exp'!$B$2:$X$31, $A$1, FALSE)</f>
        <v>2989</v>
      </c>
      <c r="AA10" s="1">
        <f>VLOOKUP($B10, '[1]Indirect imp'!$B$2:$X$31, $A$1, FALSE)</f>
        <v>2154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255000</v>
      </c>
      <c r="D11" s="1">
        <f>VLOOKUP($B11, '[1]Pro of iron ore'!$B$2:$X$31, $A$1, FALSE)*(1-VLOOKUP($B11, '[1]Foundry share'!$B$2:$X$31, $A$1, FALSE))</f>
        <v>169300</v>
      </c>
      <c r="E11" s="47">
        <f>VLOOKUP($B11, '[1]Iron content'!$B$2:$X$31, $A$1, FALSE)</f>
        <v>0.663921568627451</v>
      </c>
      <c r="F11" s="1">
        <f>VLOOKUP($B11, '[1]Exp of usable iron ore'!$B$2:$X$31, $A$1, FALSE)*parameters!$B$12</f>
        <v>153892.70000000001</v>
      </c>
      <c r="G11" s="1">
        <f>VLOOKUP($B11, '[1]Pro of pig iron'!$B$2:$X$31, $A$1, FALSE)*(1-VLOOKUP($B11, '[1]Foundry share'!$B$2:$X$31, $A$1, FALSE))</f>
        <v>34558</v>
      </c>
      <c r="H11" s="1">
        <f>VLOOKUP($B11, '[1]Exp of pig iron'!$B$2:$X$31, $A$1, FALSE)</f>
        <v>6189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440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13</v>
      </c>
      <c r="N11" s="1">
        <f>VLOOKUP($B11, '[1]Imp of scrap'!$B$2:$X$31, $A$1, FALSE)</f>
        <v>69</v>
      </c>
      <c r="O11" s="1">
        <f>VLOOKUP($B11, '[1]Pro of BOF steel'!$B$2:$X$31, $A$1, FALSE)</f>
        <v>24825</v>
      </c>
      <c r="P11" s="1">
        <f>VLOOKUP($B11, '[1]Pro of OHF steel'!$B$2:$X$31, $A$1, FALSE)</f>
        <v>0</v>
      </c>
      <c r="Q11" s="1">
        <f>VLOOKUP($B11, '[1]Pro of EAF steel'!$B$2:$X$31, $A$1, FALSE)</f>
        <v>7514</v>
      </c>
      <c r="R11" s="1">
        <f>VLOOKUP($B11, '[1]Exp of ingots and semis'!$B$2:$X$31, $A$1, FALSE)</f>
        <v>6339</v>
      </c>
      <c r="S11" s="1">
        <f>VLOOKUP($B11, '[1]Imp of ingots and semis'!$B$2:$X$31, $A$1, FALSE)</f>
        <v>12</v>
      </c>
      <c r="T11" s="1">
        <f>VLOOKUP($B11, '[1]Pro of hr long'!$B$2:$X$31, $A$1, FALSE)+VLOOKUP($B11, '[1]Pro of seamless tubes'!$B$2:$X$31, $A$1, FALSE)</f>
        <v>8927</v>
      </c>
      <c r="U11" s="1">
        <f>VLOOKUP($B11, '[1]Exp of long'!$B$2:$X$31, $A$1, FALSE)</f>
        <v>1757</v>
      </c>
      <c r="V11" s="1">
        <f>VLOOKUP($B11, '[1]Imp of long'!$B$2:$X$31, $A$1, FALSE)</f>
        <v>237</v>
      </c>
      <c r="W11" s="1">
        <f>VLOOKUP($B11, '[1]Pro of hr flat'!$B$2:$X$31, $A$1, FALSE)*parameters!$B$8</f>
        <v>13938.834992887625</v>
      </c>
      <c r="X11" s="1">
        <f>VLOOKUP($B11, '[1]Exp of flat'!$B$2:$X$31, $A$1, FALSE)</f>
        <v>3405</v>
      </c>
      <c r="Y11" s="1">
        <f>VLOOKUP($B11, '[1]Imp of flat'!$B$2:$X$31, $A$1, FALSE)</f>
        <v>239</v>
      </c>
      <c r="Z11" s="1">
        <f>VLOOKUP($B11, '[1]Indirect exp'!$B$2:$X$31, $A$1, FALSE)</f>
        <v>3298</v>
      </c>
      <c r="AA11" s="1">
        <f>VLOOKUP($B11, '[1]Indirect imp'!$B$2:$X$31, $A$1, FALSE)</f>
        <v>1193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13074.842422049105</v>
      </c>
      <c r="D12" s="1">
        <f>VLOOKUP($B12, '[1]Pro of iron ore'!$B$2:$X$31, $A$1, FALSE)*(1-VLOOKUP($B12, '[1]Foundry share'!$B$2:$X$31, $A$1, FALSE))</f>
        <v>4041.3149304515414</v>
      </c>
      <c r="E12" s="47">
        <f>VLOOKUP($B12, '[1]Iron content'!$B$2:$X$31, $A$1, FALSE)</f>
        <v>0.30909090909090908</v>
      </c>
      <c r="F12" s="1">
        <f>VLOOKUP($B12, '[1]Exp of usable iron ore'!$B$2:$X$31, $A$1, FALSE)*parameters!$B$12</f>
        <v>858.65</v>
      </c>
      <c r="G12" s="1">
        <f>VLOOKUP($B12, '[1]Pro of pig iron'!$B$2:$X$31, $A$1, FALSE)*(1-VLOOKUP($B12, '[1]Foundry share'!$B$2:$X$31, $A$1, FALSE))</f>
        <v>1660.9011949463591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5100.7733739836412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310</v>
      </c>
      <c r="O12" s="1">
        <f>VLOOKUP($B12, '[1]Pro of BOF steel'!$B$2:$X$31, $A$1, FALSE)</f>
        <v>2304</v>
      </c>
      <c r="P12" s="1">
        <f>VLOOKUP($B12, '[1]Pro of OHF steel'!$B$2:$X$31, $A$1, FALSE)</f>
        <v>0</v>
      </c>
      <c r="Q12" s="1">
        <f>VLOOKUP($B12, '[1]Pro of EAF steel'!$B$2:$X$31, $A$1, FALSE)</f>
        <v>6377</v>
      </c>
      <c r="R12" s="1">
        <f>VLOOKUP($B12, '[1]Exp of ingots and semis'!$B$2:$X$31, $A$1, FALSE)</f>
        <v>0</v>
      </c>
      <c r="S12" s="1">
        <f>VLOOKUP($B12, '[1]Imp of ingots and semis'!$B$2:$X$31, $A$1, FALSE)</f>
        <v>2483</v>
      </c>
      <c r="T12" s="1">
        <f>VLOOKUP($B12, '[1]Pro of hr long'!$B$2:$X$31, $A$1, FALSE)+VLOOKUP($B12, '[1]Pro of seamless tubes'!$B$2:$X$31, $A$1, FALSE)</f>
        <v>4176</v>
      </c>
      <c r="U12" s="1">
        <f>VLOOKUP($B12, '[1]Exp of long'!$B$2:$X$31, $A$1, FALSE)</f>
        <v>0</v>
      </c>
      <c r="V12" s="1">
        <f>VLOOKUP($B12, '[1]Imp of long'!$B$2:$X$31, $A$1, FALSE)</f>
        <v>1880</v>
      </c>
      <c r="W12" s="1">
        <f>VLOOKUP($B12, '[1]Pro of hr flat'!$B$2:$X$31, $A$1, FALSE)*parameters!$B$8</f>
        <v>3689.9487908961592</v>
      </c>
      <c r="X12" s="1">
        <f>VLOOKUP($B12, '[1]Exp of flat'!$B$2:$X$31, $A$1, FALSE)</f>
        <v>0</v>
      </c>
      <c r="Y12" s="1">
        <f>VLOOKUP($B12, '[1]Imp of flat'!$B$2:$X$31, $A$1, FALSE)</f>
        <v>2846</v>
      </c>
      <c r="Z12" s="1">
        <f>VLOOKUP($B12, '[1]Indirect exp'!$B$2:$X$31, $A$1, FALSE)</f>
        <v>43</v>
      </c>
      <c r="AA12" s="1">
        <f>VLOOKUP($B12, '[1]Indirect imp'!$B$2:$X$31, $A$1, FALSE)</f>
        <v>1392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10604</v>
      </c>
      <c r="H13" s="1">
        <f>VLOOKUP($B13, '[1]Exp of pig iron'!$B$2:$X$31, $A$1, FALSE)</f>
        <v>41</v>
      </c>
      <c r="I13" s="1">
        <f>VLOOKUP($B13, '[1]Imp of pig iron'!$B$2:$X$31, $A$1, FALSE)</f>
        <v>1304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164</v>
      </c>
      <c r="M13" s="1">
        <f>VLOOKUP($B13, '[1]Exp of scrap'!$B$2:$X$31, $A$1, FALSE)</f>
        <v>211</v>
      </c>
      <c r="N13" s="1">
        <f>VLOOKUP($B13, '[1]Imp of scrap'!$B$2:$X$31, $A$1, FALSE)</f>
        <v>5606</v>
      </c>
      <c r="O13" s="1">
        <f>VLOOKUP($B13, '[1]Pro of BOF steel'!$B$2:$X$31, $A$1, FALSE)</f>
        <v>10649</v>
      </c>
      <c r="P13" s="1">
        <f>VLOOKUP($B13, '[1]Pro of OHF steel'!$B$2:$X$31, $A$1, FALSE)</f>
        <v>0</v>
      </c>
      <c r="Q13" s="1">
        <f>VLOOKUP($B13, '[1]Pro of EAF steel'!$B$2:$X$31, $A$1, FALSE)</f>
        <v>17954</v>
      </c>
      <c r="R13" s="1">
        <f>VLOOKUP($B13, '[1]Exp of ingots and semis'!$B$2:$X$31, $A$1, FALSE)</f>
        <v>403</v>
      </c>
      <c r="S13" s="1">
        <f>VLOOKUP($B13, '[1]Imp of ingots and semis'!$B$2:$X$31, $A$1, FALSE)</f>
        <v>3874</v>
      </c>
      <c r="T13" s="1">
        <f>VLOOKUP($B13, '[1]Pro of hr long'!$B$2:$X$31, $A$1, FALSE)+VLOOKUP($B13, '[1]Pro of seamless tubes'!$B$2:$X$31, $A$1, FALSE)</f>
        <v>15956</v>
      </c>
      <c r="U13" s="1">
        <f>VLOOKUP($B13, '[1]Exp of long'!$B$2:$X$31, $A$1, FALSE)</f>
        <v>4552</v>
      </c>
      <c r="V13" s="1">
        <f>VLOOKUP($B13, '[1]Imp of long'!$B$2:$X$31, $A$1, FALSE)</f>
        <v>3278</v>
      </c>
      <c r="W13" s="1">
        <f>VLOOKUP($B13, '[1]Pro of hr flat'!$B$2:$X$31, $A$1, FALSE)*parameters!$B$8</f>
        <v>12535.916073968705</v>
      </c>
      <c r="X13" s="1">
        <f>VLOOKUP($B13, '[1]Exp of flat'!$B$2:$X$31, $A$1, FALSE)</f>
        <v>5486</v>
      </c>
      <c r="Y13" s="1">
        <f>VLOOKUP($B13, '[1]Imp of flat'!$B$2:$X$31, $A$1, FALSE)</f>
        <v>10987</v>
      </c>
      <c r="Z13" s="1">
        <f>VLOOKUP($B13, '[1]Indirect exp'!$B$2:$X$31, $A$1, FALSE)</f>
        <v>12290</v>
      </c>
      <c r="AA13" s="1">
        <f>VLOOKUP($B13, '[1]Indirect imp'!$B$2:$X$31, $A$1, FALSE)</f>
        <v>7510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65550</v>
      </c>
      <c r="D14" s="1">
        <f>VLOOKUP($B14, '[1]Pro of iron ore'!$B$2:$X$31, $A$1, FALSE)*(1-VLOOKUP($B14, '[1]Foundry share'!$B$2:$X$31, $A$1, FALSE))</f>
        <v>36000</v>
      </c>
      <c r="E14" s="47">
        <f>VLOOKUP($B14, '[1]Iron content'!$B$2:$X$31, $A$1, FALSE)</f>
        <v>0.54919908466819223</v>
      </c>
      <c r="F14" s="1">
        <f>VLOOKUP($B14, '[1]Exp of usable iron ore'!$B$2:$X$31, $A$1, FALSE)*parameters!$B$12</f>
        <v>11768.25</v>
      </c>
      <c r="G14" s="1">
        <f>VLOOKUP($B14, '[1]Pro of pig iron'!$B$2:$X$31, $A$1, FALSE)*(1-VLOOKUP($B14, '[1]Foundry share'!$B$2:$X$31, $A$1, FALSE))</f>
        <v>31056</v>
      </c>
      <c r="H14" s="1">
        <f>VLOOKUP($B14, '[1]Exp of pig iron'!$B$2:$X$31, $A$1, FALSE)</f>
        <v>1291</v>
      </c>
      <c r="I14" s="1">
        <f>VLOOKUP($B14, '[1]Imp of pig iron'!$B$2:$X$31, $A$1, FALSE)</f>
        <v>225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522</v>
      </c>
      <c r="M14" s="1">
        <f>VLOOKUP($B14, '[1]Exp of scrap'!$B$2:$X$31, $A$1, FALSE)</f>
        <v>2451</v>
      </c>
      <c r="N14" s="1">
        <f>VLOOKUP($B14, '[1]Imp of scrap'!$B$2:$X$31, $A$1, FALSE)</f>
        <v>13</v>
      </c>
      <c r="O14" s="1">
        <f>VLOOKUP($B14, '[1]Pro of BOF steel'!$B$2:$X$31, $A$1, FALSE)</f>
        <v>19292</v>
      </c>
      <c r="P14" s="1">
        <f>VLOOKUP($B14, '[1]Pro of OHF steel'!$B$2:$X$31, $A$1, FALSE)</f>
        <v>16812</v>
      </c>
      <c r="Q14" s="1">
        <f>VLOOKUP($B14, '[1]Pro of EAF steel'!$B$2:$X$31, $A$1, FALSE)</f>
        <v>2634</v>
      </c>
      <c r="R14" s="1">
        <f>VLOOKUP($B14, '[1]Exp of ingots and semis'!$B$2:$X$31, $A$1, FALSE)</f>
        <v>10481</v>
      </c>
      <c r="S14" s="1">
        <f>VLOOKUP($B14, '[1]Imp of ingots and semis'!$B$2:$X$31, $A$1, FALSE)</f>
        <v>270</v>
      </c>
      <c r="T14" s="1">
        <f>VLOOKUP($B14, '[1]Pro of hr long'!$B$2:$X$31, $A$1, FALSE)+VLOOKUP($B14, '[1]Pro of seamless tubes'!$B$2:$X$31, $A$1, FALSE)</f>
        <v>17560</v>
      </c>
      <c r="U14" s="1">
        <f>VLOOKUP($B14, '[1]Exp of long'!$B$2:$X$31, $A$1, FALSE)</f>
        <v>6893</v>
      </c>
      <c r="V14" s="1">
        <f>VLOOKUP($B14, '[1]Imp of long'!$B$2:$X$31, $A$1, FALSE)</f>
        <v>0</v>
      </c>
      <c r="W14" s="1">
        <f>VLOOKUP($B14, '[1]Pro of hr flat'!$B$2:$X$31, $A$1, FALSE)*parameters!$B$8</f>
        <v>13603.650071123755</v>
      </c>
      <c r="X14" s="1">
        <f>VLOOKUP($B14, '[1]Exp of flat'!$B$2:$X$31, $A$1, FALSE)</f>
        <v>9341</v>
      </c>
      <c r="Y14" s="1">
        <f>VLOOKUP($B14, '[1]Imp of flat'!$B$2:$X$31, $A$1, FALSE)</f>
        <v>356</v>
      </c>
      <c r="Z14" s="1">
        <f>VLOOKUP($B14, '[1]Indirect exp'!$B$2:$X$31, $A$1, FALSE)</f>
        <v>1867</v>
      </c>
      <c r="AA14" s="1">
        <f>VLOOKUP($B14, '[1]Indirect imp'!$B$2:$X$31, $A$1, FALSE)</f>
        <v>1034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11500</v>
      </c>
      <c r="D15" s="1">
        <f>VLOOKUP($B15, '[1]Pro of iron ore'!$B$2:$X$31, $A$1, FALSE)*(1-VLOOKUP($B15, '[1]Foundry share'!$B$2:$X$31, $A$1, FALSE))</f>
        <v>6890</v>
      </c>
      <c r="E15" s="47">
        <f>VLOOKUP($B15, '[1]Iron content'!$B$2:$X$31, $A$1, FALSE)</f>
        <v>0.59913043478260875</v>
      </c>
      <c r="F15" s="1">
        <f>VLOOKUP($B15, '[1]Exp of usable iron ore'!$B$2:$X$31, $A$1, FALSE)*parameters!$B$12</f>
        <v>674.7</v>
      </c>
      <c r="G15" s="1">
        <f>VLOOKUP($B15, '[1]Pro of pig iron'!$B$2:$X$31, $A$1, FALSE)*(1-VLOOKUP($B15, '[1]Foundry share'!$B$2:$X$31, $A$1, FALSE))</f>
        <v>4278</v>
      </c>
      <c r="H15" s="1">
        <f>VLOOKUP($B15, '[1]Exp of pig iron'!$B$2:$X$31, $A$1, FALSE)</f>
        <v>0</v>
      </c>
      <c r="I15" s="1">
        <f>VLOOKUP($B15, '[1]Imp of pig iron'!$B$2:$X$31, $A$1, FALSE)</f>
        <v>717</v>
      </c>
      <c r="J15" s="1">
        <f>VLOOKUP($B15, '[1]Pro of DRI'!$B$2:$X$31, $A$1, FALSE)*(1-VLOOKUP($B15, '[1]Foundry share'!$B$2:$X$31, $A$1, FALSE))</f>
        <v>6345</v>
      </c>
      <c r="K15" s="1">
        <f>VLOOKUP($B15, '[1]Exp of DRI'!$B$2:$X$31, $A$1, FALSE)</f>
        <v>0</v>
      </c>
      <c r="L15" s="1">
        <f>VLOOKUP($B15, '[1]Imp of DRI'!$B$2:$X$31, $A$1, FALSE)</f>
        <v>185</v>
      </c>
      <c r="M15" s="1">
        <f>VLOOKUP($B15, '[1]Exp of scrap'!$B$2:$X$31, $A$1, FALSE)</f>
        <v>445</v>
      </c>
      <c r="N15" s="1">
        <f>VLOOKUP($B15, '[1]Imp of scrap'!$B$2:$X$31, $A$1, FALSE)</f>
        <v>2074</v>
      </c>
      <c r="O15" s="1">
        <f>VLOOKUP($B15, '[1]Pro of BOF steel'!$B$2:$X$31, $A$1, FALSE)</f>
        <v>4762</v>
      </c>
      <c r="P15" s="1">
        <f>VLOOKUP($B15, '[1]Pro of OHF steel'!$B$2:$X$31, $A$1, FALSE)</f>
        <v>0</v>
      </c>
      <c r="Q15" s="1">
        <f>VLOOKUP($B15, '[1]Pro of EAF steel'!$B$2:$X$31, $A$1, FALSE)</f>
        <v>11975</v>
      </c>
      <c r="R15" s="1">
        <f>VLOOKUP($B15, '[1]Exp of ingots and semis'!$B$2:$X$31, $A$1, FALSE)</f>
        <v>2764</v>
      </c>
      <c r="S15" s="1">
        <f>VLOOKUP($B15, '[1]Imp of ingots and semis'!$B$2:$X$31, $A$1, FALSE)</f>
        <v>516</v>
      </c>
      <c r="T15" s="1">
        <f>VLOOKUP($B15, '[1]Pro of hr long'!$B$2:$X$31, $A$1, FALSE)+VLOOKUP($B15, '[1]Pro of seamless tubes'!$B$2:$X$31, $A$1, FALSE)</f>
        <v>7015</v>
      </c>
      <c r="U15" s="1">
        <f>VLOOKUP($B15, '[1]Exp of long'!$B$2:$X$31, $A$1, FALSE)</f>
        <v>937</v>
      </c>
      <c r="V15" s="1">
        <f>VLOOKUP($B15, '[1]Imp of long'!$B$2:$X$31, $A$1, FALSE)</f>
        <v>1587</v>
      </c>
      <c r="W15" s="1">
        <f>VLOOKUP($B15, '[1]Pro of hr flat'!$B$2:$X$31, $A$1, FALSE)*parameters!$B$8</f>
        <v>5937.1450924608816</v>
      </c>
      <c r="X15" s="1">
        <f>VLOOKUP($B15, '[1]Exp of flat'!$B$2:$X$31, $A$1, FALSE)</f>
        <v>1109</v>
      </c>
      <c r="Y15" s="1">
        <f>VLOOKUP($B15, '[1]Imp of flat'!$B$2:$X$31, $A$1, FALSE)</f>
        <v>3390</v>
      </c>
      <c r="Z15" s="1">
        <f>VLOOKUP($B15, '[1]Indirect exp'!$B$2:$X$31, $A$1, FALSE)</f>
        <v>8078</v>
      </c>
      <c r="AA15" s="1">
        <f>VLOOKUP($B15, '[1]Indirect imp'!$B$2:$X$31, $A$1, FALSE)</f>
        <v>7124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148.12755253171125</v>
      </c>
      <c r="D16" s="1">
        <f>VLOOKUP($B16, '[1]Pro of iron ore'!$B$2:$X$31, $A$1, FALSE)*(1-VLOOKUP($B16, '[1]Foundry share'!$B$2:$X$31, $A$1, FALSE))</f>
        <v>81.470153892441175</v>
      </c>
      <c r="E16" s="47">
        <f>VLOOKUP($B16, '[1]Iron content'!$B$2:$X$31, $A$1, FALSE)</f>
        <v>0.55000000000000004</v>
      </c>
      <c r="F16" s="1">
        <f>VLOOKUP($B16, '[1]Exp of usable iron ore'!$B$2:$X$31, $A$1, FALSE)*parameters!$B$12</f>
        <v>1040</v>
      </c>
      <c r="G16" s="1">
        <f>VLOOKUP($B16, '[1]Pro of pig iron'!$B$2:$X$31, $A$1, FALSE)*(1-VLOOKUP($B16, '[1]Foundry share'!$B$2:$X$31, $A$1, FALSE))</f>
        <v>92.332841078100003</v>
      </c>
      <c r="H16" s="1">
        <f>VLOOKUP($B16, '[1]Exp of pig iron'!$B$2:$X$31, $A$1, FALSE)</f>
        <v>0</v>
      </c>
      <c r="I16" s="1">
        <f>VLOOKUP($B16, '[1]Imp of pig iron'!$B$2:$X$31, $A$1, FALSE)</f>
        <v>23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129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689</v>
      </c>
      <c r="R16" s="1">
        <f>VLOOKUP($B16, '[1]Exp of ingots and semis'!$B$2:$X$31, $A$1, FALSE)</f>
        <v>0</v>
      </c>
      <c r="S16" s="1">
        <f>VLOOKUP($B16, '[1]Imp of ingots and semis'!$B$2:$X$31, $A$1, FALSE)</f>
        <v>2290</v>
      </c>
      <c r="T16" s="1">
        <f>VLOOKUP($B16, '[1]Pro of hr long'!$B$2:$X$31, $A$1, FALSE)+VLOOKUP($B16, '[1]Pro of seamless tubes'!$B$2:$X$31, $A$1, FALSE)</f>
        <v>2764</v>
      </c>
      <c r="U16" s="1">
        <f>VLOOKUP($B16, '[1]Exp of long'!$B$2:$X$31, $A$1, FALSE)</f>
        <v>35</v>
      </c>
      <c r="V16" s="1">
        <f>VLOOKUP($B16, '[1]Imp of long'!$B$2:$X$31, $A$1, FALSE)</f>
        <v>315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2274</v>
      </c>
      <c r="Z16" s="1">
        <f>VLOOKUP($B16, '[1]Indirect exp'!$B$2:$X$31, $A$1, FALSE)</f>
        <v>102</v>
      </c>
      <c r="AA16" s="1">
        <f>VLOOKUP($B16, '[1]Indirect imp'!$B$2:$X$31, $A$1, FALSE)</f>
        <v>541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26.650000000000002</v>
      </c>
      <c r="G17" s="1">
        <f>VLOOKUP($B17, '[1]Pro of pig iron'!$B$2:$X$31, $A$1, FALSE)*(1-VLOOKUP($B17, '[1]Foundry share'!$B$2:$X$31, $A$1, FALSE))</f>
        <v>13198</v>
      </c>
      <c r="H17" s="1">
        <f>VLOOKUP($B17, '[1]Exp of pig iron'!$B$2:$X$31, $A$1, FALSE)</f>
        <v>1</v>
      </c>
      <c r="I17" s="1">
        <f>VLOOKUP($B17, '[1]Imp of pig iron'!$B$2:$X$31, $A$1, FALSE)</f>
        <v>238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3</v>
      </c>
      <c r="L17" s="1">
        <f>VLOOKUP($B17, '[1]Imp of DRI'!$B$2:$X$31, $A$1, FALSE)</f>
        <v>135</v>
      </c>
      <c r="M17" s="1">
        <f>VLOOKUP($B17, '[1]Exp of scrap'!$B$2:$X$31, $A$1, FALSE)</f>
        <v>5600</v>
      </c>
      <c r="N17" s="1">
        <f>VLOOKUP($B17, '[1]Imp of scrap'!$B$2:$X$31, $A$1, FALSE)</f>
        <v>3456</v>
      </c>
      <c r="O17" s="1">
        <f>VLOOKUP($B17, '[1]Pro of BOF steel'!$B$2:$X$31, $A$1, FALSE)</f>
        <v>12751</v>
      </c>
      <c r="P17" s="1">
        <f>VLOOKUP($B17, '[1]Pro of OHF steel'!$B$2:$X$31, $A$1, FALSE)</f>
        <v>0</v>
      </c>
      <c r="Q17" s="1">
        <f>VLOOKUP($B17, '[1]Pro of EAF steel'!$B$2:$X$31, $A$1, FALSE)</f>
        <v>8019</v>
      </c>
      <c r="R17" s="1">
        <f>VLOOKUP($B17, '[1]Exp of ingots and semis'!$B$2:$X$31, $A$1, FALSE)</f>
        <v>3832</v>
      </c>
      <c r="S17" s="1">
        <f>VLOOKUP($B17, '[1]Imp of ingots and semis'!$B$2:$X$31, $A$1, FALSE)</f>
        <v>1804</v>
      </c>
      <c r="T17" s="1">
        <f>VLOOKUP($B17, '[1]Pro of hr long'!$B$2:$X$31, $A$1, FALSE)+VLOOKUP($B17, '[1]Pro of seamless tubes'!$B$2:$X$31, $A$1, FALSE)</f>
        <v>5431</v>
      </c>
      <c r="U17" s="1">
        <f>VLOOKUP($B17, '[1]Exp of long'!$B$2:$X$31, $A$1, FALSE)</f>
        <v>3119</v>
      </c>
      <c r="V17" s="1">
        <f>VLOOKUP($B17, '[1]Imp of long'!$B$2:$X$31, $A$1, FALSE)</f>
        <v>3893</v>
      </c>
      <c r="W17" s="1">
        <f>VLOOKUP($B17, '[1]Pro of hr flat'!$B$2:$X$31, $A$1, FALSE)*parameters!$B$8</f>
        <v>11606.142247510668</v>
      </c>
      <c r="X17" s="1">
        <f>VLOOKUP($B17, '[1]Exp of flat'!$B$2:$X$31, $A$1, FALSE)</f>
        <v>10326</v>
      </c>
      <c r="Y17" s="1">
        <f>VLOOKUP($B17, '[1]Imp of flat'!$B$2:$X$31, $A$1, FALSE)</f>
        <v>9515</v>
      </c>
      <c r="Z17" s="1">
        <f>VLOOKUP($B17, '[1]Indirect exp'!$B$2:$X$31, $A$1, FALSE)</f>
        <v>10066</v>
      </c>
      <c r="AA17" s="1">
        <f>VLOOKUP($B17, '[1]Indirect imp'!$B$2:$X$31, $A$1, FALSE)</f>
        <v>10645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4036</v>
      </c>
      <c r="H18" s="1">
        <f>VLOOKUP($B18, '[1]Exp of pig iron'!$B$2:$X$31, $A$1, FALSE)</f>
        <v>3</v>
      </c>
      <c r="I18" s="1">
        <f>VLOOKUP($B18, '[1]Imp of pig iron'!$B$2:$X$31, $A$1, FALSE)</f>
        <v>594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1</v>
      </c>
      <c r="L18" s="1">
        <f>VLOOKUP($B18, '[1]Imp of DRI'!$B$2:$X$31, $A$1, FALSE)</f>
        <v>525</v>
      </c>
      <c r="M18" s="1">
        <f>VLOOKUP($B18, '[1]Exp of scrap'!$B$2:$X$31, $A$1, FALSE)</f>
        <v>205</v>
      </c>
      <c r="N18" s="1">
        <f>VLOOKUP($B18, '[1]Imp of scrap'!$B$2:$X$31, $A$1, FALSE)</f>
        <v>6428</v>
      </c>
      <c r="O18" s="1">
        <f>VLOOKUP($B18, '[1]Pro of BOF steel'!$B$2:$X$31, $A$1, FALSE)</f>
        <v>4213</v>
      </c>
      <c r="P18" s="1">
        <f>VLOOKUP($B18, '[1]Pro of OHF steel'!$B$2:$X$31, $A$1, FALSE)</f>
        <v>0</v>
      </c>
      <c r="Q18" s="1">
        <f>VLOOKUP($B18, '[1]Pro of EAF steel'!$B$2:$X$31, $A$1, FALSE)</f>
        <v>13408</v>
      </c>
      <c r="R18" s="1">
        <f>VLOOKUP($B18, '[1]Exp of ingots and semis'!$B$2:$X$31, $A$1, FALSE)</f>
        <v>130</v>
      </c>
      <c r="S18" s="1">
        <f>VLOOKUP($B18, '[1]Imp of ingots and semis'!$B$2:$X$31, $A$1, FALSE)</f>
        <v>1495</v>
      </c>
      <c r="T18" s="1">
        <f>VLOOKUP($B18, '[1]Pro of hr long'!$B$2:$X$31, $A$1, FALSE)+VLOOKUP($B18, '[1]Pro of seamless tubes'!$B$2:$X$31, $A$1, FALSE)</f>
        <v>11893</v>
      </c>
      <c r="U18" s="1">
        <f>VLOOKUP($B18, '[1]Exp of long'!$B$2:$X$31, $A$1, FALSE)</f>
        <v>3509</v>
      </c>
      <c r="V18" s="1">
        <f>VLOOKUP($B18, '[1]Imp of long'!$B$2:$X$31, $A$1, FALSE)</f>
        <v>2475</v>
      </c>
      <c r="W18" s="1">
        <f>VLOOKUP($B18, '[1]Pro of hr flat'!$B$2:$X$31, $A$1, FALSE)*parameters!$B$8</f>
        <v>5716.603129445235</v>
      </c>
      <c r="X18" s="1">
        <f>VLOOKUP($B18, '[1]Exp of flat'!$B$2:$X$31, $A$1, FALSE)</f>
        <v>2078</v>
      </c>
      <c r="Y18" s="1">
        <f>VLOOKUP($B18, '[1]Imp of flat'!$B$2:$X$31, $A$1, FALSE)</f>
        <v>7171</v>
      </c>
      <c r="Z18" s="1">
        <f>VLOOKUP($B18, '[1]Indirect exp'!$B$2:$X$31, $A$1, FALSE)</f>
        <v>7248</v>
      </c>
      <c r="AA18" s="1">
        <f>VLOOKUP($B18, '[1]Indirect imp'!$B$2:$X$31, $A$1, FALSE)</f>
        <v>7336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28256</v>
      </c>
      <c r="D19" s="1">
        <f>VLOOKUP($B19, '[1]Pro of iron ore'!$B$2:$X$31, $A$1, FALSE)*(1-VLOOKUP($B19, '[1]Foundry share'!$B$2:$X$31, $A$1, FALSE))</f>
        <v>17801</v>
      </c>
      <c r="E19" s="47">
        <f>VLOOKUP($B19, '[1]Iron content'!$B$2:$X$31, $A$1, FALSE)</f>
        <v>0.62999009060022648</v>
      </c>
      <c r="F19" s="1">
        <f>VLOOKUP($B19, '[1]Exp of usable iron ore'!$B$2:$X$31, $A$1, FALSE)*parameters!$B$12</f>
        <v>14594.45</v>
      </c>
      <c r="G19" s="1">
        <f>VLOOKUP($B19, '[1]Pro of pig iron'!$B$2:$X$31, $A$1, FALSE)*(1-VLOOKUP($B19, '[1]Foundry share'!$B$2:$X$31, $A$1, FALSE))</f>
        <v>8828</v>
      </c>
      <c r="H19" s="1">
        <f>VLOOKUP($B19, '[1]Exp of pig iron'!$B$2:$X$31, $A$1, FALSE)</f>
        <v>95</v>
      </c>
      <c r="I19" s="1">
        <f>VLOOKUP($B19, '[1]Imp of pig iron'!$B$2:$X$31, $A$1, FALSE)</f>
        <v>62</v>
      </c>
      <c r="J19" s="1">
        <f>VLOOKUP($B19, '[1]Pro of DRI'!$B$2:$X$31, $A$1, FALSE)*(1-VLOOKUP($B19, '[1]Foundry share'!$B$2:$X$31, $A$1, FALSE))</f>
        <v>1091</v>
      </c>
      <c r="K19" s="1">
        <f>VLOOKUP($B19, '[1]Exp of DRI'!$B$2:$X$31, $A$1, FALSE)</f>
        <v>465</v>
      </c>
      <c r="L19" s="1">
        <f>VLOOKUP($B19, '[1]Imp of DRI'!$B$2:$X$31, $A$1, FALSE)</f>
        <v>196</v>
      </c>
      <c r="M19" s="1">
        <f>VLOOKUP($B19, '[1]Exp of scrap'!$B$2:$X$31, $A$1, FALSE)</f>
        <v>2965</v>
      </c>
      <c r="N19" s="1">
        <f>VLOOKUP($B19, '[1]Imp of scrap'!$B$2:$X$31, $A$1, FALSE)</f>
        <v>1826</v>
      </c>
      <c r="O19" s="1">
        <f>VLOOKUP($B19, '[1]Pro of BOF steel'!$B$2:$X$31, $A$1, FALSE)</f>
        <v>9651</v>
      </c>
      <c r="P19" s="1">
        <f>VLOOKUP($B19, '[1]Pro of OHF steel'!$B$2:$X$31, $A$1, FALSE)</f>
        <v>0</v>
      </c>
      <c r="Q19" s="1">
        <f>VLOOKUP($B19, '[1]Pro of EAF steel'!$B$2:$X$31, $A$1, FALSE)</f>
        <v>6654</v>
      </c>
      <c r="R19" s="1">
        <f>VLOOKUP($B19, '[1]Exp of ingots and semis'!$B$2:$X$31, $A$1, FALSE)</f>
        <v>222</v>
      </c>
      <c r="S19" s="1">
        <f>VLOOKUP($B19, '[1]Imp of ingots and semis'!$B$2:$X$31, $A$1, FALSE)</f>
        <v>830</v>
      </c>
      <c r="T19" s="1">
        <f>VLOOKUP($B19, '[1]Pro of hr long'!$B$2:$X$31, $A$1, FALSE)+VLOOKUP($B19, '[1]Pro of seamless tubes'!$B$2:$X$31, $A$1, FALSE)</f>
        <v>3634</v>
      </c>
      <c r="U19" s="1">
        <f>VLOOKUP($B19, '[1]Exp of long'!$B$2:$X$31, $A$1, FALSE)</f>
        <v>1885</v>
      </c>
      <c r="V19" s="1">
        <f>VLOOKUP($B19, '[1]Imp of long'!$B$2:$X$31, $A$1, FALSE)</f>
        <v>2765</v>
      </c>
      <c r="W19" s="1">
        <f>VLOOKUP($B19, '[1]Pro of hr flat'!$B$2:$X$31, $A$1, FALSE)*parameters!$B$8</f>
        <v>10391.70412517781</v>
      </c>
      <c r="X19" s="1">
        <f>VLOOKUP($B19, '[1]Exp of flat'!$B$2:$X$31, $A$1, FALSE)</f>
        <v>2254</v>
      </c>
      <c r="Y19" s="1">
        <f>VLOOKUP($B19, '[1]Imp of flat'!$B$2:$X$31, $A$1, FALSE)</f>
        <v>4387</v>
      </c>
      <c r="Z19" s="1">
        <f>VLOOKUP($B19, '[1]Indirect exp'!$B$2:$X$31, $A$1, FALSE)</f>
        <v>7230</v>
      </c>
      <c r="AA19" s="1">
        <f>VLOOKUP($B19, '[1]Indirect imp'!$B$2:$X$31, $A$1, FALSE)</f>
        <v>9820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84.201657231496441</v>
      </c>
      <c r="D20" s="1">
        <f>VLOOKUP($B20, '[1]Pro of iron ore'!$B$2:$X$31, $A$1, FALSE)*(1-VLOOKUP($B20, '[1]Foundry share'!$B$2:$X$31, $A$1, FALSE))</f>
        <v>47.893073237936278</v>
      </c>
      <c r="E20" s="47">
        <f>VLOOKUP($B20, '[1]Iron content'!$B$2:$X$31, $A$1, FALSE)</f>
        <v>0.56879014989293364</v>
      </c>
      <c r="F20" s="1">
        <f>VLOOKUP($B20, '[1]Exp of usable iron ore'!$B$2:$X$31, $A$1, FALSE)*parameters!$B$12</f>
        <v>74.100000000000009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68</v>
      </c>
      <c r="I20" s="1">
        <f>VLOOKUP($B20, '[1]Imp of pig iron'!$B$2:$X$31, $A$1, FALSE)</f>
        <v>280</v>
      </c>
      <c r="J20" s="1">
        <f>VLOOKUP($B20, '[1]Pro of DRI'!$B$2:$X$31, $A$1, FALSE)*(1-VLOOKUP($B20, '[1]Foundry share'!$B$2:$X$31, $A$1, FALSE))</f>
        <v>1348.5186896015</v>
      </c>
      <c r="K20" s="1">
        <f>VLOOKUP($B20, '[1]Exp of DRI'!$B$2:$X$31, $A$1, FALSE)</f>
        <v>0</v>
      </c>
      <c r="L20" s="1">
        <f>VLOOKUP($B20, '[1]Imp of DRI'!$B$2:$X$31, $A$1, FALSE)</f>
        <v>128</v>
      </c>
      <c r="M20" s="1">
        <f>VLOOKUP($B20, '[1]Exp of scrap'!$B$2:$X$31, $A$1, FALSE)</f>
        <v>0</v>
      </c>
      <c r="N20" s="1">
        <f>VLOOKUP($B20, '[1]Imp of scrap'!$B$2:$X$31, $A$1, FALSE)</f>
        <v>1400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3682</v>
      </c>
      <c r="R20" s="1">
        <f>VLOOKUP($B20, '[1]Exp of ingots and semis'!$B$2:$X$31, $A$1, FALSE)</f>
        <v>19</v>
      </c>
      <c r="S20" s="1">
        <f>VLOOKUP($B20, '[1]Imp of ingots and semis'!$B$2:$X$31, $A$1, FALSE)</f>
        <v>1707</v>
      </c>
      <c r="T20" s="1">
        <f>VLOOKUP($B20, '[1]Pro of hr long'!$B$2:$X$31, $A$1, FALSE)+VLOOKUP($B20, '[1]Pro of seamless tubes'!$B$2:$X$31, $A$1, FALSE)</f>
        <v>2104</v>
      </c>
      <c r="U20" s="1">
        <f>VLOOKUP($B20, '[1]Exp of long'!$B$2:$X$31, $A$1, FALSE)</f>
        <v>315</v>
      </c>
      <c r="V20" s="1">
        <f>VLOOKUP($B20, '[1]Imp of long'!$B$2:$X$31, $A$1, FALSE)</f>
        <v>568</v>
      </c>
      <c r="W20" s="1">
        <f>VLOOKUP($B20, '[1]Pro of hr flat'!$B$2:$X$31, $A$1, FALSE)*parameters!$B$8</f>
        <v>2073.2887624466571</v>
      </c>
      <c r="X20" s="1">
        <f>VLOOKUP($B20, '[1]Exp of flat'!$B$2:$X$31, $A$1, FALSE)</f>
        <v>750</v>
      </c>
      <c r="Y20" s="1">
        <f>VLOOKUP($B20, '[1]Imp of flat'!$B$2:$X$31, $A$1, FALSE)</f>
        <v>1976</v>
      </c>
      <c r="Z20" s="1">
        <f>VLOOKUP($B20, '[1]Indirect exp'!$B$2:$X$31, $A$1, FALSE)</f>
        <v>814</v>
      </c>
      <c r="AA20" s="1">
        <f>VLOOKUP($B20, '[1]Indirect imp'!$B$2:$X$31, $A$1, FALSE)</f>
        <v>1821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6400</v>
      </c>
      <c r="H21" s="1">
        <f>VLOOKUP($B21, '[1]Exp of pig iron'!$B$2:$X$31, $A$1, FALSE)</f>
        <v>56</v>
      </c>
      <c r="I21" s="1">
        <f>VLOOKUP($B21, '[1]Imp of pig iron'!$B$2:$X$31, $A$1, FALSE)</f>
        <v>152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1988</v>
      </c>
      <c r="N21" s="1">
        <f>VLOOKUP($B21, '[1]Imp of scrap'!$B$2:$X$31, $A$1, FALSE)</f>
        <v>355</v>
      </c>
      <c r="O21" s="1">
        <f>VLOOKUP($B21, '[1]Pro of BOF steel'!$B$2:$X$31, $A$1, FALSE)</f>
        <v>6875</v>
      </c>
      <c r="P21" s="1">
        <f>VLOOKUP($B21, '[1]Pro of OHF steel'!$B$2:$X$31, $A$1, FALSE)</f>
        <v>0</v>
      </c>
      <c r="Q21" s="1">
        <f>VLOOKUP($B21, '[1]Pro of EAF steel'!$B$2:$X$31, $A$1, FALSE)</f>
        <v>3717</v>
      </c>
      <c r="R21" s="1">
        <f>VLOOKUP($B21, '[1]Exp of ingots and semis'!$B$2:$X$31, $A$1, FALSE)</f>
        <v>1583</v>
      </c>
      <c r="S21" s="1">
        <f>VLOOKUP($B21, '[1]Imp of ingots and semis'!$B$2:$X$31, $A$1, FALSE)</f>
        <v>180</v>
      </c>
      <c r="T21" s="1">
        <f>VLOOKUP($B21, '[1]Pro of hr long'!$B$2:$X$31, $A$1, FALSE)+VLOOKUP($B21, '[1]Pro of seamless tubes'!$B$2:$X$31, $A$1, FALSE)</f>
        <v>4828</v>
      </c>
      <c r="U21" s="1">
        <f>VLOOKUP($B21, '[1]Exp of long'!$B$2:$X$31, $A$1, FALSE)</f>
        <v>2455</v>
      </c>
      <c r="V21" s="1">
        <f>VLOOKUP($B21, '[1]Imp of long'!$B$2:$X$31, $A$1, FALSE)</f>
        <v>691</v>
      </c>
      <c r="W21" s="1">
        <f>VLOOKUP($B21, '[1]Pro of hr flat'!$B$2:$X$31, $A$1, FALSE)*parameters!$B$8</f>
        <v>2698.9672830725463</v>
      </c>
      <c r="X21" s="1">
        <f>VLOOKUP($B21, '[1]Exp of flat'!$B$2:$X$31, $A$1, FALSE)</f>
        <v>549</v>
      </c>
      <c r="Y21" s="1">
        <f>VLOOKUP($B21, '[1]Imp of flat'!$B$2:$X$31, $A$1, FALSE)</f>
        <v>2482</v>
      </c>
      <c r="Z21" s="1">
        <f>VLOOKUP($B21, '[1]Indirect exp'!$B$2:$X$31, $A$1, FALSE)</f>
        <v>5822</v>
      </c>
      <c r="AA21" s="1">
        <f>VLOOKUP($B21, '[1]Indirect imp'!$B$2:$X$31, $A$1, FALSE)</f>
        <v>4951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2576.4218107810698</v>
      </c>
      <c r="D22" s="1">
        <f>VLOOKUP($B22, '[1]Pro of iron ore'!$B$2:$X$31, $A$1, FALSE)*(1-VLOOKUP($B22, '[1]Foundry share'!$B$2:$X$31, $A$1, FALSE))</f>
        <v>1288.2109053905349</v>
      </c>
      <c r="E22" s="47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888.42131406243789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2683.0323684685623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0</v>
      </c>
      <c r="N22" s="1">
        <f>VLOOKUP($B22, '[1]Imp of scrap'!$B$2:$X$31, $A$1, FALSE)</f>
        <v>1064</v>
      </c>
      <c r="O22" s="1">
        <f>VLOOKUP($B22, '[1]Pro of BOF steel'!$B$2:$X$31, $A$1, FALSE)</f>
        <v>1280</v>
      </c>
      <c r="P22" s="1">
        <f>VLOOKUP($B22, '[1]Pro of OHF steel'!$B$2:$X$31, $A$1, FALSE)</f>
        <v>0</v>
      </c>
      <c r="Q22" s="1">
        <f>VLOOKUP($B22, '[1]Pro of EAF steel'!$B$2:$X$31, $A$1, FALSE)</f>
        <v>3530</v>
      </c>
      <c r="R22" s="1">
        <f>VLOOKUP($B22, '[1]Exp of ingots and semis'!$B$2:$X$31, $A$1, FALSE)</f>
        <v>0</v>
      </c>
      <c r="S22" s="1">
        <f>VLOOKUP($B22, '[1]Imp of ingots and semis'!$B$2:$X$31, $A$1, FALSE)</f>
        <v>811</v>
      </c>
      <c r="T22" s="1">
        <f>VLOOKUP($B22, '[1]Pro of hr long'!$B$2:$X$31, $A$1, FALSE)+VLOOKUP($B22, '[1]Pro of seamless tubes'!$B$2:$X$31, $A$1, FALSE)</f>
        <v>3400</v>
      </c>
      <c r="U22" s="1">
        <f>VLOOKUP($B22, '[1]Exp of long'!$B$2:$X$31, $A$1, FALSE)</f>
        <v>0</v>
      </c>
      <c r="V22" s="1">
        <f>VLOOKUP($B22, '[1]Imp of long'!$B$2:$X$31, $A$1, FALSE)</f>
        <v>105</v>
      </c>
      <c r="W22" s="1">
        <f>VLOOKUP($B22, '[1]Pro of hr flat'!$B$2:$X$31, $A$1, FALSE)*parameters!$B$8</f>
        <v>1147.6827235820435</v>
      </c>
      <c r="X22" s="1">
        <f>VLOOKUP($B22, '[1]Exp of flat'!$B$2:$X$31, $A$1, FALSE)</f>
        <v>0</v>
      </c>
      <c r="Y22" s="1">
        <f>VLOOKUP($B22, '[1]Imp of flat'!$B$2:$X$31, $A$1, FALSE)</f>
        <v>417</v>
      </c>
      <c r="Z22" s="1">
        <f>VLOOKUP($B22, '[1]Indirect exp'!$B$2:$X$31, $A$1, FALSE)</f>
        <v>264</v>
      </c>
      <c r="AA22" s="1">
        <f>VLOOKUP($B22, '[1]Indirect imp'!$B$2:$X$31, $A$1, FALSE)</f>
        <v>391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123</v>
      </c>
      <c r="J23" s="1">
        <f>VLOOKUP($B23, '[1]Pro of DRI'!$B$2:$X$31, $A$1, FALSE)*(1-VLOOKUP($B23, '[1]Foundry share'!$B$2:$X$31, $A$1, FALSE))</f>
        <v>2874.6407517050002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3902</v>
      </c>
      <c r="R23" s="1">
        <f>VLOOKUP($B23, '[1]Exp of ingots and semis'!$B$2:$X$31, $A$1, FALSE)</f>
        <v>0</v>
      </c>
      <c r="S23" s="1">
        <f>VLOOKUP($B23, '[1]Imp of ingots and semis'!$B$2:$X$31, $A$1, FALSE)</f>
        <v>959</v>
      </c>
      <c r="T23" s="1">
        <f>VLOOKUP($B23, '[1]Pro of hr long'!$B$2:$X$31, $A$1, FALSE)+VLOOKUP($B23, '[1]Pro of seamless tubes'!$B$2:$X$31, $A$1, FALSE)</f>
        <v>2440</v>
      </c>
      <c r="U23" s="1">
        <f>VLOOKUP($B23, '[1]Exp of long'!$B$2:$X$31, $A$1, FALSE)</f>
        <v>0</v>
      </c>
      <c r="V23" s="1">
        <f>VLOOKUP($B23, '[1]Imp of long'!$B$2:$X$31, $A$1, FALSE)</f>
        <v>634</v>
      </c>
      <c r="W23" s="1">
        <f>VLOOKUP($B23, '[1]Pro of hr flat'!$B$2:$X$31, $A$1, FALSE)*parameters!$B$8</f>
        <v>1368.113313216367</v>
      </c>
      <c r="X23" s="1">
        <f>VLOOKUP($B23, '[1]Exp of flat'!$B$2:$X$31, $A$1, FALSE)</f>
        <v>0</v>
      </c>
      <c r="Y23" s="1">
        <f>VLOOKUP($B23, '[1]Imp of flat'!$B$2:$X$31, $A$1, FALSE)</f>
        <v>1063</v>
      </c>
      <c r="Z23" s="1">
        <f>VLOOKUP($B23, '[1]Indirect exp'!$B$2:$X$31, $A$1, FALSE)</f>
        <v>30</v>
      </c>
      <c r="AA23" s="1">
        <f>VLOOKUP($B23, '[1]Indirect imp'!$B$2:$X$31, $A$1, FALSE)</f>
        <v>1192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1800</v>
      </c>
      <c r="D24" s="1">
        <f>VLOOKUP($B24, '[1]Pro of iron ore'!$B$2:$X$31, $A$1, FALSE)*(1-VLOOKUP($B24, '[1]Foundry share'!$B$2:$X$31, $A$1, FALSE))</f>
        <v>575</v>
      </c>
      <c r="E24" s="47">
        <f>VLOOKUP($B24, '[1]Iron content'!$B$2:$X$31, $A$1, FALSE)</f>
        <v>0.31944444444444442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4847</v>
      </c>
      <c r="H24" s="1">
        <f>VLOOKUP($B24, '[1]Exp of pig iron'!$B$2:$X$31, $A$1, FALSE)</f>
        <v>7</v>
      </c>
      <c r="I24" s="1">
        <f>VLOOKUP($B24, '[1]Imp of pig iron'!$B$2:$X$31, $A$1, FALSE)</f>
        <v>66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0</v>
      </c>
      <c r="M24" s="1">
        <f>VLOOKUP($B24, '[1]Exp of scrap'!$B$2:$X$31, $A$1, FALSE)</f>
        <v>1117</v>
      </c>
      <c r="N24" s="1">
        <f>VLOOKUP($B24, '[1]Imp of scrap'!$B$2:$X$31, $A$1, FALSE)</f>
        <v>1035</v>
      </c>
      <c r="O24" s="1">
        <f>VLOOKUP($B24, '[1]Pro of BOF steel'!$B$2:$X$31, $A$1, FALSE)</f>
        <v>5901</v>
      </c>
      <c r="P24" s="1">
        <f>VLOOKUP($B24, '[1]Pro of OHF steel'!$B$2:$X$31, $A$1, FALSE)</f>
        <v>0</v>
      </c>
      <c r="Q24" s="1">
        <f>VLOOKUP($B24, '[1]Pro of EAF steel'!$B$2:$X$31, $A$1, FALSE)</f>
        <v>629</v>
      </c>
      <c r="R24" s="1">
        <f>VLOOKUP($B24, '[1]Exp of ingots and semis'!$B$2:$X$31, $A$1, FALSE)</f>
        <v>347</v>
      </c>
      <c r="S24" s="1">
        <f>VLOOKUP($B24, '[1]Imp of ingots and semis'!$B$2:$X$31, $A$1, FALSE)</f>
        <v>169</v>
      </c>
      <c r="T24" s="1">
        <f>VLOOKUP($B24, '[1]Pro of hr long'!$B$2:$X$31, $A$1, FALSE)+VLOOKUP($B24, '[1]Pro of seamless tubes'!$B$2:$X$31, $A$1, FALSE)</f>
        <v>1577</v>
      </c>
      <c r="U24" s="1">
        <f>VLOOKUP($B24, '[1]Exp of long'!$B$2:$X$31, $A$1, FALSE)</f>
        <v>1055</v>
      </c>
      <c r="V24" s="1">
        <f>VLOOKUP($B24, '[1]Imp of long'!$B$2:$X$31, $A$1, FALSE)</f>
        <v>1113</v>
      </c>
      <c r="W24" s="1">
        <f>VLOOKUP($B24, '[1]Pro of hr flat'!$B$2:$X$31, $A$1, FALSE)*parameters!$B$8</f>
        <v>4313.6842105263158</v>
      </c>
      <c r="X24" s="1">
        <f>VLOOKUP($B24, '[1]Exp of flat'!$B$2:$X$31, $A$1, FALSE)</f>
        <v>3667</v>
      </c>
      <c r="Y24" s="1">
        <f>VLOOKUP($B24, '[1]Imp of flat'!$B$2:$X$31, $A$1, FALSE)</f>
        <v>1543</v>
      </c>
      <c r="Z24" s="1">
        <f>VLOOKUP($B24, '[1]Indirect exp'!$B$2:$X$31, $A$1, FALSE)</f>
        <v>3081</v>
      </c>
      <c r="AA24" s="1">
        <f>VLOOKUP($B24, '[1]Indirect imp'!$B$2:$X$31, $A$1, FALSE)</f>
        <v>3219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16.25</v>
      </c>
      <c r="G25" s="1">
        <f>VLOOKUP($B25, '[1]Pro of pig iron'!$B$2:$X$31, $A$1, FALSE)*(1-VLOOKUP($B25, '[1]Foundry share'!$B$2:$X$31, $A$1, FALSE))</f>
        <v>8224</v>
      </c>
      <c r="H25" s="1">
        <f>VLOOKUP($B25, '[1]Exp of pig iron'!$B$2:$X$31, $A$1, FALSE)</f>
        <v>232</v>
      </c>
      <c r="I25" s="1">
        <f>VLOOKUP($B25, '[1]Imp of pig iron'!$B$2:$X$31, $A$1, FALSE)</f>
        <v>374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4</v>
      </c>
      <c r="L25" s="1">
        <f>VLOOKUP($B25, '[1]Imp of DRI'!$B$2:$X$31, $A$1, FALSE)</f>
        <v>81</v>
      </c>
      <c r="M25" s="1">
        <f>VLOOKUP($B25, '[1]Exp of scrap'!$B$2:$X$31, $A$1, FALSE)</f>
        <v>2253.9619131975201</v>
      </c>
      <c r="N25" s="1">
        <f>VLOOKUP($B25, '[1]Imp of scrap'!$B$2:$X$31, $A$1, FALSE)</f>
        <v>2511.3158523473899</v>
      </c>
      <c r="O25" s="1">
        <f>VLOOKUP($B25, '[1]Pro of BOF steel'!$B$2:$X$31, $A$1, FALSE)</f>
        <v>8812</v>
      </c>
      <c r="P25" s="1">
        <f>VLOOKUP($B25, '[1]Pro of OHF steel'!$B$2:$X$31, $A$1, FALSE)</f>
        <v>0</v>
      </c>
      <c r="Q25" s="1">
        <f>VLOOKUP($B25, '[1]Pro of EAF steel'!$B$2:$X$31, $A$1, FALSE)</f>
        <v>2885</v>
      </c>
      <c r="R25" s="1">
        <f>VLOOKUP($B25, '[1]Exp of ingots and semis'!$B$2:$X$31, $A$1, FALSE)</f>
        <v>891</v>
      </c>
      <c r="S25" s="1">
        <f>VLOOKUP($B25, '[1]Imp of ingots and semis'!$B$2:$X$31, $A$1, FALSE)</f>
        <v>4149</v>
      </c>
      <c r="T25" s="1">
        <f>VLOOKUP($B25, '[1]Pro of hr long'!$B$2:$X$31, $A$1, FALSE)+VLOOKUP($B25, '[1]Pro of seamless tubes'!$B$2:$X$31, $A$1, FALSE)</f>
        <v>1136</v>
      </c>
      <c r="U25" s="1">
        <f>VLOOKUP($B25, '[1]Exp of long'!$B$2:$X$31, $A$1, FALSE)</f>
        <v>1939.9241419656785</v>
      </c>
      <c r="V25" s="1">
        <f>VLOOKUP($B25, '[1]Imp of long'!$B$2:$X$31, $A$1, FALSE)</f>
        <v>2477.5481072555203</v>
      </c>
      <c r="W25" s="1">
        <f>VLOOKUP($B25, '[1]Pro of hr flat'!$B$2:$X$31, $A$1, FALSE)*parameters!$B$8</f>
        <v>11787.822190611665</v>
      </c>
      <c r="X25" s="1">
        <f>VLOOKUP($B25, '[1]Exp of flat'!$B$2:$X$31, $A$1, FALSE)</f>
        <v>15715.066100345102</v>
      </c>
      <c r="Y25" s="1">
        <f>VLOOKUP($B25, '[1]Imp of flat'!$B$2:$X$31, $A$1, FALSE)</f>
        <v>6474.9514531043596</v>
      </c>
      <c r="Z25" s="1">
        <f>VLOOKUP($B25, '[1]Indirect exp'!$B$2:$X$31, $A$1, FALSE)</f>
        <v>6492</v>
      </c>
      <c r="AA25" s="1">
        <f>VLOOKUP($B25, '[1]Indirect imp'!$B$2:$X$31, $A$1, FALSE)</f>
        <v>6902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0.5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10180</v>
      </c>
      <c r="H26" s="1">
        <f>VLOOKUP($B26, '[1]Exp of pig iron'!$B$2:$X$31, $A$1, FALSE)</f>
        <v>1</v>
      </c>
      <c r="I26" s="1">
        <f>VLOOKUP($B26, '[1]Imp of pig iron'!$B$2:$X$31, $A$1, FALSE)</f>
        <v>104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1</v>
      </c>
      <c r="M26" s="1">
        <f>VLOOKUP($B26, '[1]Exp of scrap'!$B$2:$X$31, $A$1, FALSE)</f>
        <v>6767</v>
      </c>
      <c r="N26" s="1">
        <f>VLOOKUP($B26, '[1]Imp of scrap'!$B$2:$X$31, $A$1, FALSE)</f>
        <v>226</v>
      </c>
      <c r="O26" s="1">
        <f>VLOOKUP($B26, '[1]Pro of BOF steel'!$B$2:$X$31, $A$1, FALSE)</f>
        <v>10667</v>
      </c>
      <c r="P26" s="1">
        <f>VLOOKUP($B26, '[1]Pro of OHF steel'!$B$2:$X$31, $A$1, FALSE)</f>
        <v>0</v>
      </c>
      <c r="Q26" s="1">
        <f>VLOOKUP($B26, '[1]Pro of EAF steel'!$B$2:$X$31, $A$1, FALSE)</f>
        <v>3099</v>
      </c>
      <c r="R26" s="1">
        <f>VLOOKUP($B26, '[1]Exp of ingots and semis'!$B$2:$X$31, $A$1, FALSE)</f>
        <v>1722</v>
      </c>
      <c r="S26" s="1">
        <f>VLOOKUP($B26, '[1]Imp of ingots and semis'!$B$2:$X$31, $A$1, FALSE)</f>
        <v>765</v>
      </c>
      <c r="T26" s="1">
        <f>VLOOKUP($B26, '[1]Pro of hr long'!$B$2:$X$31, $A$1, FALSE)+VLOOKUP($B26, '[1]Pro of seamless tubes'!$B$2:$X$31, $A$1, FALSE)</f>
        <v>4977</v>
      </c>
      <c r="U26" s="1">
        <f>VLOOKUP($B26, '[1]Exp of long'!$B$2:$X$31, $A$1, FALSE)</f>
        <v>2686</v>
      </c>
      <c r="V26" s="1">
        <f>VLOOKUP($B26, '[1]Imp of long'!$B$2:$X$31, $A$1, FALSE)</f>
        <v>2245</v>
      </c>
      <c r="W26" s="1">
        <f>VLOOKUP($B26, '[1]Pro of hr flat'!$B$2:$X$31, $A$1, FALSE)*parameters!$B$8</f>
        <v>6364.6273115220483</v>
      </c>
      <c r="X26" s="1">
        <f>VLOOKUP($B26, '[1]Exp of flat'!$B$2:$X$31, $A$1, FALSE)</f>
        <v>2662</v>
      </c>
      <c r="Y26" s="1">
        <f>VLOOKUP($B26, '[1]Imp of flat'!$B$2:$X$31, $A$1, FALSE)</f>
        <v>4651</v>
      </c>
      <c r="Z26" s="1">
        <f>VLOOKUP($B26, '[1]Indirect exp'!$B$2:$X$31, $A$1, FALSE)</f>
        <v>6790</v>
      </c>
      <c r="AA26" s="1">
        <f>VLOOKUP($B26, '[1]Indirect imp'!$B$2:$X$31, $A$1, FALSE)</f>
        <v>10366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4301.05</v>
      </c>
      <c r="G27" s="1">
        <f>VLOOKUP($B27, '[1]Pro of pig iron'!$B$2:$X$31, $A$1, FALSE)*(1-VLOOKUP($B27, '[1]Foundry share'!$B$2:$X$31, $A$1, FALSE))</f>
        <v>5841.7438131150002</v>
      </c>
      <c r="H27" s="1">
        <f>VLOOKUP($B27, '[1]Exp of pig iron'!$B$2:$X$31, $A$1, FALSE)</f>
        <v>106</v>
      </c>
      <c r="I27" s="1">
        <f>VLOOKUP($B27, '[1]Imp of pig iron'!$B$2:$X$31, $A$1, FALSE)</f>
        <v>359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15</v>
      </c>
      <c r="L27" s="1">
        <f>VLOOKUP($B27, '[1]Imp of DRI'!$B$2:$X$31, $A$1, FALSE)</f>
        <v>10</v>
      </c>
      <c r="M27" s="1">
        <f>VLOOKUP($B27, '[1]Exp of scrap'!$B$2:$X$31, $A$1, FALSE)</f>
        <v>4058</v>
      </c>
      <c r="N27" s="1">
        <f>VLOOKUP($B27, '[1]Imp of scrap'!$B$2:$X$31, $A$1, FALSE)</f>
        <v>2627</v>
      </c>
      <c r="O27" s="1">
        <f>VLOOKUP($B27, '[1]Pro of BOF steel'!$B$2:$X$31, $A$1, FALSE)</f>
        <v>6712</v>
      </c>
      <c r="P27" s="1">
        <f>VLOOKUP($B27, '[1]Pro of OHF steel'!$B$2:$X$31, $A$1, FALSE)</f>
        <v>0</v>
      </c>
      <c r="Q27" s="1">
        <f>VLOOKUP($B27, '[1]Pro of EAF steel'!$B$2:$X$31, $A$1, FALSE)</f>
        <v>136</v>
      </c>
      <c r="R27" s="1">
        <f>VLOOKUP($B27, '[1]Exp of ingots and semis'!$B$2:$X$31, $A$1, FALSE)</f>
        <v>318</v>
      </c>
      <c r="S27" s="1">
        <f>VLOOKUP($B27, '[1]Imp of ingots and semis'!$B$2:$X$31, $A$1, FALSE)</f>
        <v>303</v>
      </c>
      <c r="T27" s="1">
        <f>VLOOKUP($B27, '[1]Pro of hr long'!$B$2:$X$31, $A$1, FALSE)+VLOOKUP($B27, '[1]Pro of seamless tubes'!$B$2:$X$31, $A$1, FALSE)</f>
        <v>240</v>
      </c>
      <c r="U27" s="1">
        <f>VLOOKUP($B27, '[1]Exp of long'!$B$2:$X$31, $A$1, FALSE)</f>
        <v>1049</v>
      </c>
      <c r="V27" s="1">
        <f>VLOOKUP($B27, '[1]Imp of long'!$B$2:$X$31, $A$1, FALSE)</f>
        <v>2501</v>
      </c>
      <c r="W27" s="1">
        <f>VLOOKUP($B27, '[1]Pro of hr flat'!$B$2:$X$31, $A$1, FALSE)*parameters!$B$8</f>
        <v>5873.9943100995733</v>
      </c>
      <c r="X27" s="1">
        <f>VLOOKUP($B27, '[1]Exp of flat'!$B$2:$X$31, $A$1, FALSE)</f>
        <v>7059</v>
      </c>
      <c r="Y27" s="1">
        <f>VLOOKUP($B27, '[1]Imp of flat'!$B$2:$X$31, $A$1, FALSE)</f>
        <v>3086</v>
      </c>
      <c r="Z27" s="1">
        <f>VLOOKUP($B27, '[1]Indirect exp'!$B$2:$X$31, $A$1, FALSE)</f>
        <v>4570</v>
      </c>
      <c r="AA27" s="1">
        <f>VLOOKUP($B27, '[1]Indirect imp'!$B$2:$X$31, $A$1, FALSE)</f>
        <v>4354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230955</v>
      </c>
      <c r="D28" s="1">
        <f>VLOOKUP($B28, '[1]Pro of iron ore'!$B$2:$X$31, $A$1, FALSE)*(1-VLOOKUP($B28, '[1]Foundry share'!$B$2:$X$31, $A$1, FALSE))</f>
        <v>143398</v>
      </c>
      <c r="E28" s="47">
        <f>VLOOKUP($B28, '[1]Iron content'!$B$2:$X$31, $A$1, FALSE)</f>
        <v>0.62089151566322442</v>
      </c>
      <c r="F28" s="1">
        <f>VLOOKUP($B28, '[1]Exp of usable iron ore'!$B$2:$X$31, $A$1, FALSE)*parameters!$B$12</f>
        <v>136792.5</v>
      </c>
      <c r="G28" s="1">
        <f>VLOOKUP($B28, '[1]Pro of pig iron'!$B$2:$X$31, $A$1, FALSE)*(1-VLOOKUP($B28, '[1]Foundry share'!$B$2:$X$31, $A$1, FALSE))</f>
        <v>5735</v>
      </c>
      <c r="H28" s="1">
        <f>VLOOKUP($B28, '[1]Exp of pig iron'!$B$2:$X$31, $A$1, FALSE)</f>
        <v>0</v>
      </c>
      <c r="I28" s="1">
        <f>VLOOKUP($B28, '[1]Imp of pig iron'!$B$2:$X$31, $A$1, FALSE)</f>
        <v>157</v>
      </c>
      <c r="J28" s="1">
        <f>VLOOKUP($B28, '[1]Pro of DRI'!$B$2:$X$31, $A$1, FALSE)*(1-VLOOKUP($B28, '[1]Foundry share'!$B$2:$X$31, $A$1, FALSE))</f>
        <v>690</v>
      </c>
      <c r="K28" s="1">
        <f>VLOOKUP($B28, '[1]Exp of DRI'!$B$2:$X$31, $A$1, FALSE)</f>
        <v>718</v>
      </c>
      <c r="L28" s="1">
        <f>VLOOKUP($B28, '[1]Imp of DRI'!$B$2:$X$31, $A$1, FALSE)</f>
        <v>0</v>
      </c>
      <c r="M28" s="1">
        <f>VLOOKUP($B28, '[1]Exp of scrap'!$B$2:$X$31, $A$1, FALSE)</f>
        <v>1029</v>
      </c>
      <c r="N28" s="1">
        <f>VLOOKUP($B28, '[1]Imp of scrap'!$B$2:$X$31, $A$1, FALSE)</f>
        <v>33</v>
      </c>
      <c r="O28" s="1">
        <f>VLOOKUP($B28, '[1]Pro of BOF steel'!$B$2:$X$31, $A$1, FALSE)</f>
        <v>5939</v>
      </c>
      <c r="P28" s="1">
        <f>VLOOKUP($B28, '[1]Pro of OHF steel'!$B$2:$X$31, $A$1, FALSE)</f>
        <v>0</v>
      </c>
      <c r="Q28" s="1">
        <f>VLOOKUP($B28, '[1]Pro of EAF steel'!$B$2:$X$31, $A$1, FALSE)</f>
        <v>1475</v>
      </c>
      <c r="R28" s="1">
        <f>VLOOKUP($B28, '[1]Exp of ingots and semis'!$B$2:$X$31, $A$1, FALSE)</f>
        <v>4</v>
      </c>
      <c r="S28" s="1">
        <f>VLOOKUP($B28, '[1]Imp of ingots and semis'!$B$2:$X$31, $A$1, FALSE)</f>
        <v>8</v>
      </c>
      <c r="T28" s="1">
        <f>VLOOKUP($B28, '[1]Pro of hr long'!$B$2:$X$31, $A$1, FALSE)+VLOOKUP($B28, '[1]Pro of seamless tubes'!$B$2:$X$31, $A$1, FALSE)</f>
        <v>2079</v>
      </c>
      <c r="U28" s="1">
        <f>VLOOKUP($B28, '[1]Exp of long'!$B$2:$X$31, $A$1, FALSE)</f>
        <v>164</v>
      </c>
      <c r="V28" s="1">
        <f>VLOOKUP($B28, '[1]Imp of long'!$B$2:$X$31, $A$1, FALSE)</f>
        <v>642</v>
      </c>
      <c r="W28" s="1">
        <f>VLOOKUP($B28, '[1]Pro of hr flat'!$B$2:$X$31, $A$1, FALSE)*parameters!$B$8</f>
        <v>2899.1066856330012</v>
      </c>
      <c r="X28" s="1">
        <f>VLOOKUP($B28, '[1]Exp of flat'!$B$2:$X$31, $A$1, FALSE)</f>
        <v>507</v>
      </c>
      <c r="Y28" s="1">
        <f>VLOOKUP($B28, '[1]Imp of flat'!$B$2:$X$31, $A$1, FALSE)</f>
        <v>852</v>
      </c>
      <c r="Z28" s="1">
        <f>VLOOKUP($B28, '[1]Indirect exp'!$B$2:$X$31, $A$1, FALSE)</f>
        <v>603</v>
      </c>
      <c r="AA28" s="1">
        <f>VLOOKUP($B28, '[1]Indirect imp'!$B$2:$X$31, $A$1, FALSE)</f>
        <v>2865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39332.786999999997</v>
      </c>
      <c r="D29" s="1">
        <f>VLOOKUP($B29, '[1]Pro of iron ore'!$B$2:$X$31, $A$1, FALSE)*(1-VLOOKUP($B29, '[1]Foundry share'!$B$2:$X$31, $A$1, FALSE))</f>
        <v>24800</v>
      </c>
      <c r="E29" s="47">
        <f>VLOOKUP($B29, '[1]Iron content'!$B$2:$X$31, $A$1, FALSE)</f>
        <v>0.63051723235376134</v>
      </c>
      <c r="F29" s="1">
        <f>VLOOKUP($B29, '[1]Exp of usable iron ore'!$B$2:$X$31, $A$1, FALSE)*parameters!$B$12</f>
        <v>16084.25</v>
      </c>
      <c r="G29" s="1">
        <f>VLOOKUP($B29, '[1]Pro of pig iron'!$B$2:$X$31, $A$1, FALSE)*(1-VLOOKUP($B29, '[1]Foundry share'!$B$2:$X$31, $A$1, FALSE))</f>
        <v>6011</v>
      </c>
      <c r="H29" s="1">
        <f>VLOOKUP($B29, '[1]Exp of pig iron'!$B$2:$X$31, $A$1, FALSE)</f>
        <v>458</v>
      </c>
      <c r="I29" s="1">
        <f>VLOOKUP($B29, '[1]Imp of pig iron'!$B$2:$X$31, $A$1, FALSE)</f>
        <v>2</v>
      </c>
      <c r="J29" s="1">
        <f>VLOOKUP($B29, '[1]Pro of DRI'!$B$2:$X$31, $A$1, FALSE)*(1-VLOOKUP($B29, '[1]Foundry share'!$B$2:$X$31, $A$1, FALSE))</f>
        <v>1633</v>
      </c>
      <c r="K29" s="1">
        <f>VLOOKUP($B29, '[1]Exp of DRI'!$B$2:$X$31, $A$1, FALSE)</f>
        <v>1</v>
      </c>
      <c r="L29" s="1">
        <f>VLOOKUP($B29, '[1]Imp of DRI'!$B$2:$X$31, $A$1, FALSE)</f>
        <v>0</v>
      </c>
      <c r="M29" s="1">
        <f>VLOOKUP($B29, '[1]Exp of scrap'!$B$2:$X$31, $A$1, FALSE)</f>
        <v>393</v>
      </c>
      <c r="N29" s="1">
        <f>VLOOKUP($B29, '[1]Imp of scrap'!$B$2:$X$31, $A$1, FALSE)</f>
        <v>88</v>
      </c>
      <c r="O29" s="1">
        <f>VLOOKUP($B29, '[1]Pro of BOF steel'!$B$2:$X$31, $A$1, FALSE)</f>
        <v>4950</v>
      </c>
      <c r="P29" s="1">
        <f>VLOOKUP($B29, '[1]Pro of OHF steel'!$B$2:$X$31, $A$1, FALSE)</f>
        <v>0</v>
      </c>
      <c r="Q29" s="1">
        <f>VLOOKUP($B29, '[1]Pro of EAF steel'!$B$2:$X$31, $A$1, FALSE)</f>
        <v>4550</v>
      </c>
      <c r="R29" s="1">
        <f>VLOOKUP($B29, '[1]Exp of ingots and semis'!$B$2:$X$31, $A$1, FALSE)</f>
        <v>705</v>
      </c>
      <c r="S29" s="1">
        <f>VLOOKUP($B29, '[1]Imp of ingots and semis'!$B$2:$X$31, $A$1, FALSE)</f>
        <v>46</v>
      </c>
      <c r="T29" s="1">
        <f>VLOOKUP($B29, '[1]Pro of hr long'!$B$2:$X$31, $A$1, FALSE)+VLOOKUP($B29, '[1]Pro of seamless tubes'!$B$2:$X$31, $A$1, FALSE)</f>
        <v>2807</v>
      </c>
      <c r="U29" s="1">
        <f>VLOOKUP($B29, '[1]Exp of long'!$B$2:$X$31, $A$1, FALSE)</f>
        <v>1011</v>
      </c>
      <c r="V29" s="1">
        <f>VLOOKUP($B29, '[1]Imp of long'!$B$2:$X$31, $A$1, FALSE)</f>
        <v>73</v>
      </c>
      <c r="W29" s="1">
        <f>VLOOKUP($B29, '[1]Pro of hr flat'!$B$2:$X$31, $A$1, FALSE)*parameters!$B$8</f>
        <v>4213.6145092460883</v>
      </c>
      <c r="X29" s="1">
        <f>VLOOKUP($B29, '[1]Exp of flat'!$B$2:$X$31, $A$1, FALSE)</f>
        <v>2493</v>
      </c>
      <c r="Y29" s="1">
        <f>VLOOKUP($B29, '[1]Imp of flat'!$B$2:$X$31, $A$1, FALSE)</f>
        <v>317</v>
      </c>
      <c r="Z29" s="1">
        <f>VLOOKUP($B29, '[1]Indirect exp'!$B$2:$X$31, $A$1, FALSE)</f>
        <v>1010</v>
      </c>
      <c r="AA29" s="1">
        <f>VLOOKUP($B29, '[1]Indirect imp'!$B$2:$X$31, $A$1, FALSE)</f>
        <v>1039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600</v>
      </c>
      <c r="D30" s="1">
        <f>VLOOKUP($B30, '[1]Pro of iron ore'!$B$2:$X$31, $A$1, FALSE)*(1-VLOOKUP($B30, '[1]Foundry share'!$B$2:$X$31, $A$1, FALSE))</f>
        <v>384</v>
      </c>
      <c r="E30" s="47">
        <f>VLOOKUP($B30, '[1]Iron content'!$B$2:$X$31, $A$1, FALSE)</f>
        <v>0.64</v>
      </c>
      <c r="F30" s="1">
        <f>VLOOKUP($B30, '[1]Exp of usable iron ore'!$B$2:$X$31, $A$1, FALSE)*parameters!$B$12</f>
        <v>49.4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54</v>
      </c>
      <c r="I30" s="1">
        <f>VLOOKUP($B30, '[1]Imp of pig iron'!$B$2:$X$31, $A$1, FALSE)</f>
        <v>464</v>
      </c>
      <c r="J30" s="1">
        <f>VLOOKUP($B30, '[1]Pro of DRI'!$B$2:$X$31, $A$1, FALSE)*(1-VLOOKUP($B30, '[1]Foundry share'!$B$2:$X$31, $A$1, FALSE))</f>
        <v>1710</v>
      </c>
      <c r="K30" s="1">
        <f>VLOOKUP($B30, '[1]Exp of DRI'!$B$2:$X$31, $A$1, FALSE)</f>
        <v>372</v>
      </c>
      <c r="L30" s="1">
        <f>VLOOKUP($B30, '[1]Imp of DRI'!$B$2:$X$31, $A$1, FALSE)</f>
        <v>20</v>
      </c>
      <c r="M30" s="1">
        <f>VLOOKUP($B30, '[1]Exp of scrap'!$B$2:$X$31, $A$1, FALSE)</f>
        <v>185</v>
      </c>
      <c r="N30" s="1">
        <f>VLOOKUP($B30, '[1]Imp of scrap'!$B$2:$X$31, $A$1, FALSE)</f>
        <v>3724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5698</v>
      </c>
      <c r="R30" s="1">
        <f>VLOOKUP($B30, '[1]Exp of ingots and semis'!$B$2:$X$31, $A$1, FALSE)</f>
        <v>607</v>
      </c>
      <c r="S30" s="1">
        <f>VLOOKUP($B30, '[1]Imp of ingots and semis'!$B$2:$X$31, $A$1, FALSE)</f>
        <v>437</v>
      </c>
      <c r="T30" s="1">
        <f>VLOOKUP($B30, '[1]Pro of hr long'!$B$2:$X$31, $A$1, FALSE)+VLOOKUP($B30, '[1]Pro of seamless tubes'!$B$2:$X$31, $A$1, FALSE)</f>
        <v>3579</v>
      </c>
      <c r="U30" s="1">
        <f>VLOOKUP($B30, '[1]Exp of long'!$B$2:$X$31, $A$1, FALSE)</f>
        <v>610</v>
      </c>
      <c r="V30" s="1">
        <f>VLOOKUP($B30, '[1]Imp of long'!$B$2:$X$31, $A$1, FALSE)</f>
        <v>864</v>
      </c>
      <c r="W30" s="1">
        <f>VLOOKUP($B30, '[1]Pro of hr flat'!$B$2:$X$31, $A$1, FALSE)*parameters!$B$8</f>
        <v>1884.8079658605975</v>
      </c>
      <c r="X30" s="1">
        <f>VLOOKUP($B30, '[1]Exp of flat'!$B$2:$X$31, $A$1, FALSE)</f>
        <v>960</v>
      </c>
      <c r="Y30" s="1">
        <f>VLOOKUP($B30, '[1]Imp of flat'!$B$2:$X$31, $A$1, FALSE)</f>
        <v>2421</v>
      </c>
      <c r="Z30" s="1">
        <f>VLOOKUP($B30, '[1]Indirect exp'!$B$2:$X$31, $A$1, FALSE)</f>
        <v>1342</v>
      </c>
      <c r="AA30" s="1">
        <f>VLOOKUP($B30, '[1]Indirect imp'!$B$2:$X$31, $A$1, FALSE)</f>
        <v>1258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136</v>
      </c>
      <c r="D31" s="1">
        <f>VLOOKUP($B31, '[1]Pro of iron ore'!$B$2:$X$31, $A$1, FALSE)*(1-VLOOKUP($B31, '[1]Foundry share'!$B$2:$X$31, $A$1, FALSE))</f>
        <v>68</v>
      </c>
      <c r="E31" s="47">
        <f>VLOOKUP($B31, '[1]Iron content'!$B$2:$X$31, $A$1, FALSE)</f>
        <v>0.5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24</v>
      </c>
      <c r="I31" s="1">
        <f>VLOOKUP($B31, '[1]Imp of pig iron'!$B$2:$X$31, $A$1, FALSE)</f>
        <v>918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155</v>
      </c>
      <c r="N31" s="1">
        <f>VLOOKUP($B31, '[1]Imp of scrap'!$B$2:$X$31, $A$1, FALSE)</f>
        <v>1846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4533</v>
      </c>
      <c r="R31" s="1">
        <f>VLOOKUP($B31, '[1]Exp of ingots and semis'!$B$2:$X$31, $A$1, FALSE)</f>
        <v>72</v>
      </c>
      <c r="S31" s="1">
        <f>VLOOKUP($B31, '[1]Imp of ingots and semis'!$B$2:$X$31, $A$1, FALSE)</f>
        <v>5012</v>
      </c>
      <c r="T31" s="1">
        <f>VLOOKUP($B31, '[1]Pro of hr long'!$B$2:$X$31, $A$1, FALSE)+VLOOKUP($B31, '[1]Pro of seamless tubes'!$B$2:$X$31, $A$1, FALSE)</f>
        <v>5103</v>
      </c>
      <c r="U31" s="1">
        <f>VLOOKUP($B31, '[1]Exp of long'!$B$2:$X$31, $A$1, FALSE)</f>
        <v>556</v>
      </c>
      <c r="V31" s="1">
        <f>VLOOKUP($B31, '[1]Imp of long'!$B$2:$X$31, $A$1, FALSE)</f>
        <v>933</v>
      </c>
      <c r="W31" s="1">
        <f>VLOOKUP($B31, '[1]Pro of hr flat'!$B$2:$X$31, $A$1, FALSE)*parameters!$B$8</f>
        <v>3793.9046941678521</v>
      </c>
      <c r="X31" s="1">
        <f>VLOOKUP($B31, '[1]Exp of flat'!$B$2:$X$31, $A$1, FALSE)</f>
        <v>1292</v>
      </c>
      <c r="Y31" s="1">
        <f>VLOOKUP($B31, '[1]Imp of flat'!$B$2:$X$31, $A$1, FALSE)</f>
        <v>4544</v>
      </c>
      <c r="Z31" s="1">
        <f>VLOOKUP($B31, '[1]Indirect exp'!$B$2:$X$31, $A$1, FALSE)</f>
        <v>1966</v>
      </c>
      <c r="AA31" s="1">
        <f>VLOOKUP($B31, '[1]Indirect imp'!$B$2:$X$31, $A$1, FALSE)</f>
        <v>1574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22300</v>
      </c>
      <c r="D32" s="1">
        <f>VLOOKUP($B32, '[1]Pro of iron ore'!$B$2:$X$31, $A$1, FALSE)*(1-VLOOKUP($B32, '[1]Foundry share'!$B$2:$X$31, $A$1, FALSE))</f>
        <v>14700</v>
      </c>
      <c r="E32" s="47">
        <f>VLOOKUP($B32, '[1]Iron content'!$B$2:$X$31, $A$1, FALSE)</f>
        <v>0.65919282511210764</v>
      </c>
      <c r="F32" s="1">
        <f>VLOOKUP($B32, '[1]Exp of usable iron ore'!$B$2:$X$31, $A$1, FALSE)*parameters!$B$12</f>
        <v>11269.050000000001</v>
      </c>
      <c r="G32" s="1">
        <f>VLOOKUP($B32, '[1]Pro of pig iron'!$B$2:$X$31, $A$1, FALSE)*(1-VLOOKUP($B32, '[1]Foundry share'!$B$2:$X$31, $A$1, FALSE))</f>
        <v>3871</v>
      </c>
      <c r="H32" s="1">
        <f>VLOOKUP($B32, '[1]Exp of pig iron'!$B$2:$X$31, $A$1, FALSE)</f>
        <v>117</v>
      </c>
      <c r="I32" s="1">
        <f>VLOOKUP($B32, '[1]Imp of pig iron'!$B$2:$X$31, $A$1, FALSE)</f>
        <v>28</v>
      </c>
      <c r="J32" s="1">
        <f>VLOOKUP($B32, '[1]Pro of DRI'!$B$2:$X$31, $A$1, FALSE)*(1-VLOOKUP($B32, '[1]Foundry share'!$B$2:$X$31, $A$1, FALSE))</f>
        <v>121</v>
      </c>
      <c r="K32" s="1">
        <f>VLOOKUP($B32, '[1]Exp of DRI'!$B$2:$X$31, $A$1, FALSE)</f>
        <v>5</v>
      </c>
      <c r="L32" s="1">
        <f>VLOOKUP($B32, '[1]Imp of DRI'!$B$2:$X$31, $A$1, FALSE)</f>
        <v>0</v>
      </c>
      <c r="M32" s="1">
        <f>VLOOKUP($B32, '[1]Exp of scrap'!$B$2:$X$31, $A$1, FALSE)</f>
        <v>729</v>
      </c>
      <c r="N32" s="1">
        <f>VLOOKUP($B32, '[1]Imp of scrap'!$B$2:$X$31, $A$1, FALSE)</f>
        <v>269</v>
      </c>
      <c r="O32" s="1">
        <f>VLOOKUP($B32, '[1]Pro of BOF steel'!$B$2:$X$31, $A$1, FALSE)</f>
        <v>4105</v>
      </c>
      <c r="P32" s="1">
        <f>VLOOKUP($B32, '[1]Pro of OHF steel'!$B$2:$X$31, $A$1, FALSE)</f>
        <v>0</v>
      </c>
      <c r="Q32" s="1">
        <f>VLOOKUP($B32, '[1]Pro of EAF steel'!$B$2:$X$31, $A$1, FALSE)</f>
        <v>1874</v>
      </c>
      <c r="R32" s="1">
        <f>VLOOKUP($B32, '[1]Exp of ingots and semis'!$B$2:$X$31, $A$1, FALSE)</f>
        <v>368</v>
      </c>
      <c r="S32" s="1">
        <f>VLOOKUP($B32, '[1]Imp of ingots and semis'!$B$2:$X$31, $A$1, FALSE)</f>
        <v>491</v>
      </c>
      <c r="T32" s="1">
        <f>VLOOKUP($B32, '[1]Pro of hr long'!$B$2:$X$31, $A$1, FALSE)+VLOOKUP($B32, '[1]Pro of seamless tubes'!$B$2:$X$31, $A$1, FALSE)</f>
        <v>829</v>
      </c>
      <c r="U32" s="1">
        <f>VLOOKUP($B32, '[1]Exp of long'!$B$2:$X$31, $A$1, FALSE)</f>
        <v>828</v>
      </c>
      <c r="V32" s="1">
        <f>VLOOKUP($B32, '[1]Imp of long'!$B$2:$X$31, $A$1, FALSE)</f>
        <v>888</v>
      </c>
      <c r="W32" s="1">
        <f>VLOOKUP($B32, '[1]Pro of hr flat'!$B$2:$X$31, $A$1, FALSE)*parameters!$B$8</f>
        <v>4152.4068278805116</v>
      </c>
      <c r="X32" s="1">
        <f>VLOOKUP($B32, '[1]Exp of flat'!$B$2:$X$31, $A$1, FALSE)</f>
        <v>3136</v>
      </c>
      <c r="Y32" s="1">
        <f>VLOOKUP($B32, '[1]Imp of flat'!$B$2:$X$31, $A$1, FALSE)</f>
        <v>1799</v>
      </c>
      <c r="Z32" s="1">
        <f>VLOOKUP($B32, '[1]Indirect exp'!$B$2:$X$31, $A$1, FALSE)</f>
        <v>2607</v>
      </c>
      <c r="AA32" s="1">
        <f>VLOOKUP($B32, '[1]Indirect imp'!$B$2:$X$31, $A$1, FALSE)</f>
        <v>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222892.79369097255</v>
      </c>
      <c r="D2" s="9">
        <f ca="1">Q4/parameters!$B$3</f>
        <v>370.49028331439837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223263.28397428695</v>
      </c>
      <c r="M2" s="17"/>
      <c r="N2" s="17">
        <f ca="1">Q2-(L2+O2+P2)</f>
        <v>0</v>
      </c>
      <c r="O2" s="11" cm="1">
        <f t="array" aca="1" ref="O2" ca="1">INDIRECT("'data'!$F$" &amp; $A$1)</f>
        <v>3.9000000000000004</v>
      </c>
      <c r="P2" s="13">
        <f ca="1">IF(-(L2-Q2+O2)&lt;0, -(L2-Q2+O2), 0)</f>
        <v>-128343.19044038704</v>
      </c>
      <c r="Q2" s="17" cm="1">
        <f t="array" aca="1" ref="Q2" ca="1">INDIRECT("'data'!$D$" &amp; $A$1)</f>
        <v>94923.993533899906</v>
      </c>
      <c r="R2" s="17">
        <f ca="1">SUM(L2:P2)</f>
        <v>94923.993533899906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206666.58955223882</v>
      </c>
      <c r="G3" s="14">
        <f ca="1">Q3-O3-P3-F3</f>
        <v>14372.159538480599</v>
      </c>
      <c r="H3" s="14"/>
      <c r="I3" s="14"/>
      <c r="J3" s="14"/>
      <c r="K3" s="13"/>
      <c r="L3" s="16">
        <f t="shared" ca="1" si="0"/>
        <v>221038.74909071942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1219.9949999999999</v>
      </c>
      <c r="P3" s="13" cm="1">
        <f t="array" aca="1" ref="P3" ca="1">-INDIRECT("'data'!$I$" &amp; $A$1)*parameters!$B$13</f>
        <v>-770.17499999999995</v>
      </c>
      <c r="Q3" s="16" cm="1">
        <f t="array" aca="1" ref="Q3" ca="1">INDIRECT("'data'!$G$" &amp; $A$1)*parameters!$B$13</f>
        <v>221488.56909071942</v>
      </c>
      <c r="R3" s="16">
        <f t="shared" ref="R3:R10" ca="1" si="2">SUM(L3:P3)</f>
        <v>221488.56909071942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1753.6761945295177</v>
      </c>
      <c r="H4" s="14"/>
      <c r="I4" s="14"/>
      <c r="J4" s="14"/>
      <c r="K4" s="13"/>
      <c r="L4" s="16">
        <f t="shared" ca="1" si="0"/>
        <v>1753.6761945295177</v>
      </c>
      <c r="M4" s="16"/>
      <c r="N4" s="16">
        <f t="shared" ca="1" si="1"/>
        <v>0</v>
      </c>
      <c r="O4" s="11" cm="1">
        <f t="array" aca="1" ref="O4" ca="1">INDIRECT("'data'!$K$" &amp; $A$1)*parameters!$B$14</f>
        <v>35.880000000000003</v>
      </c>
      <c r="P4" s="13" cm="1">
        <f t="array" aca="1" ref="P4" ca="1">-INDIRECT("'data'!$L$" &amp; $A$1)*parameters!$B$14</f>
        <v>-1421.4</v>
      </c>
      <c r="Q4" s="16" cm="1">
        <f t="array" aca="1" ref="Q4" ca="1">INDIRECT("'data'!$J$" &amp; $A$1)*parameters!$B$14</f>
        <v>368.15619452951768</v>
      </c>
      <c r="R4" s="16">
        <f t="shared" ca="1" si="2"/>
        <v>368.15619452951773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Q6/parameters!$B$5*15%</f>
        <v>36470.574626865673</v>
      </c>
      <c r="G5" s="14">
        <f ca="1">Q7/parameters!$B$7-(G3+G4)</f>
        <v>26547.685688097514</v>
      </c>
      <c r="H5" s="14"/>
      <c r="I5" s="14"/>
      <c r="J5" s="14"/>
      <c r="K5" s="13"/>
      <c r="L5" s="16">
        <f t="shared" ca="1" si="0"/>
        <v>63018.26031496319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-10020.5</v>
      </c>
      <c r="Q5" s="16">
        <f ca="1">SUM(L5:P5)</f>
        <v>52997.76031496319</v>
      </c>
      <c r="R5" s="16">
        <f t="shared" ca="1" si="2"/>
        <v>52997.76031496319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228062.66</v>
      </c>
      <c r="I6" s="14"/>
      <c r="J6" s="14"/>
      <c r="K6" s="13"/>
      <c r="L6" s="16">
        <f t="shared" ca="1" si="0"/>
        <v>228062.66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228062.66</v>
      </c>
      <c r="R6" s="16">
        <f t="shared" ca="1" si="2"/>
        <v>228062.66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40838.559999999998</v>
      </c>
      <c r="I7" s="14"/>
      <c r="J7" s="14"/>
      <c r="K7" s="13"/>
      <c r="L7" s="16">
        <f t="shared" ca="1" si="0"/>
        <v>40838.559999999998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40838.559999999998</v>
      </c>
      <c r="R7" s="16">
        <f t="shared" ca="1" si="2"/>
        <v>40838.559999999998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180491.03507600067</v>
      </c>
      <c r="J8" s="14">
        <f ca="1">Q10/J18</f>
        <v>86161.084923999268</v>
      </c>
      <c r="K8" s="13"/>
      <c r="L8" s="16">
        <f t="shared" ca="1" si="0"/>
        <v>266652.11999999994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6031.9</v>
      </c>
      <c r="P8" s="13" cm="1">
        <f t="array" aca="1" ref="P8" ca="1">-INDIRECT("'data'!$S$" &amp; $A$1)*parameters!$B$15</f>
        <v>-3782.7999999999997</v>
      </c>
      <c r="Q8" s="16">
        <f ca="1">SUM(Q6:Q7)</f>
        <v>268901.21999999997</v>
      </c>
      <c r="R8" s="16">
        <f t="shared" ca="1" si="2"/>
        <v>268901.21999999997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165178.01999999999</v>
      </c>
      <c r="L9" s="16">
        <f t="shared" ca="1" si="0"/>
        <v>165178.01999999999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5554.64</v>
      </c>
      <c r="P9" s="13" cm="1">
        <f t="array" aca="1" ref="P9" ca="1">-INDIRECT("'data'!$V$" &amp; $A$1)*parameters!$B$15</f>
        <v>-2791.04</v>
      </c>
      <c r="Q9" s="16" cm="1">
        <f t="array" aca="1" ref="Q9" ca="1">INDIRECT("'data'!$T$" &amp; $A$1)*parameters!$B$15</f>
        <v>167941.62</v>
      </c>
      <c r="R9" s="16">
        <f t="shared" ca="1" si="2"/>
        <v>167941.62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99072.605120910361</v>
      </c>
      <c r="L10" s="16">
        <f t="shared" ca="1" si="0"/>
        <v>99072.605120910361</v>
      </c>
      <c r="M10" s="16"/>
      <c r="N10" s="16">
        <f t="shared" ca="1" si="3"/>
        <v>0</v>
      </c>
      <c r="O10" s="11" cm="1">
        <f t="array" aca="1" ref="O10" ca="1">INDIRECT("'data'!$X$" &amp; $A$1)*parameters!$B$15</f>
        <v>5666.36</v>
      </c>
      <c r="P10" s="13" cm="1">
        <f t="array" aca="1" ref="P10" ca="1">-INDIRECT("'data'!$Y$" &amp; $A$1)*parameters!$B$15</f>
        <v>-24568.6</v>
      </c>
      <c r="Q10" s="16" cm="1">
        <f t="array" aca="1" ref="Q10" ca="1">INDIRECT("'data'!$W$" &amp; $A$1)*parameters!$B$15</f>
        <v>80170.36512091037</v>
      </c>
      <c r="R10" s="16">
        <f t="shared" ca="1" si="2"/>
        <v>80170.36512091037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223106.13920398286</v>
      </c>
      <c r="N11" s="19"/>
      <c r="O11" s="21" cm="1">
        <f t="array" aca="1" ref="O11" ca="1">INDIRECT("'data'!$Z$" &amp; $A$1)*parameters!$B$15</f>
        <v>24620.54</v>
      </c>
      <c r="P11" s="27" cm="1">
        <f t="array" aca="1" ref="P11" ca="1">-INDIRECT("'data'!$AA$" &amp; $A$1)*parameters!$B$15</f>
        <v>-7256.9</v>
      </c>
      <c r="Q11" s="16">
        <f ca="1">K9*parameters!$B$10+K10*parameters!$B$11</f>
        <v>240469.77920398288</v>
      </c>
      <c r="R11" s="16">
        <f t="shared" ref="R11:R17" ca="1" si="4">SUM(L11:P11)</f>
        <v>240469.77920398288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-1404.2246002531319</v>
      </c>
      <c r="D12" s="9">
        <f ca="1">-(D17-Q4)</f>
        <v>-2.3340887848806915</v>
      </c>
      <c r="E12" s="9">
        <f ca="1">-(E17-Q5)</f>
        <v>-6550.2849827482569</v>
      </c>
      <c r="F12" s="9">
        <f ca="1">-(F17-Q6)</f>
        <v>-15074.504179104493</v>
      </c>
      <c r="G12" s="9">
        <f ca="1">-(G17-Q7)</f>
        <v>-1834.9614211076332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-24866.309271998398</v>
      </c>
      <c r="M12" s="17"/>
      <c r="N12" s="17"/>
      <c r="O12" s="10"/>
      <c r="P12" s="12"/>
      <c r="Q12" s="9">
        <f t="shared" ref="Q12:Q17" ca="1" si="6">SUM(L12:P12)</f>
        <v>-24866.309271998398</v>
      </c>
      <c r="R12" s="17">
        <f t="shared" ca="1" si="4"/>
        <v>-24866.309271998398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-12549.415076000674</v>
      </c>
      <c r="J13" s="14">
        <f ca="1">-(J17-Q10)</f>
        <v>-5990.7198030888976</v>
      </c>
      <c r="K13" s="13">
        <f ca="1">-(K17-Q11)</f>
        <v>-23780.845916927472</v>
      </c>
      <c r="L13" s="14">
        <f t="shared" ca="1" si="5"/>
        <v>-42320.980796017044</v>
      </c>
      <c r="M13" s="16">
        <f ca="1">-E15</f>
        <v>-17227.064501694404</v>
      </c>
      <c r="N13" s="16"/>
      <c r="O13" s="11"/>
      <c r="P13" s="13"/>
      <c r="Q13" s="14">
        <f t="shared" ca="1" si="6"/>
        <v>-59548.045297711447</v>
      </c>
      <c r="R13" s="16">
        <f t="shared" ca="1" si="4"/>
        <v>-59548.045297711447</v>
      </c>
    </row>
    <row r="14" spans="1:20">
      <c r="A14" s="18" t="s">
        <v>78</v>
      </c>
      <c r="B14" s="11"/>
      <c r="C14" s="14"/>
      <c r="D14" s="14"/>
      <c r="E14" s="14">
        <f ca="1">-(I13+J13)-K13</f>
        <v>42320.980796017044</v>
      </c>
      <c r="F14" s="14"/>
      <c r="G14" s="14"/>
      <c r="H14" s="14"/>
      <c r="I14" s="14"/>
      <c r="J14" s="14"/>
      <c r="K14" s="13"/>
      <c r="L14" s="14">
        <f t="shared" ca="1" si="5"/>
        <v>42320.980796017044</v>
      </c>
      <c r="M14" s="16"/>
      <c r="N14" s="16"/>
      <c r="O14" s="11"/>
      <c r="P14" s="13"/>
      <c r="Q14" s="14">
        <f t="shared" ca="1" si="6"/>
        <v>42320.980796017044</v>
      </c>
      <c r="R14" s="16">
        <f t="shared" ca="1" si="4"/>
        <v>42320.980796017044</v>
      </c>
    </row>
    <row r="15" spans="1:20">
      <c r="A15" s="18" t="s">
        <v>79</v>
      </c>
      <c r="B15" s="11"/>
      <c r="C15" s="14"/>
      <c r="D15" s="14"/>
      <c r="E15" s="14">
        <f ca="1">E17-E14</f>
        <v>17227.064501694404</v>
      </c>
      <c r="F15" s="14"/>
      <c r="G15" s="14"/>
      <c r="H15" s="14"/>
      <c r="I15" s="14"/>
      <c r="J15" s="14"/>
      <c r="K15" s="13"/>
      <c r="L15" s="14">
        <f t="shared" ca="1" si="5"/>
        <v>17227.064501694404</v>
      </c>
      <c r="M15" s="16"/>
      <c r="N15" s="16"/>
      <c r="O15" s="11"/>
      <c r="P15" s="13"/>
      <c r="Q15" s="14">
        <f t="shared" ca="1" si="6"/>
        <v>17227.064501694404</v>
      </c>
      <c r="R15" s="16">
        <f t="shared" ca="1" si="4"/>
        <v>17227.064501694404</v>
      </c>
    </row>
    <row r="16" spans="1:20">
      <c r="A16" s="30" t="s">
        <v>89</v>
      </c>
      <c r="B16" s="21">
        <f ca="1">Q2</f>
        <v>94923.993533899906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94923.993533899906</v>
      </c>
      <c r="M16" s="19"/>
      <c r="N16" s="19"/>
      <c r="O16" s="21"/>
      <c r="P16" s="27"/>
      <c r="Q16" s="22">
        <f t="shared" ca="1" si="6"/>
        <v>94923.993533899906</v>
      </c>
      <c r="R16" s="19">
        <f t="shared" ca="1" si="4"/>
        <v>94923.993533899906</v>
      </c>
    </row>
    <row r="17" spans="1:18">
      <c r="A17" s="29" t="s">
        <v>88</v>
      </c>
      <c r="B17" s="9">
        <f ca="1">B16</f>
        <v>94923.993533899906</v>
      </c>
      <c r="C17" s="9">
        <f ca="1">SUM(C$2:C$11)</f>
        <v>222892.79369097255</v>
      </c>
      <c r="D17" s="9">
        <f ca="1">SUM(D$2:D$11)</f>
        <v>370.49028331439837</v>
      </c>
      <c r="E17" s="9">
        <f ca="1">$Q$5/parameters!$B$4</f>
        <v>59548.045297711447</v>
      </c>
      <c r="F17" s="9">
        <f t="shared" ref="F17:K17" ca="1" si="7">SUM(F$2:F$11)</f>
        <v>243137.1641791045</v>
      </c>
      <c r="G17" s="9">
        <f t="shared" ca="1" si="7"/>
        <v>42673.521421107631</v>
      </c>
      <c r="H17" s="9">
        <f t="shared" ca="1" si="7"/>
        <v>268901.21999999997</v>
      </c>
      <c r="I17" s="9">
        <f t="shared" ca="1" si="7"/>
        <v>180491.03507600067</v>
      </c>
      <c r="J17" s="9">
        <f t="shared" ca="1" si="7"/>
        <v>86161.084923999268</v>
      </c>
      <c r="K17" s="9">
        <f t="shared" ca="1" si="7"/>
        <v>264250.62512091035</v>
      </c>
      <c r="L17" s="17">
        <f t="shared" ca="1" si="5"/>
        <v>1463349.9735270208</v>
      </c>
      <c r="M17" s="17"/>
      <c r="N17" s="17"/>
      <c r="O17" s="9"/>
      <c r="P17" s="14"/>
      <c r="Q17" s="11">
        <f t="shared" ca="1" si="6"/>
        <v>1463349.9735270208</v>
      </c>
      <c r="R17" s="17">
        <f t="shared" ca="1" si="4"/>
        <v>1463349.9735270208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0.9304707013801744</v>
      </c>
      <c r="J18" s="39">
        <f ca="1">I18</f>
        <v>0.9304707013801744</v>
      </c>
      <c r="K18" s="40">
        <f ca="1">1-(-K13)/K17</f>
        <v>0.91000647243106303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19573.377342771761</v>
      </c>
      <c r="D2" s="9">
        <f ca="1">Q4/parameters!$B$3</f>
        <v>6919.8467685074093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26493.224111279171</v>
      </c>
      <c r="M2" s="17"/>
      <c r="N2" s="17">
        <f ca="1">Q2-(L2+O2+P2)</f>
        <v>0</v>
      </c>
      <c r="O2" s="11" cm="1">
        <f t="array" aca="1" ref="O2" ca="1">INDIRECT("'data'!$F$" &amp; $A$1)</f>
        <v>40722.5</v>
      </c>
      <c r="P2" s="13">
        <f ca="1">IF(-(L2-Q2+O2)&lt;0, -(L2-Q2+O2), 0)</f>
        <v>-3954.3261602487473</v>
      </c>
      <c r="Q2" s="17" cm="1">
        <f t="array" aca="1" ref="Q2" ca="1">INDIRECT("'data'!$D$" &amp; $A$1)</f>
        <v>63261.397951030427</v>
      </c>
      <c r="R2" s="17">
        <f ca="1">SUM(L2:P2)</f>
        <v>63261.39795103042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15316.417910447763</v>
      </c>
      <c r="G3" s="14">
        <f ca="1">Q3-O3-P3-F3</f>
        <v>3872.8271550645368</v>
      </c>
      <c r="H3" s="14"/>
      <c r="I3" s="14"/>
      <c r="J3" s="14"/>
      <c r="K3" s="13"/>
      <c r="L3" s="16">
        <f t="shared" ca="1" si="0"/>
        <v>19189.245065512299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270.27</v>
      </c>
      <c r="P3" s="13" cm="1">
        <f t="array" aca="1" ref="P3" ca="1">-INDIRECT("'data'!$I$" &amp; $A$1)*parameters!$B$13</f>
        <v>-9.4499999999999993</v>
      </c>
      <c r="Q3" s="16" cm="1">
        <f t="array" aca="1" ref="Q3" ca="1">INDIRECT("'data'!$G$" &amp; $A$1)*parameters!$B$13</f>
        <v>19450.065065512299</v>
      </c>
      <c r="R3" s="16">
        <f t="shared" ref="R3:R10" ca="1" si="2">SUM(L3:P3)</f>
        <v>19450.065065512299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6906.6117338658123</v>
      </c>
      <c r="H4" s="14"/>
      <c r="I4" s="14"/>
      <c r="J4" s="14"/>
      <c r="K4" s="13"/>
      <c r="L4" s="16">
        <f t="shared" ca="1" si="0"/>
        <v>6906.6117338658123</v>
      </c>
      <c r="M4" s="16"/>
      <c r="N4" s="16">
        <f t="shared" ca="1" si="1"/>
        <v>0</v>
      </c>
      <c r="O4" s="11" cm="1">
        <f t="array" aca="1" ref="O4" ca="1">INDIRECT("'data'!$K$" &amp; $A$1)*parameters!$B$14</f>
        <v>26.68</v>
      </c>
      <c r="P4" s="13" cm="1">
        <f t="array" aca="1" ref="P4" ca="1">-INDIRECT("'data'!$L$" &amp; $A$1)*parameters!$B$14</f>
        <v>-57.04</v>
      </c>
      <c r="Q4" s="16" cm="1">
        <f t="array" aca="1" ref="Q4" ca="1">INDIRECT("'data'!$J$" &amp; $A$1)*parameters!$B$14</f>
        <v>6876.2517338658126</v>
      </c>
      <c r="R4" s="16">
        <f t="shared" ca="1" si="2"/>
        <v>6876.2517338658126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3829.1044776119411</v>
      </c>
      <c r="G5" s="14">
        <f ca="1">Q7/parameters!$B$7-(G3+G4)</f>
        <v>3864.2392719891923</v>
      </c>
      <c r="H5" s="14"/>
      <c r="I5" s="14"/>
      <c r="J5" s="14"/>
      <c r="K5" s="13"/>
      <c r="L5" s="16">
        <f t="shared" ca="1" si="0"/>
        <v>7693.3437496011338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-3000.7599999999998</v>
      </c>
      <c r="Q5" s="16">
        <f ca="1">SUM(L5:P5)</f>
        <v>4692.5837496011336</v>
      </c>
      <c r="R5" s="16">
        <f t="shared" ca="1" si="2"/>
        <v>4692.5837496011336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17958.5</v>
      </c>
      <c r="I6" s="14"/>
      <c r="J6" s="14"/>
      <c r="K6" s="13"/>
      <c r="L6" s="16">
        <f t="shared" ca="1" si="0"/>
        <v>17958.5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17958.5</v>
      </c>
      <c r="R6" s="16">
        <f t="shared" ca="1" si="2"/>
        <v>17958.5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14014</v>
      </c>
      <c r="I7" s="14"/>
      <c r="J7" s="14"/>
      <c r="K7" s="13"/>
      <c r="L7" s="16">
        <f t="shared" ca="1" si="0"/>
        <v>14014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14014</v>
      </c>
      <c r="R7" s="16">
        <f t="shared" ca="1" si="2"/>
        <v>14014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15320</v>
      </c>
      <c r="J8" s="14">
        <f ca="1">Q10/J18</f>
        <v>22399.096728307253</v>
      </c>
      <c r="K8" s="13"/>
      <c r="L8" s="16">
        <f t="shared" ca="1" si="0"/>
        <v>37719.096728307253</v>
      </c>
      <c r="M8" s="16"/>
      <c r="N8" s="16">
        <f t="shared" ca="1" si="3"/>
        <v>-5873.9967283072547</v>
      </c>
      <c r="O8" s="11" cm="1">
        <f t="array" aca="1" ref="O8" ca="1">INDIRECT("'data'!$R$" &amp; $A$1)*parameters!$B$15</f>
        <v>381.21999999999997</v>
      </c>
      <c r="P8" s="13" cm="1">
        <f t="array" aca="1" ref="P8" ca="1">-INDIRECT("'data'!$S$" &amp; $A$1)*parameters!$B$15</f>
        <v>-253.82</v>
      </c>
      <c r="Q8" s="16">
        <f ca="1">SUM(Q6:Q7)</f>
        <v>31972.5</v>
      </c>
      <c r="R8" s="16">
        <f t="shared" ca="1" si="2"/>
        <v>31972.5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14642.18</v>
      </c>
      <c r="L9" s="16">
        <f t="shared" ca="1" si="0"/>
        <v>14642.18</v>
      </c>
      <c r="M9" s="16"/>
      <c r="N9" s="16">
        <f t="shared" ca="1" si="3"/>
        <v>0</v>
      </c>
      <c r="O9" s="11" cm="1">
        <f t="array" aca="1" ref="O9" ca="1">INDIRECT("'data'!$U$" &amp; $A$1)*parameters!$B$15</f>
        <v>371.42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15013.6</v>
      </c>
      <c r="R9" s="16">
        <f t="shared" ca="1" si="2"/>
        <v>15013.6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19404.584793741105</v>
      </c>
      <c r="L10" s="16">
        <f t="shared" ca="1" si="0"/>
        <v>19404.584793741105</v>
      </c>
      <c r="M10" s="16"/>
      <c r="N10" s="16">
        <f t="shared" ca="1" si="3"/>
        <v>0</v>
      </c>
      <c r="O10" s="11" cm="1">
        <f t="array" aca="1" ref="O10" ca="1">INDIRECT("'data'!$X$" &amp; $A$1)*parameters!$B$15</f>
        <v>4348.26</v>
      </c>
      <c r="P10" s="13" cm="1">
        <f t="array" aca="1" ref="P10" ca="1">-INDIRECT("'data'!$Y$" &amp; $A$1)*parameters!$B$15</f>
        <v>-1801.73</v>
      </c>
      <c r="Q10" s="16" cm="1">
        <f t="array" aca="1" ref="Q10" ca="1">INDIRECT("'data'!$W$" &amp; $A$1)*parameters!$B$15</f>
        <v>21951.114793741108</v>
      </c>
      <c r="R10" s="16">
        <f t="shared" ca="1" si="2"/>
        <v>21951.114793741104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29704.83212261735</v>
      </c>
      <c r="N11" s="19"/>
      <c r="O11" s="21" cm="1">
        <f t="array" aca="1" ref="O11" ca="1">INDIRECT("'data'!$Z$" &amp; $A$1)*parameters!$B$15</f>
        <v>1724.8</v>
      </c>
      <c r="P11" s="27" cm="1">
        <f t="array" aca="1" ref="P11" ca="1">-INDIRECT("'data'!$AA$" &amp; $A$1)*parameters!$B$15</f>
        <v>-978.04</v>
      </c>
      <c r="Q11" s="16">
        <f ca="1">K9*parameters!$B$10+K10*parameters!$B$11</f>
        <v>30451.592122617349</v>
      </c>
      <c r="R11" s="16">
        <f t="shared" ref="R11:R17" ca="1" si="4">SUM(L11:P11)</f>
        <v>30451.592122617349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-123.31227725946155</v>
      </c>
      <c r="D12" s="9">
        <f ca="1">-(D17-Q4)</f>
        <v>-43.595034641596612</v>
      </c>
      <c r="E12" s="9">
        <f ca="1">-(E17-Q5)</f>
        <v>-579.98226118665661</v>
      </c>
      <c r="F12" s="9">
        <f ca="1">-(F17-Q6)</f>
        <v>-1187.0223880597041</v>
      </c>
      <c r="G12" s="9">
        <f ca="1">-(G17-Q7)</f>
        <v>-629.67816091954046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-2563.5901220669593</v>
      </c>
      <c r="M12" s="17"/>
      <c r="N12" s="17"/>
      <c r="O12" s="10"/>
      <c r="P12" s="12"/>
      <c r="Q12" s="9">
        <f t="shared" ref="Q12:Q17" ca="1" si="6">SUM(L12:P12)</f>
        <v>-2563.5901220669593</v>
      </c>
      <c r="R12" s="17">
        <f t="shared" ca="1" si="4"/>
        <v>-2563.5901220669593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-306.39999999999964</v>
      </c>
      <c r="J13" s="14">
        <f ca="1">-(J17-Q10)</f>
        <v>-447.98193456614536</v>
      </c>
      <c r="K13" s="13">
        <f ca="1">-(K17-Q11)</f>
        <v>-3595.1726711237607</v>
      </c>
      <c r="L13" s="14">
        <f t="shared" ca="1" si="5"/>
        <v>-4349.5546056899057</v>
      </c>
      <c r="M13" s="16">
        <f ca="1">-E15</f>
        <v>-923.01140509788456</v>
      </c>
      <c r="N13" s="16"/>
      <c r="O13" s="11"/>
      <c r="P13" s="13"/>
      <c r="Q13" s="14">
        <f t="shared" ca="1" si="6"/>
        <v>-5272.5660107877902</v>
      </c>
      <c r="R13" s="16">
        <f t="shared" ca="1" si="4"/>
        <v>-5272.5660107877902</v>
      </c>
    </row>
    <row r="14" spans="1:22">
      <c r="A14" s="18" t="s">
        <v>78</v>
      </c>
      <c r="B14" s="11"/>
      <c r="C14" s="14"/>
      <c r="D14" s="14"/>
      <c r="E14" s="14">
        <f ca="1">-(I13+J13)-K13</f>
        <v>4349.5546056899057</v>
      </c>
      <c r="F14" s="14"/>
      <c r="G14" s="14"/>
      <c r="H14" s="14"/>
      <c r="I14" s="14"/>
      <c r="J14" s="14"/>
      <c r="K14" s="13"/>
      <c r="L14" s="14">
        <f t="shared" ca="1" si="5"/>
        <v>4349.5546056899057</v>
      </c>
      <c r="M14" s="16"/>
      <c r="N14" s="16"/>
      <c r="O14" s="11"/>
      <c r="P14" s="13"/>
      <c r="Q14" s="14">
        <f t="shared" ca="1" si="6"/>
        <v>4349.5546056899057</v>
      </c>
      <c r="R14" s="16">
        <f t="shared" ca="1" si="4"/>
        <v>4349.5546056899057</v>
      </c>
    </row>
    <row r="15" spans="1:22">
      <c r="A15" s="18" t="s">
        <v>79</v>
      </c>
      <c r="B15" s="11"/>
      <c r="C15" s="14"/>
      <c r="D15" s="14"/>
      <c r="E15" s="14">
        <f ca="1">E17-E14</f>
        <v>923.01140509788456</v>
      </c>
      <c r="F15" s="14"/>
      <c r="G15" s="14"/>
      <c r="H15" s="14"/>
      <c r="I15" s="14"/>
      <c r="J15" s="14"/>
      <c r="K15" s="13"/>
      <c r="L15" s="14">
        <f t="shared" ca="1" si="5"/>
        <v>923.01140509788456</v>
      </c>
      <c r="M15" s="16"/>
      <c r="N15" s="16"/>
      <c r="O15" s="11"/>
      <c r="P15" s="13"/>
      <c r="Q15" s="14">
        <f t="shared" ca="1" si="6"/>
        <v>923.01140509788456</v>
      </c>
      <c r="R15" s="16">
        <f t="shared" ca="1" si="4"/>
        <v>923.01140509788456</v>
      </c>
    </row>
    <row r="16" spans="1:22">
      <c r="A16" s="30" t="s">
        <v>89</v>
      </c>
      <c r="B16" s="21">
        <f ca="1">Q2</f>
        <v>63261.397951030427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63261.397951030427</v>
      </c>
      <c r="M16" s="19"/>
      <c r="N16" s="19"/>
      <c r="O16" s="21"/>
      <c r="P16" s="27"/>
      <c r="Q16" s="22">
        <f t="shared" ca="1" si="6"/>
        <v>63261.397951030427</v>
      </c>
      <c r="R16" s="19">
        <f t="shared" ca="1" si="4"/>
        <v>63261.397951030427</v>
      </c>
    </row>
    <row r="17" spans="1:18">
      <c r="A17" s="29" t="s">
        <v>88</v>
      </c>
      <c r="B17" s="9">
        <f ca="1">B16</f>
        <v>63261.397951030427</v>
      </c>
      <c r="C17" s="9">
        <f ca="1">SUM(C$2:C$11)</f>
        <v>19573.377342771761</v>
      </c>
      <c r="D17" s="9">
        <f ca="1">SUM(D$2:D$11)</f>
        <v>6919.8467685074093</v>
      </c>
      <c r="E17" s="9">
        <f ca="1">$Q$5/parameters!$B$4</f>
        <v>5272.5660107877902</v>
      </c>
      <c r="F17" s="9">
        <f t="shared" ref="F17:K17" ca="1" si="7">SUM(F$2:F$11)</f>
        <v>19145.522388059704</v>
      </c>
      <c r="G17" s="9">
        <f t="shared" ca="1" si="7"/>
        <v>14643.67816091954</v>
      </c>
      <c r="H17" s="9">
        <f t="shared" ca="1" si="7"/>
        <v>31972.5</v>
      </c>
      <c r="I17" s="9">
        <f t="shared" ca="1" si="7"/>
        <v>15320</v>
      </c>
      <c r="J17" s="9">
        <f t="shared" ca="1" si="7"/>
        <v>22399.096728307253</v>
      </c>
      <c r="K17" s="9">
        <f t="shared" ca="1" si="7"/>
        <v>34046.764793741109</v>
      </c>
      <c r="L17" s="17">
        <f t="shared" ca="1" si="5"/>
        <v>232554.75014412502</v>
      </c>
      <c r="M17" s="17"/>
      <c r="N17" s="17"/>
      <c r="O17" s="9"/>
      <c r="P17" s="14"/>
      <c r="Q17" s="11">
        <f t="shared" ca="1" si="6"/>
        <v>232554.75014412502</v>
      </c>
      <c r="R17" s="17">
        <f t="shared" ca="1" si="4"/>
        <v>232554.75014412502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0.89440486657385232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78907.547549562238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78907.547549562238</v>
      </c>
      <c r="M2" s="17"/>
      <c r="N2" s="17">
        <f ca="1">Q2-(L2+O2+P2)</f>
        <v>0</v>
      </c>
      <c r="O2" s="11" cm="1">
        <f t="array" aca="1" ref="O2" ca="1">INDIRECT("'data'!$F$" &amp; $A$1)</f>
        <v>0.65</v>
      </c>
      <c r="P2" s="13">
        <f ca="1">IF(-(L2-Q2+O2)&lt;0, -(L2-Q2+O2), 0)</f>
        <v>-78908.197549562232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77136.698507462686</v>
      </c>
      <c r="G3" s="14">
        <f ca="1">Q3-O3-P3-F3</f>
        <v>1806.7114925373025</v>
      </c>
      <c r="H3" s="14"/>
      <c r="I3" s="14"/>
      <c r="J3" s="14"/>
      <c r="K3" s="13"/>
      <c r="L3" s="16">
        <f t="shared" ca="1" si="0"/>
        <v>78943.409999999989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33.074999999999996</v>
      </c>
      <c r="P3" s="13" cm="1">
        <f t="array" aca="1" ref="P3" ca="1">-INDIRECT("'data'!$I$" &amp; $A$1)*parameters!$B$13</f>
        <v>-566.05499999999995</v>
      </c>
      <c r="Q3" s="16" cm="1">
        <f t="array" aca="1" ref="Q3" ca="1">INDIRECT("'data'!$G$" &amp; $A$1)*parameters!$B$13</f>
        <v>78410.429999999993</v>
      </c>
      <c r="R3" s="16">
        <f t="shared" ref="R3:R10" ca="1" si="2">SUM(L3:P3)</f>
        <v>78410.429999999993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1.8400000000000003</v>
      </c>
      <c r="H4" s="14"/>
      <c r="I4" s="14"/>
      <c r="J4" s="14"/>
      <c r="K4" s="13"/>
      <c r="L4" s="16">
        <f t="shared" ca="1" si="0"/>
        <v>1.8400000000000003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-2.7600000000000002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9533.7492537313447</v>
      </c>
      <c r="G5" s="14">
        <f ca="1">Q7/parameters!$B$7-(G3+G4)</f>
        <v>28668.73168405622</v>
      </c>
      <c r="H5" s="14"/>
      <c r="I5" s="14"/>
      <c r="J5" s="14"/>
      <c r="K5" s="13"/>
      <c r="L5" s="16">
        <f t="shared" ca="1" si="0"/>
        <v>38202.480937787564</v>
      </c>
      <c r="M5" s="16"/>
      <c r="N5" s="16"/>
      <c r="O5" s="11" cm="1">
        <f t="array" aca="1" ref="O5" ca="1">INDIRECT("'data'!$M$" &amp; $A$1)*parameters!$B$15</f>
        <v>6672.82</v>
      </c>
      <c r="P5" s="13" cm="1">
        <f t="array" aca="1" ref="P5" ca="1">-INDIRECT("'data'!$N$" &amp; $A$1)*parameters!$B$15</f>
        <v>-255.78</v>
      </c>
      <c r="Q5" s="16">
        <f ca="1">SUM(L5:P5)</f>
        <v>44619.520937787565</v>
      </c>
      <c r="R5" s="16">
        <f t="shared" ca="1" si="2"/>
        <v>44619.520937787565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81296.88</v>
      </c>
      <c r="I6" s="14"/>
      <c r="J6" s="14"/>
      <c r="K6" s="13"/>
      <c r="L6" s="16">
        <f t="shared" ca="1" si="0"/>
        <v>81296.88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81296.88</v>
      </c>
      <c r="R6" s="16">
        <f t="shared" ca="1" si="2"/>
        <v>81296.88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29166.76</v>
      </c>
      <c r="I7" s="14"/>
      <c r="J7" s="14"/>
      <c r="K7" s="13"/>
      <c r="L7" s="16">
        <f t="shared" ca="1" si="0"/>
        <v>29166.76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29166.76</v>
      </c>
      <c r="R7" s="16">
        <f t="shared" ca="1" si="2"/>
        <v>29166.76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39025.4347835839</v>
      </c>
      <c r="J8" s="14">
        <f ca="1">Q10/J18</f>
        <v>68485.465216416094</v>
      </c>
      <c r="K8" s="13"/>
      <c r="L8" s="16">
        <f t="shared" ca="1" si="0"/>
        <v>107510.9</v>
      </c>
      <c r="M8" s="16"/>
      <c r="N8" s="16">
        <f t="shared" ca="1" si="3"/>
        <v>0</v>
      </c>
      <c r="O8" s="11" cm="1">
        <f t="array" aca="1" ref="O8" ca="1">INDIRECT("'data'!$R$" &amp; $A$1)*parameters!$B$15</f>
        <v>3049.7599999999998</v>
      </c>
      <c r="P8" s="13" cm="1">
        <f t="array" aca="1" ref="P8" ca="1">-INDIRECT("'data'!$S$" &amp; $A$1)*parameters!$B$15</f>
        <v>-97.02</v>
      </c>
      <c r="Q8" s="16">
        <f ca="1">SUM(Q6:Q7)</f>
        <v>110463.64</v>
      </c>
      <c r="R8" s="16">
        <f t="shared" ca="1" si="2"/>
        <v>110463.63999999998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31937.219999999998</v>
      </c>
      <c r="L9" s="16">
        <f t="shared" ca="1" si="0"/>
        <v>31937.219999999998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4476.6400000000003</v>
      </c>
      <c r="P9" s="13" cm="1">
        <f t="array" aca="1" ref="P9" ca="1">-INDIRECT("'data'!$V$" &amp; $A$1)*parameters!$B$15</f>
        <v>-495.88</v>
      </c>
      <c r="Q9" s="16" cm="1">
        <f t="array" aca="1" ref="Q9" ca="1">INDIRECT("'data'!$T$" &amp; $A$1)*parameters!$B$15</f>
        <v>35917.979999999996</v>
      </c>
      <c r="R9" s="16">
        <f t="shared" ca="1" si="2"/>
        <v>35917.980000000003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43266.594338549068</v>
      </c>
      <c r="L10" s="16">
        <f t="shared" ca="1" si="0"/>
        <v>43266.594338549068</v>
      </c>
      <c r="M10" s="16"/>
      <c r="N10" s="16">
        <f t="shared" ca="1" si="3"/>
        <v>0</v>
      </c>
      <c r="O10" s="11" cm="1">
        <f t="array" aca="1" ref="O10" ca="1">INDIRECT("'data'!$X$" &amp; $A$1)*parameters!$B$15</f>
        <v>23055.48</v>
      </c>
      <c r="P10" s="13" cm="1">
        <f t="array" aca="1" ref="P10" ca="1">-INDIRECT("'data'!$Y$" &amp; $A$1)*parameters!$B$15</f>
        <v>-3289.86</v>
      </c>
      <c r="Q10" s="16" cm="1">
        <f t="array" aca="1" ref="Q10" ca="1">INDIRECT("'data'!$W$" &amp; $A$1)*parameters!$B$15</f>
        <v>63032.214338549071</v>
      </c>
      <c r="R10" s="16">
        <f t="shared" ca="1" si="2"/>
        <v>63032.214338549064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46244.537931152197</v>
      </c>
      <c r="N11" s="19"/>
      <c r="O11" s="21" cm="1">
        <f t="array" aca="1" ref="O11" ca="1">INDIRECT("'data'!$Z$" &amp; $A$1)*parameters!$B$15</f>
        <v>25517.239999999998</v>
      </c>
      <c r="P11" s="27" cm="1">
        <f t="array" aca="1" ref="P11" ca="1">-INDIRECT("'data'!$AA$" &amp; $A$1)*parameters!$B$15</f>
        <v>-4531.5199999999995</v>
      </c>
      <c r="Q11" s="16">
        <f ca="1">K9*parameters!$B$10+K10*parameters!$B$11</f>
        <v>67230.257931152199</v>
      </c>
      <c r="R11" s="16">
        <f t="shared" ref="R11:R17" ca="1" si="4">SUM(L11:P11)</f>
        <v>67230.257931152199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-497.11754956224468</v>
      </c>
      <c r="D12" s="9">
        <f ca="1">-(D17-Q4)</f>
        <v>0</v>
      </c>
      <c r="E12" s="9">
        <f ca="1">-(E17-Q5)</f>
        <v>-5514.7722507377912</v>
      </c>
      <c r="F12" s="9">
        <f ca="1">-(F17-Q6)</f>
        <v>-5373.5677611940191</v>
      </c>
      <c r="G12" s="9">
        <f ca="1">-(G17-Q7)</f>
        <v>-1310.5231765935241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-12695.980738087579</v>
      </c>
      <c r="M12" s="17"/>
      <c r="N12" s="17"/>
      <c r="O12" s="10"/>
      <c r="P12" s="12"/>
      <c r="Q12" s="9">
        <f t="shared" ref="Q12:Q17" ca="1" si="6">SUM(L12:P12)</f>
        <v>-12695.980738087579</v>
      </c>
      <c r="R12" s="17">
        <f t="shared" ca="1" si="4"/>
        <v>-12695.980738087579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-3107.4547835839039</v>
      </c>
      <c r="J13" s="14">
        <f ca="1">-(J17-Q10)</f>
        <v>-5453.2508778670235</v>
      </c>
      <c r="K13" s="13">
        <f ca="1">-(K17-Q11)</f>
        <v>-7973.5564073968708</v>
      </c>
      <c r="L13" s="14">
        <f t="shared" ca="1" si="5"/>
        <v>-16534.262068847798</v>
      </c>
      <c r="M13" s="16">
        <f ca="1">-E15</f>
        <v>-33600.031119677558</v>
      </c>
      <c r="N13" s="16"/>
      <c r="O13" s="11"/>
      <c r="P13" s="13"/>
      <c r="Q13" s="14">
        <f t="shared" ca="1" si="6"/>
        <v>-50134.293188525357</v>
      </c>
      <c r="R13" s="16">
        <f t="shared" ca="1" si="4"/>
        <v>-50134.293188525357</v>
      </c>
    </row>
    <row r="14" spans="1:20">
      <c r="A14" s="18" t="s">
        <v>78</v>
      </c>
      <c r="B14" s="11"/>
      <c r="C14" s="14"/>
      <c r="D14" s="14"/>
      <c r="E14" s="14">
        <f ca="1">-(I13+J13)-K13</f>
        <v>16534.262068847798</v>
      </c>
      <c r="F14" s="14"/>
      <c r="G14" s="14"/>
      <c r="H14" s="14"/>
      <c r="I14" s="14"/>
      <c r="J14" s="14"/>
      <c r="K14" s="13"/>
      <c r="L14" s="14">
        <f t="shared" ca="1" si="5"/>
        <v>16534.262068847798</v>
      </c>
      <c r="M14" s="16"/>
      <c r="N14" s="16"/>
      <c r="O14" s="11"/>
      <c r="P14" s="13"/>
      <c r="Q14" s="14">
        <f t="shared" ca="1" si="6"/>
        <v>16534.262068847798</v>
      </c>
      <c r="R14" s="16">
        <f t="shared" ca="1" si="4"/>
        <v>16534.262068847798</v>
      </c>
    </row>
    <row r="15" spans="1:20">
      <c r="A15" s="18" t="s">
        <v>79</v>
      </c>
      <c r="B15" s="11"/>
      <c r="C15" s="14"/>
      <c r="D15" s="14"/>
      <c r="E15" s="14">
        <f ca="1">E17-E14</f>
        <v>33600.031119677558</v>
      </c>
      <c r="F15" s="14"/>
      <c r="G15" s="14"/>
      <c r="H15" s="14"/>
      <c r="I15" s="14"/>
      <c r="J15" s="14"/>
      <c r="K15" s="13"/>
      <c r="L15" s="14">
        <f t="shared" ca="1" si="5"/>
        <v>33600.031119677558</v>
      </c>
      <c r="M15" s="16"/>
      <c r="N15" s="16"/>
      <c r="O15" s="11"/>
      <c r="P15" s="13"/>
      <c r="Q15" s="14">
        <f t="shared" ca="1" si="6"/>
        <v>33600.031119677558</v>
      </c>
      <c r="R15" s="16">
        <f t="shared" ca="1" si="4"/>
        <v>33600.031119677558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78907.547549562238</v>
      </c>
      <c r="D17" s="9">
        <f ca="1">SUM(D$2:D$11)</f>
        <v>0</v>
      </c>
      <c r="E17" s="9">
        <f ca="1">$Q$5/parameters!$B$4</f>
        <v>50134.293188525357</v>
      </c>
      <c r="F17" s="9">
        <f t="shared" ref="F17:K17" ca="1" si="7">SUM(F$2:F$11)</f>
        <v>86670.447761194024</v>
      </c>
      <c r="G17" s="9">
        <f t="shared" ca="1" si="7"/>
        <v>30477.283176593523</v>
      </c>
      <c r="H17" s="9">
        <f t="shared" ca="1" si="7"/>
        <v>110463.64</v>
      </c>
      <c r="I17" s="9">
        <f t="shared" ca="1" si="7"/>
        <v>39025.4347835839</v>
      </c>
      <c r="J17" s="9">
        <f t="shared" ca="1" si="7"/>
        <v>68485.465216416094</v>
      </c>
      <c r="K17" s="9">
        <f t="shared" ca="1" si="7"/>
        <v>75203.814338549069</v>
      </c>
      <c r="L17" s="17">
        <f t="shared" ca="1" si="5"/>
        <v>539367.92601442419</v>
      </c>
      <c r="M17" s="17"/>
      <c r="N17" s="17"/>
      <c r="O17" s="9"/>
      <c r="P17" s="14"/>
      <c r="Q17" s="11">
        <f t="shared" ca="1" si="6"/>
        <v>539367.92601442419</v>
      </c>
      <c r="R17" s="17">
        <f t="shared" ca="1" si="4"/>
        <v>539367.92601442419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0.93800000000000017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0.92037360247704247</v>
      </c>
      <c r="J18" s="39">
        <f ca="1">I18</f>
        <v>0.92037360247704247</v>
      </c>
      <c r="K18" s="40">
        <f ca="1">1-(-K13)/K17</f>
        <v>0.89397404270610692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40218.370735634489</v>
      </c>
      <c r="D2" s="9">
        <f ca="1">Q4/parameters!$B$3</f>
        <v>166.64989433430611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40385.020629968792</v>
      </c>
      <c r="M2" s="17"/>
      <c r="N2" s="17">
        <f ca="1">Q2-(L2+O2+P2)</f>
        <v>0</v>
      </c>
      <c r="O2" s="11" cm="1">
        <f t="array" aca="1" ref="O2" ca="1">INDIRECT("'data'!$F$" &amp; $A$1)</f>
        <v>5512.6500000000005</v>
      </c>
      <c r="P2" s="13">
        <f ca="1">IF(-(L2-Q2+O2)&lt;0, -(L2-Q2+O2), 0)</f>
        <v>-11437.670629968794</v>
      </c>
      <c r="Q2" s="17" cm="1">
        <f t="array" aca="1" ref="Q2" ca="1">INDIRECT("'data'!$D$" &amp; $A$1)</f>
        <v>34460</v>
      </c>
      <c r="R2" s="17">
        <f ca="1">SUM(L2:P2)</f>
        <v>34460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40876.510447761197</v>
      </c>
      <c r="G3" s="14">
        <f ca="1">Q3-O3-P3-F3</f>
        <v>4802.8995522387995</v>
      </c>
      <c r="H3" s="14"/>
      <c r="I3" s="14"/>
      <c r="J3" s="14"/>
      <c r="K3" s="13"/>
      <c r="L3" s="16">
        <f t="shared" ca="1" si="0"/>
        <v>45679.409999999996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161.595</v>
      </c>
      <c r="P3" s="13" cm="1">
        <f t="array" aca="1" ref="P3" ca="1">-INDIRECT("'data'!$I$" &amp; $A$1)*parameters!$B$13</f>
        <v>-5876.0099999999993</v>
      </c>
      <c r="Q3" s="16" cm="1">
        <f t="array" aca="1" ref="Q3" ca="1">INDIRECT("'data'!$G$" &amp; $A$1)*parameters!$B$13</f>
        <v>39964.994999999995</v>
      </c>
      <c r="R3" s="16">
        <f t="shared" ref="R3:R10" ca="1" si="2">SUM(L3:P3)</f>
        <v>39964.994999999995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2572.3200000000002</v>
      </c>
      <c r="H4" s="14"/>
      <c r="I4" s="14"/>
      <c r="J4" s="14"/>
      <c r="K4" s="13"/>
      <c r="L4" s="16">
        <f t="shared" ca="1" si="0"/>
        <v>2572.3200000000002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22.080000000000002</v>
      </c>
      <c r="P4" s="13" cm="1">
        <f t="array" aca="1" ref="P4" ca="1">-INDIRECT("'data'!$L$" &amp; $A$1)*parameters!$B$14</f>
        <v>-2428.8000000000002</v>
      </c>
      <c r="Q4" s="16" cm="1">
        <f t="array" aca="1" ref="Q4" ca="1">INDIRECT("'data'!$J$" &amp; $A$1)*parameters!$B$14</f>
        <v>165.6</v>
      </c>
      <c r="R4" s="16">
        <f t="shared" ca="1" si="2"/>
        <v>165.59999999999991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8972.8925373134334</v>
      </c>
      <c r="G5" s="14">
        <f ca="1">Q7/parameters!$B$7-(G3+G4)</f>
        <v>45841.750144730897</v>
      </c>
      <c r="H5" s="14"/>
      <c r="I5" s="14"/>
      <c r="J5" s="14"/>
      <c r="K5" s="13"/>
      <c r="L5" s="16">
        <f t="shared" ca="1" si="0"/>
        <v>54814.64268204433</v>
      </c>
      <c r="M5" s="16"/>
      <c r="N5" s="16"/>
      <c r="O5" s="11" cm="1">
        <f t="array" aca="1" ref="O5" ca="1">INDIRECT("'data'!$M$" &amp; $A$1)*parameters!$B$15</f>
        <v>11661.02</v>
      </c>
      <c r="P5" s="13" cm="1">
        <f t="array" aca="1" ref="P5" ca="1">-INDIRECT("'data'!$N$" &amp; $A$1)*parameters!$B$15</f>
        <v>-4504.08</v>
      </c>
      <c r="Q5" s="16">
        <f ca="1">SUM(L5:P5)</f>
        <v>61971.582682044333</v>
      </c>
      <c r="R5" s="16">
        <f t="shared" ca="1" si="2"/>
        <v>61971.582682044333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46758.74</v>
      </c>
      <c r="I6" s="14"/>
      <c r="J6" s="14"/>
      <c r="K6" s="13"/>
      <c r="L6" s="16">
        <f t="shared" ca="1" si="0"/>
        <v>46758.74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46758.74</v>
      </c>
      <c r="R6" s="16">
        <f t="shared" ca="1" si="2"/>
        <v>46758.74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50928.639999999999</v>
      </c>
      <c r="I7" s="14"/>
      <c r="J7" s="14"/>
      <c r="K7" s="13"/>
      <c r="L7" s="16">
        <f t="shared" ca="1" si="0"/>
        <v>50928.639999999999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50928.639999999999</v>
      </c>
      <c r="R7" s="16">
        <f t="shared" ca="1" si="2"/>
        <v>50928.639999999999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30550.036547059455</v>
      </c>
      <c r="J8" s="14">
        <f ca="1">Q10/J18</f>
        <v>73364.263452940562</v>
      </c>
      <c r="K8" s="13"/>
      <c r="L8" s="16">
        <f t="shared" ca="1" si="0"/>
        <v>103914.30000000002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256.76</v>
      </c>
      <c r="P8" s="13" cm="1">
        <f t="array" aca="1" ref="P8" ca="1">-INDIRECT("'data'!$S$" &amp; $A$1)*parameters!$B$15</f>
        <v>-6483.68</v>
      </c>
      <c r="Q8" s="16">
        <f ca="1">SUM(Q6:Q7)</f>
        <v>97687.38</v>
      </c>
      <c r="R8" s="16">
        <f t="shared" ca="1" si="2"/>
        <v>97687.38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35820.959999999999</v>
      </c>
      <c r="L9" s="16">
        <f t="shared" ca="1" si="0"/>
        <v>35820.959999999999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1952.1599999999999</v>
      </c>
      <c r="P9" s="13" cm="1">
        <f t="array" aca="1" ref="P9" ca="1">-INDIRECT("'data'!$V$" &amp; $A$1)*parameters!$B$15</f>
        <v>-8859.2000000000007</v>
      </c>
      <c r="Q9" s="16" cm="1">
        <f t="array" aca="1" ref="Q9" ca="1">INDIRECT("'data'!$T$" &amp; $A$1)*parameters!$B$15</f>
        <v>28913.919999999998</v>
      </c>
      <c r="R9" s="16">
        <f t="shared" ca="1" si="2"/>
        <v>28913.919999999995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77099.797894736839</v>
      </c>
      <c r="L10" s="16">
        <f t="shared" ca="1" si="0"/>
        <v>77099.797894736839</v>
      </c>
      <c r="M10" s="16"/>
      <c r="N10" s="16">
        <f t="shared" ca="1" si="3"/>
        <v>0</v>
      </c>
      <c r="O10" s="11" cm="1">
        <f t="array" aca="1" ref="O10" ca="1">INDIRECT("'data'!$X$" &amp; $A$1)*parameters!$B$15</f>
        <v>4169.8999999999996</v>
      </c>
      <c r="P10" s="13" cm="1">
        <f t="array" aca="1" ref="P10" ca="1">-INDIRECT("'data'!$Y$" &amp; $A$1)*parameters!$B$15</f>
        <v>-11834.48</v>
      </c>
      <c r="Q10" s="16" cm="1">
        <f t="array" aca="1" ref="Q10" ca="1">INDIRECT("'data'!$W$" &amp; $A$1)*parameters!$B$15</f>
        <v>69435.217894736837</v>
      </c>
      <c r="R10" s="16">
        <f t="shared" ca="1" si="2"/>
        <v>69435.217894736837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117046.18858947368</v>
      </c>
      <c r="N11" s="19"/>
      <c r="O11" s="21" cm="1">
        <f t="array" aca="1" ref="O11" ca="1">INDIRECT("'data'!$Z$" &amp; $A$1)*parameters!$B$15</f>
        <v>15588.86</v>
      </c>
      <c r="P11" s="27" cm="1">
        <f t="array" aca="1" ref="P11" ca="1">-INDIRECT("'data'!$AA$" &amp; $A$1)*parameters!$B$15</f>
        <v>-32657.52</v>
      </c>
      <c r="Q11" s="16">
        <f ca="1">K9*parameters!$B$10+K10*parameters!$B$11</f>
        <v>99977.528589473673</v>
      </c>
      <c r="R11" s="16">
        <f t="shared" ref="R11:R17" ca="1" si="4">SUM(L11:P11)</f>
        <v>99977.528589473673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-253.37573563449405</v>
      </c>
      <c r="D12" s="9">
        <f ca="1">-(D17-Q4)</f>
        <v>-1.0498943343061171</v>
      </c>
      <c r="E12" s="9">
        <f ca="1">-(E17-Q5)</f>
        <v>-7659.4090955335705</v>
      </c>
      <c r="F12" s="9">
        <f ca="1">-(F17-Q6)</f>
        <v>-3090.6629850746322</v>
      </c>
      <c r="G12" s="9">
        <f ca="1">-(G17-Q7)</f>
        <v>-2288.3296969696967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-13292.8274075467</v>
      </c>
      <c r="M12" s="17"/>
      <c r="N12" s="17"/>
      <c r="O12" s="10"/>
      <c r="P12" s="12"/>
      <c r="Q12" s="9">
        <f t="shared" ref="Q12:Q17" ca="1" si="6">SUM(L12:P12)</f>
        <v>-13292.8274075467</v>
      </c>
      <c r="R12" s="17">
        <f t="shared" ca="1" si="4"/>
        <v>-13292.8274075467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-1636.1165470594569</v>
      </c>
      <c r="J13" s="14">
        <f ca="1">-(J17-Q10)</f>
        <v>-3929.0455582037248</v>
      </c>
      <c r="K13" s="13">
        <f ca="1">-(K17-Q11)</f>
        <v>-12943.229305263158</v>
      </c>
      <c r="L13" s="14">
        <f t="shared" ca="1" si="5"/>
        <v>-18508.391410526339</v>
      </c>
      <c r="M13" s="16">
        <f ca="1">-E15</f>
        <v>-51122.600367051564</v>
      </c>
      <c r="N13" s="16"/>
      <c r="O13" s="11"/>
      <c r="P13" s="13"/>
      <c r="Q13" s="14">
        <f t="shared" ca="1" si="6"/>
        <v>-69630.991777577903</v>
      </c>
      <c r="R13" s="16">
        <f t="shared" ca="1" si="4"/>
        <v>-69630.991777577903</v>
      </c>
    </row>
    <row r="14" spans="1:20">
      <c r="A14" s="18" t="s">
        <v>78</v>
      </c>
      <c r="B14" s="11"/>
      <c r="C14" s="14"/>
      <c r="D14" s="14"/>
      <c r="E14" s="14">
        <f ca="1">-(I13+J13)-K13</f>
        <v>18508.391410526339</v>
      </c>
      <c r="F14" s="14"/>
      <c r="G14" s="14"/>
      <c r="H14" s="14"/>
      <c r="I14" s="14"/>
      <c r="J14" s="14"/>
      <c r="K14" s="13"/>
      <c r="L14" s="14">
        <f t="shared" ca="1" si="5"/>
        <v>18508.391410526339</v>
      </c>
      <c r="M14" s="16"/>
      <c r="N14" s="16"/>
      <c r="O14" s="11"/>
      <c r="P14" s="13"/>
      <c r="Q14" s="14">
        <f t="shared" ca="1" si="6"/>
        <v>18508.391410526339</v>
      </c>
      <c r="R14" s="16">
        <f t="shared" ca="1" si="4"/>
        <v>18508.391410526339</v>
      </c>
    </row>
    <row r="15" spans="1:20">
      <c r="A15" s="18" t="s">
        <v>79</v>
      </c>
      <c r="B15" s="11"/>
      <c r="C15" s="14"/>
      <c r="D15" s="14"/>
      <c r="E15" s="14">
        <f ca="1">E17-E14</f>
        <v>51122.600367051564</v>
      </c>
      <c r="F15" s="14"/>
      <c r="G15" s="14"/>
      <c r="H15" s="14"/>
      <c r="I15" s="14"/>
      <c r="J15" s="14"/>
      <c r="K15" s="13"/>
      <c r="L15" s="14">
        <f t="shared" ca="1" si="5"/>
        <v>51122.600367051564</v>
      </c>
      <c r="M15" s="16"/>
      <c r="N15" s="16"/>
      <c r="O15" s="11"/>
      <c r="P15" s="13"/>
      <c r="Q15" s="14">
        <f t="shared" ca="1" si="6"/>
        <v>51122.600367051564</v>
      </c>
      <c r="R15" s="16">
        <f t="shared" ca="1" si="4"/>
        <v>51122.600367051564</v>
      </c>
    </row>
    <row r="16" spans="1:20">
      <c r="A16" s="30" t="s">
        <v>89</v>
      </c>
      <c r="B16" s="21">
        <f ca="1">Q2</f>
        <v>34460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34460</v>
      </c>
      <c r="M16" s="19"/>
      <c r="N16" s="19"/>
      <c r="O16" s="21"/>
      <c r="P16" s="27"/>
      <c r="Q16" s="22">
        <f t="shared" ca="1" si="6"/>
        <v>34460</v>
      </c>
      <c r="R16" s="19">
        <f t="shared" ca="1" si="4"/>
        <v>34460</v>
      </c>
    </row>
    <row r="17" spans="1:18">
      <c r="A17" s="29" t="s">
        <v>88</v>
      </c>
      <c r="B17" s="9">
        <f ca="1">B16</f>
        <v>34460</v>
      </c>
      <c r="C17" s="9">
        <f ca="1">SUM(C$2:C$11)</f>
        <v>40218.370735634489</v>
      </c>
      <c r="D17" s="9">
        <f ca="1">SUM(D$2:D$11)</f>
        <v>166.64989433430611</v>
      </c>
      <c r="E17" s="9">
        <f ca="1">$Q$5/parameters!$B$4</f>
        <v>69630.991777577903</v>
      </c>
      <c r="F17" s="9">
        <f t="shared" ref="F17:K17" ca="1" si="7">SUM(F$2:F$11)</f>
        <v>49849.40298507463</v>
      </c>
      <c r="G17" s="9">
        <f t="shared" ca="1" si="7"/>
        <v>53216.969696969696</v>
      </c>
      <c r="H17" s="9">
        <f t="shared" ca="1" si="7"/>
        <v>97687.38</v>
      </c>
      <c r="I17" s="9">
        <f t="shared" ca="1" si="7"/>
        <v>30550.036547059455</v>
      </c>
      <c r="J17" s="9">
        <f t="shared" ca="1" si="7"/>
        <v>73364.263452940562</v>
      </c>
      <c r="K17" s="9">
        <f t="shared" ca="1" si="7"/>
        <v>112920.75789473683</v>
      </c>
      <c r="L17" s="17">
        <f t="shared" ca="1" si="5"/>
        <v>562064.82298432779</v>
      </c>
      <c r="M17" s="17"/>
      <c r="N17" s="17"/>
      <c r="O17" s="9"/>
      <c r="P17" s="14"/>
      <c r="Q17" s="11">
        <f t="shared" ca="1" si="6"/>
        <v>562064.82298432779</v>
      </c>
      <c r="R17" s="17">
        <f t="shared" ca="1" si="4"/>
        <v>562064.82298432779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0.94644469427919753</v>
      </c>
      <c r="J18" s="39">
        <f ca="1">I18</f>
        <v>0.94644469427919753</v>
      </c>
      <c r="K18" s="40">
        <f ca="1">1-(-K13)/K17</f>
        <v>0.88537776803332602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47854.830431719834</v>
      </c>
      <c r="D2" s="9">
        <f ca="1">Q4/parameters!$B$3</f>
        <v>2907.1148233873405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50761.945255107174</v>
      </c>
      <c r="M2" s="17"/>
      <c r="N2" s="17">
        <f ca="1">Q2-(L2+O2+P2)</f>
        <v>0</v>
      </c>
      <c r="O2" s="11" cm="1">
        <f t="array" aca="1" ref="O2" ca="1">INDIRECT("'data'!$F$" &amp; $A$1)</f>
        <v>11042.85</v>
      </c>
      <c r="P2" s="13">
        <f ca="1">IF(-(L2-Q2+O2)&lt;0, -(L2-Q2+O2), 0)</f>
        <v>-5604.7952551071739</v>
      </c>
      <c r="Q2" s="17" cm="1">
        <f t="array" aca="1" ref="Q2" ca="1">INDIRECT("'data'!$D$" &amp; $A$1)</f>
        <v>56200</v>
      </c>
      <c r="R2" s="17">
        <f ca="1">SUM(L2:P2)</f>
        <v>56200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42439.662686567164</v>
      </c>
      <c r="G3" s="14">
        <f ca="1">Q3-O3-P3-F3</f>
        <v>5.9573134328384185</v>
      </c>
      <c r="H3" s="14"/>
      <c r="I3" s="14"/>
      <c r="J3" s="14"/>
      <c r="K3" s="13"/>
      <c r="L3" s="16">
        <f t="shared" ca="1" si="0"/>
        <v>42445.62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5107.7249999999995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47553.345000000001</v>
      </c>
      <c r="R3" s="16">
        <f t="shared" ref="R3:R10" ca="1" si="2">SUM(L3:P3)</f>
        <v>47553.345000000001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1678.0800000000002</v>
      </c>
      <c r="H4" s="14"/>
      <c r="I4" s="14"/>
      <c r="J4" s="14"/>
      <c r="K4" s="13"/>
      <c r="L4" s="16">
        <f t="shared" ca="1" si="0"/>
        <v>1678.0800000000002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1210.72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2888.8</v>
      </c>
      <c r="R4" s="16">
        <f t="shared" ca="1" si="2"/>
        <v>2888.8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14911.232835820896</v>
      </c>
      <c r="G5" s="14">
        <f ca="1">Q7/parameters!$B$7-(G3+G4)</f>
        <v>9262.8801369328867</v>
      </c>
      <c r="H5" s="14"/>
      <c r="I5" s="14"/>
      <c r="J5" s="14"/>
      <c r="K5" s="13"/>
      <c r="L5" s="16">
        <f t="shared" ca="1" si="0"/>
        <v>24174.112972753785</v>
      </c>
      <c r="M5" s="16"/>
      <c r="N5" s="16"/>
      <c r="O5" s="11" cm="1">
        <f t="array" aca="1" ref="O5" ca="1">INDIRECT("'data'!$M$" &amp; $A$1)*parameters!$B$15</f>
        <v>12579.28</v>
      </c>
      <c r="P5" s="13" cm="1">
        <f t="array" aca="1" ref="P5" ca="1">-INDIRECT("'data'!$N$" &amp; $A$1)*parameters!$B$15</f>
        <v>-157.78</v>
      </c>
      <c r="Q5" s="16">
        <f ca="1">SUM(L5:P5)</f>
        <v>36595.612972753785</v>
      </c>
      <c r="R5" s="16">
        <f t="shared" ca="1" si="2"/>
        <v>36595.612972753785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53795.14</v>
      </c>
      <c r="I6" s="14"/>
      <c r="J6" s="14"/>
      <c r="K6" s="13"/>
      <c r="L6" s="16">
        <f t="shared" ca="1" si="0"/>
        <v>53795.14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53795.14</v>
      </c>
      <c r="R6" s="16">
        <f t="shared" ca="1" si="2"/>
        <v>53795.14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10476.199999999999</v>
      </c>
      <c r="I7" s="14"/>
      <c r="J7" s="14"/>
      <c r="K7" s="13"/>
      <c r="L7" s="16">
        <f t="shared" ca="1" si="0"/>
        <v>10476.199999999999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10476.199999999999</v>
      </c>
      <c r="R7" s="16">
        <f t="shared" ca="1" si="2"/>
        <v>10476.199999999999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22200</v>
      </c>
      <c r="J8" s="14">
        <f ca="1">Q10/J18</f>
        <v>33226.05547652916</v>
      </c>
      <c r="K8" s="13"/>
      <c r="L8" s="16">
        <f t="shared" ca="1" si="0"/>
        <v>55426.05547652916</v>
      </c>
      <c r="M8" s="16"/>
      <c r="N8" s="16">
        <f t="shared" ca="1" si="3"/>
        <v>-4277.895476529171</v>
      </c>
      <c r="O8" s="11" cm="1">
        <f t="array" aca="1" ref="O8" ca="1">INDIRECT("'data'!$R$" &amp; $A$1)*parameters!$B$15</f>
        <v>13148.66</v>
      </c>
      <c r="P8" s="13" cm="1">
        <f t="array" aca="1" ref="P8" ca="1">-INDIRECT("'data'!$S$" &amp; $A$1)*parameters!$B$15</f>
        <v>-25.48</v>
      </c>
      <c r="Q8" s="16">
        <f ca="1">SUM(Q6:Q7)</f>
        <v>64271.34</v>
      </c>
      <c r="R8" s="16">
        <f t="shared" ca="1" si="2"/>
        <v>64271.339999999989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18446.54</v>
      </c>
      <c r="L9" s="16">
        <f t="shared" ca="1" si="0"/>
        <v>18446.54</v>
      </c>
      <c r="M9" s="16"/>
      <c r="N9" s="16">
        <f t="shared" ca="1" si="3"/>
        <v>0</v>
      </c>
      <c r="O9" s="11" cm="1">
        <f t="array" aca="1" ref="O9" ca="1">INDIRECT("'data'!$U$" &amp; $A$1)*parameters!$B$15</f>
        <v>4461.9399999999996</v>
      </c>
      <c r="P9" s="13" cm="1">
        <f t="array" aca="1" ref="P9" ca="1">-INDIRECT("'data'!$V$" &amp; $A$1)*parameters!$B$15</f>
        <v>-1152.48</v>
      </c>
      <c r="Q9" s="16" cm="1">
        <f t="array" aca="1" ref="Q9" ca="1">INDIRECT("'data'!$T$" &amp; $A$1)*parameters!$B$15</f>
        <v>21756</v>
      </c>
      <c r="R9" s="16">
        <f t="shared" ca="1" si="2"/>
        <v>21756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23528.874366998578</v>
      </c>
      <c r="L10" s="16">
        <f t="shared" ca="1" si="0"/>
        <v>23528.874366998578</v>
      </c>
      <c r="M10" s="16"/>
      <c r="N10" s="16">
        <f t="shared" ca="1" si="3"/>
        <v>0</v>
      </c>
      <c r="O10" s="11" cm="1">
        <f t="array" aca="1" ref="O10" ca="1">INDIRECT("'data'!$X$" &amp; $A$1)*parameters!$B$15</f>
        <v>10878</v>
      </c>
      <c r="P10" s="13" cm="1">
        <f t="array" aca="1" ref="P10" ca="1">-INDIRECT("'data'!$Y$" &amp; $A$1)*parameters!$B$15</f>
        <v>-1845.34</v>
      </c>
      <c r="Q10" s="16" cm="1">
        <f t="array" aca="1" ref="Q10" ca="1">INDIRECT("'data'!$W$" &amp; $A$1)*parameters!$B$15</f>
        <v>32561.534366998578</v>
      </c>
      <c r="R10" s="16">
        <f t="shared" ca="1" si="2"/>
        <v>32561.534366998578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39523.799555618782</v>
      </c>
      <c r="N11" s="19"/>
      <c r="O11" s="21" cm="1">
        <f t="array" aca="1" ref="O11" ca="1">INDIRECT("'data'!$Z$" &amp; $A$1)*parameters!$B$15</f>
        <v>2315.7399999999998</v>
      </c>
      <c r="P11" s="27" cm="1">
        <f t="array" aca="1" ref="P11" ca="1">-INDIRECT("'data'!$AA$" &amp; $A$1)*parameters!$B$15</f>
        <v>-4264.96</v>
      </c>
      <c r="Q11" s="16">
        <f ca="1">K9*parameters!$B$10+K10*parameters!$B$11</f>
        <v>37574.57955561878</v>
      </c>
      <c r="R11" s="16">
        <f t="shared" ref="R11:R17" ca="1" si="4">SUM(L11:P11)</f>
        <v>37574.57955561878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-301.48543171983329</v>
      </c>
      <c r="D12" s="9">
        <f ca="1">-(D17-Q4)</f>
        <v>-18.314823387340311</v>
      </c>
      <c r="E12" s="9">
        <f ca="1">-(E17-Q5)</f>
        <v>-4523.053288767318</v>
      </c>
      <c r="F12" s="9">
        <f ca="1">-(F17-Q6)</f>
        <v>-3555.7555223880627</v>
      </c>
      <c r="G12" s="9">
        <f ca="1">-(G17-Q7)</f>
        <v>-470.71745036572611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-8869.3265166282799</v>
      </c>
      <c r="M12" s="17"/>
      <c r="N12" s="17"/>
      <c r="O12" s="10"/>
      <c r="P12" s="12"/>
      <c r="Q12" s="9">
        <f t="shared" ref="Q12:Q17" ca="1" si="6">SUM(L12:P12)</f>
        <v>-8869.3265166282799</v>
      </c>
      <c r="R12" s="17">
        <f t="shared" ca="1" si="4"/>
        <v>-8869.3265166282799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-444</v>
      </c>
      <c r="J13" s="14">
        <f ca="1">-(J17-Q10)</f>
        <v>-664.52110953058218</v>
      </c>
      <c r="K13" s="13">
        <f ca="1">-(K17-Q11)</f>
        <v>-4400.8348113797983</v>
      </c>
      <c r="L13" s="14">
        <f t="shared" ca="1" si="5"/>
        <v>-5509.3559209103805</v>
      </c>
      <c r="M13" s="16">
        <f ca="1">-E15</f>
        <v>-35609.310340610726</v>
      </c>
      <c r="N13" s="16"/>
      <c r="O13" s="11"/>
      <c r="P13" s="13"/>
      <c r="Q13" s="14">
        <f t="shared" ca="1" si="6"/>
        <v>-41118.66626152111</v>
      </c>
      <c r="R13" s="16">
        <f t="shared" ca="1" si="4"/>
        <v>-41118.66626152111</v>
      </c>
    </row>
    <row r="14" spans="1:20">
      <c r="A14" s="18" t="s">
        <v>78</v>
      </c>
      <c r="B14" s="11"/>
      <c r="C14" s="14"/>
      <c r="D14" s="14"/>
      <c r="E14" s="14">
        <f ca="1">-(I13+J13)-K13</f>
        <v>5509.3559209103805</v>
      </c>
      <c r="F14" s="14"/>
      <c r="G14" s="14"/>
      <c r="H14" s="14"/>
      <c r="I14" s="14"/>
      <c r="J14" s="14"/>
      <c r="K14" s="13"/>
      <c r="L14" s="14">
        <f t="shared" ca="1" si="5"/>
        <v>5509.3559209103805</v>
      </c>
      <c r="M14" s="16"/>
      <c r="N14" s="16"/>
      <c r="O14" s="11"/>
      <c r="P14" s="13"/>
      <c r="Q14" s="14">
        <f t="shared" ca="1" si="6"/>
        <v>5509.3559209103805</v>
      </c>
      <c r="R14" s="16">
        <f t="shared" ca="1" si="4"/>
        <v>5509.3559209103805</v>
      </c>
    </row>
    <row r="15" spans="1:20">
      <c r="A15" s="18" t="s">
        <v>79</v>
      </c>
      <c r="B15" s="11"/>
      <c r="C15" s="14"/>
      <c r="D15" s="14"/>
      <c r="E15" s="14">
        <f ca="1">E17-E14</f>
        <v>35609.310340610726</v>
      </c>
      <c r="F15" s="14"/>
      <c r="G15" s="14"/>
      <c r="H15" s="14"/>
      <c r="I15" s="14"/>
      <c r="J15" s="14"/>
      <c r="K15" s="13"/>
      <c r="L15" s="14">
        <f t="shared" ca="1" si="5"/>
        <v>35609.310340610726</v>
      </c>
      <c r="M15" s="16"/>
      <c r="N15" s="16"/>
      <c r="O15" s="11"/>
      <c r="P15" s="13"/>
      <c r="Q15" s="14">
        <f t="shared" ca="1" si="6"/>
        <v>35609.310340610726</v>
      </c>
      <c r="R15" s="16">
        <f t="shared" ca="1" si="4"/>
        <v>35609.310340610726</v>
      </c>
    </row>
    <row r="16" spans="1:20">
      <c r="A16" s="30" t="s">
        <v>89</v>
      </c>
      <c r="B16" s="21">
        <f ca="1">Q2</f>
        <v>56200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56200</v>
      </c>
      <c r="M16" s="19"/>
      <c r="N16" s="19"/>
      <c r="O16" s="21"/>
      <c r="P16" s="27"/>
      <c r="Q16" s="22">
        <f t="shared" ca="1" si="6"/>
        <v>56200</v>
      </c>
      <c r="R16" s="19">
        <f t="shared" ca="1" si="4"/>
        <v>56200</v>
      </c>
    </row>
    <row r="17" spans="1:18">
      <c r="A17" s="29" t="s">
        <v>88</v>
      </c>
      <c r="B17" s="9">
        <f ca="1">B16</f>
        <v>56200</v>
      </c>
      <c r="C17" s="9">
        <f ca="1">SUM(C$2:C$11)</f>
        <v>47854.830431719834</v>
      </c>
      <c r="D17" s="9">
        <f ca="1">SUM(D$2:D$11)</f>
        <v>2907.1148233873405</v>
      </c>
      <c r="E17" s="9">
        <f ca="1">$Q$5/parameters!$B$4</f>
        <v>41118.666261521103</v>
      </c>
      <c r="F17" s="9">
        <f t="shared" ref="F17:K17" ca="1" si="7">SUM(F$2:F$11)</f>
        <v>57350.895522388062</v>
      </c>
      <c r="G17" s="9">
        <f t="shared" ca="1" si="7"/>
        <v>10946.917450365725</v>
      </c>
      <c r="H17" s="9">
        <f t="shared" ca="1" si="7"/>
        <v>64271.34</v>
      </c>
      <c r="I17" s="9">
        <f t="shared" ca="1" si="7"/>
        <v>22200</v>
      </c>
      <c r="J17" s="9">
        <f t="shared" ca="1" si="7"/>
        <v>33226.05547652916</v>
      </c>
      <c r="K17" s="9">
        <f t="shared" ca="1" si="7"/>
        <v>41975.414366998579</v>
      </c>
      <c r="L17" s="17">
        <f t="shared" ca="1" si="5"/>
        <v>378051.23433290981</v>
      </c>
      <c r="M17" s="17"/>
      <c r="N17" s="17"/>
      <c r="O17" s="9"/>
      <c r="P17" s="14"/>
      <c r="Q17" s="11">
        <f t="shared" ca="1" si="6"/>
        <v>378051.23433290981</v>
      </c>
      <c r="R17" s="17">
        <f t="shared" ca="1" si="4"/>
        <v>378051.23433290981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0.89515684650775551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26205.514742880143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26205.514742880143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-26205.514742880143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22275.462686567167</v>
      </c>
      <c r="G3" s="14">
        <f ca="1">Q3-O3-P3-F3</f>
        <v>5419.6523134328309</v>
      </c>
      <c r="H3" s="14"/>
      <c r="I3" s="14"/>
      <c r="J3" s="14"/>
      <c r="K3" s="13"/>
      <c r="L3" s="16">
        <f t="shared" ca="1" si="0"/>
        <v>27695.114999999998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-1654.6949999999999</v>
      </c>
      <c r="Q3" s="16" cm="1">
        <f t="array" aca="1" ref="Q3" ca="1">INDIRECT("'data'!$G$" &amp; $A$1)*parameters!$B$13</f>
        <v>26040.42</v>
      </c>
      <c r="R3" s="16">
        <f t="shared" ref="R3:R10" ca="1" si="2">SUM(L3:P3)</f>
        <v>26040.42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785.68000000000006</v>
      </c>
      <c r="H4" s="14"/>
      <c r="I4" s="14"/>
      <c r="J4" s="14"/>
      <c r="K4" s="13"/>
      <c r="L4" s="16">
        <f t="shared" ca="1" si="0"/>
        <v>785.68000000000006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-785.68000000000006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5568.8656716417918</v>
      </c>
      <c r="G5" s="14">
        <f ca="1">Q7/parameters!$B$7-(G3+G4)</f>
        <v>15166.245534007085</v>
      </c>
      <c r="H5" s="14"/>
      <c r="I5" s="14"/>
      <c r="J5" s="14"/>
      <c r="K5" s="13"/>
      <c r="L5" s="16">
        <f t="shared" ca="1" si="0"/>
        <v>20735.111205648878</v>
      </c>
      <c r="M5" s="16"/>
      <c r="N5" s="16"/>
      <c r="O5" s="11" cm="1">
        <f t="array" aca="1" ref="O5" ca="1">INDIRECT("'data'!$M$" &amp; $A$1)*parameters!$B$15</f>
        <v>216.57999999999998</v>
      </c>
      <c r="P5" s="13" cm="1">
        <f t="array" aca="1" ref="P5" ca="1">-INDIRECT("'data'!$N$" &amp; $A$1)*parameters!$B$15</f>
        <v>-7396.0599999999995</v>
      </c>
      <c r="Q5" s="16">
        <f ca="1">SUM(L5:P5)</f>
        <v>13555.63120564888</v>
      </c>
      <c r="R5" s="16">
        <f t="shared" ca="1" si="2"/>
        <v>13555.63120564888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26117.98</v>
      </c>
      <c r="I6" s="14"/>
      <c r="J6" s="14"/>
      <c r="K6" s="13"/>
      <c r="L6" s="16">
        <f t="shared" ca="1" si="0"/>
        <v>26117.98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26117.98</v>
      </c>
      <c r="R6" s="16">
        <f t="shared" ca="1" si="2"/>
        <v>26117.98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20452.599999999999</v>
      </c>
      <c r="I7" s="14"/>
      <c r="J7" s="14"/>
      <c r="K7" s="13"/>
      <c r="L7" s="16">
        <f t="shared" ca="1" si="0"/>
        <v>20452.599999999999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20452.599999999999</v>
      </c>
      <c r="R7" s="16">
        <f t="shared" ca="1" si="2"/>
        <v>20452.599999999999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21200.759251756604</v>
      </c>
      <c r="J8" s="14">
        <f ca="1">Q10/J18</f>
        <v>29991.500748243398</v>
      </c>
      <c r="K8" s="13"/>
      <c r="L8" s="16">
        <f t="shared" ca="1" si="0"/>
        <v>51192.26</v>
      </c>
      <c r="M8" s="16"/>
      <c r="N8" s="16">
        <f t="shared" ca="1" si="3"/>
        <v>0</v>
      </c>
      <c r="O8" s="11" cm="1">
        <f t="array" aca="1" ref="O8" ca="1">INDIRECT("'data'!$R$" &amp; $A$1)*parameters!$B$15</f>
        <v>87.22</v>
      </c>
      <c r="P8" s="13" cm="1">
        <f t="array" aca="1" ref="P8" ca="1">-INDIRECT("'data'!$S$" &amp; $A$1)*parameters!$B$15</f>
        <v>-4708.8999999999996</v>
      </c>
      <c r="Q8" s="16">
        <f ca="1">SUM(Q6:Q7)</f>
        <v>46570.58</v>
      </c>
      <c r="R8" s="16">
        <f t="shared" ca="1" si="2"/>
        <v>46570.58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20228.18</v>
      </c>
      <c r="L9" s="16">
        <f t="shared" ca="1" si="0"/>
        <v>20228.18</v>
      </c>
      <c r="M9" s="16"/>
      <c r="N9" s="16">
        <f t="shared" ca="1" si="3"/>
        <v>0</v>
      </c>
      <c r="O9" s="11" cm="1">
        <f t="array" aca="1" ref="O9" ca="1">INDIRECT("'data'!$U$" &amp; $A$1)*parameters!$B$15</f>
        <v>2354.94</v>
      </c>
      <c r="P9" s="13" cm="1">
        <f t="array" aca="1" ref="P9" ca="1">-INDIRECT("'data'!$V$" &amp; $A$1)*parameters!$B$15</f>
        <v>-2852.7799999999997</v>
      </c>
      <c r="Q9" s="16" cm="1">
        <f t="array" aca="1" ref="Q9" ca="1">INDIRECT("'data'!$T$" &amp; $A$1)*parameters!$B$15</f>
        <v>19730.34</v>
      </c>
      <c r="R9" s="16">
        <f t="shared" ca="1" si="2"/>
        <v>19730.34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26056.242788051204</v>
      </c>
      <c r="L10" s="16">
        <f t="shared" ca="1" si="0"/>
        <v>26056.242788051204</v>
      </c>
      <c r="M10" s="16"/>
      <c r="N10" s="16">
        <f t="shared" ca="1" si="3"/>
        <v>0</v>
      </c>
      <c r="O10" s="11" cm="1">
        <f t="array" aca="1" ref="O10" ca="1">INDIRECT("'data'!$X$" &amp; $A$1)*parameters!$B$15</f>
        <v>11120.06</v>
      </c>
      <c r="P10" s="13" cm="1">
        <f t="array" aca="1" ref="P10" ca="1">-INDIRECT("'data'!$Y$" &amp; $A$1)*parameters!$B$15</f>
        <v>-9264.92</v>
      </c>
      <c r="Q10" s="16" cm="1">
        <f t="array" aca="1" ref="Q10" ca="1">INDIRECT("'data'!$W$" &amp; $A$1)*parameters!$B$15</f>
        <v>27911.382788051207</v>
      </c>
      <c r="R10" s="16">
        <f t="shared" ca="1" si="2"/>
        <v>27911.382788051204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30925.097997724039</v>
      </c>
      <c r="N11" s="19"/>
      <c r="O11" s="21" cm="1">
        <f t="array" aca="1" ref="O11" ca="1">INDIRECT("'data'!$Z$" &amp; $A$1)*parameters!$B$15</f>
        <v>13532.82</v>
      </c>
      <c r="P11" s="27" cm="1">
        <f t="array" aca="1" ref="P11" ca="1">-INDIRECT("'data'!$AA$" &amp; $A$1)*parameters!$B$15</f>
        <v>-3035.06</v>
      </c>
      <c r="Q11" s="16">
        <f ca="1">K9*parameters!$B$10+K10*parameters!$B$11</f>
        <v>41422.857997724037</v>
      </c>
      <c r="R11" s="16">
        <f t="shared" ref="R11:R17" ca="1" si="4">SUM(L11:P11)</f>
        <v>41422.857997724044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-165.09474288014462</v>
      </c>
      <c r="D12" s="9">
        <f ca="1">-(D17-Q4)</f>
        <v>0</v>
      </c>
      <c r="E12" s="9">
        <f ca="1">-(E17-Q5)</f>
        <v>-1675.4150928330073</v>
      </c>
      <c r="F12" s="9">
        <f ca="1">-(F17-Q6)</f>
        <v>-1726.3483582089575</v>
      </c>
      <c r="G12" s="9">
        <f ca="1">-(G17-Q7)</f>
        <v>-918.97784743991724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-4485.8360413620267</v>
      </c>
      <c r="M12" s="17"/>
      <c r="N12" s="17"/>
      <c r="O12" s="10"/>
      <c r="P12" s="12"/>
      <c r="Q12" s="9">
        <f t="shared" ref="Q12:Q17" ca="1" si="6">SUM(L12:P12)</f>
        <v>-4485.8360413620267</v>
      </c>
      <c r="R12" s="17">
        <f t="shared" ca="1" si="4"/>
        <v>-4485.8360413620267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-1470.4192517566044</v>
      </c>
      <c r="J13" s="14">
        <f ca="1">-(J17-Q10)</f>
        <v>-2080.1179601921904</v>
      </c>
      <c r="K13" s="13">
        <f ca="1">-(K17-Q11)</f>
        <v>-4861.5647903271674</v>
      </c>
      <c r="L13" s="14">
        <f t="shared" ca="1" si="5"/>
        <v>-8412.1020022759621</v>
      </c>
      <c r="M13" s="16">
        <f ca="1">-E15</f>
        <v>-6818.9442962059256</v>
      </c>
      <c r="N13" s="16"/>
      <c r="O13" s="11"/>
      <c r="P13" s="13"/>
      <c r="Q13" s="14">
        <f t="shared" ca="1" si="6"/>
        <v>-15231.046298481888</v>
      </c>
      <c r="R13" s="16">
        <f t="shared" ca="1" si="4"/>
        <v>-15231.046298481888</v>
      </c>
    </row>
    <row r="14" spans="1:20">
      <c r="A14" s="18" t="s">
        <v>78</v>
      </c>
      <c r="B14" s="11"/>
      <c r="C14" s="14"/>
      <c r="D14" s="14"/>
      <c r="E14" s="14">
        <f ca="1">-(I13+J13)-K13</f>
        <v>8412.1020022759621</v>
      </c>
      <c r="F14" s="14"/>
      <c r="G14" s="14"/>
      <c r="H14" s="14"/>
      <c r="I14" s="14"/>
      <c r="J14" s="14"/>
      <c r="K14" s="13"/>
      <c r="L14" s="14">
        <f t="shared" ca="1" si="5"/>
        <v>8412.1020022759621</v>
      </c>
      <c r="M14" s="16"/>
      <c r="N14" s="16"/>
      <c r="O14" s="11"/>
      <c r="P14" s="13"/>
      <c r="Q14" s="14">
        <f t="shared" ca="1" si="6"/>
        <v>8412.1020022759621</v>
      </c>
      <c r="R14" s="16">
        <f t="shared" ca="1" si="4"/>
        <v>8412.1020022759621</v>
      </c>
    </row>
    <row r="15" spans="1:20">
      <c r="A15" s="18" t="s">
        <v>79</v>
      </c>
      <c r="B15" s="11"/>
      <c r="C15" s="14"/>
      <c r="D15" s="14"/>
      <c r="E15" s="14">
        <f ca="1">E17-E14</f>
        <v>6818.9442962059256</v>
      </c>
      <c r="F15" s="14"/>
      <c r="G15" s="14"/>
      <c r="H15" s="14"/>
      <c r="I15" s="14"/>
      <c r="J15" s="14"/>
      <c r="K15" s="13"/>
      <c r="L15" s="14">
        <f t="shared" ca="1" si="5"/>
        <v>6818.9442962059256</v>
      </c>
      <c r="M15" s="16"/>
      <c r="N15" s="16"/>
      <c r="O15" s="11"/>
      <c r="P15" s="13"/>
      <c r="Q15" s="14">
        <f t="shared" ca="1" si="6"/>
        <v>6818.9442962059256</v>
      </c>
      <c r="R15" s="16">
        <f t="shared" ca="1" si="4"/>
        <v>6818.9442962059256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26205.514742880143</v>
      </c>
      <c r="D17" s="9">
        <f ca="1">SUM(D$2:D$11)</f>
        <v>0</v>
      </c>
      <c r="E17" s="9">
        <f ca="1">$Q$5/parameters!$B$4</f>
        <v>15231.046298481888</v>
      </c>
      <c r="F17" s="9">
        <f t="shared" ref="F17:K17" ca="1" si="7">SUM(F$2:F$11)</f>
        <v>27844.328358208957</v>
      </c>
      <c r="G17" s="9">
        <f t="shared" ca="1" si="7"/>
        <v>21371.577847439916</v>
      </c>
      <c r="H17" s="9">
        <f t="shared" ca="1" si="7"/>
        <v>46570.58</v>
      </c>
      <c r="I17" s="9">
        <f t="shared" ca="1" si="7"/>
        <v>21200.759251756604</v>
      </c>
      <c r="J17" s="9">
        <f t="shared" ca="1" si="7"/>
        <v>29991.500748243398</v>
      </c>
      <c r="K17" s="9">
        <f t="shared" ca="1" si="7"/>
        <v>46284.422788051204</v>
      </c>
      <c r="L17" s="17">
        <f t="shared" ca="1" si="5"/>
        <v>234699.73003506212</v>
      </c>
      <c r="M17" s="17"/>
      <c r="N17" s="17"/>
      <c r="O17" s="9"/>
      <c r="P17" s="14"/>
      <c r="Q17" s="11">
        <f t="shared" ca="1" si="6"/>
        <v>234699.73003506212</v>
      </c>
      <c r="R17" s="17">
        <f t="shared" ca="1" si="4"/>
        <v>234699.73003506212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0.9306430852642803</v>
      </c>
      <c r="J18" s="39">
        <f ca="1">I18</f>
        <v>0.9306430852642803</v>
      </c>
      <c r="K18" s="40">
        <f ca="1">1-(-K13)/K17</f>
        <v>0.89496326199011755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28546.855187682395</v>
      </c>
      <c r="D2" s="9">
        <f ca="1">Q4/parameters!$B$3</f>
        <v>549.01881855690851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29095.874006239304</v>
      </c>
      <c r="M2" s="17"/>
      <c r="N2" s="16">
        <v>0</v>
      </c>
      <c r="O2" s="11" cm="1">
        <f t="array" aca="1" ref="O2" ca="1">INDIRECT("'data'!$F$" &amp; $A$1)</f>
        <v>5.8500000000000005</v>
      </c>
      <c r="P2" s="13">
        <f ca="1">IF(-(L2-Q2+O2)&lt;0, -(L2-Q2+O2), 0)</f>
        <v>-28863.724006239303</v>
      </c>
      <c r="Q2" s="17" cm="1">
        <f t="array" aca="1" ref="Q2" ca="1">INDIRECT("'data'!$D$" &amp; $A$1)</f>
        <v>238</v>
      </c>
      <c r="R2" s="17">
        <f ca="1">SUM(L2:P2)</f>
        <v>238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26878.328358208957</v>
      </c>
      <c r="G3" s="14">
        <f ca="1">Q3-O3-P3-F3</f>
        <v>1705.0866417910402</v>
      </c>
      <c r="H3" s="14"/>
      <c r="I3" s="14"/>
      <c r="J3" s="14"/>
      <c r="K3" s="13"/>
      <c r="L3" s="16">
        <f t="shared" ca="1" si="0"/>
        <v>28583.414999999997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106.785</v>
      </c>
      <c r="P3" s="13" cm="1">
        <f t="array" aca="1" ref="P3" ca="1">-INDIRECT("'data'!$I$" &amp; $A$1)*parameters!$B$13</f>
        <v>-323.19</v>
      </c>
      <c r="Q3" s="16" cm="1">
        <f t="array" aca="1" ref="Q3" ca="1">INDIRECT("'data'!$G$" &amp; $A$1)*parameters!$B$13</f>
        <v>28367.01</v>
      </c>
      <c r="R3" s="16">
        <f t="shared" ref="R3:R10" ca="1" si="2">SUM(L3:P3)</f>
        <v>28367.01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529</v>
      </c>
      <c r="H4" s="14"/>
      <c r="I4" s="14"/>
      <c r="J4" s="14"/>
      <c r="K4" s="13"/>
      <c r="L4" s="16">
        <f t="shared" ca="1" si="0"/>
        <v>529</v>
      </c>
      <c r="M4" s="16"/>
      <c r="N4" s="16">
        <f t="shared" ca="1" si="1"/>
        <v>0</v>
      </c>
      <c r="O4" s="11" cm="1">
        <f t="array" aca="1" ref="O4" ca="1">INDIRECT("'data'!$K$" &amp; $A$1)*parameters!$B$14</f>
        <v>108.56</v>
      </c>
      <c r="P4" s="13" cm="1">
        <f t="array" aca="1" ref="P4" ca="1">-INDIRECT("'data'!$L$" &amp; $A$1)*parameters!$B$14</f>
        <v>-92</v>
      </c>
      <c r="Q4" s="16" cm="1">
        <f t="array" aca="1" ref="Q4" ca="1">INDIRECT("'data'!$J$" &amp; $A$1)*parameters!$B$14</f>
        <v>545.56000000000006</v>
      </c>
      <c r="R4" s="16">
        <f t="shared" ca="1" si="2"/>
        <v>545.55999999999995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6719.5820895522402</v>
      </c>
      <c r="G5" s="14">
        <f ca="1">Q7/parameters!$B$7-(G3+G4)</f>
        <v>12323.572710351071</v>
      </c>
      <c r="H5" s="14"/>
      <c r="I5" s="14"/>
      <c r="J5" s="14"/>
      <c r="K5" s="13"/>
      <c r="L5" s="16">
        <f t="shared" ca="1" si="0"/>
        <v>19043.15479990331</v>
      </c>
      <c r="M5" s="16"/>
      <c r="N5" s="16"/>
      <c r="O5" s="11" cm="1">
        <f t="array" aca="1" ref="O5" ca="1">INDIRECT("'data'!$M$" &amp; $A$1)*parameters!$B$15</f>
        <v>6817.86</v>
      </c>
      <c r="P5" s="13" cm="1">
        <f t="array" aca="1" ref="P5" ca="1">-INDIRECT("'data'!$N$" &amp; $A$1)*parameters!$B$15</f>
        <v>-5303.76</v>
      </c>
      <c r="Q5" s="16">
        <f ca="1">SUM(L5:P5)</f>
        <v>20557.254799903312</v>
      </c>
      <c r="R5" s="16">
        <f t="shared" ca="1" si="2"/>
        <v>20557.254799903312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31514.84</v>
      </c>
      <c r="I6" s="14"/>
      <c r="J6" s="14"/>
      <c r="K6" s="13"/>
      <c r="L6" s="16">
        <f t="shared" ca="1" si="0"/>
        <v>31514.84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31514.84</v>
      </c>
      <c r="R6" s="16">
        <f t="shared" ca="1" si="2"/>
        <v>31514.84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13931.68</v>
      </c>
      <c r="I7" s="14"/>
      <c r="J7" s="14"/>
      <c r="K7" s="13"/>
      <c r="L7" s="16">
        <f t="shared" ca="1" si="0"/>
        <v>13931.68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13931.68</v>
      </c>
      <c r="R7" s="16">
        <f t="shared" ca="1" si="2"/>
        <v>13931.68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16813.521152342913</v>
      </c>
      <c r="J8" s="14">
        <f ca="1">Q10/J18</f>
        <v>28477.178847657091</v>
      </c>
      <c r="K8" s="13"/>
      <c r="L8" s="16">
        <f t="shared" ca="1" si="0"/>
        <v>45290.700000000004</v>
      </c>
      <c r="M8" s="16"/>
      <c r="N8" s="16">
        <f t="shared" ca="1" si="3"/>
        <v>0</v>
      </c>
      <c r="O8" s="11" cm="1">
        <f t="array" aca="1" ref="O8" ca="1">INDIRECT("'data'!$R$" &amp; $A$1)*parameters!$B$15</f>
        <v>2062.9</v>
      </c>
      <c r="P8" s="13" cm="1">
        <f t="array" aca="1" ref="P8" ca="1">-INDIRECT("'data'!$S$" &amp; $A$1)*parameters!$B$15</f>
        <v>-1907.08</v>
      </c>
      <c r="Q8" s="16">
        <f ca="1">SUM(Q6:Q7)</f>
        <v>45446.520000000004</v>
      </c>
      <c r="R8" s="16">
        <f t="shared" ca="1" si="2"/>
        <v>45446.520000000004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13153.56</v>
      </c>
      <c r="L9" s="16">
        <f t="shared" ca="1" si="0"/>
        <v>13153.56</v>
      </c>
      <c r="M9" s="16"/>
      <c r="N9" s="16">
        <f t="shared" ca="1" si="3"/>
        <v>0</v>
      </c>
      <c r="O9" s="11" cm="1">
        <f t="array" aca="1" ref="O9" ca="1">INDIRECT("'data'!$U$" &amp; $A$1)*parameters!$B$15</f>
        <v>7345.0999999999995</v>
      </c>
      <c r="P9" s="13" cm="1">
        <f t="array" aca="1" ref="P9" ca="1">-INDIRECT("'data'!$V$" &amp; $A$1)*parameters!$B$15</f>
        <v>-5682.04</v>
      </c>
      <c r="Q9" s="16" cm="1">
        <f t="array" aca="1" ref="Q9" ca="1">INDIRECT("'data'!$T$" &amp; $A$1)*parameters!$B$15</f>
        <v>14816.619999999999</v>
      </c>
      <c r="R9" s="16">
        <f t="shared" ca="1" si="2"/>
        <v>14816.619999999999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21047.613342816505</v>
      </c>
      <c r="L10" s="16">
        <f t="shared" ca="1" si="0"/>
        <v>21047.613342816505</v>
      </c>
      <c r="M10" s="16"/>
      <c r="N10" s="16">
        <f t="shared" ca="1" si="3"/>
        <v>0</v>
      </c>
      <c r="O10" s="11" cm="1">
        <f t="array" aca="1" ref="O10" ca="1">INDIRECT("'data'!$X$" &amp; $A$1)*parameters!$B$15</f>
        <v>14113.96</v>
      </c>
      <c r="P10" s="13" cm="1">
        <f t="array" aca="1" ref="P10" ca="1">-INDIRECT("'data'!$Y$" &amp; $A$1)*parameters!$B$15</f>
        <v>-10066.56</v>
      </c>
      <c r="Q10" s="16" cm="1">
        <f t="array" aca="1" ref="Q10" ca="1">INDIRECT("'data'!$W$" &amp; $A$1)*parameters!$B$15</f>
        <v>25095.013342816503</v>
      </c>
      <c r="R10" s="16">
        <f t="shared" ca="1" si="2"/>
        <v>25095.013342816506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22912.433874822193</v>
      </c>
      <c r="N11" s="19"/>
      <c r="O11" s="21" cm="1">
        <f t="array" aca="1" ref="O11" ca="1">INDIRECT("'data'!$Z$" &amp; $A$1)*parameters!$B$15</f>
        <v>22009.82</v>
      </c>
      <c r="P11" s="27" cm="1">
        <f t="array" aca="1" ref="P11" ca="1">-INDIRECT("'data'!$AA$" &amp; $A$1)*parameters!$B$15</f>
        <v>-14456.96</v>
      </c>
      <c r="Q11" s="16">
        <f ca="1">K9*parameters!$B$10+K10*parameters!$B$11</f>
        <v>30465.293874822193</v>
      </c>
      <c r="R11" s="16">
        <f t="shared" ref="R11:R17" ca="1" si="4">SUM(L11:P11)</f>
        <v>30465.293874822193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-179.8451876823965</v>
      </c>
      <c r="D12" s="9">
        <f ca="1">-(D17-Q4)</f>
        <v>-3.4588185569084544</v>
      </c>
      <c r="E12" s="9">
        <f ca="1">-(E17-Q5)</f>
        <v>-2540.7843011116456</v>
      </c>
      <c r="F12" s="9">
        <f ca="1">-(F17-Q6)</f>
        <v>-2083.070447761198</v>
      </c>
      <c r="G12" s="9">
        <f ca="1">-(G17-Q7)</f>
        <v>-625.97935214211066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-5433.138107254259</v>
      </c>
      <c r="M12" s="17"/>
      <c r="N12" s="17"/>
      <c r="O12" s="10"/>
      <c r="P12" s="12"/>
      <c r="Q12" s="9">
        <f t="shared" ref="Q12:Q17" ca="1" si="6">SUM(L12:P12)</f>
        <v>-5433.138107254259</v>
      </c>
      <c r="R12" s="17">
        <f t="shared" ca="1" si="4"/>
        <v>-5433.138107254259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-1996.9011523429144</v>
      </c>
      <c r="J13" s="14">
        <f ca="1">-(J17-Q10)</f>
        <v>-3382.1655048405883</v>
      </c>
      <c r="K13" s="13">
        <f ca="1">-(K17-Q11)</f>
        <v>-3735.8794679943094</v>
      </c>
      <c r="L13" s="14">
        <f t="shared" ca="1" si="5"/>
        <v>-9114.9461251778121</v>
      </c>
      <c r="M13" s="16">
        <f ca="1">-E15</f>
        <v>-13983.092975837146</v>
      </c>
      <c r="N13" s="16"/>
      <c r="O13" s="11"/>
      <c r="P13" s="13"/>
      <c r="Q13" s="14">
        <f t="shared" ca="1" si="6"/>
        <v>-23098.039101014958</v>
      </c>
      <c r="R13" s="16">
        <f t="shared" ca="1" si="4"/>
        <v>-23098.039101014958</v>
      </c>
    </row>
    <row r="14" spans="1:20">
      <c r="A14" s="18" t="s">
        <v>78</v>
      </c>
      <c r="B14" s="11"/>
      <c r="C14" s="14"/>
      <c r="D14" s="14"/>
      <c r="E14" s="14">
        <f ca="1">-(I13+J13)-K13</f>
        <v>9114.9461251778121</v>
      </c>
      <c r="F14" s="14"/>
      <c r="G14" s="14"/>
      <c r="H14" s="14"/>
      <c r="I14" s="14"/>
      <c r="J14" s="14"/>
      <c r="K14" s="13"/>
      <c r="L14" s="14">
        <f t="shared" ca="1" si="5"/>
        <v>9114.9461251778121</v>
      </c>
      <c r="M14" s="16"/>
      <c r="N14" s="16"/>
      <c r="O14" s="11"/>
      <c r="P14" s="13"/>
      <c r="Q14" s="14">
        <f t="shared" ca="1" si="6"/>
        <v>9114.9461251778121</v>
      </c>
      <c r="R14" s="16">
        <f t="shared" ca="1" si="4"/>
        <v>9114.9461251778121</v>
      </c>
    </row>
    <row r="15" spans="1:20">
      <c r="A15" s="18" t="s">
        <v>79</v>
      </c>
      <c r="B15" s="11"/>
      <c r="C15" s="14"/>
      <c r="D15" s="14"/>
      <c r="E15" s="14">
        <f ca="1">E17-E14</f>
        <v>13983.092975837146</v>
      </c>
      <c r="F15" s="14"/>
      <c r="G15" s="14"/>
      <c r="H15" s="14"/>
      <c r="I15" s="14"/>
      <c r="J15" s="14"/>
      <c r="K15" s="13"/>
      <c r="L15" s="14">
        <f t="shared" ca="1" si="5"/>
        <v>13983.092975837146</v>
      </c>
      <c r="M15" s="16"/>
      <c r="N15" s="16"/>
      <c r="O15" s="11"/>
      <c r="P15" s="13"/>
      <c r="Q15" s="14">
        <f t="shared" ca="1" si="6"/>
        <v>13983.092975837146</v>
      </c>
      <c r="R15" s="16">
        <f t="shared" ca="1" si="4"/>
        <v>13983.092975837146</v>
      </c>
    </row>
    <row r="16" spans="1:20">
      <c r="A16" s="30" t="s">
        <v>89</v>
      </c>
      <c r="B16" s="21">
        <f ca="1">Q2</f>
        <v>238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238</v>
      </c>
      <c r="M16" s="19"/>
      <c r="N16" s="19"/>
      <c r="O16" s="21"/>
      <c r="P16" s="27"/>
      <c r="Q16" s="22">
        <f t="shared" ca="1" si="6"/>
        <v>238</v>
      </c>
      <c r="R16" s="19">
        <f t="shared" ca="1" si="4"/>
        <v>238</v>
      </c>
    </row>
    <row r="17" spans="1:18">
      <c r="A17" s="29" t="s">
        <v>88</v>
      </c>
      <c r="B17" s="9">
        <f ca="1">B16</f>
        <v>238</v>
      </c>
      <c r="C17" s="9">
        <f ca="1">SUM(C$2:C$11)</f>
        <v>28546.855187682395</v>
      </c>
      <c r="D17" s="9">
        <f ca="1">SUM(D$2:D$11)</f>
        <v>549.01881855690851</v>
      </c>
      <c r="E17" s="9">
        <f ca="1">$Q$5/parameters!$B$4</f>
        <v>23098.039101014958</v>
      </c>
      <c r="F17" s="9">
        <f t="shared" ref="F17:K17" ca="1" si="7">SUM(F$2:F$11)</f>
        <v>33597.910447761198</v>
      </c>
      <c r="G17" s="9">
        <f t="shared" ca="1" si="7"/>
        <v>14557.659352142111</v>
      </c>
      <c r="H17" s="9">
        <f t="shared" ca="1" si="7"/>
        <v>45446.520000000004</v>
      </c>
      <c r="I17" s="9">
        <f t="shared" ca="1" si="7"/>
        <v>16813.521152342913</v>
      </c>
      <c r="J17" s="9">
        <f t="shared" ca="1" si="7"/>
        <v>28477.178847657091</v>
      </c>
      <c r="K17" s="9">
        <f t="shared" ca="1" si="7"/>
        <v>34201.173342816503</v>
      </c>
      <c r="L17" s="17">
        <f t="shared" ca="1" si="5"/>
        <v>225525.87624997407</v>
      </c>
      <c r="M17" s="17"/>
      <c r="N17" s="17"/>
      <c r="O17" s="9"/>
      <c r="P17" s="14"/>
      <c r="Q17" s="11">
        <f t="shared" ca="1" si="6"/>
        <v>225525.87624997407</v>
      </c>
      <c r="R17" s="17">
        <f t="shared" ca="1" si="4"/>
        <v>225525.87624997407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0.88123242393728729</v>
      </c>
      <c r="J18" s="39">
        <f ca="1">I18</f>
        <v>0.88123242393728729</v>
      </c>
      <c r="K18" s="40">
        <f ca="1">1-(-K13)/K17</f>
        <v>0.89076750582362751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5245.2402631013774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5245.2402631013774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-3355.0584507257777</v>
      </c>
      <c r="Q2" s="17" cm="1">
        <f t="array" aca="1" ref="Q2" ca="1">INDIRECT("'data'!$D$" &amp; $A$1)</f>
        <v>1890.1818123755997</v>
      </c>
      <c r="R2" s="17">
        <f ca="1">SUM(L2:P2)</f>
        <v>1890.1818123755997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4874.5074626865671</v>
      </c>
      <c r="G3" s="14">
        <f ca="1">Q3-O3-P3-F3</f>
        <v>562.59778675727193</v>
      </c>
      <c r="H3" s="14"/>
      <c r="I3" s="14"/>
      <c r="J3" s="14"/>
      <c r="K3" s="13"/>
      <c r="L3" s="16">
        <f t="shared" ca="1" si="0"/>
        <v>5437.1052494438391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46.305</v>
      </c>
      <c r="P3" s="13" cm="1">
        <f t="array" aca="1" ref="P3" ca="1">-INDIRECT("'data'!$I$" &amp; $A$1)*parameters!$B$13</f>
        <v>-271.21499999999997</v>
      </c>
      <c r="Q3" s="16" cm="1">
        <f t="array" aca="1" ref="Q3" ca="1">INDIRECT("'data'!$G$" &amp; $A$1)*parameters!$B$13</f>
        <v>5212.1952494438392</v>
      </c>
      <c r="R3" s="16">
        <f t="shared" ref="R3:R10" ca="1" si="2">SUM(L3:P3)</f>
        <v>5212.1952494438392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17.48</v>
      </c>
      <c r="H4" s="14"/>
      <c r="I4" s="14"/>
      <c r="J4" s="14"/>
      <c r="K4" s="13"/>
      <c r="L4" s="16">
        <f t="shared" ca="1" si="0"/>
        <v>17.48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-17.48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1218.6268656716418</v>
      </c>
      <c r="G5" s="14">
        <f ca="1">Q7/parameters!$B$7-(G3+G4)</f>
        <v>14417.915943650252</v>
      </c>
      <c r="H5" s="14"/>
      <c r="I5" s="14"/>
      <c r="J5" s="14"/>
      <c r="K5" s="13"/>
      <c r="L5" s="16">
        <f t="shared" ca="1" si="0"/>
        <v>15636.542809321894</v>
      </c>
      <c r="M5" s="16"/>
      <c r="N5" s="16"/>
      <c r="O5" s="11" cm="1">
        <f t="array" aca="1" ref="O5" ca="1">INDIRECT("'data'!$M$" &amp; $A$1)*parameters!$B$15</f>
        <v>80.36</v>
      </c>
      <c r="P5" s="13" cm="1">
        <f t="array" aca="1" ref="P5" ca="1">-INDIRECT("'data'!$N$" &amp; $A$1)*parameters!$B$15</f>
        <v>-12640.039999999999</v>
      </c>
      <c r="Q5" s="16">
        <f ca="1">SUM(L5:P5)</f>
        <v>3076.8628093218958</v>
      </c>
      <c r="R5" s="16">
        <f t="shared" ca="1" si="2"/>
        <v>3076.8628093218958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5715.36</v>
      </c>
      <c r="I6" s="14"/>
      <c r="J6" s="14"/>
      <c r="K6" s="13"/>
      <c r="L6" s="16">
        <f t="shared" ca="1" si="0"/>
        <v>5715.36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5715.36</v>
      </c>
      <c r="R6" s="16">
        <f t="shared" ca="1" si="2"/>
        <v>5715.36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14353.08</v>
      </c>
      <c r="I7" s="14"/>
      <c r="J7" s="14"/>
      <c r="K7" s="13"/>
      <c r="L7" s="16">
        <f t="shared" ca="1" si="0"/>
        <v>14353.08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14353.08</v>
      </c>
      <c r="R7" s="16">
        <f t="shared" ca="1" si="2"/>
        <v>14353.08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10800.872275606744</v>
      </c>
      <c r="J8" s="14">
        <f ca="1">Q10/J18</f>
        <v>7237.0077243932556</v>
      </c>
      <c r="K8" s="13"/>
      <c r="L8" s="16">
        <f t="shared" ca="1" si="0"/>
        <v>18037.879999999997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3683.8199999999997</v>
      </c>
      <c r="P8" s="13" cm="1">
        <f t="array" aca="1" ref="P8" ca="1">-INDIRECT("'data'!$S$" &amp; $A$1)*parameters!$B$15</f>
        <v>-1653.26</v>
      </c>
      <c r="Q8" s="16">
        <f ca="1">SUM(Q6:Q7)</f>
        <v>20068.439999999999</v>
      </c>
      <c r="R8" s="16">
        <f t="shared" ca="1" si="2"/>
        <v>20068.439999999999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3905.3</v>
      </c>
      <c r="L9" s="16">
        <f t="shared" ca="1" si="0"/>
        <v>3905.3</v>
      </c>
      <c r="M9" s="16"/>
      <c r="N9" s="16">
        <f t="shared" ca="1" si="3"/>
        <v>0</v>
      </c>
      <c r="O9" s="11" cm="1">
        <f t="array" aca="1" ref="O9" ca="1">INDIRECT("'data'!$U$" &amp; $A$1)*parameters!$B$15</f>
        <v>7038.36</v>
      </c>
      <c r="P9" s="13" cm="1">
        <f t="array" aca="1" ref="P9" ca="1">-INDIRECT("'data'!$V$" &amp; $A$1)*parameters!$B$15</f>
        <v>-849.66</v>
      </c>
      <c r="Q9" s="16" cm="1">
        <f t="array" aca="1" ref="Q9" ca="1">INDIRECT("'data'!$T$" &amp; $A$1)*parameters!$B$15</f>
        <v>10094</v>
      </c>
      <c r="R9" s="16">
        <f t="shared" ca="1" si="2"/>
        <v>10094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10842.135596525317</v>
      </c>
      <c r="L10" s="16">
        <f t="shared" ca="1" si="0"/>
        <v>10842.135596525317</v>
      </c>
      <c r="M10" s="16"/>
      <c r="N10" s="16">
        <f t="shared" ca="1" si="3"/>
        <v>0</v>
      </c>
      <c r="O10" s="11" cm="1">
        <f t="array" aca="1" ref="O10" ca="1">INDIRECT("'data'!$X$" &amp; $A$1)*parameters!$B$15</f>
        <v>1088.78</v>
      </c>
      <c r="P10" s="13" cm="1">
        <f t="array" aca="1" ref="P10" ca="1">-INDIRECT("'data'!$Y$" &amp; $A$1)*parameters!$B$15</f>
        <v>-5167.54</v>
      </c>
      <c r="Q10" s="16" cm="1">
        <f t="array" aca="1" ref="Q10" ca="1">INDIRECT("'data'!$W$" &amp; $A$1)*parameters!$B$15</f>
        <v>6763.3755965253167</v>
      </c>
      <c r="R10" s="16">
        <f t="shared" ca="1" si="2"/>
        <v>6763.3755965253176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12176.918613011772</v>
      </c>
      <c r="N11" s="19"/>
      <c r="O11" s="21" cm="1">
        <f t="array" aca="1" ref="O11" ca="1">INDIRECT("'data'!$Z$" &amp; $A$1)*parameters!$B$15</f>
        <v>2929.22</v>
      </c>
      <c r="P11" s="27" cm="1">
        <f t="array" aca="1" ref="P11" ca="1">-INDIRECT("'data'!$AA$" &amp; $A$1)*parameters!$B$15</f>
        <v>-2110.92</v>
      </c>
      <c r="Q11" s="16">
        <f ca="1">K9*parameters!$B$10+K10*parameters!$B$11</f>
        <v>12995.218613011772</v>
      </c>
      <c r="R11" s="16">
        <f t="shared" ref="R11:R17" ca="1" si="4">SUM(L11:P11)</f>
        <v>12995.218613011772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-33.04501365753822</v>
      </c>
      <c r="D12" s="9">
        <f ca="1">-(D17-Q4)</f>
        <v>0</v>
      </c>
      <c r="E12" s="9">
        <f ca="1">-(E17-Q5)</f>
        <v>-380.28641463529038</v>
      </c>
      <c r="F12" s="9">
        <f ca="1">-(F17-Q6)</f>
        <v>-377.77432835820946</v>
      </c>
      <c r="G12" s="9">
        <f ca="1">-(G17-Q7)</f>
        <v>-644.91373040752478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-1436.0194870585628</v>
      </c>
      <c r="M12" s="17"/>
      <c r="N12" s="17"/>
      <c r="O12" s="10"/>
      <c r="P12" s="12"/>
      <c r="Q12" s="9">
        <f t="shared" ref="Q12:Q17" ca="1" si="6">SUM(L12:P12)</f>
        <v>-1436.0194870585628</v>
      </c>
      <c r="R12" s="17">
        <f t="shared" ca="1" si="4"/>
        <v>-1436.0194870585628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-706.87227560674364</v>
      </c>
      <c r="J13" s="14">
        <f ca="1">-(J17-Q10)</f>
        <v>-473.63212786793883</v>
      </c>
      <c r="K13" s="13">
        <f ca="1">-(K17-Q11)</f>
        <v>-1752.2169835135446</v>
      </c>
      <c r="L13" s="14">
        <f t="shared" ca="1" si="5"/>
        <v>-2932.7213869882271</v>
      </c>
      <c r="M13" s="16">
        <f ca="1">-E15</f>
        <v>-524.42783696895913</v>
      </c>
      <c r="N13" s="16"/>
      <c r="O13" s="11"/>
      <c r="P13" s="13"/>
      <c r="Q13" s="14">
        <f t="shared" ca="1" si="6"/>
        <v>-3457.1492239571862</v>
      </c>
      <c r="R13" s="16">
        <f t="shared" ca="1" si="4"/>
        <v>-3457.1492239571862</v>
      </c>
    </row>
    <row r="14" spans="1:20">
      <c r="A14" s="18" t="s">
        <v>78</v>
      </c>
      <c r="B14" s="11"/>
      <c r="C14" s="14"/>
      <c r="D14" s="14"/>
      <c r="E14" s="14">
        <f ca="1">-(I13+J13)-K13</f>
        <v>2932.7213869882271</v>
      </c>
      <c r="F14" s="14"/>
      <c r="G14" s="14"/>
      <c r="H14" s="14"/>
      <c r="I14" s="14"/>
      <c r="J14" s="14"/>
      <c r="K14" s="13"/>
      <c r="L14" s="14">
        <f t="shared" ca="1" si="5"/>
        <v>2932.7213869882271</v>
      </c>
      <c r="M14" s="16"/>
      <c r="N14" s="16"/>
      <c r="O14" s="11"/>
      <c r="P14" s="13"/>
      <c r="Q14" s="14">
        <f t="shared" ca="1" si="6"/>
        <v>2932.7213869882271</v>
      </c>
      <c r="R14" s="16">
        <f t="shared" ca="1" si="4"/>
        <v>2932.7213869882271</v>
      </c>
    </row>
    <row r="15" spans="1:20">
      <c r="A15" s="18" t="s">
        <v>79</v>
      </c>
      <c r="B15" s="11"/>
      <c r="C15" s="14"/>
      <c r="D15" s="14"/>
      <c r="E15" s="14">
        <f ca="1">E17-E14</f>
        <v>524.42783696895913</v>
      </c>
      <c r="F15" s="14"/>
      <c r="G15" s="14"/>
      <c r="H15" s="14"/>
      <c r="I15" s="14"/>
      <c r="J15" s="14"/>
      <c r="K15" s="13"/>
      <c r="L15" s="14">
        <f t="shared" ca="1" si="5"/>
        <v>524.42783696895913</v>
      </c>
      <c r="M15" s="16"/>
      <c r="N15" s="16"/>
      <c r="O15" s="11"/>
      <c r="P15" s="13"/>
      <c r="Q15" s="14">
        <f t="shared" ca="1" si="6"/>
        <v>524.42783696895913</v>
      </c>
      <c r="R15" s="16">
        <f t="shared" ca="1" si="4"/>
        <v>524.42783696895913</v>
      </c>
    </row>
    <row r="16" spans="1:20">
      <c r="A16" s="30" t="s">
        <v>89</v>
      </c>
      <c r="B16" s="21">
        <f ca="1">Q2</f>
        <v>1890.1818123755997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1890.1818123755997</v>
      </c>
      <c r="M16" s="19"/>
      <c r="N16" s="19"/>
      <c r="O16" s="21"/>
      <c r="P16" s="27"/>
      <c r="Q16" s="22">
        <f t="shared" ca="1" si="6"/>
        <v>1890.1818123755997</v>
      </c>
      <c r="R16" s="19">
        <f t="shared" ca="1" si="4"/>
        <v>1890.1818123755997</v>
      </c>
    </row>
    <row r="17" spans="1:18">
      <c r="A17" s="29" t="s">
        <v>88</v>
      </c>
      <c r="B17" s="9">
        <f ca="1">B16</f>
        <v>1890.1818123755997</v>
      </c>
      <c r="C17" s="9">
        <f ca="1">SUM(C$2:C$11)</f>
        <v>5245.2402631013774</v>
      </c>
      <c r="D17" s="9">
        <f ca="1">SUM(D$2:D$11)</f>
        <v>0</v>
      </c>
      <c r="E17" s="9">
        <f ca="1">$Q$5/parameters!$B$4</f>
        <v>3457.1492239571862</v>
      </c>
      <c r="F17" s="9">
        <f t="shared" ref="F17:K17" ca="1" si="7">SUM(F$2:F$11)</f>
        <v>6093.1343283582091</v>
      </c>
      <c r="G17" s="9">
        <f t="shared" ca="1" si="7"/>
        <v>14997.993730407525</v>
      </c>
      <c r="H17" s="9">
        <f t="shared" ca="1" si="7"/>
        <v>20068.439999999999</v>
      </c>
      <c r="I17" s="9">
        <f t="shared" ca="1" si="7"/>
        <v>10800.872275606744</v>
      </c>
      <c r="J17" s="9">
        <f t="shared" ca="1" si="7"/>
        <v>7237.0077243932556</v>
      </c>
      <c r="K17" s="9">
        <f t="shared" ca="1" si="7"/>
        <v>14747.435596525316</v>
      </c>
      <c r="L17" s="17">
        <f t="shared" ca="1" si="5"/>
        <v>84537.454954725225</v>
      </c>
      <c r="M17" s="17"/>
      <c r="N17" s="17"/>
      <c r="O17" s="9"/>
      <c r="P17" s="14"/>
      <c r="Q17" s="11">
        <f t="shared" ca="1" si="6"/>
        <v>84537.454954725225</v>
      </c>
      <c r="R17" s="17">
        <f t="shared" ca="1" si="4"/>
        <v>84537.454954725225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0.93455414918634105</v>
      </c>
      <c r="J18" s="39">
        <f ca="1">I18</f>
        <v>0.93455414918634105</v>
      </c>
      <c r="K18" s="40">
        <f ca="1">1-(-K13)/K17</f>
        <v>0.88118497130942619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32864.355439267383</v>
      </c>
      <c r="D2" s="9">
        <f ca="1">Q4/parameters!$B$3</f>
        <v>407.36640837274831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33271.721847640132</v>
      </c>
      <c r="M2" s="17"/>
      <c r="N2" s="17">
        <f ca="1">Q2-(L2+O2+P2)</f>
        <v>0</v>
      </c>
      <c r="O2" s="11" cm="1">
        <f t="array" aca="1" ref="O2" ca="1">INDIRECT("'data'!$F$" &amp; $A$1)</f>
        <v>153892.70000000001</v>
      </c>
      <c r="P2" s="13">
        <f ca="1">IF(-(L2-Q2+O2)&lt;0, -(L2-Q2+O2), 0)</f>
        <v>-17864.421847640129</v>
      </c>
      <c r="Q2" s="17" cm="1">
        <f t="array" aca="1" ref="Q2" ca="1">INDIRECT("'data'!$D$" &amp; $A$1)</f>
        <v>169300</v>
      </c>
      <c r="R2" s="17">
        <f ca="1">SUM(L2:P2)</f>
        <v>169300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20749.253731343284</v>
      </c>
      <c r="G3" s="14">
        <f ca="1">Q3-O3-P3-F3</f>
        <v>6059.4512686567141</v>
      </c>
      <c r="H3" s="14"/>
      <c r="I3" s="14"/>
      <c r="J3" s="14"/>
      <c r="K3" s="13"/>
      <c r="L3" s="16">
        <f t="shared" ca="1" si="0"/>
        <v>26808.704999999998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5848.6049999999996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32657.309999999998</v>
      </c>
      <c r="R3" s="16">
        <f t="shared" ref="R3:R10" ca="1" si="2">SUM(L3:P3)</f>
        <v>32657.309999999998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404.8</v>
      </c>
      <c r="H4" s="14"/>
      <c r="I4" s="14"/>
      <c r="J4" s="14"/>
      <c r="K4" s="13"/>
      <c r="L4" s="16">
        <f t="shared" ca="1" si="0"/>
        <v>404.8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404.8</v>
      </c>
      <c r="R4" s="16">
        <f t="shared" ca="1" si="2"/>
        <v>404.8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5187.313432835821</v>
      </c>
      <c r="G5" s="14">
        <f ca="1">Q7/parameters!$B$7-(G3+G4)</f>
        <v>1230.3359831719172</v>
      </c>
      <c r="H5" s="14"/>
      <c r="I5" s="14"/>
      <c r="J5" s="14"/>
      <c r="K5" s="13"/>
      <c r="L5" s="16">
        <f t="shared" ca="1" si="0"/>
        <v>6417.6494160077382</v>
      </c>
      <c r="M5" s="16"/>
      <c r="N5" s="16"/>
      <c r="O5" s="11" cm="1">
        <f t="array" aca="1" ref="O5" ca="1">INDIRECT("'data'!$M$" &amp; $A$1)*parameters!$B$15</f>
        <v>12.74</v>
      </c>
      <c r="P5" s="13" cm="1">
        <f t="array" aca="1" ref="P5" ca="1">-INDIRECT("'data'!$N$" &amp; $A$1)*parameters!$B$15</f>
        <v>-67.62</v>
      </c>
      <c r="Q5" s="16">
        <f ca="1">SUM(L5:P5)</f>
        <v>6362.7694160077381</v>
      </c>
      <c r="R5" s="16">
        <f t="shared" ca="1" si="2"/>
        <v>6362.7694160077381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24328.5</v>
      </c>
      <c r="I6" s="14"/>
      <c r="J6" s="14"/>
      <c r="K6" s="13"/>
      <c r="L6" s="16">
        <f t="shared" ca="1" si="0"/>
        <v>24328.5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24328.5</v>
      </c>
      <c r="R6" s="16">
        <f t="shared" ca="1" si="2"/>
        <v>24328.5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7363.72</v>
      </c>
      <c r="I7" s="14"/>
      <c r="J7" s="14"/>
      <c r="K7" s="13"/>
      <c r="L7" s="16">
        <f t="shared" ca="1" si="0"/>
        <v>7363.72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7363.72</v>
      </c>
      <c r="R7" s="16">
        <f t="shared" ca="1" si="2"/>
        <v>7363.72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9952.1815665504291</v>
      </c>
      <c r="J8" s="14">
        <f ca="1">Q10/J18</f>
        <v>15539.578433449571</v>
      </c>
      <c r="K8" s="13"/>
      <c r="L8" s="16">
        <f t="shared" ca="1" si="0"/>
        <v>25491.760000000002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6212.22</v>
      </c>
      <c r="P8" s="13" cm="1">
        <f t="array" aca="1" ref="P8" ca="1">-INDIRECT("'data'!$S$" &amp; $A$1)*parameters!$B$15</f>
        <v>-11.76</v>
      </c>
      <c r="Q8" s="16">
        <f ca="1">SUM(Q6:Q7)</f>
        <v>31692.22</v>
      </c>
      <c r="R8" s="16">
        <f t="shared" ca="1" si="2"/>
        <v>31692.220000000005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7258.86</v>
      </c>
      <c r="L9" s="16">
        <f t="shared" ca="1" si="0"/>
        <v>7258.86</v>
      </c>
      <c r="M9" s="16"/>
      <c r="N9" s="16">
        <f t="shared" ca="1" si="3"/>
        <v>0</v>
      </c>
      <c r="O9" s="11" cm="1">
        <f t="array" aca="1" ref="O9" ca="1">INDIRECT("'data'!$U$" &amp; $A$1)*parameters!$B$15</f>
        <v>1721.86</v>
      </c>
      <c r="P9" s="13" cm="1">
        <f t="array" aca="1" ref="P9" ca="1">-INDIRECT("'data'!$V$" &amp; $A$1)*parameters!$B$15</f>
        <v>-232.26</v>
      </c>
      <c r="Q9" s="16" cm="1">
        <f t="array" aca="1" ref="Q9" ca="1">INDIRECT("'data'!$T$" &amp; $A$1)*parameters!$B$15</f>
        <v>8748.4599999999991</v>
      </c>
      <c r="R9" s="16">
        <f t="shared" ca="1" si="2"/>
        <v>8748.4599999999991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10557.378293029871</v>
      </c>
      <c r="L10" s="16">
        <f t="shared" ca="1" si="0"/>
        <v>10557.378293029871</v>
      </c>
      <c r="M10" s="16"/>
      <c r="N10" s="16">
        <f t="shared" ca="1" si="3"/>
        <v>0</v>
      </c>
      <c r="O10" s="11" cm="1">
        <f t="array" aca="1" ref="O10" ca="1">INDIRECT("'data'!$X$" &amp; $A$1)*parameters!$B$15</f>
        <v>3336.9</v>
      </c>
      <c r="P10" s="13" cm="1">
        <f t="array" aca="1" ref="P10" ca="1">-INDIRECT("'data'!$Y$" &amp; $A$1)*parameters!$B$15</f>
        <v>-234.22</v>
      </c>
      <c r="Q10" s="16" cm="1">
        <f t="array" aca="1" ref="Q10" ca="1">INDIRECT("'data'!$W$" &amp; $A$1)*parameters!$B$15</f>
        <v>13660.058293029871</v>
      </c>
      <c r="R10" s="16">
        <f t="shared" ca="1" si="2"/>
        <v>13660.058293029871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13839.773732005688</v>
      </c>
      <c r="N11" s="19"/>
      <c r="O11" s="21" cm="1">
        <f t="array" aca="1" ref="O11" ca="1">INDIRECT("'data'!$Z$" &amp; $A$1)*parameters!$B$15</f>
        <v>3232.04</v>
      </c>
      <c r="P11" s="27" cm="1">
        <f t="array" aca="1" ref="P11" ca="1">-INDIRECT("'data'!$AA$" &amp; $A$1)*parameters!$B$15</f>
        <v>-1169.1399999999999</v>
      </c>
      <c r="Q11" s="16">
        <f ca="1">K9*parameters!$B$10+K10*parameters!$B$11</f>
        <v>15902.673732005689</v>
      </c>
      <c r="R11" s="16">
        <f t="shared" ref="R11:R17" ca="1" si="4">SUM(L11:P11)</f>
        <v>15902.673732005689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-207.04543926738552</v>
      </c>
      <c r="D12" s="9">
        <f ca="1">-(D17-Q4)</f>
        <v>-2.5664083727482989</v>
      </c>
      <c r="E12" s="9">
        <f ca="1">-(E17-Q5)</f>
        <v>-786.40970310208013</v>
      </c>
      <c r="F12" s="9">
        <f ca="1">-(F17-Q6)</f>
        <v>-1608.067164179105</v>
      </c>
      <c r="G12" s="9">
        <f ca="1">-(G17-Q7)</f>
        <v>-330.8672518286312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-2934.9559667499502</v>
      </c>
      <c r="M12" s="17"/>
      <c r="N12" s="17"/>
      <c r="O12" s="10"/>
      <c r="P12" s="12"/>
      <c r="Q12" s="9">
        <f t="shared" ref="Q12:Q17" ca="1" si="6">SUM(L12:P12)</f>
        <v>-2934.9559667499502</v>
      </c>
      <c r="R12" s="17">
        <f t="shared" ca="1" si="4"/>
        <v>-2934.9559667499502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-1203.72156655043</v>
      </c>
      <c r="J13" s="14">
        <f ca="1">-(J17-Q10)</f>
        <v>-1879.5201404196996</v>
      </c>
      <c r="K13" s="13">
        <f ca="1">-(K17-Q11)</f>
        <v>-1913.5645610241809</v>
      </c>
      <c r="L13" s="14">
        <f t="shared" ca="1" si="5"/>
        <v>-4996.8062679943105</v>
      </c>
      <c r="M13" s="16">
        <f ca="1">-E15</f>
        <v>-2152.3728511155077</v>
      </c>
      <c r="N13" s="16"/>
      <c r="O13" s="11"/>
      <c r="P13" s="13"/>
      <c r="Q13" s="14">
        <f t="shared" ca="1" si="6"/>
        <v>-7149.1791191098182</v>
      </c>
      <c r="R13" s="16">
        <f t="shared" ca="1" si="4"/>
        <v>-7149.1791191098182</v>
      </c>
    </row>
    <row r="14" spans="1:19">
      <c r="A14" s="18" t="s">
        <v>78</v>
      </c>
      <c r="B14" s="11"/>
      <c r="C14" s="14"/>
      <c r="D14" s="14"/>
      <c r="E14" s="14">
        <f ca="1">-(I13+J13)-K13</f>
        <v>4996.8062679943105</v>
      </c>
      <c r="F14" s="14"/>
      <c r="G14" s="14"/>
      <c r="H14" s="14"/>
      <c r="I14" s="14"/>
      <c r="J14" s="14"/>
      <c r="K14" s="13"/>
      <c r="L14" s="14">
        <f t="shared" ca="1" si="5"/>
        <v>4996.8062679943105</v>
      </c>
      <c r="M14" s="16"/>
      <c r="N14" s="16"/>
      <c r="O14" s="11"/>
      <c r="P14" s="13"/>
      <c r="Q14" s="14">
        <f t="shared" ca="1" si="6"/>
        <v>4996.8062679943105</v>
      </c>
      <c r="R14" s="16">
        <f t="shared" ca="1" si="4"/>
        <v>4996.8062679943105</v>
      </c>
    </row>
    <row r="15" spans="1:19">
      <c r="A15" s="18" t="s">
        <v>79</v>
      </c>
      <c r="B15" s="11"/>
      <c r="C15" s="14"/>
      <c r="D15" s="14"/>
      <c r="E15" s="14">
        <f ca="1">E17-E14</f>
        <v>2152.3728511155077</v>
      </c>
      <c r="F15" s="14"/>
      <c r="G15" s="14"/>
      <c r="H15" s="14"/>
      <c r="I15" s="14"/>
      <c r="J15" s="14"/>
      <c r="K15" s="13"/>
      <c r="L15" s="14">
        <f t="shared" ca="1" si="5"/>
        <v>2152.3728511155077</v>
      </c>
      <c r="M15" s="16"/>
      <c r="N15" s="16"/>
      <c r="O15" s="11"/>
      <c r="P15" s="13"/>
      <c r="Q15" s="14">
        <f t="shared" ca="1" si="6"/>
        <v>2152.3728511155077</v>
      </c>
      <c r="R15" s="16">
        <f t="shared" ca="1" si="4"/>
        <v>2152.3728511155077</v>
      </c>
    </row>
    <row r="16" spans="1:19">
      <c r="A16" s="30" t="s">
        <v>89</v>
      </c>
      <c r="B16" s="21">
        <f ca="1">Q2</f>
        <v>169300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169300</v>
      </c>
      <c r="M16" s="19"/>
      <c r="N16" s="19"/>
      <c r="O16" s="21"/>
      <c r="P16" s="27"/>
      <c r="Q16" s="22">
        <f t="shared" ca="1" si="6"/>
        <v>169300</v>
      </c>
      <c r="R16" s="19">
        <f t="shared" ca="1" si="4"/>
        <v>169300</v>
      </c>
    </row>
    <row r="17" spans="1:18">
      <c r="A17" s="29" t="s">
        <v>88</v>
      </c>
      <c r="B17" s="9">
        <f ca="1">B16</f>
        <v>169300</v>
      </c>
      <c r="C17" s="9">
        <f ca="1">SUM(C$2:C$11)</f>
        <v>32864.355439267383</v>
      </c>
      <c r="D17" s="9">
        <f ca="1">SUM(D$2:D$11)</f>
        <v>407.36640837274831</v>
      </c>
      <c r="E17" s="9">
        <f ca="1">$Q$5/parameters!$B$4</f>
        <v>7149.1791191098182</v>
      </c>
      <c r="F17" s="9">
        <f t="shared" ref="F17:K17" ca="1" si="7">SUM(F$2:F$11)</f>
        <v>25936.567164179105</v>
      </c>
      <c r="G17" s="9">
        <f t="shared" ca="1" si="7"/>
        <v>7694.5872518286315</v>
      </c>
      <c r="H17" s="9">
        <f t="shared" ca="1" si="7"/>
        <v>31692.22</v>
      </c>
      <c r="I17" s="9">
        <f t="shared" ca="1" si="7"/>
        <v>9952.1815665504291</v>
      </c>
      <c r="J17" s="9">
        <f t="shared" ca="1" si="7"/>
        <v>15539.578433449571</v>
      </c>
      <c r="K17" s="9">
        <f t="shared" ca="1" si="7"/>
        <v>17816.23829302987</v>
      </c>
      <c r="L17" s="17">
        <f t="shared" ca="1" si="5"/>
        <v>318352.27367578755</v>
      </c>
      <c r="M17" s="17"/>
      <c r="N17" s="17"/>
      <c r="O17" s="9"/>
      <c r="P17" s="14"/>
      <c r="Q17" s="11">
        <f t="shared" ca="1" si="6"/>
        <v>318352.27367578755</v>
      </c>
      <c r="R17" s="17">
        <f t="shared" ca="1" si="4"/>
        <v>318352.27367578755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0.87904947689095891</v>
      </c>
      <c r="J18" s="39">
        <f ca="1">I18</f>
        <v>0.87904947689095891</v>
      </c>
      <c r="K18" s="40">
        <f ca="1">1-(-K13)/K17</f>
        <v>0.89259435524204833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1579.5024949424464</v>
      </c>
      <c r="D2" s="9">
        <f ca="1">Q4/parameters!$B$3</f>
        <v>4722.4630210978667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6301.9655160403127</v>
      </c>
      <c r="M2" s="17"/>
      <c r="N2" s="17">
        <f ca="1">Q2-(L2+O2+P2)</f>
        <v>0</v>
      </c>
      <c r="O2" s="11" cm="1">
        <f t="array" aca="1" ref="O2" ca="1">INDIRECT("'data'!$F$" &amp; $A$1)</f>
        <v>858.65</v>
      </c>
      <c r="P2" s="13">
        <f ca="1">IF(-(L2-Q2+O2)&lt;0, -(L2-Q2+O2), 0)</f>
        <v>-3119.3005855887714</v>
      </c>
      <c r="Q2" s="17" cm="1">
        <f t="array" aca="1" ref="Q2" ca="1">INDIRECT("'data'!$D$" &amp; $A$1)</f>
        <v>4041.3149304515414</v>
      </c>
      <c r="R2" s="17">
        <f ca="1">SUM(L2:P2)</f>
        <v>4041.3149304515409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1564.6567164179105</v>
      </c>
      <c r="G3" s="14">
        <f ca="1">Q3-O3-P3-F3</f>
        <v>4.8949128063986791</v>
      </c>
      <c r="H3" s="14"/>
      <c r="I3" s="14"/>
      <c r="J3" s="14"/>
      <c r="K3" s="13"/>
      <c r="L3" s="16">
        <f t="shared" ca="1" si="0"/>
        <v>1569.5516292243092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1569.5516292243092</v>
      </c>
      <c r="R3" s="16">
        <f t="shared" ref="R3:R10" ca="1" si="2">SUM(L3:P3)</f>
        <v>1569.5516292243092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4692.7115040649505</v>
      </c>
      <c r="H4" s="14"/>
      <c r="I4" s="14"/>
      <c r="J4" s="14"/>
      <c r="K4" s="13"/>
      <c r="L4" s="16">
        <f t="shared" ca="1" si="0"/>
        <v>4692.7115040649505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4692.7115040649505</v>
      </c>
      <c r="R4" s="16">
        <f t="shared" ca="1" si="2"/>
        <v>4692.7115040649505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Q6/parameters!$B$5*35%</f>
        <v>842.50746268656712</v>
      </c>
      <c r="G5" s="14">
        <f ca="1">Q7/parameters!$B$7-(G3+G4)</f>
        <v>1832.6548161485052</v>
      </c>
      <c r="H5" s="14"/>
      <c r="I5" s="14"/>
      <c r="J5" s="14"/>
      <c r="K5" s="13"/>
      <c r="L5" s="16">
        <f t="shared" ca="1" si="0"/>
        <v>2675.1622788350724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-303.8</v>
      </c>
      <c r="Q5" s="16">
        <f ca="1">SUM(L5:P5)</f>
        <v>2371.3622788350722</v>
      </c>
      <c r="R5" s="16">
        <f t="shared" ca="1" si="2"/>
        <v>2371.3622788350722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2257.92</v>
      </c>
      <c r="I6" s="14"/>
      <c r="J6" s="14"/>
      <c r="K6" s="13"/>
      <c r="L6" s="16">
        <f t="shared" ca="1" si="0"/>
        <v>2257.92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2257.92</v>
      </c>
      <c r="R6" s="16">
        <f t="shared" ca="1" si="2"/>
        <v>2257.92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6249.46</v>
      </c>
      <c r="I7" s="14"/>
      <c r="J7" s="14"/>
      <c r="K7" s="13"/>
      <c r="L7" s="16">
        <f t="shared" ca="1" si="0"/>
        <v>6249.46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6249.46</v>
      </c>
      <c r="R7" s="16">
        <f t="shared" ca="1" si="2"/>
        <v>6249.46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4176</v>
      </c>
      <c r="J8" s="14">
        <f ca="1">Q10/J18</f>
        <v>3689.9487908961592</v>
      </c>
      <c r="K8" s="13"/>
      <c r="L8" s="16">
        <f t="shared" ca="1" si="0"/>
        <v>7865.9487908961592</v>
      </c>
      <c r="M8" s="16"/>
      <c r="N8" s="16">
        <f t="shared" ca="1" si="3"/>
        <v>3074.771209103842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-2433.34</v>
      </c>
      <c r="Q8" s="16">
        <f ca="1">SUM(Q6:Q7)</f>
        <v>8507.380000000001</v>
      </c>
      <c r="R8" s="16">
        <f t="shared" ca="1" si="2"/>
        <v>8507.380000000001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5934.88</v>
      </c>
      <c r="L9" s="16">
        <f t="shared" ca="1" si="0"/>
        <v>5934.88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-1842.3999999999999</v>
      </c>
      <c r="Q9" s="16" cm="1">
        <f t="array" aca="1" ref="Q9" ca="1">INDIRECT("'data'!$T$" &amp; $A$1)*parameters!$B$15</f>
        <v>4092.48</v>
      </c>
      <c r="R9" s="16">
        <f t="shared" ca="1" si="2"/>
        <v>4092.4800000000005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6405.2298150782353</v>
      </c>
      <c r="L10" s="16">
        <f t="shared" ca="1" si="0"/>
        <v>6405.2298150782353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-2789.08</v>
      </c>
      <c r="Q10" s="16" cm="1">
        <f t="array" aca="1" ref="Q10" ca="1">INDIRECT("'data'!$W$" &amp; $A$1)*parameters!$B$15</f>
        <v>3616.1498150782359</v>
      </c>
      <c r="R10" s="16">
        <f t="shared" ca="1" si="2"/>
        <v>3616.1498150782354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12409.304840967283</v>
      </c>
      <c r="N11" s="19"/>
      <c r="O11" s="21" cm="1">
        <f t="array" aca="1" ref="O11" ca="1">INDIRECT("'data'!$Z$" &amp; $A$1)*parameters!$B$15</f>
        <v>42.14</v>
      </c>
      <c r="P11" s="27" cm="1">
        <f t="array" aca="1" ref="P11" ca="1">-INDIRECT("'data'!$AA$" &amp; $A$1)*parameters!$B$15</f>
        <v>-1364.16</v>
      </c>
      <c r="Q11" s="16">
        <f ca="1">K9*parameters!$B$10+K10*parameters!$B$11</f>
        <v>11087.284840967282</v>
      </c>
      <c r="R11" s="16">
        <f t="shared" ref="R11:R17" ca="1" si="4">SUM(L11:P11)</f>
        <v>11087.284840967282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-9.9508657181372655</v>
      </c>
      <c r="D12" s="9">
        <f ca="1">-(D17-Q4)</f>
        <v>-29.751517032916126</v>
      </c>
      <c r="E12" s="9">
        <f ca="1">-(E17-Q5)</f>
        <v>-293.08971985602011</v>
      </c>
      <c r="F12" s="9">
        <f ca="1">-(F17-Q6)</f>
        <v>-149.24417910447755</v>
      </c>
      <c r="G12" s="9">
        <f ca="1">-(G17-Q7)</f>
        <v>-280.80123301985441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-762.83751473140546</v>
      </c>
      <c r="M12" s="17"/>
      <c r="N12" s="17"/>
      <c r="O12" s="10"/>
      <c r="P12" s="12"/>
      <c r="Q12" s="9">
        <f t="shared" ref="Q12:Q17" ca="1" si="6">SUM(L12:P12)</f>
        <v>-762.83751473140546</v>
      </c>
      <c r="R12" s="17">
        <f t="shared" ca="1" si="4"/>
        <v>-762.83751473140546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-83.519999999999982</v>
      </c>
      <c r="J13" s="14">
        <f ca="1">-(J17-Q10)</f>
        <v>-73.798975817923292</v>
      </c>
      <c r="K13" s="13">
        <f ca="1">-(K17-Q11)</f>
        <v>-1252.8249741109521</v>
      </c>
      <c r="L13" s="14">
        <f t="shared" ca="1" si="5"/>
        <v>-1410.1439499288754</v>
      </c>
      <c r="M13" s="16">
        <f ca="1">-E15</f>
        <v>-1254.3080487622169</v>
      </c>
      <c r="N13" s="16"/>
      <c r="O13" s="11"/>
      <c r="P13" s="13"/>
      <c r="Q13" s="14">
        <f t="shared" ca="1" si="6"/>
        <v>-2664.4519986910923</v>
      </c>
      <c r="R13" s="16">
        <f t="shared" ca="1" si="4"/>
        <v>-2664.4519986910923</v>
      </c>
    </row>
    <row r="14" spans="1:22">
      <c r="A14" s="18" t="s">
        <v>78</v>
      </c>
      <c r="B14" s="11"/>
      <c r="C14" s="14"/>
      <c r="D14" s="14"/>
      <c r="E14" s="14">
        <f ca="1">-(I13+J13)-K13</f>
        <v>1410.1439499288754</v>
      </c>
      <c r="F14" s="14"/>
      <c r="G14" s="14"/>
      <c r="H14" s="14"/>
      <c r="I14" s="14"/>
      <c r="J14" s="14"/>
      <c r="K14" s="13"/>
      <c r="L14" s="14">
        <f t="shared" ca="1" si="5"/>
        <v>1410.1439499288754</v>
      </c>
      <c r="M14" s="16"/>
      <c r="N14" s="16"/>
      <c r="O14" s="11"/>
      <c r="P14" s="13"/>
      <c r="Q14" s="14">
        <f t="shared" ca="1" si="6"/>
        <v>1410.1439499288754</v>
      </c>
      <c r="R14" s="16">
        <f t="shared" ca="1" si="4"/>
        <v>1410.1439499288754</v>
      </c>
    </row>
    <row r="15" spans="1:22">
      <c r="A15" s="18" t="s">
        <v>79</v>
      </c>
      <c r="B15" s="11"/>
      <c r="C15" s="14"/>
      <c r="D15" s="14"/>
      <c r="E15" s="14">
        <f ca="1">E17-E14</f>
        <v>1254.3080487622169</v>
      </c>
      <c r="F15" s="14"/>
      <c r="G15" s="14"/>
      <c r="H15" s="14"/>
      <c r="I15" s="14"/>
      <c r="J15" s="14"/>
      <c r="K15" s="13"/>
      <c r="L15" s="14">
        <f t="shared" ca="1" si="5"/>
        <v>1254.3080487622169</v>
      </c>
      <c r="M15" s="16"/>
      <c r="N15" s="16"/>
      <c r="O15" s="11"/>
      <c r="P15" s="13"/>
      <c r="Q15" s="14">
        <f t="shared" ca="1" si="6"/>
        <v>1254.3080487622169</v>
      </c>
      <c r="R15" s="16">
        <f t="shared" ca="1" si="4"/>
        <v>1254.3080487622169</v>
      </c>
    </row>
    <row r="16" spans="1:22">
      <c r="A16" s="30" t="s">
        <v>89</v>
      </c>
      <c r="B16" s="21">
        <f ca="1">Q2</f>
        <v>4041.3149304515414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4041.3149304515414</v>
      </c>
      <c r="M16" s="19"/>
      <c r="N16" s="19"/>
      <c r="O16" s="21"/>
      <c r="P16" s="27"/>
      <c r="Q16" s="22">
        <f t="shared" ca="1" si="6"/>
        <v>4041.3149304515414</v>
      </c>
      <c r="R16" s="19">
        <f t="shared" ca="1" si="4"/>
        <v>4041.3149304515414</v>
      </c>
    </row>
    <row r="17" spans="1:18">
      <c r="A17" s="29" t="s">
        <v>88</v>
      </c>
      <c r="B17" s="9">
        <f ca="1">B16</f>
        <v>4041.3149304515414</v>
      </c>
      <c r="C17" s="9">
        <f ca="1">SUM(C$2:C$11)</f>
        <v>1579.5024949424464</v>
      </c>
      <c r="D17" s="9">
        <f ca="1">SUM(D$2:D$11)</f>
        <v>4722.4630210978667</v>
      </c>
      <c r="E17" s="9">
        <f ca="1">$Q$5/parameters!$B$4</f>
        <v>2664.4519986910923</v>
      </c>
      <c r="F17" s="9">
        <f t="shared" ref="F17:K17" ca="1" si="7">SUM(F$2:F$11)</f>
        <v>2407.1641791044776</v>
      </c>
      <c r="G17" s="9">
        <f t="shared" ca="1" si="7"/>
        <v>6530.2612330198544</v>
      </c>
      <c r="H17" s="9">
        <f t="shared" ca="1" si="7"/>
        <v>8507.380000000001</v>
      </c>
      <c r="I17" s="9">
        <f t="shared" ca="1" si="7"/>
        <v>4176</v>
      </c>
      <c r="J17" s="9">
        <f t="shared" ca="1" si="7"/>
        <v>3689.9487908961592</v>
      </c>
      <c r="K17" s="9">
        <f t="shared" ca="1" si="7"/>
        <v>12340.109815078235</v>
      </c>
      <c r="L17" s="17">
        <f t="shared" ca="1" si="5"/>
        <v>50658.596463281676</v>
      </c>
      <c r="M17" s="17"/>
      <c r="N17" s="17"/>
      <c r="O17" s="9"/>
      <c r="P17" s="14"/>
      <c r="Q17" s="11">
        <f t="shared" ca="1" si="6"/>
        <v>50658.596463281676</v>
      </c>
      <c r="R17" s="17">
        <f t="shared" ca="1" si="4"/>
        <v>50658.596463281676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0.89847537883494843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10084.311160309951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10084.311160309951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-10084.311160309951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8900.6567164179105</v>
      </c>
      <c r="G3" s="14">
        <f ca="1">Q3-O3-P3-F3</f>
        <v>2313.6582835820882</v>
      </c>
      <c r="H3" s="14"/>
      <c r="I3" s="14"/>
      <c r="J3" s="14"/>
      <c r="K3" s="13"/>
      <c r="L3" s="16">
        <f t="shared" ca="1" si="0"/>
        <v>11214.314999999999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38.744999999999997</v>
      </c>
      <c r="P3" s="13" cm="1">
        <f t="array" aca="1" ref="P3" ca="1">-INDIRECT("'data'!$I$" &amp; $A$1)*parameters!$B$13</f>
        <v>-1232.28</v>
      </c>
      <c r="Q3" s="16" cm="1">
        <f t="array" aca="1" ref="Q3" ca="1">INDIRECT("'data'!$G$" &amp; $A$1)*parameters!$B$13</f>
        <v>10020.779999999999</v>
      </c>
      <c r="R3" s="16">
        <f t="shared" ref="R3:R10" ca="1" si="2">SUM(L3:P3)</f>
        <v>10020.779999999999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150.88</v>
      </c>
      <c r="H4" s="14"/>
      <c r="I4" s="14"/>
      <c r="J4" s="14"/>
      <c r="K4" s="13"/>
      <c r="L4" s="16">
        <f t="shared" ca="1" si="0"/>
        <v>150.88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-150.88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2225.1641791044781</v>
      </c>
      <c r="G5" s="14">
        <f ca="1">Q7/parameters!$B$7-(G3+G4)</f>
        <v>15920.958059155633</v>
      </c>
      <c r="H5" s="14"/>
      <c r="I5" s="14"/>
      <c r="J5" s="14"/>
      <c r="K5" s="13"/>
      <c r="L5" s="16">
        <f t="shared" ca="1" si="0"/>
        <v>18146.122238260112</v>
      </c>
      <c r="M5" s="16"/>
      <c r="N5" s="16"/>
      <c r="O5" s="11" cm="1">
        <f t="array" aca="1" ref="O5" ca="1">INDIRECT("'data'!$M$" &amp; $A$1)*parameters!$B$15</f>
        <v>206.78</v>
      </c>
      <c r="P5" s="13" cm="1">
        <f t="array" aca="1" ref="P5" ca="1">-INDIRECT("'data'!$N$" &amp; $A$1)*parameters!$B$15</f>
        <v>-5493.88</v>
      </c>
      <c r="Q5" s="16">
        <f ca="1">SUM(L5:P5)</f>
        <v>12859.02223826011</v>
      </c>
      <c r="R5" s="16">
        <f t="shared" ca="1" si="2"/>
        <v>12859.02223826011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10436.02</v>
      </c>
      <c r="I6" s="14"/>
      <c r="J6" s="14"/>
      <c r="K6" s="13"/>
      <c r="L6" s="16">
        <f t="shared" ca="1" si="0"/>
        <v>10436.02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10436.02</v>
      </c>
      <c r="R6" s="16">
        <f t="shared" ca="1" si="2"/>
        <v>10436.02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17594.919999999998</v>
      </c>
      <c r="I7" s="14"/>
      <c r="J7" s="14"/>
      <c r="K7" s="13"/>
      <c r="L7" s="16">
        <f t="shared" ca="1" si="0"/>
        <v>17594.919999999998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17594.919999999998</v>
      </c>
      <c r="R7" s="16">
        <f t="shared" ca="1" si="2"/>
        <v>17594.919999999998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17602.792589236338</v>
      </c>
      <c r="J8" s="14">
        <f ca="1">Q10/J18</f>
        <v>13829.727410763664</v>
      </c>
      <c r="K8" s="13"/>
      <c r="L8" s="16">
        <f t="shared" ca="1" si="0"/>
        <v>31432.520000000004</v>
      </c>
      <c r="M8" s="16"/>
      <c r="N8" s="16">
        <f t="shared" ca="1" si="3"/>
        <v>0</v>
      </c>
      <c r="O8" s="11" cm="1">
        <f t="array" aca="1" ref="O8" ca="1">INDIRECT("'data'!$R$" &amp; $A$1)*parameters!$B$15</f>
        <v>394.94</v>
      </c>
      <c r="P8" s="13" cm="1">
        <f t="array" aca="1" ref="P8" ca="1">-INDIRECT("'data'!$S$" &amp; $A$1)*parameters!$B$15</f>
        <v>-3796.52</v>
      </c>
      <c r="Q8" s="16">
        <f ca="1">SUM(Q6:Q7)</f>
        <v>28030.94</v>
      </c>
      <c r="R8" s="16">
        <f t="shared" ca="1" si="2"/>
        <v>28030.940000000002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14388.359999999999</v>
      </c>
      <c r="L9" s="16">
        <f t="shared" ca="1" si="0"/>
        <v>14388.359999999999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4460.96</v>
      </c>
      <c r="P9" s="13" cm="1">
        <f t="array" aca="1" ref="P9" ca="1">-INDIRECT("'data'!$V$" &amp; $A$1)*parameters!$B$15</f>
        <v>-3212.44</v>
      </c>
      <c r="Q9" s="16" cm="1">
        <f t="array" aca="1" ref="Q9" ca="1">INDIRECT("'data'!$T$" &amp; $A$1)*parameters!$B$15</f>
        <v>15636.88</v>
      </c>
      <c r="R9" s="16">
        <f t="shared" ca="1" si="2"/>
        <v>15636.88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17676.17775248933</v>
      </c>
      <c r="L10" s="16">
        <f t="shared" ca="1" si="0"/>
        <v>17676.17775248933</v>
      </c>
      <c r="M10" s="16"/>
      <c r="N10" s="16">
        <f t="shared" ca="1" si="3"/>
        <v>0</v>
      </c>
      <c r="O10" s="11" cm="1">
        <f t="array" aca="1" ref="O10" ca="1">INDIRECT("'data'!$X$" &amp; $A$1)*parameters!$B$15</f>
        <v>5376.28</v>
      </c>
      <c r="P10" s="13" cm="1">
        <f t="array" aca="1" ref="P10" ca="1">-INDIRECT("'data'!$Y$" &amp; $A$1)*parameters!$B$15</f>
        <v>-10767.26</v>
      </c>
      <c r="Q10" s="16" cm="1">
        <f t="array" aca="1" ref="Q10" ca="1">INDIRECT("'data'!$W$" &amp; $A$1)*parameters!$B$15</f>
        <v>12285.19775248933</v>
      </c>
      <c r="R10" s="16">
        <f t="shared" ca="1" si="2"/>
        <v>12285.197752489328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24042.17126714082</v>
      </c>
      <c r="N11" s="19"/>
      <c r="O11" s="21" cm="1">
        <f t="array" aca="1" ref="O11" ca="1">INDIRECT("'data'!$Z$" &amp; $A$1)*parameters!$B$15</f>
        <v>12044.199999999999</v>
      </c>
      <c r="P11" s="27" cm="1">
        <f t="array" aca="1" ref="P11" ca="1">-INDIRECT("'data'!$AA$" &amp; $A$1)*parameters!$B$15</f>
        <v>-7359.8</v>
      </c>
      <c r="Q11" s="16">
        <f ca="1">K9*parameters!$B$10+K10*parameters!$B$11</f>
        <v>28726.571267140822</v>
      </c>
      <c r="R11" s="16">
        <f t="shared" ref="R11:R17" ca="1" si="4">SUM(L11:P11)</f>
        <v>28726.571267140822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-63.531160309952611</v>
      </c>
      <c r="D12" s="9">
        <f ca="1">-(D17-Q4)</f>
        <v>0</v>
      </c>
      <c r="E12" s="9">
        <f ca="1">-(E17-Q5)</f>
        <v>-1589.3173552905755</v>
      </c>
      <c r="F12" s="9">
        <f ca="1">-(F17-Q6)</f>
        <v>-689.8008955223886</v>
      </c>
      <c r="G12" s="9">
        <f ca="1">-(G17-Q7)</f>
        <v>-790.57634273772419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-3133.2257538606409</v>
      </c>
      <c r="M12" s="17"/>
      <c r="N12" s="17"/>
      <c r="O12" s="10"/>
      <c r="P12" s="12"/>
      <c r="Q12" s="9">
        <f t="shared" ref="Q12:Q17" ca="1" si="6">SUM(L12:P12)</f>
        <v>-3133.2257538606409</v>
      </c>
      <c r="R12" s="17">
        <f t="shared" ca="1" si="4"/>
        <v>-3133.2257538606409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-1965.912589236339</v>
      </c>
      <c r="J13" s="14">
        <f ca="1">-(J17-Q10)</f>
        <v>-1544.529658274334</v>
      </c>
      <c r="K13" s="13">
        <f ca="1">-(K17-Q11)</f>
        <v>-3337.9664853485046</v>
      </c>
      <c r="L13" s="14">
        <f t="shared" ca="1" si="5"/>
        <v>-6848.4087328591777</v>
      </c>
      <c r="M13" s="16">
        <f ca="1">-E15</f>
        <v>-7599.9308606915074</v>
      </c>
      <c r="N13" s="16"/>
      <c r="O13" s="11"/>
      <c r="P13" s="13"/>
      <c r="Q13" s="14">
        <f t="shared" ca="1" si="6"/>
        <v>-14448.339593550685</v>
      </c>
      <c r="R13" s="16">
        <f t="shared" ca="1" si="4"/>
        <v>-14448.339593550685</v>
      </c>
    </row>
    <row r="14" spans="1:20">
      <c r="A14" s="18" t="s">
        <v>78</v>
      </c>
      <c r="B14" s="11"/>
      <c r="C14" s="14"/>
      <c r="D14" s="14"/>
      <c r="E14" s="14">
        <f ca="1">-(I13+J13)-K13</f>
        <v>6848.4087328591777</v>
      </c>
      <c r="F14" s="14"/>
      <c r="G14" s="14"/>
      <c r="H14" s="14"/>
      <c r="I14" s="14"/>
      <c r="J14" s="14"/>
      <c r="K14" s="13"/>
      <c r="L14" s="14">
        <f t="shared" ca="1" si="5"/>
        <v>6848.4087328591777</v>
      </c>
      <c r="M14" s="16"/>
      <c r="N14" s="16"/>
      <c r="O14" s="11"/>
      <c r="P14" s="13"/>
      <c r="Q14" s="14">
        <f t="shared" ca="1" si="6"/>
        <v>6848.4087328591777</v>
      </c>
      <c r="R14" s="16">
        <f t="shared" ca="1" si="4"/>
        <v>6848.4087328591777</v>
      </c>
    </row>
    <row r="15" spans="1:20">
      <c r="A15" s="18" t="s">
        <v>79</v>
      </c>
      <c r="B15" s="11"/>
      <c r="C15" s="14"/>
      <c r="D15" s="14"/>
      <c r="E15" s="14">
        <f ca="1">E17-E14</f>
        <v>7599.9308606915074</v>
      </c>
      <c r="F15" s="14"/>
      <c r="G15" s="14"/>
      <c r="H15" s="14"/>
      <c r="I15" s="14"/>
      <c r="J15" s="14"/>
      <c r="K15" s="13"/>
      <c r="L15" s="14">
        <f t="shared" ca="1" si="5"/>
        <v>7599.9308606915074</v>
      </c>
      <c r="M15" s="16"/>
      <c r="N15" s="16"/>
      <c r="O15" s="11"/>
      <c r="P15" s="13"/>
      <c r="Q15" s="14">
        <f t="shared" ca="1" si="6"/>
        <v>7599.9308606915074</v>
      </c>
      <c r="R15" s="16">
        <f t="shared" ca="1" si="4"/>
        <v>7599.9308606915074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10084.311160309951</v>
      </c>
      <c r="D17" s="9">
        <f ca="1">SUM(D$2:D$11)</f>
        <v>0</v>
      </c>
      <c r="E17" s="9">
        <f ca="1">$Q$5/parameters!$B$4</f>
        <v>14448.339593550685</v>
      </c>
      <c r="F17" s="9">
        <f t="shared" ref="F17:K17" ca="1" si="7">SUM(F$2:F$11)</f>
        <v>11125.820895522389</v>
      </c>
      <c r="G17" s="9">
        <f t="shared" ca="1" si="7"/>
        <v>18385.496342737722</v>
      </c>
      <c r="H17" s="9">
        <f t="shared" ca="1" si="7"/>
        <v>28030.94</v>
      </c>
      <c r="I17" s="9">
        <f t="shared" ca="1" si="7"/>
        <v>17602.792589236338</v>
      </c>
      <c r="J17" s="9">
        <f t="shared" ca="1" si="7"/>
        <v>13829.727410763664</v>
      </c>
      <c r="K17" s="9">
        <f t="shared" ca="1" si="7"/>
        <v>32064.537752489327</v>
      </c>
      <c r="L17" s="17">
        <f t="shared" ca="1" si="5"/>
        <v>145571.96574461006</v>
      </c>
      <c r="M17" s="17"/>
      <c r="N17" s="17"/>
      <c r="O17" s="9"/>
      <c r="P17" s="14"/>
      <c r="Q17" s="11">
        <f t="shared" ca="1" si="6"/>
        <v>145571.96574461006</v>
      </c>
      <c r="R17" s="17">
        <f t="shared" ca="1" si="4"/>
        <v>145571.96574461006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0.88831814160905098</v>
      </c>
      <c r="J18" s="39">
        <f ca="1">I18</f>
        <v>0.88831814160905098</v>
      </c>
      <c r="K18" s="40">
        <f ca="1">1-(-K13)/K17</f>
        <v>0.8958984997346684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29533.984099828918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29533.984099828918</v>
      </c>
      <c r="M2" s="17"/>
      <c r="N2" s="17">
        <f ca="1">Q2-(L2+O2+P2)</f>
        <v>0</v>
      </c>
      <c r="O2" s="11" cm="1">
        <f t="array" aca="1" ref="O2" ca="1">INDIRECT("'data'!$F$" &amp; $A$1)</f>
        <v>11768.25</v>
      </c>
      <c r="P2" s="13">
        <f ca="1">IF(-(L2-Q2+O2)&lt;0, -(L2-Q2+O2), 0)</f>
        <v>-5302.2340998289183</v>
      </c>
      <c r="Q2" s="17" cm="1">
        <f t="array" aca="1" ref="Q2" ca="1">INDIRECT("'data'!$D$" &amp; $A$1)</f>
        <v>36000</v>
      </c>
      <c r="R2" s="17">
        <f ca="1">SUM(L2:P2)</f>
        <v>36000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28290.447761194027</v>
      </c>
      <c r="G3" s="14">
        <f ca="1">Q3-O3-P3-F3</f>
        <v>50.102238805971865</v>
      </c>
      <c r="H3" s="14"/>
      <c r="I3" s="14"/>
      <c r="J3" s="14"/>
      <c r="K3" s="13"/>
      <c r="L3" s="16">
        <f t="shared" ca="1" si="0"/>
        <v>28340.55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1219.9949999999999</v>
      </c>
      <c r="P3" s="13" cm="1">
        <f t="array" aca="1" ref="P3" ca="1">-INDIRECT("'data'!$I$" &amp; $A$1)*parameters!$B$13</f>
        <v>-212.625</v>
      </c>
      <c r="Q3" s="16" cm="1">
        <f t="array" aca="1" ref="Q3" ca="1">INDIRECT("'data'!$G$" &amp; $A$1)*parameters!$B$13</f>
        <v>29347.919999999998</v>
      </c>
      <c r="R3" s="16">
        <f t="shared" ref="R3:R10" ca="1" si="2">SUM(L3:P3)</f>
        <v>29347.919999999998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480.24</v>
      </c>
      <c r="H4" s="14"/>
      <c r="I4" s="14"/>
      <c r="J4" s="14"/>
      <c r="K4" s="13"/>
      <c r="L4" s="16">
        <f t="shared" ca="1" si="0"/>
        <v>480.24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-480.24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Q6/parameters!$B$5*25%</f>
        <v>9430.1492537313425</v>
      </c>
      <c r="G5" s="14">
        <f ca="1">Q7/parameters!$B$7-(G3+G4)</f>
        <v>2166.9618364291382</v>
      </c>
      <c r="H5" s="14"/>
      <c r="I5" s="14"/>
      <c r="J5" s="14"/>
      <c r="K5" s="13"/>
      <c r="L5" s="16">
        <f t="shared" ca="1" si="0"/>
        <v>11597.111090160481</v>
      </c>
      <c r="M5" s="16"/>
      <c r="N5" s="16"/>
      <c r="O5" s="11" cm="1">
        <f t="array" aca="1" ref="O5" ca="1">INDIRECT("'data'!$M$" &amp; $A$1)*parameters!$B$15</f>
        <v>2401.98</v>
      </c>
      <c r="P5" s="13" cm="1">
        <f t="array" aca="1" ref="P5" ca="1">-INDIRECT("'data'!$N$" &amp; $A$1)*parameters!$B$15</f>
        <v>-12.74</v>
      </c>
      <c r="Q5" s="16">
        <f ca="1">SUM(L5:P5)</f>
        <v>13986.35109016048</v>
      </c>
      <c r="R5" s="16">
        <f t="shared" ca="1" si="2"/>
        <v>13986.35109016048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35381.919999999998</v>
      </c>
      <c r="I6" s="14"/>
      <c r="J6" s="14"/>
      <c r="K6" s="13"/>
      <c r="L6" s="16">
        <f t="shared" ca="1" si="0"/>
        <v>35381.919999999998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35381.919999999998</v>
      </c>
      <c r="R6" s="16">
        <f t="shared" ca="1" si="2"/>
        <v>35381.919999999998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2581.3200000000002</v>
      </c>
      <c r="I7" s="14"/>
      <c r="J7" s="14"/>
      <c r="K7" s="13"/>
      <c r="L7" s="16">
        <f t="shared" ca="1" si="0"/>
        <v>2581.3200000000002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2581.3200000000002</v>
      </c>
      <c r="R7" s="16">
        <f t="shared" ca="1" si="2"/>
        <v>2581.3200000000002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17560</v>
      </c>
      <c r="J8" s="14">
        <f ca="1">Q10/J18</f>
        <v>13603.650071123755</v>
      </c>
      <c r="K8" s="13"/>
      <c r="L8" s="16">
        <f t="shared" ca="1" si="0"/>
        <v>31163.650071123753</v>
      </c>
      <c r="M8" s="16"/>
      <c r="N8" s="16">
        <f t="shared" ca="1" si="3"/>
        <v>-3207.190071123754</v>
      </c>
      <c r="O8" s="11" cm="1">
        <f t="array" aca="1" ref="O8" ca="1">INDIRECT("'data'!$R$" &amp; $A$1)*parameters!$B$15</f>
        <v>10271.379999999999</v>
      </c>
      <c r="P8" s="13" cm="1">
        <f t="array" aca="1" ref="P8" ca="1">-INDIRECT("'data'!$S$" &amp; $A$1)*parameters!$B$15</f>
        <v>-264.60000000000002</v>
      </c>
      <c r="Q8" s="16">
        <f ca="1">SUM(Q6:Q7)</f>
        <v>37963.24</v>
      </c>
      <c r="R8" s="16">
        <f t="shared" ca="1" si="2"/>
        <v>37963.24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10453.66</v>
      </c>
      <c r="L9" s="16">
        <f t="shared" ca="1" si="0"/>
        <v>10453.66</v>
      </c>
      <c r="M9" s="16"/>
      <c r="N9" s="16">
        <f t="shared" ca="1" si="3"/>
        <v>0</v>
      </c>
      <c r="O9" s="11" cm="1">
        <f t="array" aca="1" ref="O9" ca="1">INDIRECT("'data'!$U$" &amp; $A$1)*parameters!$B$15</f>
        <v>6755.14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17208.8</v>
      </c>
      <c r="R9" s="16">
        <f t="shared" ca="1" si="2"/>
        <v>17208.8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4526.2770697012793</v>
      </c>
      <c r="L10" s="16">
        <f t="shared" ca="1" si="0"/>
        <v>4526.2770697012793</v>
      </c>
      <c r="M10" s="16"/>
      <c r="N10" s="16">
        <f t="shared" ca="1" si="3"/>
        <v>0</v>
      </c>
      <c r="O10" s="11" cm="1">
        <f t="array" aca="1" ref="O10" ca="1">INDIRECT("'data'!$X$" &amp; $A$1)*parameters!$B$15</f>
        <v>9154.18</v>
      </c>
      <c r="P10" s="13" cm="1">
        <f t="array" aca="1" ref="P10" ca="1">-INDIRECT("'data'!$Y$" &amp; $A$1)*parameters!$B$15</f>
        <v>-348.88</v>
      </c>
      <c r="Q10" s="16" cm="1">
        <f t="array" aca="1" ref="Q10" ca="1">INDIRECT("'data'!$W$" &amp; $A$1)*parameters!$B$15</f>
        <v>13331.577069701279</v>
      </c>
      <c r="R10" s="16">
        <f t="shared" ca="1" si="2"/>
        <v>13331.577069701279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12902.6986799431</v>
      </c>
      <c r="N11" s="19"/>
      <c r="O11" s="21" cm="1">
        <f t="array" aca="1" ref="O11" ca="1">INDIRECT("'data'!$Z$" &amp; $A$1)*parameters!$B$15</f>
        <v>1829.6599999999999</v>
      </c>
      <c r="P11" s="27" cm="1">
        <f t="array" aca="1" ref="P11" ca="1">-INDIRECT("'data'!$AA$" &amp; $A$1)*parameters!$B$15</f>
        <v>-1013.3199999999999</v>
      </c>
      <c r="Q11" s="16">
        <f ca="1">K9*parameters!$B$10+K10*parameters!$B$11</f>
        <v>13719.0386799431</v>
      </c>
      <c r="R11" s="16">
        <f t="shared" ref="R11:R17" ca="1" si="4">SUM(L11:P11)</f>
        <v>13719.0386799431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-186.06409982892001</v>
      </c>
      <c r="D12" s="9">
        <f ca="1">-(D17-Q4)</f>
        <v>0</v>
      </c>
      <c r="E12" s="9">
        <f ca="1">-(E17-Q5)</f>
        <v>-1728.6501347389349</v>
      </c>
      <c r="F12" s="9">
        <f ca="1">-(F17-Q6)</f>
        <v>-2338.6770149253716</v>
      </c>
      <c r="G12" s="9">
        <f ca="1">-(G17-Q7)</f>
        <v>-115.98407523510969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-4369.3753247283366</v>
      </c>
      <c r="M12" s="17"/>
      <c r="N12" s="17"/>
      <c r="O12" s="10"/>
      <c r="P12" s="12"/>
      <c r="Q12" s="9">
        <f t="shared" ref="Q12:Q17" ca="1" si="6">SUM(L12:P12)</f>
        <v>-4369.3753247283366</v>
      </c>
      <c r="R12" s="17">
        <f t="shared" ca="1" si="4"/>
        <v>-4369.3753247283366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-351.20000000000073</v>
      </c>
      <c r="J13" s="14">
        <f ca="1">-(J17-Q10)</f>
        <v>-272.0730014224755</v>
      </c>
      <c r="K13" s="13">
        <f ca="1">-(K17-Q11)</f>
        <v>-1260.8983897581784</v>
      </c>
      <c r="L13" s="14">
        <f t="shared" ca="1" si="5"/>
        <v>-1884.1713911806546</v>
      </c>
      <c r="M13" s="16">
        <f ca="1">-E15</f>
        <v>-13830.829833718761</v>
      </c>
      <c r="N13" s="16"/>
      <c r="O13" s="11"/>
      <c r="P13" s="13"/>
      <c r="Q13" s="14">
        <f t="shared" ca="1" si="6"/>
        <v>-15715.001224899415</v>
      </c>
      <c r="R13" s="16">
        <f t="shared" ca="1" si="4"/>
        <v>-15715.001224899415</v>
      </c>
    </row>
    <row r="14" spans="1:20">
      <c r="A14" s="18" t="s">
        <v>78</v>
      </c>
      <c r="B14" s="11"/>
      <c r="C14" s="14"/>
      <c r="D14" s="14"/>
      <c r="E14" s="14">
        <f ca="1">-(I13+J13)-K13</f>
        <v>1884.1713911806546</v>
      </c>
      <c r="F14" s="14"/>
      <c r="G14" s="14"/>
      <c r="H14" s="14"/>
      <c r="I14" s="14"/>
      <c r="J14" s="14"/>
      <c r="K14" s="13"/>
      <c r="L14" s="14">
        <f t="shared" ca="1" si="5"/>
        <v>1884.1713911806546</v>
      </c>
      <c r="M14" s="16"/>
      <c r="N14" s="16"/>
      <c r="O14" s="11"/>
      <c r="P14" s="13"/>
      <c r="Q14" s="14">
        <f t="shared" ca="1" si="6"/>
        <v>1884.1713911806546</v>
      </c>
      <c r="R14" s="16">
        <f t="shared" ca="1" si="4"/>
        <v>1884.1713911806546</v>
      </c>
    </row>
    <row r="15" spans="1:20">
      <c r="A15" s="18" t="s">
        <v>79</v>
      </c>
      <c r="B15" s="11"/>
      <c r="C15" s="14"/>
      <c r="D15" s="14"/>
      <c r="E15" s="14">
        <f ca="1">E17-E14</f>
        <v>13830.829833718761</v>
      </c>
      <c r="F15" s="14"/>
      <c r="G15" s="14"/>
      <c r="H15" s="14"/>
      <c r="I15" s="14"/>
      <c r="J15" s="14"/>
      <c r="K15" s="13"/>
      <c r="L15" s="14">
        <f t="shared" ca="1" si="5"/>
        <v>13830.829833718761</v>
      </c>
      <c r="M15" s="16"/>
      <c r="N15" s="16"/>
      <c r="O15" s="11"/>
      <c r="P15" s="13"/>
      <c r="Q15" s="14">
        <f t="shared" ca="1" si="6"/>
        <v>13830.829833718761</v>
      </c>
      <c r="R15" s="16">
        <f t="shared" ca="1" si="4"/>
        <v>13830.829833718761</v>
      </c>
    </row>
    <row r="16" spans="1:20">
      <c r="A16" s="30" t="s">
        <v>89</v>
      </c>
      <c r="B16" s="21">
        <f ca="1">Q2</f>
        <v>36000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36000</v>
      </c>
      <c r="M16" s="19"/>
      <c r="N16" s="19"/>
      <c r="O16" s="21"/>
      <c r="P16" s="27"/>
      <c r="Q16" s="22">
        <f t="shared" ca="1" si="6"/>
        <v>36000</v>
      </c>
      <c r="R16" s="19">
        <f t="shared" ca="1" si="4"/>
        <v>36000</v>
      </c>
    </row>
    <row r="17" spans="1:18">
      <c r="A17" s="29" t="s">
        <v>88</v>
      </c>
      <c r="B17" s="9">
        <f ca="1">B16</f>
        <v>36000</v>
      </c>
      <c r="C17" s="9">
        <f ca="1">SUM(C$2:C$11)</f>
        <v>29533.984099828918</v>
      </c>
      <c r="D17" s="9">
        <f ca="1">SUM(D$2:D$11)</f>
        <v>0</v>
      </c>
      <c r="E17" s="9">
        <f ca="1">$Q$5/parameters!$B$4</f>
        <v>15715.001224899415</v>
      </c>
      <c r="F17" s="9">
        <f t="shared" ref="F17:K17" ca="1" si="7">SUM(F$2:F$11)</f>
        <v>37720.59701492537</v>
      </c>
      <c r="G17" s="9">
        <f t="shared" ca="1" si="7"/>
        <v>2697.3040752351098</v>
      </c>
      <c r="H17" s="9">
        <f t="shared" ca="1" si="7"/>
        <v>37963.24</v>
      </c>
      <c r="I17" s="9">
        <f t="shared" ca="1" si="7"/>
        <v>17560</v>
      </c>
      <c r="J17" s="9">
        <f t="shared" ca="1" si="7"/>
        <v>13603.650071123755</v>
      </c>
      <c r="K17" s="9">
        <f t="shared" ca="1" si="7"/>
        <v>14979.937069701278</v>
      </c>
      <c r="L17" s="17">
        <f t="shared" ca="1" si="5"/>
        <v>205773.71355571382</v>
      </c>
      <c r="M17" s="17"/>
      <c r="N17" s="17"/>
      <c r="O17" s="9"/>
      <c r="P17" s="14"/>
      <c r="Q17" s="11">
        <f t="shared" ca="1" si="6"/>
        <v>205773.71355571382</v>
      </c>
      <c r="R17" s="17">
        <f t="shared" ca="1" si="4"/>
        <v>205773.71355571382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0.91582752424851654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4068.3405454362478</v>
      </c>
      <c r="D2" s="9">
        <f ca="1">Q4/parameters!$B$3</f>
        <v>5874.4087752842916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9942.7493207205389</v>
      </c>
      <c r="M2" s="17"/>
      <c r="N2" s="17">
        <f ca="1">Q2-(L2+O2+P2)</f>
        <v>0</v>
      </c>
      <c r="O2" s="11" cm="1">
        <f t="array" aca="1" ref="O2" ca="1">INDIRECT("'data'!$F$" &amp; $A$1)</f>
        <v>674.7</v>
      </c>
      <c r="P2" s="13">
        <f ca="1">IF(-(L2-Q2+O2)&lt;0, -(L2-Q2+O2), 0)</f>
        <v>-3727.4493207205387</v>
      </c>
      <c r="Q2" s="17" cm="1">
        <f t="array" aca="1" ref="Q2" ca="1">INDIRECT("'data'!$D$" &amp; $A$1)</f>
        <v>6890</v>
      </c>
      <c r="R2" s="17">
        <f ca="1">SUM(L2:P2)</f>
        <v>6890.0000000000009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3980.1791044776123</v>
      </c>
      <c r="G3" s="14">
        <f ca="1">Q3-O3-P3-F3</f>
        <v>740.09589552238731</v>
      </c>
      <c r="H3" s="14"/>
      <c r="I3" s="14"/>
      <c r="J3" s="14"/>
      <c r="K3" s="13"/>
      <c r="L3" s="16">
        <f t="shared" ca="1" si="0"/>
        <v>4720.2749999999996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-677.56499999999994</v>
      </c>
      <c r="Q3" s="16" cm="1">
        <f t="array" aca="1" ref="Q3" ca="1">INDIRECT("'data'!$G$" &amp; $A$1)*parameters!$B$13</f>
        <v>4042.7099999999996</v>
      </c>
      <c r="R3" s="16">
        <f t="shared" ref="R3:R10" ca="1" si="2">SUM(L3:P3)</f>
        <v>4042.7099999999996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6007.6</v>
      </c>
      <c r="H4" s="14"/>
      <c r="I4" s="14"/>
      <c r="J4" s="14"/>
      <c r="K4" s="13"/>
      <c r="L4" s="16">
        <f t="shared" ca="1" si="0"/>
        <v>6007.6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-170.20000000000002</v>
      </c>
      <c r="Q4" s="16" cm="1">
        <f t="array" aca="1" ref="Q4" ca="1">INDIRECT("'data'!$J$" &amp; $A$1)*parameters!$B$14</f>
        <v>5837.4000000000005</v>
      </c>
      <c r="R4" s="16">
        <f t="shared" ca="1" si="2"/>
        <v>5837.4000000000005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995.0447761194032</v>
      </c>
      <c r="G5" s="14">
        <f ca="1">Q7/parameters!$B$7-(G3+G4)</f>
        <v>5515.1045224504451</v>
      </c>
      <c r="H5" s="14"/>
      <c r="I5" s="14"/>
      <c r="J5" s="14"/>
      <c r="K5" s="13"/>
      <c r="L5" s="16">
        <f t="shared" ca="1" si="0"/>
        <v>6510.1492985698478</v>
      </c>
      <c r="M5" s="16"/>
      <c r="N5" s="16"/>
      <c r="O5" s="11" cm="1">
        <f t="array" aca="1" ref="O5" ca="1">INDIRECT("'data'!$M$" &amp; $A$1)*parameters!$B$15</f>
        <v>436.09999999999997</v>
      </c>
      <c r="P5" s="13" cm="1">
        <f t="array" aca="1" ref="P5" ca="1">-INDIRECT("'data'!$N$" &amp; $A$1)*parameters!$B$15</f>
        <v>-2032.52</v>
      </c>
      <c r="Q5" s="16">
        <f ca="1">SUM(L5:P5)</f>
        <v>4913.7292985698477</v>
      </c>
      <c r="R5" s="16">
        <f t="shared" ca="1" si="2"/>
        <v>4913.7292985698477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4666.76</v>
      </c>
      <c r="I6" s="14"/>
      <c r="J6" s="14"/>
      <c r="K6" s="13"/>
      <c r="L6" s="16">
        <f t="shared" ca="1" si="0"/>
        <v>4666.76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4666.76</v>
      </c>
      <c r="R6" s="16">
        <f t="shared" ca="1" si="2"/>
        <v>4666.76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11735.5</v>
      </c>
      <c r="I7" s="14"/>
      <c r="J7" s="14"/>
      <c r="K7" s="13"/>
      <c r="L7" s="16">
        <f t="shared" ca="1" si="0"/>
        <v>11735.5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11735.5</v>
      </c>
      <c r="R7" s="16">
        <f t="shared" ca="1" si="2"/>
        <v>11735.5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7690.4271523316293</v>
      </c>
      <c r="J8" s="14">
        <f ca="1">Q10/J18</f>
        <v>6508.7928476683746</v>
      </c>
      <c r="K8" s="13"/>
      <c r="L8" s="16">
        <f t="shared" ca="1" si="0"/>
        <v>14199.220000000005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2708.72</v>
      </c>
      <c r="P8" s="13" cm="1">
        <f t="array" aca="1" ref="P8" ca="1">-INDIRECT("'data'!$S$" &amp; $A$1)*parameters!$B$15</f>
        <v>-505.68</v>
      </c>
      <c r="Q8" s="16">
        <f ca="1">SUM(Q6:Q7)</f>
        <v>16402.260000000002</v>
      </c>
      <c r="R8" s="16">
        <f t="shared" ca="1" si="2"/>
        <v>16402.260000000006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7511.7</v>
      </c>
      <c r="L9" s="16">
        <f t="shared" ca="1" si="0"/>
        <v>7511.7</v>
      </c>
      <c r="M9" s="16"/>
      <c r="N9" s="16">
        <f t="shared" ca="1" si="3"/>
        <v>0</v>
      </c>
      <c r="O9" s="11" cm="1">
        <f t="array" aca="1" ref="O9" ca="1">INDIRECT("'data'!$U$" &amp; $A$1)*parameters!$B$15</f>
        <v>918.26</v>
      </c>
      <c r="P9" s="13" cm="1">
        <f t="array" aca="1" ref="P9" ca="1">-INDIRECT("'data'!$V$" &amp; $A$1)*parameters!$B$15</f>
        <v>-1555.26</v>
      </c>
      <c r="Q9" s="16" cm="1">
        <f t="array" aca="1" ref="Q9" ca="1">INDIRECT("'data'!$T$" &amp; $A$1)*parameters!$B$15</f>
        <v>6874.7</v>
      </c>
      <c r="R9" s="16">
        <f t="shared" ca="1" si="2"/>
        <v>6874.6999999999989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8053.7821906116642</v>
      </c>
      <c r="L10" s="16">
        <f t="shared" ca="1" si="0"/>
        <v>8053.7821906116642</v>
      </c>
      <c r="M10" s="16"/>
      <c r="N10" s="16">
        <f t="shared" ca="1" si="3"/>
        <v>0</v>
      </c>
      <c r="O10" s="11" cm="1">
        <f t="array" aca="1" ref="O10" ca="1">INDIRECT("'data'!$X$" &amp; $A$1)*parameters!$B$15</f>
        <v>1086.82</v>
      </c>
      <c r="P10" s="13" cm="1">
        <f t="array" aca="1" ref="P10" ca="1">-INDIRECT("'data'!$Y$" &amp; $A$1)*parameters!$B$15</f>
        <v>-3322.2</v>
      </c>
      <c r="Q10" s="16" cm="1">
        <f t="array" aca="1" ref="Q10" ca="1">INDIRECT("'data'!$W$" &amp; $A$1)*parameters!$B$15</f>
        <v>5818.4021906116641</v>
      </c>
      <c r="R10" s="16">
        <f t="shared" ca="1" si="2"/>
        <v>5818.4021906116641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13052.330683926031</v>
      </c>
      <c r="N11" s="19"/>
      <c r="O11" s="21" cm="1">
        <f t="array" aca="1" ref="O11" ca="1">INDIRECT("'data'!$Z$" &amp; $A$1)*parameters!$B$15</f>
        <v>7916.44</v>
      </c>
      <c r="P11" s="27" cm="1">
        <f t="array" aca="1" ref="P11" ca="1">-INDIRECT("'data'!$AA$" &amp; $A$1)*parameters!$B$15</f>
        <v>-6981.5199999999995</v>
      </c>
      <c r="Q11" s="16">
        <f ca="1">K9*parameters!$B$10+K10*parameters!$B$11</f>
        <v>13987.250683926031</v>
      </c>
      <c r="R11" s="16">
        <f t="shared" ref="R11:R17" ca="1" si="4">SUM(L11:P11)</f>
        <v>13987.250683926031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-25.630545436248212</v>
      </c>
      <c r="D12" s="9">
        <f ca="1">-(D17-Q4)</f>
        <v>-37.008775284291005</v>
      </c>
      <c r="E12" s="9">
        <f ca="1">-(E17-Q5)</f>
        <v>-607.31485712661015</v>
      </c>
      <c r="F12" s="9">
        <f ca="1">-(F17-Q6)</f>
        <v>-308.4638805970153</v>
      </c>
      <c r="G12" s="9">
        <f ca="1">-(G17-Q7)</f>
        <v>-527.30041797283229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-1505.718476416997</v>
      </c>
      <c r="M12" s="17"/>
      <c r="N12" s="17"/>
      <c r="O12" s="10"/>
      <c r="P12" s="12"/>
      <c r="Q12" s="9">
        <f t="shared" ref="Q12:Q17" ca="1" si="6">SUM(L12:P12)</f>
        <v>-1505.718476416997</v>
      </c>
      <c r="R12" s="17">
        <f t="shared" ca="1" si="4"/>
        <v>-1505.718476416997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-815.72715233162944</v>
      </c>
      <c r="J13" s="14">
        <f ca="1">-(J17-Q10)</f>
        <v>-690.39065705671055</v>
      </c>
      <c r="K13" s="13">
        <f ca="1">-(K17-Q11)</f>
        <v>-1578.2315066856318</v>
      </c>
      <c r="L13" s="14">
        <f t="shared" ca="1" si="5"/>
        <v>-3084.3493160739717</v>
      </c>
      <c r="M13" s="16">
        <f ca="1">-E15</f>
        <v>-2436.6948396224861</v>
      </c>
      <c r="N13" s="16"/>
      <c r="O13" s="11"/>
      <c r="P13" s="13"/>
      <c r="Q13" s="14">
        <f t="shared" ca="1" si="6"/>
        <v>-5521.0441556964579</v>
      </c>
      <c r="R13" s="16">
        <f t="shared" ca="1" si="4"/>
        <v>-5521.0441556964579</v>
      </c>
    </row>
    <row r="14" spans="1:20">
      <c r="A14" s="18" t="s">
        <v>78</v>
      </c>
      <c r="B14" s="11"/>
      <c r="C14" s="14"/>
      <c r="D14" s="14"/>
      <c r="E14" s="14">
        <f ca="1">-(I13+J13)-K13</f>
        <v>3084.3493160739717</v>
      </c>
      <c r="F14" s="14"/>
      <c r="G14" s="14"/>
      <c r="H14" s="14"/>
      <c r="I14" s="14"/>
      <c r="J14" s="14"/>
      <c r="K14" s="13"/>
      <c r="L14" s="14">
        <f t="shared" ca="1" si="5"/>
        <v>3084.3493160739717</v>
      </c>
      <c r="M14" s="16"/>
      <c r="N14" s="16"/>
      <c r="O14" s="11"/>
      <c r="P14" s="13"/>
      <c r="Q14" s="14">
        <f t="shared" ca="1" si="6"/>
        <v>3084.3493160739717</v>
      </c>
      <c r="R14" s="16">
        <f t="shared" ca="1" si="4"/>
        <v>3084.3493160739717</v>
      </c>
    </row>
    <row r="15" spans="1:20">
      <c r="A15" s="18" t="s">
        <v>79</v>
      </c>
      <c r="B15" s="11"/>
      <c r="C15" s="14"/>
      <c r="D15" s="14"/>
      <c r="E15" s="14">
        <f ca="1">E17-E14</f>
        <v>2436.6948396224861</v>
      </c>
      <c r="F15" s="14"/>
      <c r="G15" s="14"/>
      <c r="H15" s="14"/>
      <c r="I15" s="14"/>
      <c r="J15" s="14"/>
      <c r="K15" s="13"/>
      <c r="L15" s="14">
        <f t="shared" ca="1" si="5"/>
        <v>2436.6948396224861</v>
      </c>
      <c r="M15" s="16"/>
      <c r="N15" s="16"/>
      <c r="O15" s="11"/>
      <c r="P15" s="13"/>
      <c r="Q15" s="14">
        <f t="shared" ca="1" si="6"/>
        <v>2436.6948396224861</v>
      </c>
      <c r="R15" s="16">
        <f t="shared" ca="1" si="4"/>
        <v>2436.6948396224861</v>
      </c>
    </row>
    <row r="16" spans="1:20">
      <c r="A16" s="30" t="s">
        <v>89</v>
      </c>
      <c r="B16" s="21">
        <f ca="1">Q2</f>
        <v>6890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6890</v>
      </c>
      <c r="M16" s="19"/>
      <c r="N16" s="19"/>
      <c r="O16" s="21"/>
      <c r="P16" s="27"/>
      <c r="Q16" s="22">
        <f t="shared" ca="1" si="6"/>
        <v>6890</v>
      </c>
      <c r="R16" s="19">
        <f t="shared" ca="1" si="4"/>
        <v>6890</v>
      </c>
    </row>
    <row r="17" spans="1:18">
      <c r="A17" s="29" t="s">
        <v>88</v>
      </c>
      <c r="B17" s="9">
        <f ca="1">B16</f>
        <v>6890</v>
      </c>
      <c r="C17" s="9">
        <f ca="1">SUM(C$2:C$11)</f>
        <v>4068.3405454362478</v>
      </c>
      <c r="D17" s="9">
        <f ca="1">SUM(D$2:D$11)</f>
        <v>5874.4087752842916</v>
      </c>
      <c r="E17" s="9">
        <f ca="1">$Q$5/parameters!$B$4</f>
        <v>5521.0441556964579</v>
      </c>
      <c r="F17" s="9">
        <f t="shared" ref="F17:K17" ca="1" si="7">SUM(F$2:F$11)</f>
        <v>4975.2238805970155</v>
      </c>
      <c r="G17" s="9">
        <f t="shared" ca="1" si="7"/>
        <v>12262.800417972832</v>
      </c>
      <c r="H17" s="9">
        <f t="shared" ca="1" si="7"/>
        <v>16402.260000000002</v>
      </c>
      <c r="I17" s="9">
        <f t="shared" ca="1" si="7"/>
        <v>7690.4271523316293</v>
      </c>
      <c r="J17" s="9">
        <f t="shared" ca="1" si="7"/>
        <v>6508.7928476683746</v>
      </c>
      <c r="K17" s="9">
        <f t="shared" ca="1" si="7"/>
        <v>15565.482190611663</v>
      </c>
      <c r="L17" s="17">
        <f t="shared" ca="1" si="5"/>
        <v>85758.779965598515</v>
      </c>
      <c r="M17" s="17"/>
      <c r="N17" s="17"/>
      <c r="O17" s="9"/>
      <c r="P17" s="14"/>
      <c r="Q17" s="11">
        <f t="shared" ca="1" si="6"/>
        <v>85758.779965598515</v>
      </c>
      <c r="R17" s="17">
        <f t="shared" ca="1" si="4"/>
        <v>85758.779965598515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0.89392953913043538</v>
      </c>
      <c r="J18" s="39">
        <f ca="1">I18</f>
        <v>0.89392953913043538</v>
      </c>
      <c r="K18" s="40">
        <f ca="1">1-(-K13)/K17</f>
        <v>0.89860696332057455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87.807723476707764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87.807723476707764</v>
      </c>
      <c r="M2" s="17"/>
      <c r="N2" s="17">
        <f ca="1">Q2-(L2+O2+P2)</f>
        <v>0</v>
      </c>
      <c r="O2" s="11" cm="1">
        <f t="array" aca="1" ref="O2" ca="1">INDIRECT("'data'!$F$" &amp; $A$1)</f>
        <v>1040</v>
      </c>
      <c r="P2" s="13">
        <f ca="1">IF(-(L2-Q2+O2)&lt;0, -(L2-Q2+O2), 0)</f>
        <v>-1046.3375695842665</v>
      </c>
      <c r="Q2" s="17" cm="1">
        <f t="array" aca="1" ref="Q2" ca="1">INDIRECT("'data'!$D$" &amp; $A$1)</f>
        <v>81.470153892441175</v>
      </c>
      <c r="R2" s="17">
        <f ca="1">SUM(L2:P2)</f>
        <v>81.470153892441203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108.9895348188045</v>
      </c>
      <c r="H3" s="14"/>
      <c r="I3" s="14"/>
      <c r="J3" s="14"/>
      <c r="K3" s="13"/>
      <c r="L3" s="16">
        <f t="shared" ca="1" si="0"/>
        <v>108.9895348188045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-21.734999999999999</v>
      </c>
      <c r="Q3" s="16" cm="1">
        <f t="array" aca="1" ref="Q3" ca="1">INDIRECT("'data'!$G$" &amp; $A$1)*parameters!$B$13</f>
        <v>87.254534818804501</v>
      </c>
      <c r="R3" s="16">
        <f t="shared" ref="R3:R10" ca="1" si="2">SUM(L3:P3)</f>
        <v>87.254534818804501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596.56950384368247</v>
      </c>
      <c r="H5" s="14"/>
      <c r="I5" s="14"/>
      <c r="J5" s="14"/>
      <c r="K5" s="13"/>
      <c r="L5" s="16">
        <f t="shared" ca="1" si="0"/>
        <v>596.56950384368247</v>
      </c>
      <c r="M5" s="16"/>
      <c r="N5" s="48">
        <f ca="1">$E$14*parameters!$B$4-$P$5-$L$5-$O$5</f>
        <v>154.34569615631733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-126.42</v>
      </c>
      <c r="Q5" s="16">
        <f ca="1">SUM(L5:P5)</f>
        <v>624.49519999999984</v>
      </c>
      <c r="R5" s="16">
        <f t="shared" ca="1" si="2"/>
        <v>624.49519999999984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675.22</v>
      </c>
      <c r="I7" s="14"/>
      <c r="J7" s="14"/>
      <c r="K7" s="13"/>
      <c r="L7" s="16">
        <f t="shared" ca="1" si="0"/>
        <v>675.22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675.22</v>
      </c>
      <c r="R7" s="16">
        <f t="shared" ca="1" si="2"/>
        <v>675.22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2919.42</v>
      </c>
      <c r="J8" s="14">
        <f ca="1">Q10/J18</f>
        <v>0</v>
      </c>
      <c r="K8" s="13"/>
      <c r="L8" s="16">
        <f t="shared" ca="1" si="0"/>
        <v>2919.42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-2244.1999999999998</v>
      </c>
      <c r="Q8" s="16">
        <f ca="1">SUM(Q6:Q7)</f>
        <v>675.22</v>
      </c>
      <c r="R8" s="16">
        <f t="shared" ca="1" si="2"/>
        <v>675.22000000000025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2983.1199999999994</v>
      </c>
      <c r="L9" s="16">
        <f t="shared" ca="1" si="0"/>
        <v>2983.1199999999994</v>
      </c>
      <c r="M9" s="16"/>
      <c r="N9" s="16">
        <f t="shared" ca="1" si="3"/>
        <v>0</v>
      </c>
      <c r="O9" s="11" cm="1">
        <f t="array" aca="1" ref="O9" ca="1">INDIRECT("'data'!$U$" &amp; $A$1)*parameters!$B$15</f>
        <v>34.299999999999997</v>
      </c>
      <c r="P9" s="13" cm="1">
        <f t="array" aca="1" ref="P9" ca="1">-INDIRECT("'data'!$V$" &amp; $A$1)*parameters!$B$15</f>
        <v>-308.7</v>
      </c>
      <c r="Q9" s="16" cm="1">
        <f t="array" aca="1" ref="Q9" ca="1">INDIRECT("'data'!$T$" &amp; $A$1)*parameters!$B$15</f>
        <v>2708.72</v>
      </c>
      <c r="R9" s="16">
        <f t="shared" ca="1" si="2"/>
        <v>2708.72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2228.52</v>
      </c>
      <c r="L10" s="16">
        <f t="shared" ca="1" si="0"/>
        <v>2228.52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-2228.52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5150.88</v>
      </c>
      <c r="N11" s="19"/>
      <c r="O11" s="21" cm="1">
        <f t="array" aca="1" ref="O11" ca="1">INDIRECT("'data'!$Z$" &amp; $A$1)*parameters!$B$15</f>
        <v>99.96</v>
      </c>
      <c r="P11" s="27" cm="1">
        <f t="array" aca="1" ref="P11" ca="1">-INDIRECT("'data'!$AA$" &amp; $A$1)*parameters!$B$15</f>
        <v>-530.17999999999995</v>
      </c>
      <c r="Q11" s="16">
        <f ca="1">K9*parameters!$B$10+K10*parameters!$B$11</f>
        <v>4720.66</v>
      </c>
      <c r="R11" s="16">
        <f t="shared" ref="R11:R17" ca="1" si="4">SUM(L11:P11)</f>
        <v>4720.66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-0.55318865790326299</v>
      </c>
      <c r="D12" s="9">
        <f ca="1">-(D17-Q4)</f>
        <v>0</v>
      </c>
      <c r="E12" s="9">
        <f ca="1">-(E17-Q5)</f>
        <v>-77.184799999999996</v>
      </c>
      <c r="F12" s="9">
        <f ca="1">-(F17-Q6)</f>
        <v>0</v>
      </c>
      <c r="G12" s="9">
        <f ca="1">-(G17-Q7)</f>
        <v>-30.339038662486928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-108.07702732039019</v>
      </c>
      <c r="M12" s="17"/>
      <c r="N12" s="17"/>
      <c r="O12" s="10"/>
      <c r="P12" s="12"/>
      <c r="Q12" s="9">
        <f t="shared" ref="Q12:Q17" ca="1" si="6">SUM(L12:P12)</f>
        <v>-108.07702732039019</v>
      </c>
      <c r="R12" s="17">
        <f t="shared" ca="1" si="4"/>
        <v>-108.07702732039019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-210.70000000000027</v>
      </c>
      <c r="J13" s="14">
        <f ca="1">-(J17-Q10)</f>
        <v>0</v>
      </c>
      <c r="K13" s="13">
        <f ca="1">-(K17-Q11)</f>
        <v>-490.97999999999956</v>
      </c>
      <c r="L13" s="14">
        <f t="shared" ca="1" si="5"/>
        <v>-701.67999999999984</v>
      </c>
      <c r="M13" s="16">
        <f ca="1">-E15</f>
        <v>0</v>
      </c>
      <c r="N13" s="16"/>
      <c r="O13" s="11"/>
      <c r="P13" s="13"/>
      <c r="Q13" s="14">
        <f t="shared" ca="1" si="6"/>
        <v>-701.67999999999984</v>
      </c>
      <c r="R13" s="16">
        <f t="shared" ca="1" si="4"/>
        <v>-701.67999999999984</v>
      </c>
    </row>
    <row r="14" spans="1:20">
      <c r="A14" s="18" t="s">
        <v>78</v>
      </c>
      <c r="B14" s="11"/>
      <c r="C14" s="14"/>
      <c r="D14" s="14"/>
      <c r="E14" s="14">
        <f ca="1">-(I13+J13)-K13</f>
        <v>701.67999999999984</v>
      </c>
      <c r="F14" s="14"/>
      <c r="G14" s="14"/>
      <c r="H14" s="14"/>
      <c r="I14" s="14"/>
      <c r="J14" s="14"/>
      <c r="K14" s="13"/>
      <c r="L14" s="14">
        <f t="shared" ca="1" si="5"/>
        <v>701.67999999999984</v>
      </c>
      <c r="M14" s="16"/>
      <c r="N14" s="16"/>
      <c r="O14" s="11"/>
      <c r="P14" s="13"/>
      <c r="Q14" s="14">
        <f t="shared" ca="1" si="6"/>
        <v>701.67999999999984</v>
      </c>
      <c r="R14" s="16">
        <f t="shared" ca="1" si="4"/>
        <v>701.67999999999984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81.470153892441175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81.470153892441175</v>
      </c>
      <c r="M16" s="19"/>
      <c r="N16" s="19"/>
      <c r="O16" s="21"/>
      <c r="P16" s="27"/>
      <c r="Q16" s="22">
        <f t="shared" ca="1" si="6"/>
        <v>81.470153892441175</v>
      </c>
      <c r="R16" s="19">
        <f t="shared" ca="1" si="4"/>
        <v>81.470153892441175</v>
      </c>
    </row>
    <row r="17" spans="1:18">
      <c r="A17" s="29" t="s">
        <v>88</v>
      </c>
      <c r="B17" s="9">
        <f ca="1">B16</f>
        <v>81.470153892441175</v>
      </c>
      <c r="C17" s="9">
        <f ca="1">SUM(C$2:C$11)</f>
        <v>87.807723476707764</v>
      </c>
      <c r="D17" s="9">
        <f ca="1">SUM(D$2:D$11)</f>
        <v>0</v>
      </c>
      <c r="E17" s="9">
        <f ca="1">$Q$5/parameters!$B$4</f>
        <v>701.67999999999984</v>
      </c>
      <c r="F17" s="9">
        <f t="shared" ref="F17:K17" ca="1" si="7">SUM(F$2:F$11)</f>
        <v>0</v>
      </c>
      <c r="G17" s="9">
        <f t="shared" ca="1" si="7"/>
        <v>705.55903866248696</v>
      </c>
      <c r="H17" s="9">
        <f t="shared" ca="1" si="7"/>
        <v>675.22</v>
      </c>
      <c r="I17" s="9">
        <f t="shared" ca="1" si="7"/>
        <v>2919.42</v>
      </c>
      <c r="J17" s="9">
        <f t="shared" ca="1" si="7"/>
        <v>0</v>
      </c>
      <c r="K17" s="9">
        <f t="shared" ca="1" si="7"/>
        <v>5211.6399999999994</v>
      </c>
      <c r="L17" s="17">
        <f t="shared" ca="1" si="5"/>
        <v>10382.796916031635</v>
      </c>
      <c r="M17" s="17"/>
      <c r="N17" s="17"/>
      <c r="O17" s="9"/>
      <c r="P17" s="14"/>
      <c r="Q17" s="11">
        <f t="shared" ca="1" si="6"/>
        <v>10382.796916031635</v>
      </c>
      <c r="R17" s="17">
        <f t="shared" ca="1" si="4"/>
        <v>10382.796916031635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0.92782813024504862</v>
      </c>
      <c r="J18" s="39">
        <f ca="1">I18</f>
        <v>0.92782813024504862</v>
      </c>
      <c r="K18" s="40">
        <f ca="1">1-(-K13)/K17</f>
        <v>0.90579165099661529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12551.182449431417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12551.182449431417</v>
      </c>
      <c r="M2" s="17"/>
      <c r="N2" s="17">
        <f ca="1">Q2-(L2+O2+P2)</f>
        <v>0</v>
      </c>
      <c r="O2" s="11" cm="1">
        <f t="array" aca="1" ref="O2" ca="1">INDIRECT("'data'!$F$" &amp; $A$1)</f>
        <v>26.650000000000002</v>
      </c>
      <c r="P2" s="13">
        <f ca="1">IF(-(L2-Q2+O2)&lt;0, -(L2-Q2+O2), 0)</f>
        <v>-12577.832449431417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10657.552238805971</v>
      </c>
      <c r="G3" s="14">
        <f ca="1">Q3-O3-P3-F3</f>
        <v>2038.5227611940281</v>
      </c>
      <c r="H3" s="14"/>
      <c r="I3" s="14"/>
      <c r="J3" s="14"/>
      <c r="K3" s="13"/>
      <c r="L3" s="16">
        <f t="shared" ca="1" si="0"/>
        <v>12696.074999999999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-224.91</v>
      </c>
      <c r="Q3" s="16" cm="1">
        <f t="array" aca="1" ref="Q3" ca="1">INDIRECT("'data'!$G$" &amp; $A$1)*parameters!$B$13</f>
        <v>12472.109999999999</v>
      </c>
      <c r="R3" s="16">
        <f t="shared" ref="R3:R10" ca="1" si="2">SUM(L3:P3)</f>
        <v>12472.109999999999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121.44</v>
      </c>
      <c r="H4" s="14"/>
      <c r="I4" s="14"/>
      <c r="J4" s="14"/>
      <c r="K4" s="13"/>
      <c r="L4" s="16">
        <f t="shared" ca="1" si="0"/>
        <v>121.44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-124.2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2664.3880597014927</v>
      </c>
      <c r="G5" s="14">
        <f ca="1">Q7/parameters!$B$7-(G3+G4)</f>
        <v>6051.7613767370058</v>
      </c>
      <c r="H5" s="14"/>
      <c r="I5" s="14"/>
      <c r="J5" s="14"/>
      <c r="K5" s="13"/>
      <c r="L5" s="16">
        <f t="shared" ca="1" si="0"/>
        <v>8716.149436438498</v>
      </c>
      <c r="M5" s="16"/>
      <c r="N5" s="16"/>
      <c r="O5" s="11" cm="1">
        <f t="array" aca="1" ref="O5" ca="1">INDIRECT("'data'!$M$" &amp; $A$1)*parameters!$B$15</f>
        <v>5488</v>
      </c>
      <c r="P5" s="13" cm="1">
        <f t="array" aca="1" ref="P5" ca="1">-INDIRECT("'data'!$N$" &amp; $A$1)*parameters!$B$15</f>
        <v>-3386.88</v>
      </c>
      <c r="Q5" s="16">
        <f ca="1">SUM(L5:P5)</f>
        <v>10817.269436438499</v>
      </c>
      <c r="R5" s="16">
        <f t="shared" ca="1" si="2"/>
        <v>10817.269436438499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12495.98</v>
      </c>
      <c r="I6" s="14"/>
      <c r="J6" s="14"/>
      <c r="K6" s="13"/>
      <c r="L6" s="16">
        <f t="shared" ca="1" si="0"/>
        <v>12495.98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12495.98</v>
      </c>
      <c r="R6" s="16">
        <f t="shared" ca="1" si="2"/>
        <v>12495.98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7858.62</v>
      </c>
      <c r="I7" s="14"/>
      <c r="J7" s="14"/>
      <c r="K7" s="13"/>
      <c r="L7" s="16">
        <f t="shared" ca="1" si="0"/>
        <v>7858.62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7858.62</v>
      </c>
      <c r="R7" s="16">
        <f t="shared" ca="1" si="2"/>
        <v>7858.62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5854.9752365056966</v>
      </c>
      <c r="J8" s="14">
        <f ca="1">Q10/J18</f>
        <v>12512.184763494297</v>
      </c>
      <c r="K8" s="13"/>
      <c r="L8" s="16">
        <f t="shared" ca="1" si="0"/>
        <v>18367.159999999993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3755.36</v>
      </c>
      <c r="P8" s="13" cm="1">
        <f t="array" aca="1" ref="P8" ca="1">-INDIRECT("'data'!$S$" &amp; $A$1)*parameters!$B$15</f>
        <v>-1767.92</v>
      </c>
      <c r="Q8" s="16">
        <f ca="1">SUM(Q6:Q7)</f>
        <v>20354.599999999999</v>
      </c>
      <c r="R8" s="16">
        <f t="shared" ca="1" si="2"/>
        <v>20354.599999999991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6080.9</v>
      </c>
      <c r="L9" s="16">
        <f t="shared" ca="1" si="0"/>
        <v>6080.9</v>
      </c>
      <c r="M9" s="16"/>
      <c r="N9" s="16">
        <f t="shared" ca="1" si="3"/>
        <v>0</v>
      </c>
      <c r="O9" s="11" cm="1">
        <f t="array" aca="1" ref="O9" ca="1">INDIRECT("'data'!$U$" &amp; $A$1)*parameters!$B$15</f>
        <v>3056.62</v>
      </c>
      <c r="P9" s="13" cm="1">
        <f t="array" aca="1" ref="P9" ca="1">-INDIRECT("'data'!$V$" &amp; $A$1)*parameters!$B$15</f>
        <v>-3815.14</v>
      </c>
      <c r="Q9" s="16" cm="1">
        <f t="array" aca="1" ref="Q9" ca="1">INDIRECT("'data'!$T$" &amp; $A$1)*parameters!$B$15</f>
        <v>5322.38</v>
      </c>
      <c r="R9" s="16">
        <f t="shared" ca="1" si="2"/>
        <v>5322.380000000001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10579.239402560455</v>
      </c>
      <c r="L10" s="16">
        <f t="shared" ca="1" si="0"/>
        <v>10579.239402560455</v>
      </c>
      <c r="M10" s="16"/>
      <c r="N10" s="16">
        <f t="shared" ca="1" si="3"/>
        <v>0</v>
      </c>
      <c r="O10" s="11" cm="1">
        <f t="array" aca="1" ref="O10" ca="1">INDIRECT("'data'!$X$" &amp; $A$1)*parameters!$B$15</f>
        <v>10119.48</v>
      </c>
      <c r="P10" s="13" cm="1">
        <f t="array" aca="1" ref="P10" ca="1">-INDIRECT("'data'!$Y$" &amp; $A$1)*parameters!$B$15</f>
        <v>-9324.7000000000007</v>
      </c>
      <c r="Q10" s="16" cm="1">
        <f t="array" aca="1" ref="Q10" ca="1">INDIRECT("'data'!$W$" &amp; $A$1)*parameters!$B$15</f>
        <v>11374.019402560454</v>
      </c>
      <c r="R10" s="16">
        <f t="shared" ca="1" si="2"/>
        <v>11374.019402560454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15381.611886201992</v>
      </c>
      <c r="N11" s="19"/>
      <c r="O11" s="21" cm="1">
        <f t="array" aca="1" ref="O11" ca="1">INDIRECT("'data'!$Z$" &amp; $A$1)*parameters!$B$15</f>
        <v>9864.68</v>
      </c>
      <c r="P11" s="27" cm="1">
        <f t="array" aca="1" ref="P11" ca="1">-INDIRECT("'data'!$AA$" &amp; $A$1)*parameters!$B$15</f>
        <v>-10432.1</v>
      </c>
      <c r="Q11" s="16">
        <f ca="1">K9*parameters!$B$10+K10*parameters!$B$11</f>
        <v>14814.191886201992</v>
      </c>
      <c r="R11" s="16">
        <f t="shared" ref="R11:R17" ca="1" si="4">SUM(L11:P11)</f>
        <v>14814.191886201994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-79.072449431418136</v>
      </c>
      <c r="D12" s="9">
        <f ca="1">-(D17-Q4)</f>
        <v>0</v>
      </c>
      <c r="E12" s="9">
        <f ca="1">-(E17-Q5)</f>
        <v>-1336.965885402511</v>
      </c>
      <c r="F12" s="9">
        <f ca="1">-(F17-Q6)</f>
        <v>-825.96029850746345</v>
      </c>
      <c r="G12" s="9">
        <f ca="1">-(G17-Q7)</f>
        <v>-353.10413793103453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-2595.1027712724272</v>
      </c>
      <c r="M12" s="17"/>
      <c r="N12" s="17"/>
      <c r="O12" s="10"/>
      <c r="P12" s="12"/>
      <c r="Q12" s="9">
        <f t="shared" ref="Q12:Q17" ca="1" si="6">SUM(L12:P12)</f>
        <v>-2595.1027712724272</v>
      </c>
      <c r="R12" s="17">
        <f t="shared" ca="1" si="4"/>
        <v>-2595.1027712724272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-532.59523650569645</v>
      </c>
      <c r="J13" s="14">
        <f ca="1">-(J17-Q10)</f>
        <v>-1138.1653609338427</v>
      </c>
      <c r="K13" s="13">
        <f ca="1">-(K17-Q11)</f>
        <v>-1845.9475163584611</v>
      </c>
      <c r="L13" s="14">
        <f t="shared" ca="1" si="5"/>
        <v>-3516.7081137980003</v>
      </c>
      <c r="M13" s="16">
        <f ca="1">-E15</f>
        <v>-8637.5272080430095</v>
      </c>
      <c r="N13" s="16"/>
      <c r="O13" s="11"/>
      <c r="P13" s="13"/>
      <c r="Q13" s="14">
        <f t="shared" ca="1" si="6"/>
        <v>-12154.23532184101</v>
      </c>
      <c r="R13" s="16">
        <f t="shared" ca="1" si="4"/>
        <v>-12154.23532184101</v>
      </c>
    </row>
    <row r="14" spans="1:20">
      <c r="A14" s="18" t="s">
        <v>78</v>
      </c>
      <c r="B14" s="11"/>
      <c r="C14" s="14"/>
      <c r="D14" s="14"/>
      <c r="E14" s="14">
        <f ca="1">-(I13+J13)-K13</f>
        <v>3516.7081137980003</v>
      </c>
      <c r="F14" s="14"/>
      <c r="G14" s="14"/>
      <c r="H14" s="14"/>
      <c r="I14" s="14"/>
      <c r="J14" s="14"/>
      <c r="K14" s="13"/>
      <c r="L14" s="14">
        <f t="shared" ca="1" si="5"/>
        <v>3516.7081137980003</v>
      </c>
      <c r="M14" s="16"/>
      <c r="N14" s="16"/>
      <c r="O14" s="11"/>
      <c r="P14" s="13"/>
      <c r="Q14" s="14">
        <f t="shared" ca="1" si="6"/>
        <v>3516.7081137980003</v>
      </c>
      <c r="R14" s="16">
        <f t="shared" ca="1" si="4"/>
        <v>3516.7081137980003</v>
      </c>
    </row>
    <row r="15" spans="1:20">
      <c r="A15" s="18" t="s">
        <v>79</v>
      </c>
      <c r="B15" s="11"/>
      <c r="C15" s="14"/>
      <c r="D15" s="14"/>
      <c r="E15" s="14">
        <f ca="1">E17-E14</f>
        <v>8637.5272080430095</v>
      </c>
      <c r="F15" s="14"/>
      <c r="G15" s="14"/>
      <c r="H15" s="14"/>
      <c r="I15" s="14"/>
      <c r="J15" s="14"/>
      <c r="K15" s="13"/>
      <c r="L15" s="14">
        <f t="shared" ca="1" si="5"/>
        <v>8637.5272080430095</v>
      </c>
      <c r="M15" s="16"/>
      <c r="N15" s="16"/>
      <c r="O15" s="11"/>
      <c r="P15" s="13"/>
      <c r="Q15" s="14">
        <f t="shared" ca="1" si="6"/>
        <v>8637.5272080430095</v>
      </c>
      <c r="R15" s="16">
        <f t="shared" ca="1" si="4"/>
        <v>8637.5272080430095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12551.182449431417</v>
      </c>
      <c r="D17" s="9">
        <f ca="1">SUM(D$2:D$11)</f>
        <v>0</v>
      </c>
      <c r="E17" s="9">
        <f ca="1">$Q$5/parameters!$B$4</f>
        <v>12154.23532184101</v>
      </c>
      <c r="F17" s="9">
        <f t="shared" ref="F17:K17" ca="1" si="7">SUM(F$2:F$11)</f>
        <v>13321.940298507463</v>
      </c>
      <c r="G17" s="9">
        <f t="shared" ca="1" si="7"/>
        <v>8211.7241379310344</v>
      </c>
      <c r="H17" s="9">
        <f t="shared" ca="1" si="7"/>
        <v>20354.599999999999</v>
      </c>
      <c r="I17" s="9">
        <f t="shared" ca="1" si="7"/>
        <v>5854.9752365056966</v>
      </c>
      <c r="J17" s="9">
        <f t="shared" ca="1" si="7"/>
        <v>12512.184763494297</v>
      </c>
      <c r="K17" s="9">
        <f t="shared" ca="1" si="7"/>
        <v>16660.139402560453</v>
      </c>
      <c r="L17" s="17">
        <f t="shared" ca="1" si="5"/>
        <v>101620.98161027137</v>
      </c>
      <c r="M17" s="17"/>
      <c r="N17" s="17"/>
      <c r="O17" s="9"/>
      <c r="P17" s="14"/>
      <c r="Q17" s="11">
        <f t="shared" ca="1" si="6"/>
        <v>101620.98161027137</v>
      </c>
      <c r="R17" s="17">
        <f t="shared" ca="1" si="4"/>
        <v>101620.98161027137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0.90903544165567562</v>
      </c>
      <c r="J18" s="39">
        <f ca="1">I18</f>
        <v>0.90903544165567562</v>
      </c>
      <c r="K18" s="40">
        <f ca="1">1-(-K13)/K17</f>
        <v>0.88919975567102627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3838.2006641843614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3838.2006641843614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-3838.2006641843614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3521.313432835821</v>
      </c>
      <c r="G3" s="14">
        <f ca="1">Q3-O3-P3-F3</f>
        <v>851.20156716417841</v>
      </c>
      <c r="H3" s="14"/>
      <c r="I3" s="14"/>
      <c r="J3" s="14"/>
      <c r="K3" s="13"/>
      <c r="L3" s="16">
        <f t="shared" ca="1" si="0"/>
        <v>4372.5149999999994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-561.32999999999993</v>
      </c>
      <c r="Q3" s="16" cm="1">
        <f t="array" aca="1" ref="Q3" ca="1">INDIRECT("'data'!$G$" &amp; $A$1)*parameters!$B$13</f>
        <v>3814.02</v>
      </c>
      <c r="R3" s="16">
        <f t="shared" ref="R3:R10" ca="1" si="2">SUM(L3:P3)</f>
        <v>3814.0199999999995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482.08</v>
      </c>
      <c r="H4" s="14"/>
      <c r="I4" s="14"/>
      <c r="J4" s="14"/>
      <c r="K4" s="13"/>
      <c r="L4" s="16">
        <f t="shared" ca="1" si="0"/>
        <v>482.08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-483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880.32835820895525</v>
      </c>
      <c r="G5" s="14">
        <f ca="1">Q7/parameters!$B$7-(G3+G4)</f>
        <v>12396.958767214088</v>
      </c>
      <c r="H5" s="14"/>
      <c r="I5" s="14"/>
      <c r="J5" s="14"/>
      <c r="K5" s="13"/>
      <c r="L5" s="16">
        <f t="shared" ca="1" si="0"/>
        <v>13277.287125423043</v>
      </c>
      <c r="M5" s="16"/>
      <c r="N5" s="16"/>
      <c r="O5" s="11" cm="1">
        <f t="array" aca="1" ref="O5" ca="1">INDIRECT("'data'!$M$" &amp; $A$1)*parameters!$B$15</f>
        <v>200.9</v>
      </c>
      <c r="P5" s="13" cm="1">
        <f t="array" aca="1" ref="P5" ca="1">-INDIRECT("'data'!$N$" &amp; $A$1)*parameters!$B$15</f>
        <v>-6299.44</v>
      </c>
      <c r="Q5" s="16">
        <f ca="1">SUM(L5:P5)</f>
        <v>7178.7471254230431</v>
      </c>
      <c r="R5" s="16">
        <f t="shared" ca="1" si="2"/>
        <v>7178.7471254230431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4128.74</v>
      </c>
      <c r="I6" s="14"/>
      <c r="J6" s="14"/>
      <c r="K6" s="13"/>
      <c r="L6" s="16">
        <f t="shared" ca="1" si="0"/>
        <v>4128.74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4128.74</v>
      </c>
      <c r="R6" s="16">
        <f t="shared" ca="1" si="2"/>
        <v>4128.74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13139.84</v>
      </c>
      <c r="I7" s="14"/>
      <c r="J7" s="14"/>
      <c r="K7" s="13"/>
      <c r="L7" s="16">
        <f t="shared" ca="1" si="0"/>
        <v>13139.84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13139.84</v>
      </c>
      <c r="R7" s="16">
        <f t="shared" ca="1" si="2"/>
        <v>13139.84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12566.125790193844</v>
      </c>
      <c r="J8" s="14">
        <f ca="1">Q10/J18</f>
        <v>6040.1542098061554</v>
      </c>
      <c r="K8" s="13"/>
      <c r="L8" s="16">
        <f t="shared" ca="1" si="0"/>
        <v>18606.28</v>
      </c>
      <c r="M8" s="16"/>
      <c r="N8" s="16">
        <f t="shared" ca="1" si="3"/>
        <v>0</v>
      </c>
      <c r="O8" s="11" cm="1">
        <f t="array" aca="1" ref="O8" ca="1">INDIRECT("'data'!$R$" &amp; $A$1)*parameters!$B$15</f>
        <v>127.39999999999999</v>
      </c>
      <c r="P8" s="13" cm="1">
        <f t="array" aca="1" ref="P8" ca="1">-INDIRECT("'data'!$S$" &amp; $A$1)*parameters!$B$15</f>
        <v>-1465.1</v>
      </c>
      <c r="Q8" s="16">
        <f ca="1">SUM(Q6:Q7)</f>
        <v>17268.580000000002</v>
      </c>
      <c r="R8" s="16">
        <f t="shared" ca="1" si="2"/>
        <v>17268.580000000002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10641.82</v>
      </c>
      <c r="L9" s="16">
        <f t="shared" ca="1" si="0"/>
        <v>10641.82</v>
      </c>
      <c r="M9" s="16"/>
      <c r="N9" s="16">
        <f t="shared" ca="1" si="3"/>
        <v>0</v>
      </c>
      <c r="O9" s="11" cm="1">
        <f t="array" aca="1" ref="O9" ca="1">INDIRECT("'data'!$U$" &amp; $A$1)*parameters!$B$15</f>
        <v>3438.82</v>
      </c>
      <c r="P9" s="13" cm="1">
        <f t="array" aca="1" ref="P9" ca="1">-INDIRECT("'data'!$V$" &amp; $A$1)*parameters!$B$15</f>
        <v>-2425.5</v>
      </c>
      <c r="Q9" s="16" cm="1">
        <f t="array" aca="1" ref="Q9" ca="1">INDIRECT("'data'!$T$" &amp; $A$1)*parameters!$B$15</f>
        <v>11655.14</v>
      </c>
      <c r="R9" s="16">
        <f t="shared" ca="1" si="2"/>
        <v>11655.14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10593.41106685633</v>
      </c>
      <c r="L10" s="16">
        <f t="shared" ca="1" si="0"/>
        <v>10593.41106685633</v>
      </c>
      <c r="M10" s="16"/>
      <c r="N10" s="16">
        <f t="shared" ca="1" si="3"/>
        <v>0</v>
      </c>
      <c r="O10" s="11" cm="1">
        <f t="array" aca="1" ref="O10" ca="1">INDIRECT("'data'!$X$" &amp; $A$1)*parameters!$B$15</f>
        <v>2036.44</v>
      </c>
      <c r="P10" s="13" cm="1">
        <f t="array" aca="1" ref="P10" ca="1">-INDIRECT("'data'!$Y$" &amp; $A$1)*parameters!$B$15</f>
        <v>-7027.58</v>
      </c>
      <c r="Q10" s="16" cm="1">
        <f t="array" aca="1" ref="Q10" ca="1">INDIRECT("'data'!$W$" &amp; $A$1)*parameters!$B$15</f>
        <v>5602.2710668563304</v>
      </c>
      <c r="R10" s="16">
        <f t="shared" ca="1" si="2"/>
        <v>5602.2710668563304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19199.884317496442</v>
      </c>
      <c r="N11" s="19"/>
      <c r="O11" s="21" cm="1">
        <f t="array" aca="1" ref="O11" ca="1">INDIRECT("'data'!$Z$" &amp; $A$1)*parameters!$B$15</f>
        <v>7103.04</v>
      </c>
      <c r="P11" s="27" cm="1">
        <f t="array" aca="1" ref="P11" ca="1">-INDIRECT("'data'!$AA$" &amp; $A$1)*parameters!$B$15</f>
        <v>-7189.28</v>
      </c>
      <c r="Q11" s="16">
        <f ca="1">K9*parameters!$B$10+K10*parameters!$B$11</f>
        <v>19113.644317496444</v>
      </c>
      <c r="R11" s="16">
        <f t="shared" ref="R11:R17" ca="1" si="4">SUM(L11:P11)</f>
        <v>19113.644317496444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-24.180664184361376</v>
      </c>
      <c r="D12" s="9">
        <f ca="1">-(D17-Q4)</f>
        <v>0</v>
      </c>
      <c r="E12" s="9">
        <f ca="1">-(E17-Q5)</f>
        <v>-887.26088067026376</v>
      </c>
      <c r="F12" s="9">
        <f ca="1">-(F17-Q6)</f>
        <v>-272.90179104477647</v>
      </c>
      <c r="G12" s="9">
        <f ca="1">-(G17-Q7)</f>
        <v>-590.40033437826605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-1774.7436702776677</v>
      </c>
      <c r="M12" s="17"/>
      <c r="N12" s="17"/>
      <c r="O12" s="10"/>
      <c r="P12" s="12"/>
      <c r="Q12" s="9">
        <f t="shared" ref="Q12:Q17" ca="1" si="6">SUM(L12:P12)</f>
        <v>-1774.7436702776677</v>
      </c>
      <c r="R12" s="17">
        <f t="shared" ca="1" si="4"/>
        <v>-1774.7436702776677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-910.98579019384488</v>
      </c>
      <c r="J13" s="14">
        <f ca="1">-(J17-Q10)</f>
        <v>-437.88314294982501</v>
      </c>
      <c r="K13" s="13">
        <f ca="1">-(K17-Q11)</f>
        <v>-2121.5867493598853</v>
      </c>
      <c r="L13" s="14">
        <f t="shared" ca="1" si="5"/>
        <v>-3470.4556825035552</v>
      </c>
      <c r="M13" s="16">
        <f ca="1">-E15</f>
        <v>-4595.5523235897517</v>
      </c>
      <c r="N13" s="16"/>
      <c r="O13" s="11"/>
      <c r="P13" s="13"/>
      <c r="Q13" s="14">
        <f t="shared" ca="1" si="6"/>
        <v>-8066.0080060933069</v>
      </c>
      <c r="R13" s="16">
        <f t="shared" ca="1" si="4"/>
        <v>-8066.0080060933069</v>
      </c>
    </row>
    <row r="14" spans="1:20">
      <c r="A14" s="18" t="s">
        <v>78</v>
      </c>
      <c r="B14" s="11"/>
      <c r="C14" s="14"/>
      <c r="D14" s="14"/>
      <c r="E14" s="14">
        <f ca="1">-(I13+J13)-K13</f>
        <v>3470.4556825035552</v>
      </c>
      <c r="F14" s="14"/>
      <c r="G14" s="14"/>
      <c r="H14" s="14"/>
      <c r="I14" s="14"/>
      <c r="J14" s="14"/>
      <c r="K14" s="13"/>
      <c r="L14" s="14">
        <f t="shared" ca="1" si="5"/>
        <v>3470.4556825035552</v>
      </c>
      <c r="M14" s="16"/>
      <c r="N14" s="16"/>
      <c r="O14" s="11"/>
      <c r="P14" s="13"/>
      <c r="Q14" s="14">
        <f t="shared" ca="1" si="6"/>
        <v>3470.4556825035552</v>
      </c>
      <c r="R14" s="16">
        <f t="shared" ca="1" si="4"/>
        <v>3470.4556825035552</v>
      </c>
    </row>
    <row r="15" spans="1:20">
      <c r="A15" s="18" t="s">
        <v>79</v>
      </c>
      <c r="B15" s="11"/>
      <c r="C15" s="14"/>
      <c r="D15" s="14"/>
      <c r="E15" s="14">
        <f ca="1">E17-E14</f>
        <v>4595.5523235897517</v>
      </c>
      <c r="F15" s="14"/>
      <c r="G15" s="14"/>
      <c r="H15" s="14"/>
      <c r="I15" s="14"/>
      <c r="J15" s="14"/>
      <c r="K15" s="13"/>
      <c r="L15" s="14">
        <f t="shared" ca="1" si="5"/>
        <v>4595.5523235897517</v>
      </c>
      <c r="M15" s="16"/>
      <c r="N15" s="16"/>
      <c r="O15" s="11"/>
      <c r="P15" s="13"/>
      <c r="Q15" s="14">
        <f t="shared" ca="1" si="6"/>
        <v>4595.5523235897517</v>
      </c>
      <c r="R15" s="16">
        <f t="shared" ca="1" si="4"/>
        <v>4595.5523235897517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3838.2006641843614</v>
      </c>
      <c r="D17" s="9">
        <f ca="1">SUM(D$2:D$11)</f>
        <v>0</v>
      </c>
      <c r="E17" s="9">
        <f ca="1">$Q$5/parameters!$B$4</f>
        <v>8066.0080060933069</v>
      </c>
      <c r="F17" s="9">
        <f t="shared" ref="F17:K17" ca="1" si="7">SUM(F$2:F$11)</f>
        <v>4401.6417910447763</v>
      </c>
      <c r="G17" s="9">
        <f t="shared" ca="1" si="7"/>
        <v>13730.240334378266</v>
      </c>
      <c r="H17" s="9">
        <f t="shared" ca="1" si="7"/>
        <v>17268.580000000002</v>
      </c>
      <c r="I17" s="9">
        <f t="shared" ca="1" si="7"/>
        <v>12566.125790193844</v>
      </c>
      <c r="J17" s="9">
        <f t="shared" ca="1" si="7"/>
        <v>6040.1542098061554</v>
      </c>
      <c r="K17" s="9">
        <f t="shared" ca="1" si="7"/>
        <v>21235.23106685633</v>
      </c>
      <c r="L17" s="17">
        <f t="shared" ca="1" si="5"/>
        <v>87146.181862557045</v>
      </c>
      <c r="M17" s="17"/>
      <c r="N17" s="17"/>
      <c r="O17" s="9"/>
      <c r="P17" s="14"/>
      <c r="Q17" s="11">
        <f t="shared" ca="1" si="6"/>
        <v>87146.181862557045</v>
      </c>
      <c r="R17" s="17">
        <f t="shared" ca="1" si="4"/>
        <v>87146.181862557045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0.9275046418121371</v>
      </c>
      <c r="J18" s="39">
        <f ca="1">I18</f>
        <v>0.9275046418121371</v>
      </c>
      <c r="K18" s="40">
        <f ca="1">1-(-K13)/K17</f>
        <v>0.90009118607278871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8395.3507094696579</v>
      </c>
      <c r="D2" s="9">
        <f ca="1">Q4/parameters!$B$3</f>
        <v>1010.0835262151555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9405.4342356848138</v>
      </c>
      <c r="M2" s="17"/>
      <c r="N2" s="17">
        <f ca="1">Q2-(L2+O2+P2)</f>
        <v>0</v>
      </c>
      <c r="O2" s="11" cm="1">
        <f t="array" aca="1" ref="O2" ca="1">INDIRECT("'data'!$F$" &amp; $A$1)</f>
        <v>14594.45</v>
      </c>
      <c r="P2" s="13">
        <f ca="1">IF(-(L2-Q2+O2)&lt;0, -(L2-Q2+O2), 0)</f>
        <v>-6198.8842356848145</v>
      </c>
      <c r="Q2" s="17" cm="1">
        <f t="array" aca="1" ref="Q2" ca="1">INDIRECT("'data'!$D$" &amp; $A$1)</f>
        <v>17801</v>
      </c>
      <c r="R2" s="17">
        <f ca="1">SUM(L2:P2)</f>
        <v>17801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8066.5074626865662</v>
      </c>
      <c r="G3" s="14">
        <f ca="1">Q3-O3-P3-F3</f>
        <v>244.76753731343342</v>
      </c>
      <c r="H3" s="14"/>
      <c r="I3" s="14"/>
      <c r="J3" s="14"/>
      <c r="K3" s="13"/>
      <c r="L3" s="16">
        <f t="shared" ca="1" si="0"/>
        <v>8311.2749999999996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89.774999999999991</v>
      </c>
      <c r="P3" s="13" cm="1">
        <f t="array" aca="1" ref="P3" ca="1">-INDIRECT("'data'!$I$" &amp; $A$1)*parameters!$B$13</f>
        <v>-58.589999999999996</v>
      </c>
      <c r="Q3" s="16" cm="1">
        <f t="array" aca="1" ref="Q3" ca="1">INDIRECT("'data'!$G$" &amp; $A$1)*parameters!$B$13</f>
        <v>8342.4599999999991</v>
      </c>
      <c r="R3" s="16">
        <f t="shared" ref="R3:R10" ca="1" si="2">SUM(L3:P3)</f>
        <v>8342.4599999999991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756.24000000000012</v>
      </c>
      <c r="H4" s="14"/>
      <c r="I4" s="14"/>
      <c r="J4" s="14"/>
      <c r="K4" s="13"/>
      <c r="L4" s="16">
        <f t="shared" ca="1" si="0"/>
        <v>756.24000000000012</v>
      </c>
      <c r="M4" s="16"/>
      <c r="N4" s="16">
        <f t="shared" ca="1" si="1"/>
        <v>0</v>
      </c>
      <c r="O4" s="11" cm="1">
        <f t="array" aca="1" ref="O4" ca="1">INDIRECT("'data'!$K$" &amp; $A$1)*parameters!$B$14</f>
        <v>427.8</v>
      </c>
      <c r="P4" s="13" cm="1">
        <f t="array" aca="1" ref="P4" ca="1">-INDIRECT("'data'!$L$" &amp; $A$1)*parameters!$B$14</f>
        <v>-180.32000000000002</v>
      </c>
      <c r="Q4" s="16" cm="1">
        <f t="array" aca="1" ref="Q4" ca="1">INDIRECT("'data'!$J$" &amp; $A$1)*parameters!$B$14</f>
        <v>1003.72</v>
      </c>
      <c r="R4" s="16">
        <f t="shared" ca="1" si="2"/>
        <v>1003.7200000000001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2016.6268656716418</v>
      </c>
      <c r="G5" s="14">
        <f ca="1">Q7/parameters!$B$7-(G3+G4)</f>
        <v>5812.9109579843725</v>
      </c>
      <c r="H5" s="14"/>
      <c r="I5" s="14"/>
      <c r="J5" s="14"/>
      <c r="K5" s="13"/>
      <c r="L5" s="16">
        <f t="shared" ca="1" si="0"/>
        <v>7829.5378236560146</v>
      </c>
      <c r="M5" s="16"/>
      <c r="N5" s="16"/>
      <c r="O5" s="11" cm="1">
        <f t="array" aca="1" ref="O5" ca="1">INDIRECT("'data'!$M$" &amp; $A$1)*parameters!$B$15</f>
        <v>2905.7</v>
      </c>
      <c r="P5" s="13" cm="1">
        <f t="array" aca="1" ref="P5" ca="1">-INDIRECT("'data'!$N$" &amp; $A$1)*parameters!$B$15</f>
        <v>-1789.48</v>
      </c>
      <c r="Q5" s="16">
        <f ca="1">SUM(L5:P5)</f>
        <v>8945.7578236560148</v>
      </c>
      <c r="R5" s="16">
        <f t="shared" ca="1" si="2"/>
        <v>8945.7578236560148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9457.98</v>
      </c>
      <c r="I6" s="14"/>
      <c r="J6" s="14"/>
      <c r="K6" s="13"/>
      <c r="L6" s="16">
        <f t="shared" ca="1" si="0"/>
        <v>9457.98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9457.98</v>
      </c>
      <c r="R6" s="16">
        <f t="shared" ca="1" si="2"/>
        <v>9457.98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6520.92</v>
      </c>
      <c r="I7" s="14"/>
      <c r="J7" s="14"/>
      <c r="K7" s="13"/>
      <c r="L7" s="16">
        <f t="shared" ca="1" si="0"/>
        <v>6520.92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6520.92</v>
      </c>
      <c r="R7" s="16">
        <f t="shared" ca="1" si="2"/>
        <v>6520.92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4294.4443018639822</v>
      </c>
      <c r="J8" s="14">
        <f ca="1">Q10/J18</f>
        <v>12280.295698136018</v>
      </c>
      <c r="K8" s="13"/>
      <c r="L8" s="16">
        <f t="shared" ca="1" si="0"/>
        <v>16574.740000000002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217.56</v>
      </c>
      <c r="P8" s="13" cm="1">
        <f t="array" aca="1" ref="P8" ca="1">-INDIRECT("'data'!$S$" &amp; $A$1)*parameters!$B$15</f>
        <v>-813.4</v>
      </c>
      <c r="Q8" s="16">
        <f ca="1">SUM(Q6:Q7)</f>
        <v>15978.9</v>
      </c>
      <c r="R8" s="16">
        <f t="shared" ca="1" si="2"/>
        <v>15978.900000000003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4423.7199999999993</v>
      </c>
      <c r="L9" s="16">
        <f t="shared" ca="1" si="0"/>
        <v>4423.7199999999993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1847.3</v>
      </c>
      <c r="P9" s="13" cm="1">
        <f t="array" aca="1" ref="P9" ca="1">-INDIRECT("'data'!$V$" &amp; $A$1)*parameters!$B$15</f>
        <v>-2709.7</v>
      </c>
      <c r="Q9" s="16" cm="1">
        <f t="array" aca="1" ref="Q9" ca="1">INDIRECT("'data'!$T$" &amp; $A$1)*parameters!$B$15</f>
        <v>3561.3199999999997</v>
      </c>
      <c r="R9" s="16">
        <f t="shared" ca="1" si="2"/>
        <v>3561.3199999999997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12274.210042674255</v>
      </c>
      <c r="L10" s="16">
        <f t="shared" ca="1" si="0"/>
        <v>12274.210042674255</v>
      </c>
      <c r="M10" s="16"/>
      <c r="N10" s="16">
        <f t="shared" ca="1" si="3"/>
        <v>0</v>
      </c>
      <c r="O10" s="11" cm="1">
        <f t="array" aca="1" ref="O10" ca="1">INDIRECT("'data'!$X$" &amp; $A$1)*parameters!$B$15</f>
        <v>2208.92</v>
      </c>
      <c r="P10" s="13" cm="1">
        <f t="array" aca="1" ref="P10" ca="1">-INDIRECT("'data'!$Y$" &amp; $A$1)*parameters!$B$15</f>
        <v>-4299.26</v>
      </c>
      <c r="Q10" s="16" cm="1">
        <f t="array" aca="1" ref="Q10" ca="1">INDIRECT("'data'!$W$" &amp; $A$1)*parameters!$B$15</f>
        <v>10183.870042674254</v>
      </c>
      <c r="R10" s="16">
        <f t="shared" ca="1" si="2"/>
        <v>10183.870042674254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17252.317436699857</v>
      </c>
      <c r="N11" s="19"/>
      <c r="O11" s="21" cm="1">
        <f t="array" aca="1" ref="O11" ca="1">INDIRECT("'data'!$Z$" &amp; $A$1)*parameters!$B$15</f>
        <v>7085.4</v>
      </c>
      <c r="P11" s="27" cm="1">
        <f t="array" aca="1" ref="P11" ca="1">-INDIRECT("'data'!$AA$" &amp; $A$1)*parameters!$B$15</f>
        <v>-9623.6</v>
      </c>
      <c r="Q11" s="16">
        <f ca="1">K9*parameters!$B$10+K10*parameters!$B$11</f>
        <v>14714.117436699857</v>
      </c>
      <c r="R11" s="16">
        <f t="shared" ref="R11:R17" ca="1" si="4">SUM(L11:P11)</f>
        <v>14714.117436699858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-52.890709469658759</v>
      </c>
      <c r="D12" s="9">
        <f ca="1">-(D17-Q4)</f>
        <v>-6.3635262151555025</v>
      </c>
      <c r="E12" s="9">
        <f ca="1">-(E17-Q5)</f>
        <v>-1105.6554613507433</v>
      </c>
      <c r="F12" s="9">
        <f ca="1">-(F17-Q6)</f>
        <v>-625.15432835820866</v>
      </c>
      <c r="G12" s="9">
        <f ca="1">-(G17-Q7)</f>
        <v>-292.99849529780568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-2083.062520691572</v>
      </c>
      <c r="M12" s="17"/>
      <c r="N12" s="17"/>
      <c r="O12" s="10"/>
      <c r="P12" s="12"/>
      <c r="Q12" s="9">
        <f t="shared" ref="Q12:Q17" ca="1" si="6">SUM(L12:P12)</f>
        <v>-2083.062520691572</v>
      </c>
      <c r="R12" s="17">
        <f t="shared" ca="1" si="4"/>
        <v>-2083.062520691572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-733.12430186398251</v>
      </c>
      <c r="J13" s="14">
        <f ca="1">-(J17-Q10)</f>
        <v>-2096.4256554617641</v>
      </c>
      <c r="K13" s="13">
        <f ca="1">-(K17-Q11)</f>
        <v>-1983.812605974399</v>
      </c>
      <c r="L13" s="14">
        <f t="shared" ca="1" si="5"/>
        <v>-4813.3625633001457</v>
      </c>
      <c r="M13" s="16">
        <f ca="1">-E15</f>
        <v>-5238.0507217066124</v>
      </c>
      <c r="N13" s="16"/>
      <c r="O13" s="11"/>
      <c r="P13" s="13"/>
      <c r="Q13" s="14">
        <f t="shared" ca="1" si="6"/>
        <v>-10051.413285006758</v>
      </c>
      <c r="R13" s="16">
        <f t="shared" ca="1" si="4"/>
        <v>-10051.413285006758</v>
      </c>
    </row>
    <row r="14" spans="1:20">
      <c r="A14" s="18" t="s">
        <v>78</v>
      </c>
      <c r="B14" s="11"/>
      <c r="C14" s="14"/>
      <c r="D14" s="14"/>
      <c r="E14" s="14">
        <f ca="1">-(I13+J13)-K13</f>
        <v>4813.3625633001457</v>
      </c>
      <c r="F14" s="14"/>
      <c r="G14" s="14"/>
      <c r="H14" s="14"/>
      <c r="I14" s="14"/>
      <c r="J14" s="14"/>
      <c r="K14" s="13"/>
      <c r="L14" s="14">
        <f t="shared" ca="1" si="5"/>
        <v>4813.3625633001457</v>
      </c>
      <c r="M14" s="16"/>
      <c r="N14" s="16"/>
      <c r="O14" s="11"/>
      <c r="P14" s="13"/>
      <c r="Q14" s="14">
        <f t="shared" ca="1" si="6"/>
        <v>4813.3625633001457</v>
      </c>
      <c r="R14" s="16">
        <f t="shared" ca="1" si="4"/>
        <v>4813.3625633001457</v>
      </c>
    </row>
    <row r="15" spans="1:20">
      <c r="A15" s="18" t="s">
        <v>79</v>
      </c>
      <c r="B15" s="11"/>
      <c r="C15" s="14"/>
      <c r="D15" s="14"/>
      <c r="E15" s="14">
        <f ca="1">E17-E14</f>
        <v>5238.0507217066124</v>
      </c>
      <c r="F15" s="14"/>
      <c r="G15" s="14"/>
      <c r="H15" s="14"/>
      <c r="I15" s="14"/>
      <c r="J15" s="14"/>
      <c r="K15" s="13"/>
      <c r="L15" s="14">
        <f t="shared" ca="1" si="5"/>
        <v>5238.0507217066124</v>
      </c>
      <c r="M15" s="16"/>
      <c r="N15" s="16"/>
      <c r="O15" s="11"/>
      <c r="P15" s="13"/>
      <c r="Q15" s="14">
        <f t="shared" ca="1" si="6"/>
        <v>5238.0507217066124</v>
      </c>
      <c r="R15" s="16">
        <f t="shared" ca="1" si="4"/>
        <v>5238.0507217066124</v>
      </c>
    </row>
    <row r="16" spans="1:20">
      <c r="A16" s="30" t="s">
        <v>89</v>
      </c>
      <c r="B16" s="21">
        <f ca="1">Q2</f>
        <v>17801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17801</v>
      </c>
      <c r="M16" s="19"/>
      <c r="N16" s="19"/>
      <c r="O16" s="21"/>
      <c r="P16" s="27"/>
      <c r="Q16" s="22">
        <f t="shared" ca="1" si="6"/>
        <v>17801</v>
      </c>
      <c r="R16" s="19">
        <f t="shared" ca="1" si="4"/>
        <v>17801</v>
      </c>
    </row>
    <row r="17" spans="1:18">
      <c r="A17" s="29" t="s">
        <v>88</v>
      </c>
      <c r="B17" s="9">
        <f ca="1">B16</f>
        <v>17801</v>
      </c>
      <c r="C17" s="9">
        <f ca="1">SUM(C$2:C$11)</f>
        <v>8395.3507094696579</v>
      </c>
      <c r="D17" s="9">
        <f ca="1">SUM(D$2:D$11)</f>
        <v>1010.0835262151555</v>
      </c>
      <c r="E17" s="9">
        <f ca="1">$Q$5/parameters!$B$4</f>
        <v>10051.413285006758</v>
      </c>
      <c r="F17" s="9">
        <f t="shared" ref="F17:K17" ca="1" si="7">SUM(F$2:F$11)</f>
        <v>10083.134328358208</v>
      </c>
      <c r="G17" s="9">
        <f t="shared" ca="1" si="7"/>
        <v>6813.9184952978057</v>
      </c>
      <c r="H17" s="9">
        <f t="shared" ca="1" si="7"/>
        <v>15978.9</v>
      </c>
      <c r="I17" s="9">
        <f t="shared" ca="1" si="7"/>
        <v>4294.4443018639822</v>
      </c>
      <c r="J17" s="9">
        <f t="shared" ca="1" si="7"/>
        <v>12280.295698136018</v>
      </c>
      <c r="K17" s="9">
        <f t="shared" ca="1" si="7"/>
        <v>16697.930042674256</v>
      </c>
      <c r="L17" s="17">
        <f t="shared" ca="1" si="5"/>
        <v>103406.47038702185</v>
      </c>
      <c r="M17" s="17"/>
      <c r="N17" s="17"/>
      <c r="O17" s="9"/>
      <c r="P17" s="14"/>
      <c r="Q17" s="11">
        <f t="shared" ca="1" si="6"/>
        <v>103406.47038702185</v>
      </c>
      <c r="R17" s="17">
        <f t="shared" ca="1" si="4"/>
        <v>103406.47038702185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0.8292854091632359</v>
      </c>
      <c r="J18" s="39">
        <f ca="1">I18</f>
        <v>0.8292854091632359</v>
      </c>
      <c r="K18" s="40">
        <f ca="1">1-(-K13)/K17</f>
        <v>0.88119410005285415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1248.5027618329275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1248.5027618329275</v>
      </c>
      <c r="M2" s="17"/>
      <c r="N2" s="17">
        <f ca="1">Q2-(L2+O2+P2)</f>
        <v>0</v>
      </c>
      <c r="O2" s="11" cm="1">
        <f t="array" aca="1" ref="O2" ca="1">INDIRECT("'data'!$F$" &amp; $A$1)</f>
        <v>74.100000000000009</v>
      </c>
      <c r="P2" s="13">
        <f ca="1">IF(-(L2-Q2+O2)&lt;0, -(L2-Q2+O2), 0)</f>
        <v>-1274.7096885949911</v>
      </c>
      <c r="Q2" s="17" cm="1">
        <f t="array" aca="1" ref="Q2" ca="1">INDIRECT("'data'!$D$" &amp; $A$1)</f>
        <v>47.893073237936278</v>
      </c>
      <c r="R2" s="17">
        <f ca="1">SUM(L2:P2)</f>
        <v>47.893073237936278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200.33999999999997</v>
      </c>
      <c r="H3" s="14"/>
      <c r="I3" s="14"/>
      <c r="J3" s="14"/>
      <c r="K3" s="13"/>
      <c r="L3" s="16">
        <f t="shared" ca="1" si="0"/>
        <v>200.33999999999997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64.259999999999991</v>
      </c>
      <c r="P3" s="13" cm="1">
        <f t="array" aca="1" ref="P3" ca="1">-INDIRECT("'data'!$I$" &amp; $A$1)*parameters!$B$13</f>
        <v>-264.59999999999997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631.65230047846262</v>
      </c>
      <c r="H4" s="14"/>
      <c r="I4" s="14"/>
      <c r="J4" s="14"/>
      <c r="K4" s="13"/>
      <c r="L4" s="16">
        <f t="shared" ca="1" si="0"/>
        <v>631.65230047846262</v>
      </c>
      <c r="M4" s="16"/>
      <c r="N4" s="16">
        <f t="shared" ca="1" si="1"/>
        <v>726.74489395491742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-117.76</v>
      </c>
      <c r="Q4" s="16" cm="1">
        <f t="array" aca="1" ref="Q4" ca="1">INDIRECT("'data'!$J$" &amp; $A$1)*parameters!$B$14</f>
        <v>1240.63719443338</v>
      </c>
      <c r="R4" s="16">
        <f t="shared" ca="1" si="2"/>
        <v>1240.63719443338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2938.4988175988624</v>
      </c>
      <c r="H5" s="14"/>
      <c r="I5" s="14"/>
      <c r="J5" s="14"/>
      <c r="K5" s="13"/>
      <c r="L5" s="16">
        <f t="shared" ca="1" si="0"/>
        <v>2938.4988175988624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-1372</v>
      </c>
      <c r="Q5" s="16">
        <f ca="1">SUM(L5:P5)</f>
        <v>1566.4988175988624</v>
      </c>
      <c r="R5" s="16">
        <f t="shared" ca="1" si="2"/>
        <v>1566.4988175988624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3608.36</v>
      </c>
      <c r="I7" s="14"/>
      <c r="J7" s="14"/>
      <c r="K7" s="13"/>
      <c r="L7" s="16">
        <f t="shared" ca="1" si="0"/>
        <v>3608.36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3608.36</v>
      </c>
      <c r="R7" s="16">
        <f t="shared" ca="1" si="2"/>
        <v>3608.36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2650.6451982780291</v>
      </c>
      <c r="J8" s="14">
        <f ca="1">Q10/J18</f>
        <v>2611.9548017219718</v>
      </c>
      <c r="K8" s="13"/>
      <c r="L8" s="16">
        <f t="shared" ca="1" si="0"/>
        <v>5262.6</v>
      </c>
      <c r="M8" s="16"/>
      <c r="N8" s="16">
        <f t="shared" ca="1" si="3"/>
        <v>0</v>
      </c>
      <c r="O8" s="11" cm="1">
        <f t="array" aca="1" ref="O8" ca="1">INDIRECT("'data'!$R$" &amp; $A$1)*parameters!$B$15</f>
        <v>18.62</v>
      </c>
      <c r="P8" s="13" cm="1">
        <f t="array" aca="1" ref="P8" ca="1">-INDIRECT("'data'!$S$" &amp; $A$1)*parameters!$B$15</f>
        <v>-1672.86</v>
      </c>
      <c r="Q8" s="16">
        <f ca="1">SUM(Q6:Q7)</f>
        <v>3608.36</v>
      </c>
      <c r="R8" s="16">
        <f t="shared" ca="1" si="2"/>
        <v>3608.3600000000006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2309.86</v>
      </c>
      <c r="L9" s="16">
        <f t="shared" ca="1" si="0"/>
        <v>2309.86</v>
      </c>
      <c r="M9" s="16"/>
      <c r="N9" s="16">
        <f t="shared" ca="1" si="3"/>
        <v>0</v>
      </c>
      <c r="O9" s="11" cm="1">
        <f t="array" aca="1" ref="O9" ca="1">INDIRECT("'data'!$U$" &amp; $A$1)*parameters!$B$15</f>
        <v>308.7</v>
      </c>
      <c r="P9" s="13" cm="1">
        <f t="array" aca="1" ref="P9" ca="1">-INDIRECT("'data'!$V$" &amp; $A$1)*parameters!$B$15</f>
        <v>-556.64</v>
      </c>
      <c r="Q9" s="16" cm="1">
        <f t="array" aca="1" ref="Q9" ca="1">INDIRECT("'data'!$T$" &amp; $A$1)*parameters!$B$15</f>
        <v>2061.92</v>
      </c>
      <c r="R9" s="16">
        <f t="shared" ca="1" si="2"/>
        <v>2061.92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3233.3029871977242</v>
      </c>
      <c r="L10" s="16">
        <f t="shared" ca="1" si="0"/>
        <v>3233.3029871977242</v>
      </c>
      <c r="M10" s="16"/>
      <c r="N10" s="16">
        <f t="shared" ca="1" si="3"/>
        <v>0</v>
      </c>
      <c r="O10" s="11" cm="1">
        <f t="array" aca="1" ref="O10" ca="1">INDIRECT("'data'!$X$" &amp; $A$1)*parameters!$B$15</f>
        <v>735</v>
      </c>
      <c r="P10" s="13" cm="1">
        <f t="array" aca="1" ref="P10" ca="1">-INDIRECT("'data'!$Y$" &amp; $A$1)*parameters!$B$15</f>
        <v>-1936.48</v>
      </c>
      <c r="Q10" s="16" cm="1">
        <f t="array" aca="1" ref="Q10" ca="1">INDIRECT("'data'!$W$" &amp; $A$1)*parameters!$B$15</f>
        <v>2031.8229871977239</v>
      </c>
      <c r="R10" s="16">
        <f t="shared" ca="1" si="2"/>
        <v>2031.8229871977242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5938.7689689900426</v>
      </c>
      <c r="N11" s="19"/>
      <c r="O11" s="21" cm="1">
        <f t="array" aca="1" ref="O11" ca="1">INDIRECT("'data'!$Z$" &amp; $A$1)*parameters!$B$15</f>
        <v>797.72</v>
      </c>
      <c r="P11" s="27" cm="1">
        <f t="array" aca="1" ref="P11" ca="1">-INDIRECT("'data'!$AA$" &amp; $A$1)*parameters!$B$15</f>
        <v>-1784.58</v>
      </c>
      <c r="Q11" s="16">
        <f ca="1">K9*parameters!$B$10+K10*parameters!$B$11</f>
        <v>4951.9089689900429</v>
      </c>
      <c r="R11" s="16">
        <f t="shared" ref="R11:R17" ca="1" si="4">SUM(L11:P11)</f>
        <v>4951.9089689900429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-7.8655673995474444</v>
      </c>
      <c r="E12" s="9">
        <f ca="1">-(E17-Q5)</f>
        <v>-193.61221341109535</v>
      </c>
      <c r="F12" s="9">
        <f ca="1">-(F17-Q6)</f>
        <v>0</v>
      </c>
      <c r="G12" s="9">
        <f ca="1">-(G17-Q7)</f>
        <v>-162.13111807732503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-363.60889888796783</v>
      </c>
      <c r="M12" s="17"/>
      <c r="N12" s="17"/>
      <c r="O12" s="10"/>
      <c r="P12" s="12"/>
      <c r="Q12" s="9">
        <f t="shared" ref="Q12:Q17" ca="1" si="6">SUM(L12:P12)</f>
        <v>-363.60889888796783</v>
      </c>
      <c r="R12" s="17">
        <f t="shared" ca="1" si="4"/>
        <v>-363.60889888796783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-588.72519827802898</v>
      </c>
      <c r="J13" s="14">
        <f ca="1">-(J17-Q10)</f>
        <v>-580.13181452424783</v>
      </c>
      <c r="K13" s="13">
        <f ca="1">-(K17-Q11)</f>
        <v>-591.25401820768093</v>
      </c>
      <c r="L13" s="14">
        <f t="shared" ca="1" si="5"/>
        <v>-1760.1110310099577</v>
      </c>
      <c r="M13" s="16">
        <f ca="1">-E15</f>
        <v>0</v>
      </c>
      <c r="N13" s="16"/>
      <c r="O13" s="11"/>
      <c r="P13" s="13"/>
      <c r="Q13" s="14">
        <f t="shared" ca="1" si="6"/>
        <v>-1760.1110310099577</v>
      </c>
      <c r="R13" s="16">
        <f t="shared" ca="1" si="4"/>
        <v>-1760.1110310099577</v>
      </c>
    </row>
    <row r="14" spans="1:19">
      <c r="A14" s="18" t="s">
        <v>78</v>
      </c>
      <c r="B14" s="11"/>
      <c r="C14" s="14"/>
      <c r="D14" s="14"/>
      <c r="E14" s="14">
        <f ca="1">-(I13+J13)-K13</f>
        <v>1760.1110310099577</v>
      </c>
      <c r="F14" s="14"/>
      <c r="G14" s="14"/>
      <c r="H14" s="14"/>
      <c r="I14" s="14"/>
      <c r="J14" s="14"/>
      <c r="K14" s="13"/>
      <c r="L14" s="14">
        <f t="shared" ca="1" si="5"/>
        <v>1760.1110310099577</v>
      </c>
      <c r="M14" s="16"/>
      <c r="N14" s="16"/>
      <c r="O14" s="11"/>
      <c r="P14" s="13"/>
      <c r="Q14" s="14">
        <f t="shared" ca="1" si="6"/>
        <v>1760.1110310099577</v>
      </c>
      <c r="R14" s="16">
        <f t="shared" ca="1" si="4"/>
        <v>1760.1110310099577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47.893073237936278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47.893073237936278</v>
      </c>
      <c r="M16" s="19"/>
      <c r="N16" s="19"/>
      <c r="O16" s="21"/>
      <c r="P16" s="27"/>
      <c r="Q16" s="22">
        <f t="shared" ca="1" si="6"/>
        <v>47.893073237936278</v>
      </c>
      <c r="R16" s="19">
        <f t="shared" ca="1" si="4"/>
        <v>47.893073237936278</v>
      </c>
    </row>
    <row r="17" spans="1:18">
      <c r="A17" s="29" t="s">
        <v>88</v>
      </c>
      <c r="B17" s="9">
        <f ca="1">B16</f>
        <v>47.893073237936278</v>
      </c>
      <c r="C17" s="9">
        <f ca="1">SUM(C$2:C$11)</f>
        <v>0</v>
      </c>
      <c r="D17" s="9">
        <f ca="1">SUM(D$2:D$11)</f>
        <v>1248.5027618329275</v>
      </c>
      <c r="E17" s="9">
        <f ca="1">$Q$5/parameters!$B$4</f>
        <v>1760.1110310099577</v>
      </c>
      <c r="F17" s="9">
        <f t="shared" ref="F17:K17" ca="1" si="7">SUM(F$2:F$11)</f>
        <v>0</v>
      </c>
      <c r="G17" s="9">
        <f t="shared" ca="1" si="7"/>
        <v>3770.4911180773252</v>
      </c>
      <c r="H17" s="9">
        <f t="shared" ca="1" si="7"/>
        <v>3608.36</v>
      </c>
      <c r="I17" s="9">
        <f t="shared" ca="1" si="7"/>
        <v>2650.6451982780291</v>
      </c>
      <c r="J17" s="9">
        <f t="shared" ca="1" si="7"/>
        <v>2611.9548017219718</v>
      </c>
      <c r="K17" s="9">
        <f t="shared" ca="1" si="7"/>
        <v>5543.1629871977239</v>
      </c>
      <c r="L17" s="17">
        <f t="shared" ca="1" si="5"/>
        <v>21241.120971355871</v>
      </c>
      <c r="M17" s="17"/>
      <c r="N17" s="17"/>
      <c r="O17" s="9"/>
      <c r="P17" s="14"/>
      <c r="Q17" s="11">
        <f t="shared" ca="1" si="6"/>
        <v>21241.120971355871</v>
      </c>
      <c r="R17" s="17">
        <f t="shared" ca="1" si="4"/>
        <v>21241.120971355871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0.77789362429174236</v>
      </c>
      <c r="J18" s="39">
        <f ca="1">I18</f>
        <v>0.77789362429174236</v>
      </c>
      <c r="K18" s="40">
        <f ca="1">1-(-K13)/K17</f>
        <v>0.89333634613068058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6086.3439669920499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6086.3439669920499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-6086.3439669920499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5746.2686567164183</v>
      </c>
      <c r="G3" s="14">
        <f ca="1">Q3-O3-P3-F3</f>
        <v>392.45134328358199</v>
      </c>
      <c r="H3" s="14"/>
      <c r="I3" s="14"/>
      <c r="J3" s="14"/>
      <c r="K3" s="13"/>
      <c r="L3" s="16">
        <f t="shared" ca="1" si="0"/>
        <v>6138.72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52.919999999999995</v>
      </c>
      <c r="P3" s="13" cm="1">
        <f t="array" aca="1" ref="P3" ca="1">-INDIRECT("'data'!$I$" &amp; $A$1)*parameters!$B$13</f>
        <v>-143.63999999999999</v>
      </c>
      <c r="Q3" s="16" cm="1">
        <f t="array" aca="1" ref="Q3" ca="1">INDIRECT("'data'!$G$" &amp; $A$1)*parameters!$B$13</f>
        <v>6048</v>
      </c>
      <c r="R3" s="16">
        <f t="shared" ref="R3:R10" ca="1" si="2">SUM(L3:P3)</f>
        <v>6048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1436.5671641791046</v>
      </c>
      <c r="G5" s="14">
        <f ca="1">Q7/parameters!$B$7-(G3+G4)</f>
        <v>3413.8809451176721</v>
      </c>
      <c r="H5" s="14"/>
      <c r="I5" s="14"/>
      <c r="J5" s="14"/>
      <c r="K5" s="13"/>
      <c r="L5" s="16">
        <f t="shared" ca="1" si="0"/>
        <v>4850.4481092967762</v>
      </c>
      <c r="M5" s="16"/>
      <c r="N5" s="16"/>
      <c r="O5" s="11" cm="1">
        <f t="array" aca="1" ref="O5" ca="1">INDIRECT("'data'!$M$" &amp; $A$1)*parameters!$B$15</f>
        <v>1948.24</v>
      </c>
      <c r="P5" s="13" cm="1">
        <f t="array" aca="1" ref="P5" ca="1">-INDIRECT("'data'!$N$" &amp; $A$1)*parameters!$B$15</f>
        <v>-347.9</v>
      </c>
      <c r="Q5" s="16">
        <f ca="1">SUM(L5:P5)</f>
        <v>6450.7881092967764</v>
      </c>
      <c r="R5" s="16">
        <f t="shared" ca="1" si="2"/>
        <v>6450.7881092967764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6737.5</v>
      </c>
      <c r="I6" s="14"/>
      <c r="J6" s="14"/>
      <c r="K6" s="13"/>
      <c r="L6" s="16">
        <f t="shared" ca="1" si="0"/>
        <v>6737.5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6737.5</v>
      </c>
      <c r="R6" s="16">
        <f t="shared" ca="1" si="2"/>
        <v>6737.5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3642.66</v>
      </c>
      <c r="I7" s="14"/>
      <c r="J7" s="14"/>
      <c r="K7" s="13"/>
      <c r="L7" s="16">
        <f t="shared" ca="1" si="0"/>
        <v>3642.66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3642.66</v>
      </c>
      <c r="R7" s="16">
        <f t="shared" ca="1" si="2"/>
        <v>3642.66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5776.1911969215289</v>
      </c>
      <c r="J8" s="14">
        <f ca="1">Q10/J18</f>
        <v>3229.0288030784709</v>
      </c>
      <c r="K8" s="13"/>
      <c r="L8" s="16">
        <f t="shared" ca="1" si="0"/>
        <v>9005.2199999999993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1551.34</v>
      </c>
      <c r="P8" s="13" cm="1">
        <f t="array" aca="1" ref="P8" ca="1">-INDIRECT("'data'!$S$" &amp; $A$1)*parameters!$B$15</f>
        <v>-176.4</v>
      </c>
      <c r="Q8" s="16">
        <f ca="1">SUM(Q6:Q7)</f>
        <v>10380.16</v>
      </c>
      <c r="R8" s="16">
        <f t="shared" ca="1" si="2"/>
        <v>10380.16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3002.7199999999993</v>
      </c>
      <c r="L9" s="16">
        <f t="shared" ca="1" si="0"/>
        <v>3002.7199999999993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2405.9</v>
      </c>
      <c r="P9" s="13" cm="1">
        <f t="array" aca="1" ref="P9" ca="1">-INDIRECT("'data'!$V$" &amp; $A$1)*parameters!$B$15</f>
        <v>-677.18</v>
      </c>
      <c r="Q9" s="16" cm="1">
        <f t="array" aca="1" ref="Q9" ca="1">INDIRECT("'data'!$T$" &amp; $A$1)*parameters!$B$15</f>
        <v>4731.4399999999996</v>
      </c>
      <c r="R9" s="16">
        <f t="shared" ca="1" si="2"/>
        <v>4731.4399999999987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4539.3279374110953</v>
      </c>
      <c r="L10" s="16">
        <f t="shared" ca="1" si="0"/>
        <v>4539.3279374110953</v>
      </c>
      <c r="M10" s="16"/>
      <c r="N10" s="16">
        <f t="shared" ca="1" si="3"/>
        <v>0</v>
      </c>
      <c r="O10" s="11" cm="1">
        <f t="array" aca="1" ref="O10" ca="1">INDIRECT("'data'!$X$" &amp; $A$1)*parameters!$B$15</f>
        <v>538.02</v>
      </c>
      <c r="P10" s="13" cm="1">
        <f t="array" aca="1" ref="P10" ca="1">-INDIRECT("'data'!$Y$" &amp; $A$1)*parameters!$B$15</f>
        <v>-2432.36</v>
      </c>
      <c r="Q10" s="16" cm="1">
        <f t="array" aca="1" ref="Q10" ca="1">INDIRECT("'data'!$W$" &amp; $A$1)*parameters!$B$15</f>
        <v>2644.9879374110951</v>
      </c>
      <c r="R10" s="16">
        <f t="shared" ca="1" si="2"/>
        <v>2644.9879374110956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5872.7988261735409</v>
      </c>
      <c r="N11" s="19"/>
      <c r="O11" s="21" cm="1">
        <f t="array" aca="1" ref="O11" ca="1">INDIRECT("'data'!$Z$" &amp; $A$1)*parameters!$B$15</f>
        <v>5705.5599999999995</v>
      </c>
      <c r="P11" s="27" cm="1">
        <f t="array" aca="1" ref="P11" ca="1">-INDIRECT("'data'!$AA$" &amp; $A$1)*parameters!$B$15</f>
        <v>-4851.9799999999996</v>
      </c>
      <c r="Q11" s="16">
        <f ca="1">K9*parameters!$B$10+K10*parameters!$B$11</f>
        <v>6726.3788261735408</v>
      </c>
      <c r="R11" s="16">
        <f t="shared" ref="R11:R17" ca="1" si="4">SUM(L11:P11)</f>
        <v>6726.3788261735408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-38.3439669920499</v>
      </c>
      <c r="D12" s="9">
        <f ca="1">-(D17-Q4)</f>
        <v>0</v>
      </c>
      <c r="E12" s="9">
        <f ca="1">-(E17-Q5)</f>
        <v>-797.28841800297232</v>
      </c>
      <c r="F12" s="9">
        <f ca="1">-(F17-Q6)</f>
        <v>-445.33582089552328</v>
      </c>
      <c r="G12" s="9">
        <f ca="1">-(G17-Q7)</f>
        <v>-163.67228840125426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-1444.6404942917998</v>
      </c>
      <c r="M12" s="17"/>
      <c r="N12" s="17"/>
      <c r="O12" s="10"/>
      <c r="P12" s="12"/>
      <c r="Q12" s="9">
        <f t="shared" ref="Q12:Q17" ca="1" si="6">SUM(L12:P12)</f>
        <v>-1444.6404942917998</v>
      </c>
      <c r="R12" s="17">
        <f t="shared" ca="1" si="4"/>
        <v>-1444.6404942917998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-1044.7511969215293</v>
      </c>
      <c r="J13" s="14">
        <f ca="1">-(J17-Q10)</f>
        <v>-584.04086566737578</v>
      </c>
      <c r="K13" s="13">
        <f ca="1">-(K17-Q11)</f>
        <v>-815.66911123755381</v>
      </c>
      <c r="L13" s="14">
        <f t="shared" ca="1" si="5"/>
        <v>-2444.4611738264589</v>
      </c>
      <c r="M13" s="16">
        <f ca="1">-E15</f>
        <v>-4803.6153534732894</v>
      </c>
      <c r="N13" s="16"/>
      <c r="O13" s="11"/>
      <c r="P13" s="13"/>
      <c r="Q13" s="14">
        <f t="shared" ca="1" si="6"/>
        <v>-7248.0765272997487</v>
      </c>
      <c r="R13" s="16">
        <f t="shared" ca="1" si="4"/>
        <v>-7248.0765272997487</v>
      </c>
    </row>
    <row r="14" spans="1:20">
      <c r="A14" s="18" t="s">
        <v>78</v>
      </c>
      <c r="B14" s="11"/>
      <c r="C14" s="14"/>
      <c r="D14" s="14"/>
      <c r="E14" s="14">
        <f ca="1">-(I13+J13)-K13</f>
        <v>2444.4611738264589</v>
      </c>
      <c r="F14" s="14"/>
      <c r="G14" s="14"/>
      <c r="H14" s="14"/>
      <c r="I14" s="14"/>
      <c r="J14" s="14"/>
      <c r="K14" s="13"/>
      <c r="L14" s="14">
        <f t="shared" ca="1" si="5"/>
        <v>2444.4611738264589</v>
      </c>
      <c r="M14" s="16"/>
      <c r="N14" s="16"/>
      <c r="O14" s="11"/>
      <c r="P14" s="13"/>
      <c r="Q14" s="14">
        <f t="shared" ca="1" si="6"/>
        <v>2444.4611738264589</v>
      </c>
      <c r="R14" s="16">
        <f t="shared" ca="1" si="4"/>
        <v>2444.4611738264589</v>
      </c>
    </row>
    <row r="15" spans="1:20">
      <c r="A15" s="18" t="s">
        <v>79</v>
      </c>
      <c r="B15" s="11"/>
      <c r="C15" s="14"/>
      <c r="D15" s="14"/>
      <c r="E15" s="14">
        <f ca="1">E17-E14</f>
        <v>4803.6153534732894</v>
      </c>
      <c r="F15" s="14"/>
      <c r="G15" s="14"/>
      <c r="H15" s="14"/>
      <c r="I15" s="14"/>
      <c r="J15" s="14"/>
      <c r="K15" s="13"/>
      <c r="L15" s="14">
        <f t="shared" ca="1" si="5"/>
        <v>4803.6153534732894</v>
      </c>
      <c r="M15" s="16"/>
      <c r="N15" s="16"/>
      <c r="O15" s="11"/>
      <c r="P15" s="13"/>
      <c r="Q15" s="14">
        <f t="shared" ca="1" si="6"/>
        <v>4803.6153534732894</v>
      </c>
      <c r="R15" s="16">
        <f t="shared" ca="1" si="4"/>
        <v>4803.6153534732894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6086.3439669920499</v>
      </c>
      <c r="D17" s="9">
        <f ca="1">SUM(D$2:D$11)</f>
        <v>0</v>
      </c>
      <c r="E17" s="9">
        <f ca="1">$Q$5/parameters!$B$4</f>
        <v>7248.0765272997487</v>
      </c>
      <c r="F17" s="9">
        <f t="shared" ref="F17:K17" ca="1" si="7">SUM(F$2:F$11)</f>
        <v>7182.8358208955233</v>
      </c>
      <c r="G17" s="9">
        <f t="shared" ca="1" si="7"/>
        <v>3806.3322884012541</v>
      </c>
      <c r="H17" s="9">
        <f t="shared" ca="1" si="7"/>
        <v>10380.16</v>
      </c>
      <c r="I17" s="9">
        <f t="shared" ca="1" si="7"/>
        <v>5776.1911969215289</v>
      </c>
      <c r="J17" s="9">
        <f t="shared" ca="1" si="7"/>
        <v>3229.0288030784709</v>
      </c>
      <c r="K17" s="9">
        <f t="shared" ca="1" si="7"/>
        <v>7542.0479374110946</v>
      </c>
      <c r="L17" s="17">
        <f t="shared" ca="1" si="5"/>
        <v>51251.016540999677</v>
      </c>
      <c r="M17" s="17"/>
      <c r="N17" s="17"/>
      <c r="O17" s="9"/>
      <c r="P17" s="14"/>
      <c r="Q17" s="11">
        <f t="shared" ca="1" si="6"/>
        <v>51251.016540999677</v>
      </c>
      <c r="R17" s="17">
        <f t="shared" ca="1" si="4"/>
        <v>51251.016540999677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0.81912800991103996</v>
      </c>
      <c r="J18" s="39">
        <f ca="1">I18</f>
        <v>0.81912800991103996</v>
      </c>
      <c r="K18" s="40">
        <f ca="1">1-(-K13)/K17</f>
        <v>0.89185044725165952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844.88089140485431</v>
      </c>
      <c r="D2" s="9">
        <f ca="1">Q4/parameters!$B$3</f>
        <v>2484.0392261156057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3328.9201175204598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-2040.7092121299249</v>
      </c>
      <c r="Q2" s="17" cm="1">
        <f t="array" aca="1" ref="Q2" ca="1">INDIRECT("'data'!$D$" &amp; $A$1)</f>
        <v>1288.2109053905349</v>
      </c>
      <c r="R2" s="17">
        <f ca="1">SUM(L2:P2)</f>
        <v>1288.2109053905349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829.13432835820902</v>
      </c>
      <c r="G3" s="14">
        <f ca="1">Q3-O3-P3-F3</f>
        <v>10.42381343079478</v>
      </c>
      <c r="H3" s="14"/>
      <c r="I3" s="14"/>
      <c r="J3" s="14"/>
      <c r="K3" s="13"/>
      <c r="L3" s="16">
        <f t="shared" ca="1" si="0"/>
        <v>839.5581417890038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839.5581417890038</v>
      </c>
      <c r="R3" s="16">
        <f t="shared" ref="R3:R10" ca="1" si="2">SUM(L3:P3)</f>
        <v>839.5581417890038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2468.3897789910775</v>
      </c>
      <c r="H4" s="14"/>
      <c r="I4" s="14"/>
      <c r="J4" s="14"/>
      <c r="K4" s="13"/>
      <c r="L4" s="16">
        <f t="shared" ca="1" si="0"/>
        <v>2468.3897789910775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2468.3897789910775</v>
      </c>
      <c r="R4" s="16">
        <f t="shared" ca="1" si="2"/>
        <v>2468.3897789910775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Q6/parameters!$B$5*38%</f>
        <v>508.17910447761199</v>
      </c>
      <c r="G5" s="14">
        <f ca="1">Q7/parameters!$B$7-(G3+G4)</f>
        <v>1136.0244431058186</v>
      </c>
      <c r="H5" s="14"/>
      <c r="I5" s="14"/>
      <c r="J5" s="14"/>
      <c r="K5" s="13"/>
      <c r="L5" s="16">
        <f t="shared" ca="1" si="0"/>
        <v>1644.2035475834305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-1042.72</v>
      </c>
      <c r="Q5" s="16">
        <f ca="1">SUM(L5:P5)</f>
        <v>601.48354758343044</v>
      </c>
      <c r="R5" s="16">
        <f t="shared" ca="1" si="2"/>
        <v>601.48354758343044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1254.4000000000001</v>
      </c>
      <c r="I6" s="14"/>
      <c r="J6" s="14"/>
      <c r="K6" s="13"/>
      <c r="L6" s="16">
        <f t="shared" ca="1" si="0"/>
        <v>1254.4000000000001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1254.4000000000001</v>
      </c>
      <c r="R6" s="16">
        <f t="shared" ca="1" si="2"/>
        <v>1254.4000000000001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3459.4</v>
      </c>
      <c r="I7" s="14"/>
      <c r="J7" s="14"/>
      <c r="K7" s="13"/>
      <c r="L7" s="16">
        <f t="shared" ca="1" si="0"/>
        <v>3459.4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3459.4</v>
      </c>
      <c r="R7" s="16">
        <f t="shared" ca="1" si="2"/>
        <v>3459.4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3400</v>
      </c>
      <c r="J8" s="14">
        <f ca="1">Q10/J18</f>
        <v>1147.6827235820435</v>
      </c>
      <c r="K8" s="13"/>
      <c r="L8" s="16">
        <f t="shared" ca="1" si="0"/>
        <v>4547.6827235820438</v>
      </c>
      <c r="M8" s="16"/>
      <c r="N8" s="16">
        <f t="shared" ca="1" si="3"/>
        <v>960.89727641795616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-794.78</v>
      </c>
      <c r="Q8" s="16">
        <f ca="1">SUM(Q6:Q7)</f>
        <v>4713.8</v>
      </c>
      <c r="R8" s="16">
        <f t="shared" ca="1" si="2"/>
        <v>4713.8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3434.9</v>
      </c>
      <c r="L9" s="16">
        <f t="shared" ca="1" si="0"/>
        <v>3434.9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-102.89999999999999</v>
      </c>
      <c r="Q9" s="16" cm="1">
        <f t="array" aca="1" ref="Q9" ca="1">INDIRECT("'data'!$T$" &amp; $A$1)*parameters!$B$15</f>
        <v>3332</v>
      </c>
      <c r="R9" s="16">
        <f t="shared" ca="1" si="2"/>
        <v>3332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1533.3890691104025</v>
      </c>
      <c r="L10" s="16">
        <f t="shared" ca="1" si="0"/>
        <v>1533.3890691104025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-408.65999999999997</v>
      </c>
      <c r="Q10" s="16" cm="1">
        <f t="array" aca="1" ref="Q10" ca="1">INDIRECT("'data'!$W$" &amp; $A$1)*parameters!$B$15</f>
        <v>1124.7290691104026</v>
      </c>
      <c r="R10" s="16">
        <f t="shared" ca="1" si="2"/>
        <v>1124.7290691104026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4671.9805994349463</v>
      </c>
      <c r="N11" s="19"/>
      <c r="O11" s="21" cm="1">
        <f t="array" aca="1" ref="O11" ca="1">INDIRECT("'data'!$Z$" &amp; $A$1)*parameters!$B$15</f>
        <v>258.71999999999997</v>
      </c>
      <c r="P11" s="27" cm="1">
        <f t="array" aca="1" ref="P11" ca="1">-INDIRECT("'data'!$AA$" &amp; $A$1)*parameters!$B$15</f>
        <v>-383.18</v>
      </c>
      <c r="Q11" s="16">
        <f ca="1">K9*parameters!$B$10+K10*parameters!$B$11</f>
        <v>4547.5205994349462</v>
      </c>
      <c r="R11" s="16">
        <f t="shared" ref="R11:R17" ca="1" si="4">SUM(L11:P11)</f>
        <v>4547.5205994349462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-5.3227496158505119</v>
      </c>
      <c r="D12" s="9">
        <f ca="1">-(D17-Q4)</f>
        <v>-15.649447124528251</v>
      </c>
      <c r="E12" s="9">
        <f ca="1">-(E17-Q5)</f>
        <v>-74.340663184468895</v>
      </c>
      <c r="F12" s="9">
        <f ca="1">-(F17-Q6)</f>
        <v>-82.913432835820913</v>
      </c>
      <c r="G12" s="9">
        <f ca="1">-(G17-Q7)</f>
        <v>-155.43803552769077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-333.66432828835934</v>
      </c>
      <c r="M12" s="17"/>
      <c r="N12" s="17"/>
      <c r="O12" s="10"/>
      <c r="P12" s="12"/>
      <c r="Q12" s="9">
        <f t="shared" ref="Q12:Q17" ca="1" si="6">SUM(L12:P12)</f>
        <v>-333.66432828835934</v>
      </c>
      <c r="R12" s="17">
        <f t="shared" ca="1" si="4"/>
        <v>-333.66432828835934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-68</v>
      </c>
      <c r="J13" s="14">
        <f ca="1">-(J17-Q10)</f>
        <v>-22.953654471640903</v>
      </c>
      <c r="K13" s="13">
        <f ca="1">-(K17-Q11)</f>
        <v>-420.76846967545589</v>
      </c>
      <c r="L13" s="14">
        <f t="shared" ca="1" si="5"/>
        <v>-511.72212414709679</v>
      </c>
      <c r="M13" s="16">
        <f ca="1">-E15</f>
        <v>-164.10208662080254</v>
      </c>
      <c r="N13" s="16"/>
      <c r="O13" s="11"/>
      <c r="P13" s="13"/>
      <c r="Q13" s="14">
        <f t="shared" ca="1" si="6"/>
        <v>-675.82421076789933</v>
      </c>
      <c r="R13" s="16">
        <f t="shared" ca="1" si="4"/>
        <v>-675.82421076789933</v>
      </c>
    </row>
    <row r="14" spans="1:19">
      <c r="A14" s="18" t="s">
        <v>78</v>
      </c>
      <c r="B14" s="11"/>
      <c r="C14" s="14"/>
      <c r="D14" s="14"/>
      <c r="E14" s="14">
        <f ca="1">-(I13+J13)-K13</f>
        <v>511.72212414709679</v>
      </c>
      <c r="F14" s="14"/>
      <c r="G14" s="14"/>
      <c r="H14" s="14"/>
      <c r="I14" s="14"/>
      <c r="J14" s="14"/>
      <c r="K14" s="13"/>
      <c r="L14" s="14">
        <f t="shared" ca="1" si="5"/>
        <v>511.72212414709679</v>
      </c>
      <c r="M14" s="16"/>
      <c r="N14" s="16"/>
      <c r="O14" s="11"/>
      <c r="P14" s="13"/>
      <c r="Q14" s="14">
        <f t="shared" ca="1" si="6"/>
        <v>511.72212414709679</v>
      </c>
      <c r="R14" s="16">
        <f t="shared" ca="1" si="4"/>
        <v>511.72212414709679</v>
      </c>
    </row>
    <row r="15" spans="1:19">
      <c r="A15" s="18" t="s">
        <v>79</v>
      </c>
      <c r="B15" s="11"/>
      <c r="C15" s="14"/>
      <c r="D15" s="14"/>
      <c r="E15" s="14">
        <f ca="1">E17-E14</f>
        <v>164.10208662080254</v>
      </c>
      <c r="F15" s="14"/>
      <c r="G15" s="14"/>
      <c r="H15" s="14"/>
      <c r="I15" s="14"/>
      <c r="J15" s="14"/>
      <c r="K15" s="13"/>
      <c r="L15" s="14">
        <f t="shared" ca="1" si="5"/>
        <v>164.10208662080254</v>
      </c>
      <c r="M15" s="16"/>
      <c r="N15" s="16"/>
      <c r="O15" s="11"/>
      <c r="P15" s="13"/>
      <c r="Q15" s="14">
        <f t="shared" ca="1" si="6"/>
        <v>164.10208662080254</v>
      </c>
      <c r="R15" s="16">
        <f t="shared" ca="1" si="4"/>
        <v>164.10208662080254</v>
      </c>
    </row>
    <row r="16" spans="1:19">
      <c r="A16" s="30" t="s">
        <v>89</v>
      </c>
      <c r="B16" s="21">
        <f ca="1">Q2</f>
        <v>1288.2109053905349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1288.2109053905349</v>
      </c>
      <c r="M16" s="19"/>
      <c r="N16" s="19"/>
      <c r="O16" s="21"/>
      <c r="P16" s="27"/>
      <c r="Q16" s="22">
        <f t="shared" ca="1" si="6"/>
        <v>1288.2109053905349</v>
      </c>
      <c r="R16" s="19">
        <f t="shared" ca="1" si="4"/>
        <v>1288.2109053905349</v>
      </c>
    </row>
    <row r="17" spans="1:18">
      <c r="A17" s="29" t="s">
        <v>88</v>
      </c>
      <c r="B17" s="9">
        <f ca="1">B16</f>
        <v>1288.2109053905349</v>
      </c>
      <c r="C17" s="9">
        <f ca="1">SUM(C$2:C$11)</f>
        <v>844.88089140485431</v>
      </c>
      <c r="D17" s="9">
        <f ca="1">SUM(D$2:D$11)</f>
        <v>2484.0392261156057</v>
      </c>
      <c r="E17" s="9">
        <f ca="1">$Q$5/parameters!$B$4</f>
        <v>675.82421076789933</v>
      </c>
      <c r="F17" s="9">
        <f t="shared" ref="F17:K17" ca="1" si="7">SUM(F$2:F$11)</f>
        <v>1337.313432835821</v>
      </c>
      <c r="G17" s="9">
        <f t="shared" ca="1" si="7"/>
        <v>3614.8380355276909</v>
      </c>
      <c r="H17" s="9">
        <f t="shared" ca="1" si="7"/>
        <v>4713.8</v>
      </c>
      <c r="I17" s="9">
        <f t="shared" ca="1" si="7"/>
        <v>3400</v>
      </c>
      <c r="J17" s="9">
        <f t="shared" ca="1" si="7"/>
        <v>1147.6827235820435</v>
      </c>
      <c r="K17" s="9">
        <f t="shared" ca="1" si="7"/>
        <v>4968.2890691104021</v>
      </c>
      <c r="L17" s="17">
        <f t="shared" ca="1" si="5"/>
        <v>24474.878494734854</v>
      </c>
      <c r="M17" s="17"/>
      <c r="N17" s="17"/>
      <c r="O17" s="9"/>
      <c r="P17" s="14"/>
      <c r="Q17" s="11">
        <f t="shared" ca="1" si="6"/>
        <v>24474.878494734854</v>
      </c>
      <c r="R17" s="17">
        <f t="shared" ca="1" si="4"/>
        <v>24474.878494734854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0.91530918112403703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2661.4365417818258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2661.4365417818258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-2661.4365417818258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116.235</v>
      </c>
      <c r="H3" s="14"/>
      <c r="I3" s="14"/>
      <c r="J3" s="14"/>
      <c r="K3" s="13"/>
      <c r="L3" s="16">
        <f t="shared" ca="1" si="0"/>
        <v>116.235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-116.235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2644.6694915686003</v>
      </c>
      <c r="H4" s="14"/>
      <c r="I4" s="14"/>
      <c r="J4" s="14"/>
      <c r="K4" s="13"/>
      <c r="L4" s="16">
        <f t="shared" ca="1" si="0"/>
        <v>2644.6694915686003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2644.6694915686003</v>
      </c>
      <c r="R4" s="16">
        <f t="shared" ca="1" si="2"/>
        <v>2644.6694915686003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1234.8739828305638</v>
      </c>
      <c r="H5" s="14"/>
      <c r="I5" s="14"/>
      <c r="J5" s="14"/>
      <c r="K5" s="13"/>
      <c r="L5" s="16">
        <f t="shared" ca="1" si="0"/>
        <v>1234.8739828305638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1234.8739828305638</v>
      </c>
      <c r="R5" s="16">
        <f t="shared" ca="1" si="2"/>
        <v>1234.8739828305638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3823.96</v>
      </c>
      <c r="I7" s="14"/>
      <c r="J7" s="14"/>
      <c r="K7" s="13"/>
      <c r="L7" s="16">
        <f t="shared" ca="1" si="0"/>
        <v>3823.96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3823.96</v>
      </c>
      <c r="R7" s="16">
        <f t="shared" ca="1" si="2"/>
        <v>3823.96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2440</v>
      </c>
      <c r="J8" s="14">
        <f ca="1">Q10/J18</f>
        <v>1368.113313216367</v>
      </c>
      <c r="K8" s="13"/>
      <c r="L8" s="16">
        <f t="shared" ca="1" si="0"/>
        <v>3808.1133132163668</v>
      </c>
      <c r="M8" s="16"/>
      <c r="N8" s="16">
        <f t="shared" ca="1" si="3"/>
        <v>955.66668678363294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-939.81999999999994</v>
      </c>
      <c r="Q8" s="16">
        <f ca="1">SUM(Q6:Q7)</f>
        <v>3823.96</v>
      </c>
      <c r="R8" s="16">
        <f t="shared" ca="1" si="2"/>
        <v>3823.96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3012.5199999999995</v>
      </c>
      <c r="L9" s="16">
        <f t="shared" ca="1" si="0"/>
        <v>3012.5199999999995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-621.31999999999994</v>
      </c>
      <c r="Q9" s="16" cm="1">
        <f t="array" aca="1" ref="Q9" ca="1">INDIRECT("'data'!$T$" &amp; $A$1)*parameters!$B$15</f>
        <v>2391.1999999999998</v>
      </c>
      <c r="R9" s="16">
        <f t="shared" ca="1" si="2"/>
        <v>2391.1999999999998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2382.4910469520396</v>
      </c>
      <c r="L10" s="16">
        <f t="shared" ca="1" si="0"/>
        <v>2382.4910469520396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-1041.74</v>
      </c>
      <c r="Q10" s="16" cm="1">
        <f t="array" aca="1" ref="Q10" ca="1">INDIRECT("'data'!$W$" &amp; $A$1)*parameters!$B$15</f>
        <v>1340.7510469520396</v>
      </c>
      <c r="R10" s="16">
        <f t="shared" ca="1" si="2"/>
        <v>1340.7510469520396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6019.4711003787543</v>
      </c>
      <c r="N11" s="19"/>
      <c r="O11" s="21" cm="1">
        <f t="array" aca="1" ref="O11" ca="1">INDIRECT("'data'!$Z$" &amp; $A$1)*parameters!$B$15</f>
        <v>29.4</v>
      </c>
      <c r="P11" s="27" cm="1">
        <f t="array" aca="1" ref="P11" ca="1">-INDIRECT("'data'!$AA$" &amp; $A$1)*parameters!$B$15</f>
        <v>-1168.1600000000001</v>
      </c>
      <c r="Q11" s="16">
        <f ca="1">K9*parameters!$B$10+K10*parameters!$B$11</f>
        <v>4880.7111003787541</v>
      </c>
      <c r="R11" s="16">
        <f t="shared" ref="R11:R17" ca="1" si="4">SUM(L11:P11)</f>
        <v>4880.7111003787541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-16.767050213225502</v>
      </c>
      <c r="E12" s="9">
        <f ca="1">-(E17-Q5)</f>
        <v>-152.62487428242912</v>
      </c>
      <c r="F12" s="9">
        <f ca="1">-(F17-Q6)</f>
        <v>0</v>
      </c>
      <c r="G12" s="9">
        <f ca="1">-(G17-Q7)</f>
        <v>-171.81847439916419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-341.21039889481881</v>
      </c>
      <c r="M12" s="17"/>
      <c r="N12" s="17"/>
      <c r="O12" s="10"/>
      <c r="P12" s="12"/>
      <c r="Q12" s="9">
        <f t="shared" ref="Q12:Q17" ca="1" si="6">SUM(L12:P12)</f>
        <v>-341.21039889481881</v>
      </c>
      <c r="R12" s="17">
        <f t="shared" ca="1" si="4"/>
        <v>-341.21039889481881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-48.800000000000182</v>
      </c>
      <c r="J13" s="14">
        <f ca="1">-(J17-Q10)</f>
        <v>-27.362266264327445</v>
      </c>
      <c r="K13" s="13">
        <f ca="1">-(K17-Q11)</f>
        <v>-514.29994657328461</v>
      </c>
      <c r="L13" s="14">
        <f t="shared" ca="1" si="5"/>
        <v>-590.46221283761224</v>
      </c>
      <c r="M13" s="16">
        <f ca="1">-E15</f>
        <v>-797.0366442753807</v>
      </c>
      <c r="N13" s="16"/>
      <c r="O13" s="11"/>
      <c r="P13" s="13"/>
      <c r="Q13" s="14">
        <f t="shared" ca="1" si="6"/>
        <v>-1387.4988571129929</v>
      </c>
      <c r="R13" s="16">
        <f t="shared" ca="1" si="4"/>
        <v>-1387.4988571129929</v>
      </c>
    </row>
    <row r="14" spans="1:22">
      <c r="A14" s="18" t="s">
        <v>78</v>
      </c>
      <c r="B14" s="11"/>
      <c r="C14" s="14"/>
      <c r="D14" s="14"/>
      <c r="E14" s="14">
        <f ca="1">-(I13+J13)-K13</f>
        <v>590.46221283761224</v>
      </c>
      <c r="F14" s="14"/>
      <c r="G14" s="14"/>
      <c r="H14" s="14"/>
      <c r="I14" s="14"/>
      <c r="J14" s="14"/>
      <c r="K14" s="13"/>
      <c r="L14" s="14">
        <f t="shared" ca="1" si="5"/>
        <v>590.46221283761224</v>
      </c>
      <c r="M14" s="16"/>
      <c r="N14" s="16"/>
      <c r="O14" s="11"/>
      <c r="P14" s="13"/>
      <c r="Q14" s="14">
        <f t="shared" ca="1" si="6"/>
        <v>590.46221283761224</v>
      </c>
      <c r="R14" s="16">
        <f t="shared" ca="1" si="4"/>
        <v>590.46221283761224</v>
      </c>
    </row>
    <row r="15" spans="1:22">
      <c r="A15" s="18" t="s">
        <v>79</v>
      </c>
      <c r="B15" s="11"/>
      <c r="C15" s="14"/>
      <c r="D15" s="14"/>
      <c r="E15" s="14">
        <f ca="1">E17-E14</f>
        <v>797.0366442753807</v>
      </c>
      <c r="F15" s="14"/>
      <c r="G15" s="14"/>
      <c r="H15" s="14"/>
      <c r="I15" s="14"/>
      <c r="J15" s="14"/>
      <c r="K15" s="13"/>
      <c r="L15" s="14">
        <f t="shared" ca="1" si="5"/>
        <v>797.0366442753807</v>
      </c>
      <c r="M15" s="16"/>
      <c r="N15" s="16"/>
      <c r="O15" s="11"/>
      <c r="P15" s="13"/>
      <c r="Q15" s="14">
        <f t="shared" ca="1" si="6"/>
        <v>797.0366442753807</v>
      </c>
      <c r="R15" s="16">
        <f t="shared" ca="1" si="4"/>
        <v>797.0366442753807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2661.4365417818258</v>
      </c>
      <c r="E17" s="9">
        <f ca="1">$Q$5/parameters!$B$4</f>
        <v>1387.4988571129929</v>
      </c>
      <c r="F17" s="9">
        <f t="shared" ref="F17:K17" ca="1" si="7">SUM(F$2:F$11)</f>
        <v>0</v>
      </c>
      <c r="G17" s="9">
        <f t="shared" ca="1" si="7"/>
        <v>3995.7784743991642</v>
      </c>
      <c r="H17" s="9">
        <f t="shared" ca="1" si="7"/>
        <v>3823.96</v>
      </c>
      <c r="I17" s="9">
        <f t="shared" ca="1" si="7"/>
        <v>2440</v>
      </c>
      <c r="J17" s="9">
        <f t="shared" ca="1" si="7"/>
        <v>1368.113313216367</v>
      </c>
      <c r="K17" s="9">
        <f t="shared" ca="1" si="7"/>
        <v>5395.0110469520387</v>
      </c>
      <c r="L17" s="17">
        <f t="shared" ca="1" si="5"/>
        <v>21071.798233462388</v>
      </c>
      <c r="M17" s="17"/>
      <c r="N17" s="17"/>
      <c r="O17" s="9"/>
      <c r="P17" s="14"/>
      <c r="Q17" s="11">
        <f t="shared" ca="1" si="6"/>
        <v>21071.798233462388</v>
      </c>
      <c r="R17" s="17">
        <f t="shared" ca="1" si="4"/>
        <v>21071.798233462388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0.90467119675985774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4609.4545637516349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4609.4545637516349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-4034.4545637516349</v>
      </c>
      <c r="Q2" s="17" cm="1">
        <f t="array" aca="1" ref="Q2" ca="1">INDIRECT("'data'!$D$" &amp; $A$1)</f>
        <v>575</v>
      </c>
      <c r="R2" s="17">
        <f ca="1">SUM(L2:P2)</f>
        <v>575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4623.9179104477607</v>
      </c>
      <c r="G3" s="14">
        <f ca="1">Q3-O3-P3-F3</f>
        <v>12.25208955223934</v>
      </c>
      <c r="H3" s="14"/>
      <c r="I3" s="14"/>
      <c r="J3" s="14"/>
      <c r="K3" s="13"/>
      <c r="L3" s="16">
        <f t="shared" ca="1" si="0"/>
        <v>4636.17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6.6149999999999993</v>
      </c>
      <c r="P3" s="13" cm="1">
        <f t="array" aca="1" ref="P3" ca="1">-INDIRECT("'data'!$I$" &amp; $A$1)*parameters!$B$13</f>
        <v>-62.37</v>
      </c>
      <c r="Q3" s="16" cm="1">
        <f t="array" aca="1" ref="Q3" ca="1">INDIRECT("'data'!$G$" &amp; $A$1)*parameters!$B$13</f>
        <v>4580.415</v>
      </c>
      <c r="R3" s="16">
        <f t="shared" ref="R3:R10" ca="1" si="2">SUM(L3:P3)</f>
        <v>4580.415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Q6/parameters!$B$5*25%</f>
        <v>1541.3059701492537</v>
      </c>
      <c r="G5" s="14">
        <f ca="1">Q7/parameters!$B$7-(G3+G4)</f>
        <v>631.86494284065509</v>
      </c>
      <c r="H5" s="14"/>
      <c r="I5" s="14"/>
      <c r="J5" s="14"/>
      <c r="K5" s="13"/>
      <c r="L5" s="16">
        <f t="shared" ca="1" si="0"/>
        <v>2173.1709129899086</v>
      </c>
      <c r="M5" s="16"/>
      <c r="N5" s="16"/>
      <c r="O5" s="11" cm="1">
        <f t="array" aca="1" ref="O5" ca="1">INDIRECT("'data'!$M$" &amp; $A$1)*parameters!$B$15</f>
        <v>1094.6600000000001</v>
      </c>
      <c r="P5" s="13" cm="1">
        <f t="array" aca="1" ref="P5" ca="1">-INDIRECT("'data'!$N$" &amp; $A$1)*parameters!$B$15</f>
        <v>-1014.3</v>
      </c>
      <c r="Q5" s="16">
        <f ca="1">SUM(L5:P5)</f>
        <v>2253.5309129899088</v>
      </c>
      <c r="R5" s="16">
        <f t="shared" ca="1" si="2"/>
        <v>2253.5309129899088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5782.98</v>
      </c>
      <c r="I6" s="14"/>
      <c r="J6" s="14"/>
      <c r="K6" s="13"/>
      <c r="L6" s="16">
        <f t="shared" ca="1" si="0"/>
        <v>5782.98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5782.98</v>
      </c>
      <c r="R6" s="16">
        <f t="shared" ca="1" si="2"/>
        <v>5782.98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616.41999999999996</v>
      </c>
      <c r="I7" s="14"/>
      <c r="J7" s="14"/>
      <c r="K7" s="13"/>
      <c r="L7" s="16">
        <f t="shared" ca="1" si="0"/>
        <v>616.41999999999996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616.41999999999996</v>
      </c>
      <c r="R7" s="16">
        <f t="shared" ca="1" si="2"/>
        <v>616.41999999999996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1666.4892513603099</v>
      </c>
      <c r="J8" s="14">
        <f ca="1">Q10/J18</f>
        <v>4558.4707486396892</v>
      </c>
      <c r="K8" s="13"/>
      <c r="L8" s="16">
        <f t="shared" ca="1" si="0"/>
        <v>6224.9599999999991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340.06</v>
      </c>
      <c r="P8" s="13" cm="1">
        <f t="array" aca="1" ref="P8" ca="1">-INDIRECT("'data'!$S$" &amp; $A$1)*parameters!$B$15</f>
        <v>-165.62</v>
      </c>
      <c r="Q8" s="16">
        <f ca="1">SUM(Q6:Q7)</f>
        <v>6399.4</v>
      </c>
      <c r="R8" s="16">
        <f t="shared" ca="1" si="2"/>
        <v>6399.4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1602.3</v>
      </c>
      <c r="L9" s="16">
        <f t="shared" ca="1" si="0"/>
        <v>1602.3</v>
      </c>
      <c r="M9" s="16"/>
      <c r="N9" s="16">
        <f t="shared" ca="1" si="3"/>
        <v>0</v>
      </c>
      <c r="O9" s="11" cm="1">
        <f t="array" aca="1" ref="O9" ca="1">INDIRECT("'data'!$U$" &amp; $A$1)*parameters!$B$15</f>
        <v>1033.9000000000001</v>
      </c>
      <c r="P9" s="13" cm="1">
        <f t="array" aca="1" ref="P9" ca="1">-INDIRECT("'data'!$V$" &amp; $A$1)*parameters!$B$15</f>
        <v>-1090.74</v>
      </c>
      <c r="Q9" s="16" cm="1">
        <f t="array" aca="1" ref="Q9" ca="1">INDIRECT("'data'!$T$" &amp; $A$1)*parameters!$B$15</f>
        <v>1545.46</v>
      </c>
      <c r="R9" s="16">
        <f t="shared" ca="1" si="2"/>
        <v>1545.4599999999998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2145.8905263157899</v>
      </c>
      <c r="L10" s="16">
        <f t="shared" ca="1" si="0"/>
        <v>2145.8905263157899</v>
      </c>
      <c r="M10" s="16"/>
      <c r="N10" s="16">
        <f t="shared" ca="1" si="3"/>
        <v>0</v>
      </c>
      <c r="O10" s="11" cm="1">
        <f t="array" aca="1" ref="O10" ca="1">INDIRECT("'data'!$X$" &amp; $A$1)*parameters!$B$15</f>
        <v>3593.66</v>
      </c>
      <c r="P10" s="13" cm="1">
        <f t="array" aca="1" ref="P10" ca="1">-INDIRECT("'data'!$Y$" &amp; $A$1)*parameters!$B$15</f>
        <v>-1512.1399999999999</v>
      </c>
      <c r="Q10" s="16" cm="1">
        <f t="array" aca="1" ref="Q10" ca="1">INDIRECT("'data'!$W$" &amp; $A$1)*parameters!$B$15</f>
        <v>4227.4105263157899</v>
      </c>
      <c r="R10" s="16">
        <f t="shared" ca="1" si="2"/>
        <v>4227.4105263157908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3486.8678526315789</v>
      </c>
      <c r="N11" s="19"/>
      <c r="O11" s="21" cm="1">
        <f t="array" aca="1" ref="O11" ca="1">INDIRECT("'data'!$Z$" &amp; $A$1)*parameters!$B$15</f>
        <v>3019.38</v>
      </c>
      <c r="P11" s="27" cm="1">
        <f t="array" aca="1" ref="P11" ca="1">-INDIRECT("'data'!$AA$" &amp; $A$1)*parameters!$B$15</f>
        <v>-3154.62</v>
      </c>
      <c r="Q11" s="16">
        <f ca="1">K9*parameters!$B$10+K10*parameters!$B$11</f>
        <v>3351.6278526315791</v>
      </c>
      <c r="R11" s="16">
        <f t="shared" ref="R11:R17" ca="1" si="4">SUM(L11:P11)</f>
        <v>3351.6278526315791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-29.039563751634887</v>
      </c>
      <c r="D12" s="9">
        <f ca="1">-(D17-Q4)</f>
        <v>0</v>
      </c>
      <c r="E12" s="9">
        <f ca="1">-(E17-Q5)</f>
        <v>-278.52629261673019</v>
      </c>
      <c r="F12" s="9">
        <f ca="1">-(F17-Q6)</f>
        <v>-382.24388059701505</v>
      </c>
      <c r="G12" s="9">
        <f ca="1">-(G17-Q7)</f>
        <v>-27.697032392894471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-717.5067693582746</v>
      </c>
      <c r="M12" s="17"/>
      <c r="N12" s="17"/>
      <c r="O12" s="10"/>
      <c r="P12" s="12"/>
      <c r="Q12" s="9">
        <f t="shared" ref="Q12:Q17" ca="1" si="6">SUM(L12:P12)</f>
        <v>-717.5067693582746</v>
      </c>
      <c r="R12" s="17">
        <f t="shared" ca="1" si="4"/>
        <v>-717.5067693582746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-121.0292513603099</v>
      </c>
      <c r="J13" s="14">
        <f ca="1">-(J17-Q10)</f>
        <v>-331.06022232389932</v>
      </c>
      <c r="K13" s="13">
        <f ca="1">-(K17-Q11)</f>
        <v>-396.56267368421049</v>
      </c>
      <c r="L13" s="14">
        <f t="shared" ca="1" si="5"/>
        <v>-848.65214736841972</v>
      </c>
      <c r="M13" s="16">
        <f ca="1">-E15</f>
        <v>-1683.4050582382192</v>
      </c>
      <c r="N13" s="16"/>
      <c r="O13" s="11"/>
      <c r="P13" s="13"/>
      <c r="Q13" s="14">
        <f t="shared" ca="1" si="6"/>
        <v>-2532.0572056066389</v>
      </c>
      <c r="R13" s="16">
        <f t="shared" ca="1" si="4"/>
        <v>-2532.0572056066389</v>
      </c>
    </row>
    <row r="14" spans="1:20">
      <c r="A14" s="18" t="s">
        <v>78</v>
      </c>
      <c r="B14" s="11"/>
      <c r="C14" s="14"/>
      <c r="D14" s="14"/>
      <c r="E14" s="14">
        <f ca="1">-(I13+J13)-K13</f>
        <v>848.65214736841972</v>
      </c>
      <c r="F14" s="14"/>
      <c r="G14" s="14"/>
      <c r="H14" s="14"/>
      <c r="I14" s="14"/>
      <c r="J14" s="14"/>
      <c r="K14" s="13"/>
      <c r="L14" s="14">
        <f t="shared" ca="1" si="5"/>
        <v>848.65214736841972</v>
      </c>
      <c r="M14" s="16"/>
      <c r="N14" s="16"/>
      <c r="O14" s="11"/>
      <c r="P14" s="13"/>
      <c r="Q14" s="14">
        <f t="shared" ca="1" si="6"/>
        <v>848.65214736841972</v>
      </c>
      <c r="R14" s="16">
        <f t="shared" ca="1" si="4"/>
        <v>848.65214736841972</v>
      </c>
    </row>
    <row r="15" spans="1:20">
      <c r="A15" s="18" t="s">
        <v>79</v>
      </c>
      <c r="B15" s="11"/>
      <c r="C15" s="14"/>
      <c r="D15" s="14"/>
      <c r="E15" s="14">
        <f ca="1">E17-E14</f>
        <v>1683.4050582382192</v>
      </c>
      <c r="F15" s="14"/>
      <c r="G15" s="14"/>
      <c r="H15" s="14"/>
      <c r="I15" s="14"/>
      <c r="J15" s="14"/>
      <c r="K15" s="13"/>
      <c r="L15" s="14">
        <f t="shared" ca="1" si="5"/>
        <v>1683.4050582382192</v>
      </c>
      <c r="M15" s="16"/>
      <c r="N15" s="16"/>
      <c r="O15" s="11"/>
      <c r="P15" s="13"/>
      <c r="Q15" s="14">
        <f t="shared" ca="1" si="6"/>
        <v>1683.4050582382192</v>
      </c>
      <c r="R15" s="16">
        <f t="shared" ca="1" si="4"/>
        <v>1683.4050582382192</v>
      </c>
    </row>
    <row r="16" spans="1:20">
      <c r="A16" s="30" t="s">
        <v>89</v>
      </c>
      <c r="B16" s="21">
        <f ca="1">Q2</f>
        <v>575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575</v>
      </c>
      <c r="M16" s="19"/>
      <c r="N16" s="19"/>
      <c r="O16" s="21"/>
      <c r="P16" s="27"/>
      <c r="Q16" s="22">
        <f t="shared" ca="1" si="6"/>
        <v>575</v>
      </c>
      <c r="R16" s="19">
        <f t="shared" ca="1" si="4"/>
        <v>575</v>
      </c>
    </row>
    <row r="17" spans="1:18">
      <c r="A17" s="29" t="s">
        <v>88</v>
      </c>
      <c r="B17" s="9">
        <f ca="1">B16</f>
        <v>575</v>
      </c>
      <c r="C17" s="9">
        <f ca="1">SUM(C$2:C$11)</f>
        <v>4609.4545637516349</v>
      </c>
      <c r="D17" s="9">
        <f ca="1">SUM(D$2:D$11)</f>
        <v>0</v>
      </c>
      <c r="E17" s="9">
        <f ca="1">$Q$5/parameters!$B$4</f>
        <v>2532.0572056066389</v>
      </c>
      <c r="F17" s="9">
        <f t="shared" ref="F17:K17" ca="1" si="7">SUM(F$2:F$11)</f>
        <v>6165.2238805970146</v>
      </c>
      <c r="G17" s="9">
        <f t="shared" ca="1" si="7"/>
        <v>644.11703239289443</v>
      </c>
      <c r="H17" s="9">
        <f t="shared" ca="1" si="7"/>
        <v>6399.4</v>
      </c>
      <c r="I17" s="9">
        <f t="shared" ca="1" si="7"/>
        <v>1666.4892513603099</v>
      </c>
      <c r="J17" s="9">
        <f t="shared" ca="1" si="7"/>
        <v>4558.4707486396892</v>
      </c>
      <c r="K17" s="9">
        <f t="shared" ca="1" si="7"/>
        <v>3748.1905263157896</v>
      </c>
      <c r="L17" s="17">
        <f t="shared" ca="1" si="5"/>
        <v>30898.403208663971</v>
      </c>
      <c r="M17" s="17"/>
      <c r="N17" s="17"/>
      <c r="O17" s="9"/>
      <c r="P17" s="14"/>
      <c r="Q17" s="11">
        <f t="shared" ca="1" si="6"/>
        <v>30898.403208663971</v>
      </c>
      <c r="R17" s="17">
        <f t="shared" ca="1" si="4"/>
        <v>30898.403208663971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0.92737471828185092</v>
      </c>
      <c r="J18" s="39">
        <f ca="1">I18</f>
        <v>0.92737471828185092</v>
      </c>
      <c r="K18" s="40">
        <f ca="1">1-(-K13)/K17</f>
        <v>0.89419890187012341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7820.9519975847834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7820.9519975847834</v>
      </c>
      <c r="M2" s="17"/>
      <c r="N2" s="17">
        <f ca="1">Q2-(L2+O2+P2)</f>
        <v>0</v>
      </c>
      <c r="O2" s="11" cm="1">
        <f t="array" aca="1" ref="O2" ca="1">INDIRECT("'data'!$F$" &amp; $A$1)</f>
        <v>16.25</v>
      </c>
      <c r="P2" s="13">
        <f ca="1">IF(-(L2-Q2+O2)&lt;0, -(L2-Q2+O2), 0)</f>
        <v>-7837.2019975847834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7365.253731343284</v>
      </c>
      <c r="G3" s="14">
        <f ca="1">Q3-O3-P3-F3</f>
        <v>540.61626865671587</v>
      </c>
      <c r="H3" s="14"/>
      <c r="I3" s="14"/>
      <c r="J3" s="14"/>
      <c r="K3" s="13"/>
      <c r="L3" s="16">
        <f t="shared" ca="1" si="0"/>
        <v>7905.87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219.23999999999998</v>
      </c>
      <c r="P3" s="13" cm="1">
        <f t="array" aca="1" ref="P3" ca="1">-INDIRECT("'data'!$I$" &amp; $A$1)*parameters!$B$13</f>
        <v>-353.43</v>
      </c>
      <c r="Q3" s="16" cm="1">
        <f t="array" aca="1" ref="Q3" ca="1">INDIRECT("'data'!$G$" &amp; $A$1)*parameters!$B$13</f>
        <v>7771.6799999999994</v>
      </c>
      <c r="R3" s="16">
        <f t="shared" ref="R3:R10" ca="1" si="2">SUM(L3:P3)</f>
        <v>7771.6799999999994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70.84</v>
      </c>
      <c r="H4" s="14"/>
      <c r="I4" s="14"/>
      <c r="J4" s="14"/>
      <c r="K4" s="13"/>
      <c r="L4" s="16">
        <f t="shared" ca="1" si="0"/>
        <v>70.84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-74.52000000000001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1841.313432835821</v>
      </c>
      <c r="G5" s="14">
        <f ca="1">Q7/parameters!$B$7-(G3+G4)</f>
        <v>2342.8801994728556</v>
      </c>
      <c r="H5" s="14"/>
      <c r="I5" s="14"/>
      <c r="J5" s="14"/>
      <c r="K5" s="13"/>
      <c r="L5" s="16">
        <f t="shared" ca="1" si="0"/>
        <v>4184.1936323086766</v>
      </c>
      <c r="M5" s="16"/>
      <c r="N5" s="16"/>
      <c r="O5" s="11" cm="1">
        <f t="array" aca="1" ref="O5" ca="1">INDIRECT("'data'!$M$" &amp; $A$1)*parameters!$B$15</f>
        <v>2208.8826749335694</v>
      </c>
      <c r="P5" s="13" cm="1">
        <f t="array" aca="1" ref="P5" ca="1">-INDIRECT("'data'!$N$" &amp; $A$1)*parameters!$B$15</f>
        <v>-2461.0895353004421</v>
      </c>
      <c r="Q5" s="16">
        <f ca="1">SUM(L5:P5)</f>
        <v>3931.9867719418039</v>
      </c>
      <c r="R5" s="16">
        <f t="shared" ca="1" si="2"/>
        <v>3931.9867719418039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8635.76</v>
      </c>
      <c r="I6" s="14"/>
      <c r="J6" s="14"/>
      <c r="K6" s="13"/>
      <c r="L6" s="16">
        <f t="shared" ca="1" si="0"/>
        <v>8635.76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8635.76</v>
      </c>
      <c r="R6" s="16">
        <f t="shared" ca="1" si="2"/>
        <v>8635.76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2827.2999999999997</v>
      </c>
      <c r="I7" s="14"/>
      <c r="J7" s="14"/>
      <c r="K7" s="13"/>
      <c r="L7" s="16">
        <f t="shared" ca="1" si="0"/>
        <v>2827.2999999999997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2827.2999999999997</v>
      </c>
      <c r="R7" s="16">
        <f t="shared" ca="1" si="2"/>
        <v>2827.2999999999997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1288.2491073031408</v>
      </c>
      <c r="J8" s="14">
        <f ca="1">Q10/J18</f>
        <v>13367.650892696858</v>
      </c>
      <c r="K8" s="13"/>
      <c r="L8" s="16">
        <f t="shared" ca="1" si="0"/>
        <v>14655.9</v>
      </c>
      <c r="M8" s="16"/>
      <c r="N8" s="16">
        <f t="shared" ca="1" si="3"/>
        <v>0</v>
      </c>
      <c r="O8" s="11" cm="1">
        <f t="array" aca="1" ref="O8" ca="1">INDIRECT("'data'!$R$" &amp; $A$1)*parameters!$B$15</f>
        <v>873.18</v>
      </c>
      <c r="P8" s="13" cm="1">
        <f t="array" aca="1" ref="P8" ca="1">-INDIRECT("'data'!$S$" &amp; $A$1)*parameters!$B$15</f>
        <v>-4066.02</v>
      </c>
      <c r="Q8" s="16">
        <f ca="1">SUM(Q6:Q7)</f>
        <v>11463.06</v>
      </c>
      <c r="R8" s="16">
        <f t="shared" ca="1" si="2"/>
        <v>11463.06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1640.1514859840449</v>
      </c>
      <c r="L9" s="16">
        <f t="shared" ca="1" si="0"/>
        <v>1640.1514859840449</v>
      </c>
      <c r="M9" s="16"/>
      <c r="N9" s="16">
        <f t="shared" ca="1" si="3"/>
        <v>0</v>
      </c>
      <c r="O9" s="11" cm="1">
        <f t="array" aca="1" ref="O9" ca="1">INDIRECT("'data'!$U$" &amp; $A$1)*parameters!$B$15</f>
        <v>1901.1256591263648</v>
      </c>
      <c r="P9" s="13" cm="1">
        <f t="array" aca="1" ref="P9" ca="1">-INDIRECT("'data'!$V$" &amp; $A$1)*parameters!$B$15</f>
        <v>-2427.9971451104097</v>
      </c>
      <c r="Q9" s="16" cm="1">
        <f t="array" aca="1" ref="Q9" ca="1">INDIRECT("'data'!$T$" &amp; $A$1)*parameters!$B$15</f>
        <v>1113.28</v>
      </c>
      <c r="R9" s="16">
        <f t="shared" ca="1" si="2"/>
        <v>1113.2800000000002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2496.7533925035041</v>
      </c>
      <c r="L10" s="16">
        <f t="shared" ca="1" si="0"/>
        <v>2496.7533925035041</v>
      </c>
      <c r="M10" s="16"/>
      <c r="N10" s="16">
        <f t="shared" ca="1" si="3"/>
        <v>0</v>
      </c>
      <c r="O10" s="11" cm="1">
        <f t="array" aca="1" ref="O10" ca="1">INDIRECT("'data'!$X$" &amp; $A$1)*parameters!$B$15</f>
        <v>15400.7647783382</v>
      </c>
      <c r="P10" s="13" cm="1">
        <f t="array" aca="1" ref="P10" ca="1">-INDIRECT("'data'!$Y$" &amp; $A$1)*parameters!$B$15</f>
        <v>-6345.4524240422725</v>
      </c>
      <c r="Q10" s="16" cm="1">
        <f t="array" aca="1" ref="Q10" ca="1">INDIRECT("'data'!$W$" &amp; $A$1)*parameters!$B$15</f>
        <v>11552.065746799432</v>
      </c>
      <c r="R10" s="16">
        <f t="shared" ca="1" si="2"/>
        <v>11552.065746799432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4090.7503143780159</v>
      </c>
      <c r="N11" s="19"/>
      <c r="O11" s="21" cm="1">
        <f t="array" aca="1" ref="O11" ca="1">INDIRECT("'data'!$Z$" &amp; $A$1)*parameters!$B$15</f>
        <v>6362.16</v>
      </c>
      <c r="P11" s="27" cm="1">
        <f t="array" aca="1" ref="P11" ca="1">-INDIRECT("'data'!$AA$" &amp; $A$1)*parameters!$B$15</f>
        <v>-6763.96</v>
      </c>
      <c r="Q11" s="16">
        <f ca="1">K9*parameters!$B$10+K10*parameters!$B$11</f>
        <v>3688.9503143780157</v>
      </c>
      <c r="R11" s="16">
        <f t="shared" ref="R11:R17" ca="1" si="4">SUM(L11:P11)</f>
        <v>3688.9503143780157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-49.271997584784003</v>
      </c>
      <c r="D12" s="9">
        <f ca="1">-(D17-Q4)</f>
        <v>0</v>
      </c>
      <c r="E12" s="9">
        <f ca="1">-(E17-Q5)</f>
        <v>-485.97589316134645</v>
      </c>
      <c r="F12" s="9">
        <f ca="1">-(F17-Q6)</f>
        <v>-570.8071641791048</v>
      </c>
      <c r="G12" s="9">
        <f ca="1">-(G17-Q7)</f>
        <v>-127.03646812957186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-1233.0915230548071</v>
      </c>
      <c r="M12" s="17"/>
      <c r="N12" s="17"/>
      <c r="O12" s="10"/>
      <c r="P12" s="12"/>
      <c r="Q12" s="9">
        <f t="shared" ref="Q12:Q17" ca="1" si="6">SUM(L12:P12)</f>
        <v>-1233.0915230548071</v>
      </c>
      <c r="R12" s="17">
        <f t="shared" ca="1" si="4"/>
        <v>-1233.0915230548071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-174.96910730314085</v>
      </c>
      <c r="J13" s="14">
        <f ca="1">-(J17-Q10)</f>
        <v>-1815.5851458974266</v>
      </c>
      <c r="K13" s="13">
        <f ca="1">-(K17-Q11)</f>
        <v>-447.95456410953284</v>
      </c>
      <c r="L13" s="14">
        <f t="shared" ca="1" si="5"/>
        <v>-2438.5088173101003</v>
      </c>
      <c r="M13" s="16">
        <f ca="1">-E15</f>
        <v>-1979.45384779305</v>
      </c>
      <c r="N13" s="16"/>
      <c r="O13" s="11"/>
      <c r="P13" s="13"/>
      <c r="Q13" s="14">
        <f t="shared" ca="1" si="6"/>
        <v>-4417.9626651031504</v>
      </c>
      <c r="R13" s="16">
        <f t="shared" ca="1" si="4"/>
        <v>-4417.9626651031504</v>
      </c>
    </row>
    <row r="14" spans="1:20">
      <c r="A14" s="18" t="s">
        <v>78</v>
      </c>
      <c r="B14" s="11"/>
      <c r="C14" s="14"/>
      <c r="D14" s="14"/>
      <c r="E14" s="14">
        <f ca="1">-(I13+J13)-K13</f>
        <v>2438.5088173101003</v>
      </c>
      <c r="F14" s="14"/>
      <c r="G14" s="14"/>
      <c r="H14" s="14"/>
      <c r="I14" s="14"/>
      <c r="J14" s="14"/>
      <c r="K14" s="13"/>
      <c r="L14" s="14">
        <f t="shared" ca="1" si="5"/>
        <v>2438.5088173101003</v>
      </c>
      <c r="M14" s="16"/>
      <c r="N14" s="16"/>
      <c r="O14" s="11"/>
      <c r="P14" s="13"/>
      <c r="Q14" s="14">
        <f t="shared" ca="1" si="6"/>
        <v>2438.5088173101003</v>
      </c>
      <c r="R14" s="16">
        <f t="shared" ca="1" si="4"/>
        <v>2438.5088173101003</v>
      </c>
    </row>
    <row r="15" spans="1:20">
      <c r="A15" s="18" t="s">
        <v>79</v>
      </c>
      <c r="B15" s="11"/>
      <c r="C15" s="14"/>
      <c r="D15" s="14"/>
      <c r="E15" s="14">
        <f ca="1">E17-E14</f>
        <v>1979.45384779305</v>
      </c>
      <c r="F15" s="14"/>
      <c r="G15" s="14"/>
      <c r="H15" s="14"/>
      <c r="I15" s="14"/>
      <c r="J15" s="14"/>
      <c r="K15" s="13"/>
      <c r="L15" s="14">
        <f t="shared" ca="1" si="5"/>
        <v>1979.45384779305</v>
      </c>
      <c r="M15" s="16"/>
      <c r="N15" s="16"/>
      <c r="O15" s="11"/>
      <c r="P15" s="13"/>
      <c r="Q15" s="14">
        <f t="shared" ca="1" si="6"/>
        <v>1979.45384779305</v>
      </c>
      <c r="R15" s="16">
        <f t="shared" ca="1" si="4"/>
        <v>1979.45384779305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7820.9519975847834</v>
      </c>
      <c r="D17" s="9">
        <f ca="1">SUM(D$2:D$11)</f>
        <v>0</v>
      </c>
      <c r="E17" s="9">
        <f ca="1">$Q$5/parameters!$B$4</f>
        <v>4417.9626651031504</v>
      </c>
      <c r="F17" s="9">
        <f t="shared" ref="F17:K17" ca="1" si="7">SUM(F$2:F$11)</f>
        <v>9206.567164179105</v>
      </c>
      <c r="G17" s="9">
        <f t="shared" ca="1" si="7"/>
        <v>2954.3364681295716</v>
      </c>
      <c r="H17" s="9">
        <f t="shared" ca="1" si="7"/>
        <v>11463.06</v>
      </c>
      <c r="I17" s="9">
        <f t="shared" ca="1" si="7"/>
        <v>1288.2491073031408</v>
      </c>
      <c r="J17" s="9">
        <f t="shared" ca="1" si="7"/>
        <v>13367.650892696858</v>
      </c>
      <c r="K17" s="9">
        <f t="shared" ca="1" si="7"/>
        <v>4136.9048784875486</v>
      </c>
      <c r="L17" s="17">
        <f t="shared" ca="1" si="5"/>
        <v>54655.683173484162</v>
      </c>
      <c r="M17" s="17"/>
      <c r="N17" s="17"/>
      <c r="O17" s="9"/>
      <c r="P17" s="14"/>
      <c r="Q17" s="11">
        <f t="shared" ca="1" si="6"/>
        <v>54655.683173484162</v>
      </c>
      <c r="R17" s="17">
        <f t="shared" ca="1" si="4"/>
        <v>54655.683173484162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0.86418068810509296</v>
      </c>
      <c r="J18" s="39">
        <f ca="1">I18</f>
        <v>0.86418068810509296</v>
      </c>
      <c r="K18" s="40">
        <f ca="1">1-(-K13)/K17</f>
        <v>0.89171746093584225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9681.0908724967303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9681.0908724967303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-9681.0908724967303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9361.4865671641783</v>
      </c>
      <c r="G3" s="14">
        <f ca="1">Q3-O3-P3-F3</f>
        <v>355.94843283582304</v>
      </c>
      <c r="H3" s="14"/>
      <c r="I3" s="14"/>
      <c r="J3" s="14"/>
      <c r="K3" s="13"/>
      <c r="L3" s="16">
        <f t="shared" ca="1" si="0"/>
        <v>9717.4350000000013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-98.28</v>
      </c>
      <c r="Q3" s="16" cm="1">
        <f t="array" aca="1" ref="Q3" ca="1">INDIRECT("'data'!$G$" &amp; $A$1)*parameters!$B$13</f>
        <v>9620.1</v>
      </c>
      <c r="R3" s="16">
        <f t="shared" ref="R3:R10" ca="1" si="2">SUM(L3:P3)</f>
        <v>9620.1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1783.1402985074628</v>
      </c>
      <c r="G5" s="14">
        <f ca="1">Q7/parameters!$B$7-(G3+G4)</f>
        <v>2816.6111909886286</v>
      </c>
      <c r="H5" s="14"/>
      <c r="I5" s="14"/>
      <c r="J5" s="14"/>
      <c r="K5" s="13"/>
      <c r="L5" s="16">
        <f t="shared" ca="1" si="0"/>
        <v>4599.7514894960914</v>
      </c>
      <c r="M5" s="16"/>
      <c r="N5" s="16"/>
      <c r="O5" s="11" cm="1">
        <f t="array" aca="1" ref="O5" ca="1">INDIRECT("'data'!$M$" &amp; $A$1)*parameters!$B$15</f>
        <v>6631.66</v>
      </c>
      <c r="P5" s="13" cm="1">
        <f t="array" aca="1" ref="P5" ca="1">-INDIRECT("'data'!$N$" &amp; $A$1)*parameters!$B$15</f>
        <v>-221.48</v>
      </c>
      <c r="Q5" s="16">
        <f ca="1">SUM(L5:P5)</f>
        <v>11009.931489496092</v>
      </c>
      <c r="R5" s="16">
        <f t="shared" ca="1" si="2"/>
        <v>11009.931489496092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10453.66</v>
      </c>
      <c r="I6" s="14"/>
      <c r="J6" s="14"/>
      <c r="K6" s="13"/>
      <c r="L6" s="16">
        <f t="shared" ca="1" si="0"/>
        <v>10453.66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10453.66</v>
      </c>
      <c r="R6" s="16">
        <f t="shared" ca="1" si="2"/>
        <v>10453.66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3037.02</v>
      </c>
      <c r="I7" s="14"/>
      <c r="J7" s="14"/>
      <c r="K7" s="13"/>
      <c r="L7" s="16">
        <f t="shared" ca="1" si="0"/>
        <v>3037.02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3037.02</v>
      </c>
      <c r="R7" s="16">
        <f t="shared" ca="1" si="2"/>
        <v>3037.02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5508.5027416242783</v>
      </c>
      <c r="J8" s="14">
        <f ca="1">Q10/J18</f>
        <v>7044.3172583757214</v>
      </c>
      <c r="K8" s="13"/>
      <c r="L8" s="16">
        <f t="shared" ca="1" si="0"/>
        <v>12552.82</v>
      </c>
      <c r="M8" s="16"/>
      <c r="N8" s="16">
        <f t="shared" ca="1" si="3"/>
        <v>0</v>
      </c>
      <c r="O8" s="11" cm="1">
        <f t="array" aca="1" ref="O8" ca="1">INDIRECT("'data'!$R$" &amp; $A$1)*parameters!$B$15</f>
        <v>1687.56</v>
      </c>
      <c r="P8" s="13" cm="1">
        <f t="array" aca="1" ref="P8" ca="1">-INDIRECT("'data'!$S$" &amp; $A$1)*parameters!$B$15</f>
        <v>-749.69999999999993</v>
      </c>
      <c r="Q8" s="16">
        <f ca="1">SUM(Q6:Q7)</f>
        <v>13490.68</v>
      </c>
      <c r="R8" s="16">
        <f t="shared" ca="1" si="2"/>
        <v>13490.679999999998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4445.2800000000007</v>
      </c>
      <c r="L9" s="16">
        <f t="shared" ca="1" si="0"/>
        <v>4445.2800000000007</v>
      </c>
      <c r="M9" s="16"/>
      <c r="N9" s="16">
        <f t="shared" ca="1" si="3"/>
        <v>0</v>
      </c>
      <c r="O9" s="11" cm="1">
        <f t="array" aca="1" ref="O9" ca="1">INDIRECT("'data'!$U$" &amp; $A$1)*parameters!$B$15</f>
        <v>2632.2799999999997</v>
      </c>
      <c r="P9" s="13" cm="1">
        <f t="array" aca="1" ref="P9" ca="1">-INDIRECT("'data'!$V$" &amp; $A$1)*parameters!$B$15</f>
        <v>-2200.1</v>
      </c>
      <c r="Q9" s="16" cm="1">
        <f t="array" aca="1" ref="Q9" ca="1">INDIRECT("'data'!$T$" &amp; $A$1)*parameters!$B$15</f>
        <v>4877.46</v>
      </c>
      <c r="R9" s="16">
        <f t="shared" ca="1" si="2"/>
        <v>4877.4600000000009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8186.5547652916066</v>
      </c>
      <c r="L10" s="16">
        <f t="shared" ca="1" si="0"/>
        <v>8186.5547652916066</v>
      </c>
      <c r="M10" s="16"/>
      <c r="N10" s="16">
        <f t="shared" ca="1" si="3"/>
        <v>0</v>
      </c>
      <c r="O10" s="11" cm="1">
        <f t="array" aca="1" ref="O10" ca="1">INDIRECT("'data'!$X$" &amp; $A$1)*parameters!$B$15</f>
        <v>2608.7599999999998</v>
      </c>
      <c r="P10" s="13" cm="1">
        <f t="array" aca="1" ref="P10" ca="1">-INDIRECT("'data'!$Y$" &amp; $A$1)*parameters!$B$15</f>
        <v>-4557.9799999999996</v>
      </c>
      <c r="Q10" s="16" cm="1">
        <f t="array" aca="1" ref="Q10" ca="1">INDIRECT("'data'!$W$" &amp; $A$1)*parameters!$B$15</f>
        <v>6237.3347652916073</v>
      </c>
      <c r="R10" s="16">
        <f t="shared" ca="1" si="2"/>
        <v>6237.3347652916073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14723.480298150782</v>
      </c>
      <c r="N11" s="19"/>
      <c r="O11" s="21" cm="1">
        <f t="array" aca="1" ref="O11" ca="1">INDIRECT("'data'!$Z$" &amp; $A$1)*parameters!$B$15</f>
        <v>6654.2</v>
      </c>
      <c r="P11" s="27" cm="1">
        <f t="array" aca="1" ref="P11" ca="1">-INDIRECT("'data'!$AA$" &amp; $A$1)*parameters!$B$15</f>
        <v>-10158.68</v>
      </c>
      <c r="Q11" s="16">
        <f ca="1">K9*parameters!$B$10+K10*parameters!$B$11</f>
        <v>11219.000298150782</v>
      </c>
      <c r="R11" s="16">
        <f t="shared" ref="R11:R17" ca="1" si="4">SUM(L11:P11)</f>
        <v>11219.000298150782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-60.990872496729935</v>
      </c>
      <c r="D12" s="9">
        <f ca="1">-(D17-Q4)</f>
        <v>0</v>
      </c>
      <c r="E12" s="9">
        <f ca="1">-(E17-Q5)</f>
        <v>-1360.7780492635611</v>
      </c>
      <c r="F12" s="9">
        <f ca="1">-(F17-Q6)</f>
        <v>-690.96686567164215</v>
      </c>
      <c r="G12" s="9">
        <f ca="1">-(G17-Q7)</f>
        <v>-136.45962382445168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-2249.1954112563849</v>
      </c>
      <c r="M12" s="17"/>
      <c r="N12" s="17"/>
      <c r="O12" s="10"/>
      <c r="P12" s="12"/>
      <c r="Q12" s="9">
        <f t="shared" ref="Q12:Q17" ca="1" si="6">SUM(L12:P12)</f>
        <v>-2249.1954112563849</v>
      </c>
      <c r="R12" s="17">
        <f t="shared" ca="1" si="4"/>
        <v>-2249.1954112563849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-631.04274162427828</v>
      </c>
      <c r="J13" s="14">
        <f ca="1">-(J17-Q10)</f>
        <v>-806.98249308411414</v>
      </c>
      <c r="K13" s="13">
        <f ca="1">-(K17-Q11)</f>
        <v>-1412.8344671408249</v>
      </c>
      <c r="L13" s="14">
        <f t="shared" ca="1" si="5"/>
        <v>-2850.8597018492173</v>
      </c>
      <c r="M13" s="16">
        <f ca="1">-E15</f>
        <v>-9519.8498369104345</v>
      </c>
      <c r="N13" s="16"/>
      <c r="O13" s="11"/>
      <c r="P13" s="13"/>
      <c r="Q13" s="14">
        <f t="shared" ca="1" si="6"/>
        <v>-12370.709538759653</v>
      </c>
      <c r="R13" s="16">
        <f t="shared" ca="1" si="4"/>
        <v>-12370.709538759653</v>
      </c>
    </row>
    <row r="14" spans="1:20">
      <c r="A14" s="18" t="s">
        <v>78</v>
      </c>
      <c r="B14" s="11"/>
      <c r="C14" s="14"/>
      <c r="D14" s="14"/>
      <c r="E14" s="14">
        <f ca="1">-(I13+J13)-K13</f>
        <v>2850.8597018492173</v>
      </c>
      <c r="F14" s="14"/>
      <c r="G14" s="14"/>
      <c r="H14" s="14"/>
      <c r="I14" s="14"/>
      <c r="J14" s="14"/>
      <c r="K14" s="13"/>
      <c r="L14" s="14">
        <f t="shared" ca="1" si="5"/>
        <v>2850.8597018492173</v>
      </c>
      <c r="M14" s="16"/>
      <c r="N14" s="16"/>
      <c r="O14" s="11"/>
      <c r="P14" s="13"/>
      <c r="Q14" s="14">
        <f t="shared" ca="1" si="6"/>
        <v>2850.8597018492173</v>
      </c>
      <c r="R14" s="16">
        <f t="shared" ca="1" si="4"/>
        <v>2850.8597018492173</v>
      </c>
    </row>
    <row r="15" spans="1:20">
      <c r="A15" s="18" t="s">
        <v>79</v>
      </c>
      <c r="B15" s="11"/>
      <c r="C15" s="14"/>
      <c r="D15" s="14"/>
      <c r="E15" s="14">
        <f ca="1">E17-E14</f>
        <v>9519.8498369104345</v>
      </c>
      <c r="F15" s="14"/>
      <c r="G15" s="14"/>
      <c r="H15" s="14"/>
      <c r="I15" s="14"/>
      <c r="J15" s="14"/>
      <c r="K15" s="13"/>
      <c r="L15" s="14">
        <f t="shared" ca="1" si="5"/>
        <v>9519.8498369104345</v>
      </c>
      <c r="M15" s="16"/>
      <c r="N15" s="16"/>
      <c r="O15" s="11"/>
      <c r="P15" s="13"/>
      <c r="Q15" s="14">
        <f t="shared" ca="1" si="6"/>
        <v>9519.8498369104345</v>
      </c>
      <c r="R15" s="16">
        <f t="shared" ca="1" si="4"/>
        <v>9519.8498369104345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9681.0908724967303</v>
      </c>
      <c r="D17" s="9">
        <f ca="1">SUM(D$2:D$11)</f>
        <v>0</v>
      </c>
      <c r="E17" s="9">
        <f ca="1">$Q$5/parameters!$B$4</f>
        <v>12370.709538759653</v>
      </c>
      <c r="F17" s="9">
        <f t="shared" ref="F17:K17" ca="1" si="7">SUM(F$2:F$11)</f>
        <v>11144.626865671642</v>
      </c>
      <c r="G17" s="9">
        <f t="shared" ca="1" si="7"/>
        <v>3173.4796238244517</v>
      </c>
      <c r="H17" s="9">
        <f t="shared" ca="1" si="7"/>
        <v>13490.68</v>
      </c>
      <c r="I17" s="9">
        <f t="shared" ca="1" si="7"/>
        <v>5508.5027416242783</v>
      </c>
      <c r="J17" s="9">
        <f t="shared" ca="1" si="7"/>
        <v>7044.3172583757214</v>
      </c>
      <c r="K17" s="9">
        <f t="shared" ca="1" si="7"/>
        <v>12631.834765291607</v>
      </c>
      <c r="L17" s="17">
        <f t="shared" ca="1" si="5"/>
        <v>75045.241666044079</v>
      </c>
      <c r="M17" s="17"/>
      <c r="N17" s="17"/>
      <c r="O17" s="9"/>
      <c r="P17" s="14"/>
      <c r="Q17" s="11">
        <f t="shared" ca="1" si="6"/>
        <v>75045.241666044079</v>
      </c>
      <c r="R17" s="17">
        <f t="shared" ca="1" si="4"/>
        <v>75045.241666044079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0.88544205726614478</v>
      </c>
      <c r="J18" s="39">
        <f ca="1">I18</f>
        <v>0.88544205726614478</v>
      </c>
      <c r="K18" s="40">
        <f ca="1">1-(-K13)/K17</f>
        <v>0.88815286984097841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5555.4472208852521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5555.4472208852521</v>
      </c>
      <c r="M2" s="17"/>
      <c r="N2" s="17">
        <f ca="1">Q2-(L2+O2+P2)</f>
        <v>0</v>
      </c>
      <c r="O2" s="11" cm="1">
        <f t="array" aca="1" ref="O2" ca="1">INDIRECT("'data'!$F$" &amp; $A$1)</f>
        <v>4301.05</v>
      </c>
      <c r="P2" s="13">
        <f ca="1">IF(-(L2-Q2+O2)&lt;0, -(L2-Q2+O2), 0)</f>
        <v>-9856.4972208852523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5750.2805970149257</v>
      </c>
      <c r="G3" s="14">
        <f ca="1">Q3-O3-P3-F3</f>
        <v>9.2523063787493811</v>
      </c>
      <c r="H3" s="14"/>
      <c r="I3" s="14"/>
      <c r="J3" s="14"/>
      <c r="K3" s="13"/>
      <c r="L3" s="16">
        <f t="shared" ca="1" si="0"/>
        <v>5759.532903393675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100.17</v>
      </c>
      <c r="P3" s="13" cm="1">
        <f t="array" aca="1" ref="P3" ca="1">-INDIRECT("'data'!$I$" &amp; $A$1)*parameters!$B$13</f>
        <v>-339.255</v>
      </c>
      <c r="Q3" s="16" cm="1">
        <f t="array" aca="1" ref="Q3" ca="1">INDIRECT("'data'!$G$" &amp; $A$1)*parameters!$B$13</f>
        <v>5520.447903393675</v>
      </c>
      <c r="R3" s="16">
        <f t="shared" ref="R3:R10" ca="1" si="2">SUM(L3:P3)</f>
        <v>5520.447903393675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-4.5999999999999996</v>
      </c>
      <c r="O4" s="11" cm="1">
        <f t="array" aca="1" ref="O4" ca="1">INDIRECT("'data'!$K$" &amp; $A$1)*parameters!$B$14</f>
        <v>13.8</v>
      </c>
      <c r="P4" s="13" cm="1">
        <f t="array" aca="1" ref="P4" ca="1">-INDIRECT("'data'!$L$" &amp; $A$1)*parameters!$B$14</f>
        <v>-9.2000000000000011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Q6/parameters!$B$5*18%</f>
        <v>1262.2567164179106</v>
      </c>
      <c r="G5" s="14">
        <f ca="1">Q7/parameters!$B$7-(G3+G4)</f>
        <v>130.01624116566023</v>
      </c>
      <c r="H5" s="14"/>
      <c r="I5" s="14"/>
      <c r="J5" s="14"/>
      <c r="K5" s="13"/>
      <c r="L5" s="16">
        <f t="shared" ca="1" si="0"/>
        <v>1392.2729575835708</v>
      </c>
      <c r="M5" s="16"/>
      <c r="N5" s="16"/>
      <c r="O5" s="11" cm="1">
        <f t="array" aca="1" ref="O5" ca="1">INDIRECT("'data'!$M$" &amp; $A$1)*parameters!$B$15</f>
        <v>3976.84</v>
      </c>
      <c r="P5" s="13" cm="1">
        <f t="array" aca="1" ref="P5" ca="1">-INDIRECT("'data'!$N$" &amp; $A$1)*parameters!$B$15</f>
        <v>-2574.46</v>
      </c>
      <c r="Q5" s="16">
        <f ca="1">SUM(L5:P5)</f>
        <v>2794.6529575835712</v>
      </c>
      <c r="R5" s="16">
        <f t="shared" ca="1" si="2"/>
        <v>2794.6529575835712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6577.76</v>
      </c>
      <c r="I6" s="14"/>
      <c r="J6" s="14"/>
      <c r="K6" s="13"/>
      <c r="L6" s="16">
        <f t="shared" ca="1" si="0"/>
        <v>6577.76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6577.76</v>
      </c>
      <c r="R6" s="16">
        <f t="shared" ca="1" si="2"/>
        <v>6577.76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133.28</v>
      </c>
      <c r="I7" s="14"/>
      <c r="J7" s="14"/>
      <c r="K7" s="13"/>
      <c r="L7" s="16">
        <f t="shared" ca="1" si="0"/>
        <v>133.28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133.28</v>
      </c>
      <c r="R7" s="16">
        <f t="shared" ca="1" si="2"/>
        <v>133.28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262.85951842402449</v>
      </c>
      <c r="J8" s="14">
        <f ca="1">Q10/J18</f>
        <v>6433.4804815759744</v>
      </c>
      <c r="K8" s="13"/>
      <c r="L8" s="16">
        <f t="shared" ca="1" si="0"/>
        <v>6696.3399999999992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311.64</v>
      </c>
      <c r="P8" s="13" cm="1">
        <f t="array" aca="1" ref="P8" ca="1">-INDIRECT("'data'!$S$" &amp; $A$1)*parameters!$B$15</f>
        <v>-296.94</v>
      </c>
      <c r="Q8" s="16">
        <f ca="1">SUM(Q6:Q7)</f>
        <v>6711.04</v>
      </c>
      <c r="R8" s="16">
        <f t="shared" ca="1" si="2"/>
        <v>6711.04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1658.16</v>
      </c>
      <c r="L9" s="16">
        <f t="shared" ca="1" si="0"/>
        <v>1658.16</v>
      </c>
      <c r="M9" s="16"/>
      <c r="N9" s="16">
        <f t="shared" ca="1" si="3"/>
        <v>-2.8421709430404007E-13</v>
      </c>
      <c r="O9" s="11" cm="1">
        <f t="array" aca="1" ref="O9" ca="1">INDIRECT("'data'!$U$" &amp; $A$1)*parameters!$B$15</f>
        <v>1028.02</v>
      </c>
      <c r="P9" s="13" cm="1">
        <f t="array" aca="1" ref="P9" ca="1">-INDIRECT("'data'!$V$" &amp; $A$1)*parameters!$B$15</f>
        <v>-2450.98</v>
      </c>
      <c r="Q9" s="16" cm="1">
        <f t="array" aca="1" ref="Q9" ca="1">INDIRECT("'data'!$T$" &amp; $A$1)*parameters!$B$15</f>
        <v>235.2</v>
      </c>
      <c r="R9" s="16">
        <f t="shared" ca="1" si="2"/>
        <v>235.19999999999982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1862.9744238975818</v>
      </c>
      <c r="L10" s="16">
        <f t="shared" ca="1" si="0"/>
        <v>1862.9744238975818</v>
      </c>
      <c r="M10" s="16"/>
      <c r="N10" s="16">
        <f t="shared" ca="1" si="3"/>
        <v>0</v>
      </c>
      <c r="O10" s="11" cm="1">
        <f t="array" aca="1" ref="O10" ca="1">INDIRECT("'data'!$X$" &amp; $A$1)*parameters!$B$15</f>
        <v>6917.82</v>
      </c>
      <c r="P10" s="13" cm="1">
        <f t="array" aca="1" ref="P10" ca="1">-INDIRECT("'data'!$Y$" &amp; $A$1)*parameters!$B$15</f>
        <v>-3024.2799999999997</v>
      </c>
      <c r="Q10" s="16" cm="1">
        <f t="array" aca="1" ref="Q10" ca="1">INDIRECT("'data'!$W$" &amp; $A$1)*parameters!$B$15</f>
        <v>5756.5144238975818</v>
      </c>
      <c r="R10" s="16">
        <f t="shared" ca="1" si="2"/>
        <v>5756.5144238975818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2949.1484045519201</v>
      </c>
      <c r="N11" s="19"/>
      <c r="O11" s="21" cm="1">
        <f t="array" aca="1" ref="O11" ca="1">INDIRECT("'data'!$Z$" &amp; $A$1)*parameters!$B$15</f>
        <v>4478.6000000000004</v>
      </c>
      <c r="P11" s="27" cm="1">
        <f t="array" aca="1" ref="P11" ca="1">-INDIRECT("'data'!$AA$" &amp; $A$1)*parameters!$B$15</f>
        <v>-4266.92</v>
      </c>
      <c r="Q11" s="16">
        <f ca="1">K9*parameters!$B$10+K10*parameters!$B$11</f>
        <v>3160.8284045519204</v>
      </c>
      <c r="R11" s="16">
        <f t="shared" ref="R11:R17" ca="1" si="4">SUM(L11:P11)</f>
        <v>3160.8284045519204</v>
      </c>
    </row>
    <row r="12" spans="1:19">
      <c r="A12" s="29" t="s">
        <v>86</v>
      </c>
      <c r="B12" s="10">
        <f ca="1">-(B17-Q2)</f>
        <v>0</v>
      </c>
      <c r="C12" s="9">
        <f ca="1">-(C17-Q3)</f>
        <v>-34.999317491577131</v>
      </c>
      <c r="D12" s="9">
        <f ca="1">-(D17-Q4)</f>
        <v>0</v>
      </c>
      <c r="E12" s="9">
        <f ca="1">-(E17-Q5)</f>
        <v>-345.40654531931796</v>
      </c>
      <c r="F12" s="9">
        <f ca="1">-(F17-Q6)</f>
        <v>-434.77731343283631</v>
      </c>
      <c r="G12" s="9">
        <f ca="1">-(G17-Q7)</f>
        <v>-5.988547544409613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-821.17172378814098</v>
      </c>
      <c r="M12" s="17"/>
      <c r="N12" s="17"/>
      <c r="O12" s="10"/>
      <c r="P12" s="12"/>
      <c r="Q12" s="9">
        <f t="shared" ref="Q12:Q17" ca="1" si="6">SUM(L12:P12)</f>
        <v>-821.17172378814098</v>
      </c>
      <c r="R12" s="17">
        <f t="shared" ca="1" si="4"/>
        <v>-821.17172378814098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-27.659518424024498</v>
      </c>
      <c r="J13" s="14">
        <f ca="1">-(J17-Q10)</f>
        <v>-676.96605767839264</v>
      </c>
      <c r="K13" s="13">
        <f ca="1">-(K17-Q11)</f>
        <v>-360.3060193456613</v>
      </c>
      <c r="L13" s="14">
        <f t="shared" ca="1" si="5"/>
        <v>-1064.9315954480785</v>
      </c>
      <c r="M13" s="16">
        <f ca="1">-E15</f>
        <v>-2075.1279074548106</v>
      </c>
      <c r="N13" s="16"/>
      <c r="O13" s="11"/>
      <c r="P13" s="13"/>
      <c r="Q13" s="14">
        <f t="shared" ca="1" si="6"/>
        <v>-3140.0595029028891</v>
      </c>
      <c r="R13" s="16">
        <f t="shared" ca="1" si="4"/>
        <v>-3140.0595029028891</v>
      </c>
    </row>
    <row r="14" spans="1:19">
      <c r="A14" s="18" t="s">
        <v>78</v>
      </c>
      <c r="B14" s="11"/>
      <c r="C14" s="14"/>
      <c r="D14" s="14"/>
      <c r="E14" s="14">
        <f ca="1">-(I13+J13)-K13</f>
        <v>1064.9315954480785</v>
      </c>
      <c r="F14" s="14"/>
      <c r="G14" s="14"/>
      <c r="H14" s="14"/>
      <c r="I14" s="14"/>
      <c r="J14" s="14"/>
      <c r="K14" s="13"/>
      <c r="L14" s="14">
        <f t="shared" ca="1" si="5"/>
        <v>1064.9315954480785</v>
      </c>
      <c r="M14" s="16"/>
      <c r="N14" s="16"/>
      <c r="O14" s="11"/>
      <c r="P14" s="13"/>
      <c r="Q14" s="14">
        <f t="shared" ca="1" si="6"/>
        <v>1064.9315954480785</v>
      </c>
      <c r="R14" s="16">
        <f t="shared" ca="1" si="4"/>
        <v>1064.9315954480785</v>
      </c>
    </row>
    <row r="15" spans="1:19">
      <c r="A15" s="18" t="s">
        <v>79</v>
      </c>
      <c r="B15" s="11"/>
      <c r="C15" s="14"/>
      <c r="D15" s="14"/>
      <c r="E15" s="14">
        <f ca="1">E17-E14</f>
        <v>2075.1279074548106</v>
      </c>
      <c r="F15" s="14"/>
      <c r="G15" s="14"/>
      <c r="H15" s="14"/>
      <c r="I15" s="14"/>
      <c r="J15" s="14"/>
      <c r="K15" s="13"/>
      <c r="L15" s="14">
        <f t="shared" ca="1" si="5"/>
        <v>2075.1279074548106</v>
      </c>
      <c r="M15" s="16"/>
      <c r="N15" s="16"/>
      <c r="O15" s="11"/>
      <c r="P15" s="13"/>
      <c r="Q15" s="14">
        <f t="shared" ca="1" si="6"/>
        <v>2075.1279074548106</v>
      </c>
      <c r="R15" s="16">
        <f t="shared" ca="1" si="4"/>
        <v>2075.1279074548106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5555.4472208852521</v>
      </c>
      <c r="D17" s="9">
        <f ca="1">SUM(D$2:D$11)</f>
        <v>0</v>
      </c>
      <c r="E17" s="9">
        <f ca="1">$Q$5/parameters!$B$4</f>
        <v>3140.0595029028891</v>
      </c>
      <c r="F17" s="9">
        <f t="shared" ref="F17:K17" ca="1" si="7">SUM(F$2:F$11)</f>
        <v>7012.5373134328365</v>
      </c>
      <c r="G17" s="9">
        <f t="shared" ca="1" si="7"/>
        <v>139.26854754440961</v>
      </c>
      <c r="H17" s="9">
        <f t="shared" ca="1" si="7"/>
        <v>6711.04</v>
      </c>
      <c r="I17" s="9">
        <f t="shared" ca="1" si="7"/>
        <v>262.85951842402449</v>
      </c>
      <c r="J17" s="9">
        <f t="shared" ca="1" si="7"/>
        <v>6433.4804815759744</v>
      </c>
      <c r="K17" s="9">
        <f t="shared" ca="1" si="7"/>
        <v>3521.1344238975817</v>
      </c>
      <c r="L17" s="17">
        <f t="shared" ca="1" si="5"/>
        <v>32775.827008662971</v>
      </c>
      <c r="M17" s="17"/>
      <c r="N17" s="17"/>
      <c r="O17" s="9"/>
      <c r="P17" s="14"/>
      <c r="Q17" s="11">
        <f t="shared" ca="1" si="6"/>
        <v>32775.827008662971</v>
      </c>
      <c r="R17" s="17">
        <f t="shared" ca="1" si="4"/>
        <v>32775.827008662971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0.89477452218638576</v>
      </c>
      <c r="J18" s="39">
        <f ca="1">I18</f>
        <v>0.89477452218638576</v>
      </c>
      <c r="K18" s="40">
        <f ca="1">1-(-K13)/K17</f>
        <v>0.89767331320829424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5453.9347891717816</v>
      </c>
      <c r="D2" s="9">
        <f ca="1">Q4/parameters!$B$3</f>
        <v>638.82459494817351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6092.759384119955</v>
      </c>
      <c r="M2" s="17"/>
      <c r="N2" s="17">
        <f ca="1">Q2-(L2+O2+P2)</f>
        <v>512.74061588005861</v>
      </c>
      <c r="O2" s="11" cm="1">
        <f t="array" aca="1" ref="O2" ca="1">INDIRECT("'data'!$F$" &amp; $A$1)</f>
        <v>136792.5</v>
      </c>
      <c r="P2" s="13">
        <f ca="1">IF(-(L2-Q2+O2)&lt;0, -(L2-Q2+O2), 0)</f>
        <v>0</v>
      </c>
      <c r="Q2" s="17" cm="1">
        <f t="array" aca="1" ref="Q2" ca="1">INDIRECT("'data'!$D$" &amp; $A$1)</f>
        <v>143398</v>
      </c>
      <c r="R2" s="17">
        <f ca="1">SUM(L2:P2)</f>
        <v>143398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4963.940298507463</v>
      </c>
      <c r="G3" s="14">
        <f ca="1">Q3-O3-P3-F3</f>
        <v>603.99970149253659</v>
      </c>
      <c r="H3" s="14"/>
      <c r="I3" s="14"/>
      <c r="J3" s="14"/>
      <c r="K3" s="13"/>
      <c r="L3" s="16">
        <f t="shared" ca="1" si="0"/>
        <v>5567.94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-148.36499999999998</v>
      </c>
      <c r="Q3" s="16" cm="1">
        <f t="array" aca="1" ref="Q3" ca="1">INDIRECT("'data'!$G$" &amp; $A$1)*parameters!$B$13</f>
        <v>5419.5749999999998</v>
      </c>
      <c r="R3" s="16">
        <f t="shared" ref="R3:R10" ca="1" si="2">SUM(L3:P3)</f>
        <v>5419.5749999999998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-25.759999999999991</v>
      </c>
      <c r="O4" s="11" cm="1">
        <f t="array" aca="1" ref="O4" ca="1">INDIRECT("'data'!$K$" &amp; $A$1)*parameters!$B$14</f>
        <v>660.56000000000006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634.80000000000007</v>
      </c>
      <c r="R4" s="16">
        <f t="shared" ca="1" si="2"/>
        <v>634.80000000000007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1240.9850746268658</v>
      </c>
      <c r="G5" s="14">
        <f ca="1">Q7/parameters!$B$7-(G3+G4)</f>
        <v>906.44961930161185</v>
      </c>
      <c r="H5" s="14"/>
      <c r="I5" s="14"/>
      <c r="J5" s="14"/>
      <c r="K5" s="13"/>
      <c r="L5" s="16">
        <f t="shared" ca="1" si="0"/>
        <v>2147.4346939284778</v>
      </c>
      <c r="M5" s="16"/>
      <c r="N5" s="16"/>
      <c r="O5" s="11" cm="1">
        <f t="array" aca="1" ref="O5" ca="1">INDIRECT("'data'!$M$" &amp; $A$1)*parameters!$B$15</f>
        <v>1008.42</v>
      </c>
      <c r="P5" s="13" cm="1">
        <f t="array" aca="1" ref="P5" ca="1">-INDIRECT("'data'!$N$" &amp; $A$1)*parameters!$B$15</f>
        <v>-32.339999999999996</v>
      </c>
      <c r="Q5" s="16">
        <f ca="1">SUM(L5:P5)</f>
        <v>3123.5146939284778</v>
      </c>
      <c r="R5" s="16">
        <f t="shared" ca="1" si="2"/>
        <v>3123.5146939284778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5820.22</v>
      </c>
      <c r="I6" s="14"/>
      <c r="J6" s="14"/>
      <c r="K6" s="13"/>
      <c r="L6" s="16">
        <f t="shared" ca="1" si="0"/>
        <v>5820.22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5820.22</v>
      </c>
      <c r="R6" s="16">
        <f t="shared" ca="1" si="2"/>
        <v>5820.22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1445.5</v>
      </c>
      <c r="I7" s="14"/>
      <c r="J7" s="14"/>
      <c r="K7" s="13"/>
      <c r="L7" s="16">
        <f t="shared" ca="1" si="0"/>
        <v>1445.5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1445.5</v>
      </c>
      <c r="R7" s="16">
        <f t="shared" ca="1" si="2"/>
        <v>1445.5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3036.0099761659089</v>
      </c>
      <c r="J8" s="14">
        <f ca="1">Q10/J18</f>
        <v>4233.6300238340909</v>
      </c>
      <c r="K8" s="13"/>
      <c r="L8" s="16">
        <f t="shared" ca="1" si="0"/>
        <v>7269.6399999999994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-7.84</v>
      </c>
      <c r="Q8" s="16">
        <f ca="1">SUM(Q6:Q7)</f>
        <v>7265.72</v>
      </c>
      <c r="R8" s="16">
        <f t="shared" ca="1" si="2"/>
        <v>7265.7199999999993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2505.86</v>
      </c>
      <c r="L9" s="16">
        <f t="shared" ca="1" si="0"/>
        <v>2505.86</v>
      </c>
      <c r="M9" s="16"/>
      <c r="N9" s="16">
        <f t="shared" ca="1" si="3"/>
        <v>0</v>
      </c>
      <c r="O9" s="11" cm="1">
        <f t="array" aca="1" ref="O9" ca="1">INDIRECT("'data'!$U$" &amp; $A$1)*parameters!$B$15</f>
        <v>160.72</v>
      </c>
      <c r="P9" s="13" cm="1">
        <f t="array" aca="1" ref="P9" ca="1">-INDIRECT("'data'!$V$" &amp; $A$1)*parameters!$B$15</f>
        <v>-629.16</v>
      </c>
      <c r="Q9" s="16" cm="1">
        <f t="array" aca="1" ref="Q9" ca="1">INDIRECT("'data'!$T$" &amp; $A$1)*parameters!$B$15</f>
        <v>2037.42</v>
      </c>
      <c r="R9" s="16">
        <f t="shared" ca="1" si="2"/>
        <v>2037.42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3179.2245519203411</v>
      </c>
      <c r="L10" s="16">
        <f t="shared" ca="1" si="0"/>
        <v>3179.2245519203411</v>
      </c>
      <c r="M10" s="16"/>
      <c r="N10" s="16">
        <f t="shared" ca="1" si="3"/>
        <v>0</v>
      </c>
      <c r="O10" s="11" cm="1">
        <f t="array" aca="1" ref="O10" ca="1">INDIRECT("'data'!$X$" &amp; $A$1)*parameters!$B$15</f>
        <v>496.86</v>
      </c>
      <c r="P10" s="13" cm="1">
        <f t="array" aca="1" ref="P10" ca="1">-INDIRECT("'data'!$Y$" &amp; $A$1)*parameters!$B$15</f>
        <v>-834.96</v>
      </c>
      <c r="Q10" s="16" cm="1">
        <f t="array" aca="1" ref="Q10" ca="1">INDIRECT("'data'!$W$" &amp; $A$1)*parameters!$B$15</f>
        <v>2841.1245519203412</v>
      </c>
      <c r="R10" s="16">
        <f t="shared" ca="1" si="2"/>
        <v>2841.1245519203412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7306.4015146514939</v>
      </c>
      <c r="N11" s="19"/>
      <c r="O11" s="21" cm="1">
        <f t="array" aca="1" ref="O11" ca="1">INDIRECT("'data'!$Z$" &amp; $A$1)*parameters!$B$15</f>
        <v>590.93999999999994</v>
      </c>
      <c r="P11" s="27" cm="1">
        <f t="array" aca="1" ref="P11" ca="1">-INDIRECT("'data'!$AA$" &amp; $A$1)*parameters!$B$15</f>
        <v>-2807.7</v>
      </c>
      <c r="Q11" s="16">
        <f ca="1">K9*parameters!$B$10+K10*parameters!$B$11</f>
        <v>5089.6415146514937</v>
      </c>
      <c r="R11" s="16">
        <f t="shared" ref="R11:R17" ca="1" si="4">SUM(L11:P11)</f>
        <v>5089.6415146514937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-34.359789171781813</v>
      </c>
      <c r="D12" s="9">
        <f ca="1">-(D17-Q4)</f>
        <v>-4.0245949481734442</v>
      </c>
      <c r="E12" s="9">
        <f ca="1">-(E17-Q5)</f>
        <v>-386.05237790127239</v>
      </c>
      <c r="F12" s="9">
        <f ca="1">-(F17-Q6)</f>
        <v>-384.70537313432851</v>
      </c>
      <c r="G12" s="9">
        <f ca="1">-(G17-Q7)</f>
        <v>-64.949320794148434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-874.0914559497046</v>
      </c>
      <c r="M12" s="17"/>
      <c r="N12" s="17"/>
      <c r="O12" s="10"/>
      <c r="P12" s="12"/>
      <c r="Q12" s="9">
        <f t="shared" ref="Q12:Q17" ca="1" si="6">SUM(L12:P12)</f>
        <v>-874.0914559497046</v>
      </c>
      <c r="R12" s="17">
        <f t="shared" ca="1" si="4"/>
        <v>-874.0914559497046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-998.58997616590887</v>
      </c>
      <c r="J13" s="14">
        <f ca="1">-(J17-Q10)</f>
        <v>-1392.5054719137497</v>
      </c>
      <c r="K13" s="13">
        <f ca="1">-(K17-Q11)</f>
        <v>-595.44303726884755</v>
      </c>
      <c r="L13" s="14">
        <f t="shared" ca="1" si="5"/>
        <v>-2986.5384853485061</v>
      </c>
      <c r="M13" s="16">
        <f ca="1">-E15</f>
        <v>-523.02858648124402</v>
      </c>
      <c r="N13" s="16"/>
      <c r="O13" s="11"/>
      <c r="P13" s="13"/>
      <c r="Q13" s="14">
        <f t="shared" ca="1" si="6"/>
        <v>-3509.5670718297501</v>
      </c>
      <c r="R13" s="16">
        <f t="shared" ca="1" si="4"/>
        <v>-3509.5670718297501</v>
      </c>
    </row>
    <row r="14" spans="1:19">
      <c r="A14" s="18" t="s">
        <v>78</v>
      </c>
      <c r="B14" s="11"/>
      <c r="C14" s="14"/>
      <c r="D14" s="14"/>
      <c r="E14" s="14">
        <f ca="1">-(I13+J13)-K13</f>
        <v>2986.5384853485061</v>
      </c>
      <c r="F14" s="14"/>
      <c r="G14" s="14"/>
      <c r="H14" s="14"/>
      <c r="I14" s="14"/>
      <c r="J14" s="14"/>
      <c r="K14" s="13"/>
      <c r="L14" s="14">
        <f t="shared" ca="1" si="5"/>
        <v>2986.5384853485061</v>
      </c>
      <c r="M14" s="16"/>
      <c r="N14" s="16"/>
      <c r="O14" s="11"/>
      <c r="P14" s="13"/>
      <c r="Q14" s="14">
        <f t="shared" ca="1" si="6"/>
        <v>2986.5384853485061</v>
      </c>
      <c r="R14" s="16">
        <f t="shared" ca="1" si="4"/>
        <v>2986.5384853485061</v>
      </c>
    </row>
    <row r="15" spans="1:19">
      <c r="A15" s="18" t="s">
        <v>79</v>
      </c>
      <c r="B15" s="11"/>
      <c r="C15" s="14"/>
      <c r="D15" s="14"/>
      <c r="E15" s="14">
        <f ca="1">E17-E14</f>
        <v>523.02858648124402</v>
      </c>
      <c r="F15" s="14"/>
      <c r="G15" s="14"/>
      <c r="H15" s="14"/>
      <c r="I15" s="14"/>
      <c r="J15" s="14"/>
      <c r="K15" s="13"/>
      <c r="L15" s="14">
        <f t="shared" ca="1" si="5"/>
        <v>523.02858648124402</v>
      </c>
      <c r="M15" s="16"/>
      <c r="N15" s="16"/>
      <c r="O15" s="11"/>
      <c r="P15" s="13"/>
      <c r="Q15" s="14">
        <f t="shared" ca="1" si="6"/>
        <v>523.02858648124402</v>
      </c>
      <c r="R15" s="16">
        <f t="shared" ca="1" si="4"/>
        <v>523.02858648124402</v>
      </c>
    </row>
    <row r="16" spans="1:19">
      <c r="A16" s="30" t="s">
        <v>89</v>
      </c>
      <c r="B16" s="21">
        <f ca="1">Q2</f>
        <v>143398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143398</v>
      </c>
      <c r="M16" s="19"/>
      <c r="N16" s="19"/>
      <c r="O16" s="21"/>
      <c r="P16" s="27"/>
      <c r="Q16" s="22">
        <f t="shared" ca="1" si="6"/>
        <v>143398</v>
      </c>
      <c r="R16" s="19">
        <f t="shared" ca="1" si="4"/>
        <v>143398</v>
      </c>
    </row>
    <row r="17" spans="1:18">
      <c r="A17" s="29" t="s">
        <v>88</v>
      </c>
      <c r="B17" s="9">
        <f ca="1">B16</f>
        <v>143398</v>
      </c>
      <c r="C17" s="9">
        <f ca="1">SUM(C$2:C$11)</f>
        <v>5453.9347891717816</v>
      </c>
      <c r="D17" s="9">
        <f ca="1">SUM(D$2:D$11)</f>
        <v>638.82459494817351</v>
      </c>
      <c r="E17" s="9">
        <f ca="1">$Q$5/parameters!$B$4</f>
        <v>3509.5670718297501</v>
      </c>
      <c r="F17" s="9">
        <f t="shared" ref="F17:K17" ca="1" si="7">SUM(F$2:F$11)</f>
        <v>6204.9253731343288</v>
      </c>
      <c r="G17" s="9">
        <f t="shared" ca="1" si="7"/>
        <v>1510.4493207941484</v>
      </c>
      <c r="H17" s="9">
        <f t="shared" ca="1" si="7"/>
        <v>7265.72</v>
      </c>
      <c r="I17" s="9">
        <f t="shared" ca="1" si="7"/>
        <v>3036.0099761659089</v>
      </c>
      <c r="J17" s="9">
        <f t="shared" ca="1" si="7"/>
        <v>4233.6300238340909</v>
      </c>
      <c r="K17" s="9">
        <f t="shared" ca="1" si="7"/>
        <v>5685.0845519203413</v>
      </c>
      <c r="L17" s="17">
        <f t="shared" ca="1" si="5"/>
        <v>180936.14570179852</v>
      </c>
      <c r="M17" s="17"/>
      <c r="N17" s="17"/>
      <c r="O17" s="9"/>
      <c r="P17" s="14"/>
      <c r="Q17" s="11">
        <f t="shared" ca="1" si="6"/>
        <v>180936.14570179852</v>
      </c>
      <c r="R17" s="17">
        <f t="shared" ca="1" si="4"/>
        <v>180936.14570179852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0.67108475136600176</v>
      </c>
      <c r="J18" s="39">
        <f ca="1">I18</f>
        <v>0.67108475136600176</v>
      </c>
      <c r="K18" s="40">
        <f ca="1">1-(-K13)/K17</f>
        <v>0.89526223720494791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5716.4083727483139</v>
      </c>
      <c r="D2" s="9">
        <f ca="1">Q4/parameters!$B$3</f>
        <v>1511.8848747106774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7228.2932474589916</v>
      </c>
      <c r="M2" s="17"/>
      <c r="N2" s="17">
        <f ca="1">Q2-(L2+O2+P2)</f>
        <v>1487.4567525410093</v>
      </c>
      <c r="O2" s="11" cm="1">
        <f t="array" aca="1" ref="O2" ca="1">INDIRECT("'data'!$F$" &amp; $A$1)</f>
        <v>16084.25</v>
      </c>
      <c r="P2" s="13">
        <f ca="1">IF(-(L2-Q2+O2)&lt;0, -(L2-Q2+O2), 0)</f>
        <v>0</v>
      </c>
      <c r="Q2" s="17" cm="1">
        <f t="array" aca="1" ref="Q2" ca="1">INDIRECT("'data'!$D$" &amp; $A$1)</f>
        <v>24800</v>
      </c>
      <c r="R2" s="17">
        <f ca="1">SUM(L2:P2)</f>
        <v>24800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4137.313432835821</v>
      </c>
      <c r="G3" s="14">
        <f ca="1">Q3-O3-P3-F3</f>
        <v>1112.1615671641785</v>
      </c>
      <c r="H3" s="14"/>
      <c r="I3" s="14"/>
      <c r="J3" s="14"/>
      <c r="K3" s="13"/>
      <c r="L3" s="16">
        <f t="shared" ca="1" si="0"/>
        <v>5249.4749999999995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432.81</v>
      </c>
      <c r="P3" s="13" cm="1">
        <f t="array" aca="1" ref="P3" ca="1">-INDIRECT("'data'!$I$" &amp; $A$1)*parameters!$B$13</f>
        <v>-1.89</v>
      </c>
      <c r="Q3" s="16" cm="1">
        <f t="array" aca="1" ref="Q3" ca="1">INDIRECT("'data'!$G$" &amp; $A$1)*parameters!$B$13</f>
        <v>5680.3949999999995</v>
      </c>
      <c r="R3" s="16">
        <f t="shared" ref="R3:R10" ca="1" si="2">SUM(L3:P3)</f>
        <v>5680.3949999999995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1501.44</v>
      </c>
      <c r="H4" s="14"/>
      <c r="I4" s="14"/>
      <c r="J4" s="14"/>
      <c r="K4" s="13"/>
      <c r="L4" s="16">
        <f t="shared" ca="1" si="0"/>
        <v>1501.44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1502.3600000000001</v>
      </c>
      <c r="R4" s="16">
        <f t="shared" ca="1" si="2"/>
        <v>1502.3600000000001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1034.3283582089553</v>
      </c>
      <c r="G5" s="14">
        <f ca="1">Q7/parameters!$B$7-(G3+G4)</f>
        <v>2045.750574946584</v>
      </c>
      <c r="H5" s="14"/>
      <c r="I5" s="14"/>
      <c r="J5" s="14"/>
      <c r="K5" s="13"/>
      <c r="L5" s="16">
        <f t="shared" ca="1" si="0"/>
        <v>3080.0789331555393</v>
      </c>
      <c r="M5" s="16"/>
      <c r="N5" s="16"/>
      <c r="O5" s="11" cm="1">
        <f t="array" aca="1" ref="O5" ca="1">INDIRECT("'data'!$M$" &amp; $A$1)*parameters!$B$15</f>
        <v>385.14</v>
      </c>
      <c r="P5" s="13" cm="1">
        <f t="array" aca="1" ref="P5" ca="1">-INDIRECT("'data'!$N$" &amp; $A$1)*parameters!$B$15</f>
        <v>-86.24</v>
      </c>
      <c r="Q5" s="16">
        <f ca="1">SUM(L5:P5)</f>
        <v>3378.9789331555394</v>
      </c>
      <c r="R5" s="16">
        <f t="shared" ca="1" si="2"/>
        <v>3378.9789331555394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4851</v>
      </c>
      <c r="I6" s="14"/>
      <c r="J6" s="14"/>
      <c r="K6" s="13"/>
      <c r="L6" s="16">
        <f t="shared" ca="1" si="0"/>
        <v>4851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4851</v>
      </c>
      <c r="R6" s="16">
        <f t="shared" ca="1" si="2"/>
        <v>4851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4459</v>
      </c>
      <c r="I7" s="14"/>
      <c r="J7" s="14"/>
      <c r="K7" s="13"/>
      <c r="L7" s="16">
        <f t="shared" ca="1" si="0"/>
        <v>4459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4459</v>
      </c>
      <c r="R7" s="16">
        <f t="shared" ca="1" si="2"/>
        <v>4459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3464.1345466227081</v>
      </c>
      <c r="J8" s="14">
        <f ca="1">Q10/J18</f>
        <v>5200.0454533772927</v>
      </c>
      <c r="K8" s="13"/>
      <c r="L8" s="16">
        <f t="shared" ca="1" si="0"/>
        <v>8664.18</v>
      </c>
      <c r="M8" s="16"/>
      <c r="N8" s="16">
        <f t="shared" ca="1" si="3"/>
        <v>0</v>
      </c>
      <c r="O8" s="11" cm="1">
        <f t="array" aca="1" ref="O8" ca="1">INDIRECT("'data'!$R$" &amp; $A$1)*parameters!$B$15</f>
        <v>690.9</v>
      </c>
      <c r="P8" s="13" cm="1">
        <f t="array" aca="1" ref="P8" ca="1">-INDIRECT("'data'!$S$" &amp; $A$1)*parameters!$B$15</f>
        <v>-45.08</v>
      </c>
      <c r="Q8" s="16">
        <f ca="1">SUM(Q6:Q7)</f>
        <v>9310</v>
      </c>
      <c r="R8" s="16">
        <f t="shared" ca="1" si="2"/>
        <v>9310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1831.6200000000001</v>
      </c>
      <c r="L9" s="16">
        <f t="shared" ca="1" si="0"/>
        <v>1831.6200000000001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990.78</v>
      </c>
      <c r="P9" s="13" cm="1">
        <f t="array" aca="1" ref="P9" ca="1">-INDIRECT("'data'!$V$" &amp; $A$1)*parameters!$B$15</f>
        <v>-71.539999999999992</v>
      </c>
      <c r="Q9" s="16" cm="1">
        <f t="array" aca="1" ref="Q9" ca="1">INDIRECT("'data'!$T$" &amp; $A$1)*parameters!$B$15</f>
        <v>2750.86</v>
      </c>
      <c r="R9" s="16">
        <f t="shared" ca="1" si="2"/>
        <v>2750.86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1996.8622190611663</v>
      </c>
      <c r="L10" s="16">
        <f t="shared" ca="1" si="0"/>
        <v>1996.8622190611663</v>
      </c>
      <c r="M10" s="16"/>
      <c r="N10" s="16">
        <f t="shared" ca="1" si="3"/>
        <v>0</v>
      </c>
      <c r="O10" s="11" cm="1">
        <f t="array" aca="1" ref="O10" ca="1">INDIRECT("'data'!$X$" &amp; $A$1)*parameters!$B$15</f>
        <v>2443.14</v>
      </c>
      <c r="P10" s="13" cm="1">
        <f t="array" aca="1" ref="P10" ca="1">-INDIRECT("'data'!$Y$" &amp; $A$1)*parameters!$B$15</f>
        <v>-310.65999999999997</v>
      </c>
      <c r="Q10" s="16" cm="1">
        <f t="array" aca="1" ref="Q10" ca="1">INDIRECT("'data'!$W$" &amp; $A$1)*parameters!$B$15</f>
        <v>4129.3422190611664</v>
      </c>
      <c r="R10" s="16">
        <f t="shared" ca="1" si="2"/>
        <v>4129.3422190611664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3467.4443083926035</v>
      </c>
      <c r="N11" s="19"/>
      <c r="O11" s="21" cm="1">
        <f t="array" aca="1" ref="O11" ca="1">INDIRECT("'data'!$Z$" &amp; $A$1)*parameters!$B$15</f>
        <v>989.8</v>
      </c>
      <c r="P11" s="27" cm="1">
        <f t="array" aca="1" ref="P11" ca="1">-INDIRECT("'data'!$AA$" &amp; $A$1)*parameters!$B$15</f>
        <v>-1018.22</v>
      </c>
      <c r="Q11" s="16">
        <f ca="1">K9*parameters!$B$10+K10*parameters!$B$11</f>
        <v>3439.024308392603</v>
      </c>
      <c r="R11" s="16">
        <f t="shared" ref="R11:R17" ca="1" si="4">SUM(L11:P11)</f>
        <v>3439.0243083926034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-36.013372748314396</v>
      </c>
      <c r="D12" s="9">
        <f ca="1">-(D17-Q4)</f>
        <v>-9.5248747106772953</v>
      </c>
      <c r="E12" s="9">
        <f ca="1">-(E17-Q5)</f>
        <v>-417.62660971585319</v>
      </c>
      <c r="F12" s="9">
        <f ca="1">-(F17-Q6)</f>
        <v>-320.64179104477626</v>
      </c>
      <c r="G12" s="9">
        <f ca="1">-(G17-Q7)</f>
        <v>-200.35214211076254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-984.15879033038368</v>
      </c>
      <c r="M12" s="17"/>
      <c r="N12" s="17"/>
      <c r="O12" s="10"/>
      <c r="P12" s="12"/>
      <c r="Q12" s="9">
        <f t="shared" ref="Q12:Q17" ca="1" si="6">SUM(L12:P12)</f>
        <v>-984.15879033038368</v>
      </c>
      <c r="R12" s="17">
        <f t="shared" ca="1" si="4"/>
        <v>-984.15879033038368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-713.27454662270793</v>
      </c>
      <c r="J13" s="14">
        <f ca="1">-(J17-Q10)</f>
        <v>-1070.7032343161263</v>
      </c>
      <c r="K13" s="13">
        <f ca="1">-(K17-Q11)</f>
        <v>-389.45791066856373</v>
      </c>
      <c r="L13" s="14">
        <f t="shared" ca="1" si="5"/>
        <v>-2173.435691607398</v>
      </c>
      <c r="M13" s="16">
        <f ca="1">-E15</f>
        <v>-1623.1698512639946</v>
      </c>
      <c r="N13" s="16"/>
      <c r="O13" s="11"/>
      <c r="P13" s="13"/>
      <c r="Q13" s="14">
        <f t="shared" ca="1" si="6"/>
        <v>-3796.6055428713926</v>
      </c>
      <c r="R13" s="16">
        <f t="shared" ca="1" si="4"/>
        <v>-3796.6055428713926</v>
      </c>
    </row>
    <row r="14" spans="1:20">
      <c r="A14" s="18" t="s">
        <v>78</v>
      </c>
      <c r="B14" s="11"/>
      <c r="C14" s="14"/>
      <c r="D14" s="14"/>
      <c r="E14" s="14">
        <f ca="1">-(I13+J13)-K13</f>
        <v>2173.435691607398</v>
      </c>
      <c r="F14" s="14"/>
      <c r="G14" s="14"/>
      <c r="H14" s="14"/>
      <c r="I14" s="14"/>
      <c r="J14" s="14"/>
      <c r="K14" s="13"/>
      <c r="L14" s="14">
        <f t="shared" ca="1" si="5"/>
        <v>2173.435691607398</v>
      </c>
      <c r="M14" s="16"/>
      <c r="N14" s="16"/>
      <c r="O14" s="11"/>
      <c r="P14" s="13"/>
      <c r="Q14" s="14">
        <f t="shared" ca="1" si="6"/>
        <v>2173.435691607398</v>
      </c>
      <c r="R14" s="16">
        <f t="shared" ca="1" si="4"/>
        <v>2173.435691607398</v>
      </c>
    </row>
    <row r="15" spans="1:20">
      <c r="A15" s="18" t="s">
        <v>79</v>
      </c>
      <c r="B15" s="11"/>
      <c r="C15" s="14"/>
      <c r="D15" s="14"/>
      <c r="E15" s="14">
        <f ca="1">E17-E14</f>
        <v>1623.1698512639946</v>
      </c>
      <c r="F15" s="14"/>
      <c r="G15" s="14"/>
      <c r="H15" s="14"/>
      <c r="I15" s="14"/>
      <c r="J15" s="14"/>
      <c r="K15" s="13"/>
      <c r="L15" s="14">
        <f t="shared" ca="1" si="5"/>
        <v>1623.1698512639946</v>
      </c>
      <c r="M15" s="16"/>
      <c r="N15" s="16"/>
      <c r="O15" s="11"/>
      <c r="P15" s="13"/>
      <c r="Q15" s="14">
        <f t="shared" ca="1" si="6"/>
        <v>1623.1698512639946</v>
      </c>
      <c r="R15" s="16">
        <f t="shared" ca="1" si="4"/>
        <v>1623.1698512639946</v>
      </c>
    </row>
    <row r="16" spans="1:20">
      <c r="A16" s="30" t="s">
        <v>89</v>
      </c>
      <c r="B16" s="21">
        <f ca="1">Q2</f>
        <v>24800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24800</v>
      </c>
      <c r="M16" s="19"/>
      <c r="N16" s="19"/>
      <c r="O16" s="21"/>
      <c r="P16" s="27"/>
      <c r="Q16" s="22">
        <f t="shared" ca="1" si="6"/>
        <v>24800</v>
      </c>
      <c r="R16" s="19">
        <f t="shared" ca="1" si="4"/>
        <v>24800</v>
      </c>
    </row>
    <row r="17" spans="1:18">
      <c r="A17" s="29" t="s">
        <v>88</v>
      </c>
      <c r="B17" s="9">
        <f ca="1">B16</f>
        <v>24800</v>
      </c>
      <c r="C17" s="9">
        <f ca="1">SUM(C$2:C$11)</f>
        <v>5716.4083727483139</v>
      </c>
      <c r="D17" s="9">
        <f ca="1">SUM(D$2:D$11)</f>
        <v>1511.8848747106774</v>
      </c>
      <c r="E17" s="9">
        <f ca="1">$Q$5/parameters!$B$4</f>
        <v>3796.6055428713926</v>
      </c>
      <c r="F17" s="9">
        <f t="shared" ref="F17:K17" ca="1" si="7">SUM(F$2:F$11)</f>
        <v>5171.6417910447763</v>
      </c>
      <c r="G17" s="9">
        <f t="shared" ca="1" si="7"/>
        <v>4659.3521421107625</v>
      </c>
      <c r="H17" s="9">
        <f t="shared" ca="1" si="7"/>
        <v>9310</v>
      </c>
      <c r="I17" s="9">
        <f t="shared" ca="1" si="7"/>
        <v>3464.1345466227081</v>
      </c>
      <c r="J17" s="9">
        <f t="shared" ca="1" si="7"/>
        <v>5200.0454533772927</v>
      </c>
      <c r="K17" s="9">
        <f t="shared" ca="1" si="7"/>
        <v>3828.4822190611667</v>
      </c>
      <c r="L17" s="17">
        <f t="shared" ca="1" si="5"/>
        <v>67458.554942547096</v>
      </c>
      <c r="M17" s="17"/>
      <c r="N17" s="17"/>
      <c r="O17" s="9"/>
      <c r="P17" s="14"/>
      <c r="Q17" s="11">
        <f t="shared" ca="1" si="6"/>
        <v>67458.554942547096</v>
      </c>
      <c r="R17" s="17">
        <f t="shared" ca="1" si="4"/>
        <v>67458.554942547096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0.79409733166452745</v>
      </c>
      <c r="J18" s="39">
        <f ca="1">I18</f>
        <v>0.79409733166452745</v>
      </c>
      <c r="K18" s="40">
        <f ca="1">1-(-K13)/K17</f>
        <v>0.8982735485280462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1583.1739961759083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1583.1739961759083</v>
      </c>
      <c r="M2" s="17"/>
      <c r="N2" s="17">
        <f ca="1">Q2-(L2+O2+P2)</f>
        <v>0</v>
      </c>
      <c r="O2" s="11" cm="1">
        <f t="array" aca="1" ref="O2" ca="1">INDIRECT("'data'!$F$" &amp; $A$1)</f>
        <v>49.4</v>
      </c>
      <c r="P2" s="13">
        <f ca="1">IF(-(L2-Q2+O2)&lt;0, -(L2-Q2+O2), 0)</f>
        <v>-1248.5739961759084</v>
      </c>
      <c r="Q2" s="17" cm="1">
        <f t="array" aca="1" ref="Q2" ca="1">INDIRECT("'data'!$D$" &amp; $A$1)</f>
        <v>384</v>
      </c>
      <c r="R2" s="17">
        <f ca="1">SUM(L2:P2)</f>
        <v>384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387.45</v>
      </c>
      <c r="H3" s="14"/>
      <c r="I3" s="14"/>
      <c r="J3" s="14"/>
      <c r="K3" s="13"/>
      <c r="L3" s="16">
        <f t="shared" ca="1" si="0"/>
        <v>387.45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51.029999999999994</v>
      </c>
      <c r="P3" s="13" cm="1">
        <f t="array" aca="1" ref="P3" ca="1">-INDIRECT("'data'!$I$" &amp; $A$1)*parameters!$B$13</f>
        <v>-438.47999999999996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1249.3600000000001</v>
      </c>
      <c r="H4" s="14"/>
      <c r="I4" s="14"/>
      <c r="J4" s="14"/>
      <c r="K4" s="13"/>
      <c r="L4" s="16">
        <f t="shared" ca="1" si="0"/>
        <v>1249.3600000000001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342.24</v>
      </c>
      <c r="P4" s="13" cm="1">
        <f t="array" aca="1" ref="P4" ca="1">-INDIRECT("'data'!$L$" &amp; $A$1)*parameters!$B$14</f>
        <v>-18.400000000000002</v>
      </c>
      <c r="Q4" s="16" cm="1">
        <f t="array" aca="1" ref="Q4" ca="1">INDIRECT("'data'!$J$" &amp; $A$1)*parameters!$B$14</f>
        <v>1573.2</v>
      </c>
      <c r="R4" s="16">
        <f t="shared" ca="1" si="2"/>
        <v>1573.2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4198.1325287356321</v>
      </c>
      <c r="H5" s="14"/>
      <c r="I5" s="14"/>
      <c r="J5" s="14"/>
      <c r="K5" s="13"/>
      <c r="L5" s="16">
        <f t="shared" ca="1" si="0"/>
        <v>4198.1325287356321</v>
      </c>
      <c r="M5" s="16"/>
      <c r="N5" s="16"/>
      <c r="O5" s="11" cm="1">
        <f t="array" aca="1" ref="O5" ca="1">INDIRECT("'data'!$M$" &amp; $A$1)*parameters!$B$15</f>
        <v>181.29999999999998</v>
      </c>
      <c r="P5" s="13" cm="1">
        <f t="array" aca="1" ref="P5" ca="1">-INDIRECT("'data'!$N$" &amp; $A$1)*parameters!$B$15</f>
        <v>-3649.52</v>
      </c>
      <c r="Q5" s="16">
        <f ca="1">SUM(L5:P5)</f>
        <v>729.91252873563235</v>
      </c>
      <c r="R5" s="16">
        <f t="shared" ca="1" si="2"/>
        <v>729.91252873563235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5584.04</v>
      </c>
      <c r="I7" s="14"/>
      <c r="J7" s="14"/>
      <c r="K7" s="13"/>
      <c r="L7" s="16">
        <f t="shared" ca="1" si="0"/>
        <v>5584.04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5584.04</v>
      </c>
      <c r="R7" s="16">
        <f t="shared" ca="1" si="2"/>
        <v>5584.04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3548.6272360134208</v>
      </c>
      <c r="J8" s="14">
        <f ca="1">Q10/J18</f>
        <v>1868.8127639865797</v>
      </c>
      <c r="K8" s="13"/>
      <c r="L8" s="16">
        <f t="shared" ca="1" si="0"/>
        <v>5417.4400000000005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594.86</v>
      </c>
      <c r="P8" s="13" cm="1">
        <f t="array" aca="1" ref="P8" ca="1">-INDIRECT("'data'!$S$" &amp; $A$1)*parameters!$B$15</f>
        <v>-428.26</v>
      </c>
      <c r="Q8" s="16">
        <f ca="1">SUM(Q6:Q7)</f>
        <v>5584.04</v>
      </c>
      <c r="R8" s="16">
        <f t="shared" ca="1" si="2"/>
        <v>5584.04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3756.34</v>
      </c>
      <c r="L9" s="16">
        <f t="shared" ca="1" si="0"/>
        <v>3756.34</v>
      </c>
      <c r="M9" s="16"/>
      <c r="N9" s="16">
        <f t="shared" ca="1" si="3"/>
        <v>0</v>
      </c>
      <c r="O9" s="11" cm="1">
        <f t="array" aca="1" ref="O9" ca="1">INDIRECT("'data'!$U$" &amp; $A$1)*parameters!$B$15</f>
        <v>597.79999999999995</v>
      </c>
      <c r="P9" s="13" cm="1">
        <f t="array" aca="1" ref="P9" ca="1">-INDIRECT("'data'!$V$" &amp; $A$1)*parameters!$B$15</f>
        <v>-846.72</v>
      </c>
      <c r="Q9" s="16" cm="1">
        <f t="array" aca="1" ref="Q9" ca="1">INDIRECT("'data'!$T$" &amp; $A$1)*parameters!$B$15</f>
        <v>3507.42</v>
      </c>
      <c r="R9" s="16">
        <f t="shared" ca="1" si="2"/>
        <v>3507.42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3278.8918065433854</v>
      </c>
      <c r="L10" s="16">
        <f t="shared" ca="1" si="0"/>
        <v>3278.8918065433854</v>
      </c>
      <c r="M10" s="16"/>
      <c r="N10" s="16">
        <f t="shared" ca="1" si="3"/>
        <v>0</v>
      </c>
      <c r="O10" s="11" cm="1">
        <f t="array" aca="1" ref="O10" ca="1">INDIRECT("'data'!$X$" &amp; $A$1)*parameters!$B$15</f>
        <v>940.8</v>
      </c>
      <c r="P10" s="13" cm="1">
        <f t="array" aca="1" ref="P10" ca="1">-INDIRECT("'data'!$Y$" &amp; $A$1)*parameters!$B$15</f>
        <v>-2372.58</v>
      </c>
      <c r="Q10" s="16" cm="1">
        <f t="array" aca="1" ref="Q10" ca="1">INDIRECT("'data'!$W$" &amp; $A$1)*parameters!$B$15</f>
        <v>1847.1118065433855</v>
      </c>
      <c r="R10" s="16">
        <f t="shared" ca="1" si="2"/>
        <v>1847.1118065433857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6268.4865536273119</v>
      </c>
      <c r="N11" s="19"/>
      <c r="O11" s="21" cm="1">
        <f t="array" aca="1" ref="O11" ca="1">INDIRECT("'data'!$Z$" &amp; $A$1)*parameters!$B$15</f>
        <v>1315.16</v>
      </c>
      <c r="P11" s="27" cm="1">
        <f t="array" aca="1" ref="P11" ca="1">-INDIRECT("'data'!$AA$" &amp; $A$1)*parameters!$B$15</f>
        <v>-1232.8399999999999</v>
      </c>
      <c r="Q11" s="16">
        <f ca="1">K9*parameters!$B$10+K10*parameters!$B$11</f>
        <v>6350.8065536273116</v>
      </c>
      <c r="R11" s="16">
        <f t="shared" ref="R11:R17" ca="1" si="4">SUM(L11:P11)</f>
        <v>6350.8065536273116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-9.9739961759082689</v>
      </c>
      <c r="E12" s="9">
        <f ca="1">-(E17-Q5)</f>
        <v>-90.213908045977064</v>
      </c>
      <c r="F12" s="9">
        <f ca="1">-(F17-Q6)</f>
        <v>0</v>
      </c>
      <c r="G12" s="9">
        <f ca="1">-(G17-Q7)</f>
        <v>-250.90252873563259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-351.09043295751792</v>
      </c>
      <c r="M12" s="17"/>
      <c r="N12" s="17"/>
      <c r="O12" s="10"/>
      <c r="P12" s="12"/>
      <c r="Q12" s="9">
        <f t="shared" ref="Q12:Q17" ca="1" si="6">SUM(L12:P12)</f>
        <v>-351.09043295751792</v>
      </c>
      <c r="R12" s="17">
        <f t="shared" ca="1" si="4"/>
        <v>-351.09043295751792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-41.207236013420697</v>
      </c>
      <c r="J13" s="14">
        <f ca="1">-(J17-Q10)</f>
        <v>-21.700957443194284</v>
      </c>
      <c r="K13" s="13">
        <f ca="1">-(K17-Q11)</f>
        <v>-684.42525291607399</v>
      </c>
      <c r="L13" s="14">
        <f t="shared" ca="1" si="5"/>
        <v>-747.33344637268897</v>
      </c>
      <c r="M13" s="16">
        <f ca="1">-E15</f>
        <v>-72.792990408920446</v>
      </c>
      <c r="N13" s="16"/>
      <c r="O13" s="11"/>
      <c r="P13" s="13"/>
      <c r="Q13" s="14">
        <f t="shared" ca="1" si="6"/>
        <v>-820.12643678160941</v>
      </c>
      <c r="R13" s="16">
        <f t="shared" ca="1" si="4"/>
        <v>-820.12643678160941</v>
      </c>
    </row>
    <row r="14" spans="1:19">
      <c r="A14" s="18" t="s">
        <v>78</v>
      </c>
      <c r="B14" s="11"/>
      <c r="C14" s="14"/>
      <c r="D14" s="14"/>
      <c r="E14" s="14">
        <f ca="1">-(I13+J13)-K13</f>
        <v>747.33344637268897</v>
      </c>
      <c r="F14" s="14"/>
      <c r="G14" s="14"/>
      <c r="H14" s="14"/>
      <c r="I14" s="14"/>
      <c r="J14" s="14"/>
      <c r="K14" s="13"/>
      <c r="L14" s="14">
        <f t="shared" ca="1" si="5"/>
        <v>747.33344637268897</v>
      </c>
      <c r="M14" s="16"/>
      <c r="N14" s="16"/>
      <c r="O14" s="11"/>
      <c r="P14" s="13"/>
      <c r="Q14" s="14">
        <f t="shared" ca="1" si="6"/>
        <v>747.33344637268897</v>
      </c>
      <c r="R14" s="16">
        <f t="shared" ca="1" si="4"/>
        <v>747.33344637268897</v>
      </c>
    </row>
    <row r="15" spans="1:19">
      <c r="A15" s="18" t="s">
        <v>79</v>
      </c>
      <c r="B15" s="11"/>
      <c r="C15" s="14"/>
      <c r="D15" s="14"/>
      <c r="E15" s="14">
        <f ca="1">E17-E14</f>
        <v>72.792990408920446</v>
      </c>
      <c r="F15" s="14"/>
      <c r="G15" s="14"/>
      <c r="H15" s="14"/>
      <c r="I15" s="14"/>
      <c r="J15" s="14"/>
      <c r="K15" s="13"/>
      <c r="L15" s="14">
        <f t="shared" ca="1" si="5"/>
        <v>72.792990408920446</v>
      </c>
      <c r="M15" s="16"/>
      <c r="N15" s="16"/>
      <c r="O15" s="11"/>
      <c r="P15" s="13"/>
      <c r="Q15" s="14">
        <f t="shared" ca="1" si="6"/>
        <v>72.792990408920446</v>
      </c>
      <c r="R15" s="16">
        <f t="shared" ca="1" si="4"/>
        <v>72.792990408920446</v>
      </c>
    </row>
    <row r="16" spans="1:19">
      <c r="A16" s="30" t="s">
        <v>89</v>
      </c>
      <c r="B16" s="21">
        <f ca="1">Q2</f>
        <v>384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384</v>
      </c>
      <c r="M16" s="19"/>
      <c r="N16" s="19"/>
      <c r="O16" s="21"/>
      <c r="P16" s="27"/>
      <c r="Q16" s="22">
        <f t="shared" ca="1" si="6"/>
        <v>384</v>
      </c>
      <c r="R16" s="19">
        <f t="shared" ca="1" si="4"/>
        <v>384</v>
      </c>
    </row>
    <row r="17" spans="1:18">
      <c r="A17" s="29" t="s">
        <v>88</v>
      </c>
      <c r="B17" s="9">
        <f ca="1">B16</f>
        <v>384</v>
      </c>
      <c r="C17" s="9">
        <f ca="1">SUM(C$2:C$11)</f>
        <v>0</v>
      </c>
      <c r="D17" s="9">
        <f ca="1">SUM(D$2:D$11)</f>
        <v>1583.1739961759083</v>
      </c>
      <c r="E17" s="9">
        <f ca="1">$Q$5/parameters!$B$4</f>
        <v>820.12643678160941</v>
      </c>
      <c r="F17" s="9">
        <f t="shared" ref="F17:K17" ca="1" si="7">SUM(F$2:F$11)</f>
        <v>0</v>
      </c>
      <c r="G17" s="9">
        <f t="shared" ca="1" si="7"/>
        <v>5834.9425287356325</v>
      </c>
      <c r="H17" s="9">
        <f t="shared" ca="1" si="7"/>
        <v>5584.04</v>
      </c>
      <c r="I17" s="9">
        <f t="shared" ca="1" si="7"/>
        <v>3548.6272360134208</v>
      </c>
      <c r="J17" s="9">
        <f t="shared" ca="1" si="7"/>
        <v>1868.8127639865797</v>
      </c>
      <c r="K17" s="9">
        <f t="shared" ca="1" si="7"/>
        <v>7035.2318065433856</v>
      </c>
      <c r="L17" s="17">
        <f t="shared" ca="1" si="5"/>
        <v>26658.954768236537</v>
      </c>
      <c r="M17" s="17"/>
      <c r="N17" s="17"/>
      <c r="O17" s="9"/>
      <c r="P17" s="14"/>
      <c r="Q17" s="11">
        <f t="shared" ca="1" si="6"/>
        <v>26658.954768236537</v>
      </c>
      <c r="R17" s="17">
        <f t="shared" ca="1" si="4"/>
        <v>26658.954768236537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0.98838783752905157</v>
      </c>
      <c r="J18" s="39">
        <f ca="1">I18</f>
        <v>0.98838783752905157</v>
      </c>
      <c r="K18" s="40">
        <f ca="1">1-(-K13)/K17</f>
        <v>0.90271461243402129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68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68</v>
      </c>
      <c r="R2" s="17">
        <f ca="1">SUM(L2:P2)</f>
        <v>68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844.83</v>
      </c>
      <c r="H3" s="14"/>
      <c r="I3" s="14"/>
      <c r="J3" s="14"/>
      <c r="K3" s="13"/>
      <c r="L3" s="16">
        <f t="shared" ca="1" si="0"/>
        <v>844.83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22.68</v>
      </c>
      <c r="P3" s="13" cm="1">
        <f t="array" aca="1" ref="P3" ca="1">-INDIRECT("'data'!$I$" &amp; $A$1)*parameters!$B$13</f>
        <v>-867.51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3797.1135736677124</v>
      </c>
      <c r="H5" s="14"/>
      <c r="I5" s="14"/>
      <c r="J5" s="14"/>
      <c r="K5" s="13"/>
      <c r="L5" s="16">
        <f t="shared" ca="1" si="0"/>
        <v>3797.1135736677124</v>
      </c>
      <c r="M5" s="16"/>
      <c r="N5" s="16"/>
      <c r="O5" s="11" cm="1">
        <f t="array" aca="1" ref="O5" ca="1">INDIRECT("'data'!$M$" &amp; $A$1)*parameters!$B$15</f>
        <v>151.9</v>
      </c>
      <c r="P5" s="13" cm="1">
        <f t="array" aca="1" ref="P5" ca="1">-INDIRECT("'data'!$N$" &amp; $A$1)*parameters!$B$15</f>
        <v>-1809.08</v>
      </c>
      <c r="Q5" s="16">
        <f ca="1">SUM(L5:P5)</f>
        <v>2139.9335736677126</v>
      </c>
      <c r="R5" s="16">
        <f t="shared" ca="1" si="2"/>
        <v>2139.9335736677126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4442.34</v>
      </c>
      <c r="I7" s="14"/>
      <c r="J7" s="14"/>
      <c r="K7" s="13"/>
      <c r="L7" s="16">
        <f t="shared" ca="1" si="0"/>
        <v>4442.34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4442.34</v>
      </c>
      <c r="R7" s="16">
        <f t="shared" ca="1" si="2"/>
        <v>4442.34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5324.7625155583382</v>
      </c>
      <c r="J8" s="14">
        <f ca="1">Q10/J18</f>
        <v>3958.7774844416622</v>
      </c>
      <c r="K8" s="13"/>
      <c r="L8" s="16">
        <f t="shared" ca="1" si="0"/>
        <v>9283.5400000000009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70.56</v>
      </c>
      <c r="P8" s="13" cm="1">
        <f t="array" aca="1" ref="P8" ca="1">-INDIRECT("'data'!$S$" &amp; $A$1)*parameters!$B$15</f>
        <v>-4911.76</v>
      </c>
      <c r="Q8" s="16">
        <f ca="1">SUM(Q6:Q7)</f>
        <v>4442.34</v>
      </c>
      <c r="R8" s="16">
        <f t="shared" ca="1" si="2"/>
        <v>4442.34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5370.4</v>
      </c>
      <c r="L9" s="16">
        <f t="shared" ca="1" si="0"/>
        <v>5370.4</v>
      </c>
      <c r="M9" s="16"/>
      <c r="N9" s="16">
        <f t="shared" ca="1" si="3"/>
        <v>0</v>
      </c>
      <c r="O9" s="11" cm="1">
        <f t="array" aca="1" ref="O9" ca="1">INDIRECT("'data'!$U$" &amp; $A$1)*parameters!$B$15</f>
        <v>544.88</v>
      </c>
      <c r="P9" s="13" cm="1">
        <f t="array" aca="1" ref="P9" ca="1">-INDIRECT("'data'!$V$" &amp; $A$1)*parameters!$B$15</f>
        <v>-914.34</v>
      </c>
      <c r="Q9" s="16" cm="1">
        <f t="array" aca="1" ref="Q9" ca="1">INDIRECT("'data'!$T$" &amp; $A$1)*parameters!$B$15</f>
        <v>5000.9399999999996</v>
      </c>
      <c r="R9" s="16">
        <f t="shared" ca="1" si="2"/>
        <v>5000.9399999999996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6904.9866002844947</v>
      </c>
      <c r="L10" s="16">
        <f t="shared" ca="1" si="0"/>
        <v>6904.9866002844947</v>
      </c>
      <c r="M10" s="16"/>
      <c r="N10" s="16">
        <f t="shared" ca="1" si="3"/>
        <v>0</v>
      </c>
      <c r="O10" s="11" cm="1">
        <f t="array" aca="1" ref="O10" ca="1">INDIRECT("'data'!$X$" &amp; $A$1)*parameters!$B$15</f>
        <v>1266.1600000000001</v>
      </c>
      <c r="P10" s="13" cm="1">
        <f t="array" aca="1" ref="P10" ca="1">-INDIRECT("'data'!$Y$" &amp; $A$1)*parameters!$B$15</f>
        <v>-4453.12</v>
      </c>
      <c r="Q10" s="16" cm="1">
        <f t="array" aca="1" ref="Q10" ca="1">INDIRECT("'data'!$W$" &amp; $A$1)*parameters!$B$15</f>
        <v>3718.0266002844951</v>
      </c>
      <c r="R10" s="16">
        <f t="shared" ca="1" si="2"/>
        <v>3718.0266002844946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10602.304476244666</v>
      </c>
      <c r="N11" s="19"/>
      <c r="O11" s="21" cm="1">
        <f t="array" aca="1" ref="O11" ca="1">INDIRECT("'data'!$Z$" &amp; $A$1)*parameters!$B$15</f>
        <v>1926.68</v>
      </c>
      <c r="P11" s="27" cm="1">
        <f t="array" aca="1" ref="P11" ca="1">-INDIRECT("'data'!$AA$" &amp; $A$1)*parameters!$B$15</f>
        <v>-1542.52</v>
      </c>
      <c r="Q11" s="16">
        <f ca="1">K9*parameters!$B$10+K10*parameters!$B$11</f>
        <v>10986.464476244666</v>
      </c>
      <c r="R11" s="16">
        <f t="shared" ref="R11:R17" ca="1" si="4">SUM(L11:P11)</f>
        <v>10986.464476244666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-264.48617202634659</v>
      </c>
      <c r="F12" s="9">
        <f ca="1">-(F17-Q6)</f>
        <v>0</v>
      </c>
      <c r="G12" s="9">
        <f ca="1">-(G17-Q7)</f>
        <v>-199.60357366771223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-464.08974569405882</v>
      </c>
      <c r="M12" s="17"/>
      <c r="N12" s="17"/>
      <c r="O12" s="10"/>
      <c r="P12" s="12"/>
      <c r="Q12" s="9">
        <f t="shared" ref="Q12:Q17" ca="1" si="6">SUM(L12:P12)</f>
        <v>-464.08974569405882</v>
      </c>
      <c r="R12" s="17">
        <f t="shared" ca="1" si="4"/>
        <v>-464.08974569405882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-323.82251555833864</v>
      </c>
      <c r="J13" s="14">
        <f ca="1">-(J17-Q10)</f>
        <v>-240.75088415716709</v>
      </c>
      <c r="K13" s="13">
        <f ca="1">-(K17-Q11)</f>
        <v>-1288.9221240398292</v>
      </c>
      <c r="L13" s="14">
        <f t="shared" ca="1" si="5"/>
        <v>-1853.4955237553349</v>
      </c>
      <c r="M13" s="16">
        <f ca="1">-E15</f>
        <v>-550.92422193872426</v>
      </c>
      <c r="N13" s="16"/>
      <c r="O13" s="11"/>
      <c r="P13" s="13"/>
      <c r="Q13" s="14">
        <f t="shared" ca="1" si="6"/>
        <v>-2404.4197456940592</v>
      </c>
      <c r="R13" s="16">
        <f t="shared" ca="1" si="4"/>
        <v>-2404.4197456940592</v>
      </c>
    </row>
    <row r="14" spans="1:20">
      <c r="A14" s="18" t="s">
        <v>78</v>
      </c>
      <c r="B14" s="11"/>
      <c r="C14" s="14"/>
      <c r="D14" s="14"/>
      <c r="E14" s="14">
        <f ca="1">-(I13+J13)-K13</f>
        <v>1853.4955237553349</v>
      </c>
      <c r="F14" s="14"/>
      <c r="G14" s="14"/>
      <c r="H14" s="14"/>
      <c r="I14" s="14"/>
      <c r="J14" s="14"/>
      <c r="K14" s="13"/>
      <c r="L14" s="14">
        <f t="shared" ca="1" si="5"/>
        <v>1853.4955237553349</v>
      </c>
      <c r="M14" s="16"/>
      <c r="N14" s="16"/>
      <c r="O14" s="11"/>
      <c r="P14" s="13"/>
      <c r="Q14" s="14">
        <f t="shared" ca="1" si="6"/>
        <v>1853.4955237553349</v>
      </c>
      <c r="R14" s="16">
        <f t="shared" ca="1" si="4"/>
        <v>1853.4955237553349</v>
      </c>
    </row>
    <row r="15" spans="1:20">
      <c r="A15" s="18" t="s">
        <v>79</v>
      </c>
      <c r="B15" s="11"/>
      <c r="C15" s="14"/>
      <c r="D15" s="14"/>
      <c r="E15" s="14">
        <f ca="1">E17-E14</f>
        <v>550.92422193872426</v>
      </c>
      <c r="F15" s="14"/>
      <c r="G15" s="14"/>
      <c r="H15" s="14"/>
      <c r="I15" s="14"/>
      <c r="J15" s="14"/>
      <c r="K15" s="13"/>
      <c r="L15" s="14">
        <f t="shared" ca="1" si="5"/>
        <v>550.92422193872426</v>
      </c>
      <c r="M15" s="16"/>
      <c r="N15" s="16"/>
      <c r="O15" s="11"/>
      <c r="P15" s="13"/>
      <c r="Q15" s="14">
        <f t="shared" ca="1" si="6"/>
        <v>550.92422193872426</v>
      </c>
      <c r="R15" s="16">
        <f t="shared" ca="1" si="4"/>
        <v>550.92422193872426</v>
      </c>
    </row>
    <row r="16" spans="1:20">
      <c r="A16" s="30" t="s">
        <v>89</v>
      </c>
      <c r="B16" s="21">
        <f ca="1">Q2</f>
        <v>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68</v>
      </c>
      <c r="M16" s="19"/>
      <c r="N16" s="19"/>
      <c r="O16" s="21"/>
      <c r="P16" s="27"/>
      <c r="Q16" s="22">
        <f t="shared" ca="1" si="6"/>
        <v>68</v>
      </c>
      <c r="R16" s="19">
        <f t="shared" ca="1" si="4"/>
        <v>68</v>
      </c>
    </row>
    <row r="17" spans="1:18">
      <c r="A17" s="29" t="s">
        <v>88</v>
      </c>
      <c r="B17" s="9">
        <f ca="1">B16</f>
        <v>68</v>
      </c>
      <c r="C17" s="9">
        <f ca="1">SUM(C$2:C$11)</f>
        <v>0</v>
      </c>
      <c r="D17" s="9">
        <f ca="1">SUM(D$2:D$11)</f>
        <v>0</v>
      </c>
      <c r="E17" s="9">
        <f ca="1">$Q$5/parameters!$B$4</f>
        <v>2404.4197456940592</v>
      </c>
      <c r="F17" s="9">
        <f t="shared" ref="F17:K17" ca="1" si="7">SUM(F$2:F$11)</f>
        <v>0</v>
      </c>
      <c r="G17" s="9">
        <f t="shared" ca="1" si="7"/>
        <v>4641.9435736677124</v>
      </c>
      <c r="H17" s="9">
        <f t="shared" ca="1" si="7"/>
        <v>4442.34</v>
      </c>
      <c r="I17" s="9">
        <f t="shared" ca="1" si="7"/>
        <v>5324.7625155583382</v>
      </c>
      <c r="J17" s="9">
        <f t="shared" ca="1" si="7"/>
        <v>3958.7774844416622</v>
      </c>
      <c r="K17" s="9">
        <f t="shared" ca="1" si="7"/>
        <v>12275.386600284495</v>
      </c>
      <c r="L17" s="17">
        <f t="shared" ca="1" si="5"/>
        <v>33115.629919646264</v>
      </c>
      <c r="M17" s="17"/>
      <c r="N17" s="17"/>
      <c r="O17" s="9"/>
      <c r="P17" s="14"/>
      <c r="Q17" s="11">
        <f t="shared" ca="1" si="6"/>
        <v>33115.629919646264</v>
      </c>
      <c r="R17" s="17">
        <f t="shared" ca="1" si="4"/>
        <v>33115.629919646264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0.93918554778505769</v>
      </c>
      <c r="J18" s="39">
        <f ca="1">I18</f>
        <v>0.93918554778505769</v>
      </c>
      <c r="K18" s="40">
        <f ca="1">1-(-K13)/K17</f>
        <v>0.89499946795891894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3681.2871087853473</v>
      </c>
      <c r="D2" s="9">
        <f ca="1">Q4/parameters!$B$3</f>
        <v>112.0257623025058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3793.3128710878532</v>
      </c>
      <c r="M2" s="17"/>
      <c r="N2" s="17">
        <f ca="1">Q2-(L2+O2+P2)</f>
        <v>0</v>
      </c>
      <c r="O2" s="11" cm="1">
        <f t="array" aca="1" ref="O2" ca="1">INDIRECT("'data'!$F$" &amp; $A$1)</f>
        <v>11269.050000000001</v>
      </c>
      <c r="P2" s="13">
        <f ca="1">IF(-(L2-Q2+O2)&lt;0, -(L2-Q2+O2), 0)</f>
        <v>-362.36287108785473</v>
      </c>
      <c r="Q2" s="17" cm="1">
        <f t="array" aca="1" ref="Q2" ca="1">INDIRECT("'data'!$D$" &amp; $A$1)</f>
        <v>14700</v>
      </c>
      <c r="R2" s="17">
        <f ca="1">SUM(L2:P2)</f>
        <v>14700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3431.0447761194032</v>
      </c>
      <c r="G3" s="14">
        <f ca="1">Q3-O3-P3-F3</f>
        <v>142.94522388059659</v>
      </c>
      <c r="H3" s="14"/>
      <c r="I3" s="14"/>
      <c r="J3" s="14"/>
      <c r="K3" s="13"/>
      <c r="L3" s="16">
        <f t="shared" ca="1" si="0"/>
        <v>3573.99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110.565</v>
      </c>
      <c r="P3" s="13" cm="1">
        <f t="array" aca="1" ref="P3" ca="1">-INDIRECT("'data'!$I$" &amp; $A$1)*parameters!$B$13</f>
        <v>-26.459999999999997</v>
      </c>
      <c r="Q3" s="16" cm="1">
        <f t="array" aca="1" ref="Q3" ca="1">INDIRECT("'data'!$G$" &amp; $A$1)*parameters!$B$13</f>
        <v>3658.0949999999998</v>
      </c>
      <c r="R3" s="16">
        <f t="shared" ref="R3:R10" ca="1" si="2">SUM(L3:P3)</f>
        <v>3658.0949999999998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106.72000000000001</v>
      </c>
      <c r="H4" s="14"/>
      <c r="I4" s="14"/>
      <c r="J4" s="14"/>
      <c r="K4" s="13"/>
      <c r="L4" s="16">
        <f t="shared" ca="1" si="0"/>
        <v>106.72000000000001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4.6000000000000005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111.32000000000001</v>
      </c>
      <c r="R4" s="16">
        <f t="shared" ca="1" si="2"/>
        <v>111.32000000000001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857.7611940298508</v>
      </c>
      <c r="G5" s="14">
        <f ca="1">Q7/parameters!$B$7-(G3+G4)</f>
        <v>1669.3734386063418</v>
      </c>
      <c r="H5" s="14"/>
      <c r="I5" s="14"/>
      <c r="J5" s="14"/>
      <c r="K5" s="13"/>
      <c r="L5" s="16">
        <f t="shared" ca="1" si="0"/>
        <v>2527.1346326361927</v>
      </c>
      <c r="M5" s="16"/>
      <c r="N5" s="16"/>
      <c r="O5" s="11" cm="1">
        <f t="array" aca="1" ref="O5" ca="1">INDIRECT("'data'!$M$" &amp; $A$1)*parameters!$B$15</f>
        <v>714.42</v>
      </c>
      <c r="P5" s="13" cm="1">
        <f t="array" aca="1" ref="P5" ca="1">-INDIRECT("'data'!$N$" &amp; $A$1)*parameters!$B$15</f>
        <v>-263.62</v>
      </c>
      <c r="Q5" s="16">
        <f ca="1">SUM(L5:P5)</f>
        <v>2977.9346326361929</v>
      </c>
      <c r="R5" s="16">
        <f t="shared" ca="1" si="2"/>
        <v>2977.9346326361929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4022.9</v>
      </c>
      <c r="I6" s="14"/>
      <c r="J6" s="14"/>
      <c r="K6" s="13"/>
      <c r="L6" s="16">
        <f t="shared" ca="1" si="0"/>
        <v>4022.9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4022.9</v>
      </c>
      <c r="R6" s="16">
        <f t="shared" ca="1" si="2"/>
        <v>4022.9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1836.52</v>
      </c>
      <c r="I7" s="14"/>
      <c r="J7" s="14"/>
      <c r="K7" s="13"/>
      <c r="L7" s="16">
        <f t="shared" ca="1" si="0"/>
        <v>1836.52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1836.52</v>
      </c>
      <c r="R7" s="16">
        <f t="shared" ca="1" si="2"/>
        <v>1836.52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995.17807143434379</v>
      </c>
      <c r="J8" s="14">
        <f ca="1">Q10/J18</f>
        <v>4984.781928565656</v>
      </c>
      <c r="K8" s="13"/>
      <c r="L8" s="16">
        <f t="shared" ca="1" si="0"/>
        <v>5979.96</v>
      </c>
      <c r="M8" s="16"/>
      <c r="N8" s="16">
        <f t="shared" ca="1" si="3"/>
        <v>0</v>
      </c>
      <c r="O8" s="11" cm="1">
        <f t="array" aca="1" ref="O8" ca="1">INDIRECT("'data'!$R$" &amp; $A$1)*parameters!$B$15</f>
        <v>360.64</v>
      </c>
      <c r="P8" s="13" cm="1">
        <f t="array" aca="1" ref="P8" ca="1">-INDIRECT("'data'!$S$" &amp; $A$1)*parameters!$B$15</f>
        <v>-481.18</v>
      </c>
      <c r="Q8" s="16">
        <f ca="1">SUM(Q6:Q7)</f>
        <v>5859.42</v>
      </c>
      <c r="R8" s="16">
        <f t="shared" ca="1" si="2"/>
        <v>5859.42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871.22</v>
      </c>
      <c r="L9" s="16">
        <f t="shared" ca="1" si="0"/>
        <v>871.22</v>
      </c>
      <c r="M9" s="16"/>
      <c r="N9" s="16">
        <f t="shared" ca="1" si="3"/>
        <v>0</v>
      </c>
      <c r="O9" s="11" cm="1">
        <f t="array" aca="1" ref="O9" ca="1">INDIRECT("'data'!$U$" &amp; $A$1)*parameters!$B$15</f>
        <v>811.43999999999994</v>
      </c>
      <c r="P9" s="13" cm="1">
        <f t="array" aca="1" ref="P9" ca="1">-INDIRECT("'data'!$V$" &amp; $A$1)*parameters!$B$15</f>
        <v>-870.24</v>
      </c>
      <c r="Q9" s="16" cm="1">
        <f t="array" aca="1" ref="Q9" ca="1">INDIRECT("'data'!$T$" &amp; $A$1)*parameters!$B$15</f>
        <v>812.42</v>
      </c>
      <c r="R9" s="16">
        <f t="shared" ca="1" si="2"/>
        <v>812.41999999999985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2759.0986913229017</v>
      </c>
      <c r="L10" s="16">
        <f t="shared" ca="1" si="0"/>
        <v>2759.0986913229017</v>
      </c>
      <c r="M10" s="16"/>
      <c r="N10" s="16">
        <f t="shared" ca="1" si="3"/>
        <v>0</v>
      </c>
      <c r="O10" s="11" cm="1">
        <f t="array" aca="1" ref="O10" ca="1">INDIRECT("'data'!$X$" &amp; $A$1)*parameters!$B$15</f>
        <v>3073.2799999999997</v>
      </c>
      <c r="P10" s="13" cm="1">
        <f t="array" aca="1" ref="P10" ca="1">-INDIRECT("'data'!$Y$" &amp; $A$1)*parameters!$B$15</f>
        <v>-1763.02</v>
      </c>
      <c r="Q10" s="16" cm="1">
        <f t="array" aca="1" ref="Q10" ca="1">INDIRECT("'data'!$W$" &amp; $A$1)*parameters!$B$15</f>
        <v>4069.3586913229014</v>
      </c>
      <c r="R10" s="16">
        <f t="shared" ca="1" si="2"/>
        <v>4069.3586913229014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3044.7716745376956</v>
      </c>
      <c r="N11" s="19"/>
      <c r="O11" s="21" cm="1">
        <f t="array" aca="1" ref="O11" ca="1">INDIRECT("'data'!$Z$" &amp; $A$1)*parameters!$B$15</f>
        <v>2554.86</v>
      </c>
      <c r="P11" s="27" cm="1">
        <f t="array" aca="1" ref="P11" ca="1">-INDIRECT("'data'!$AA$" &amp; $A$1)*parameters!$B$15</f>
        <v>-2407.86</v>
      </c>
      <c r="Q11" s="16">
        <f ca="1">K9*parameters!$B$10+K10*parameters!$B$11</f>
        <v>3191.7716745376956</v>
      </c>
      <c r="R11" s="16">
        <f t="shared" ref="R11:R17" ca="1" si="4">SUM(L11:P11)</f>
        <v>3191.7716745376952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-23.1921087853475</v>
      </c>
      <c r="D12" s="9">
        <f ca="1">-(D17-Q4)</f>
        <v>-0.70576230250578931</v>
      </c>
      <c r="E12" s="9">
        <f ca="1">-(E17-Q5)</f>
        <v>-368.05933661795643</v>
      </c>
      <c r="F12" s="9">
        <f ca="1">-(F17-Q6)</f>
        <v>-265.90597014925379</v>
      </c>
      <c r="G12" s="9">
        <f ca="1">-(G17-Q7)</f>
        <v>-82.51866248693841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-740.38184034200185</v>
      </c>
      <c r="M12" s="17"/>
      <c r="N12" s="17"/>
      <c r="O12" s="10"/>
      <c r="P12" s="12"/>
      <c r="Q12" s="9">
        <f t="shared" ref="Q12:Q17" ca="1" si="6">SUM(L12:P12)</f>
        <v>-740.38184034200185</v>
      </c>
      <c r="R12" s="17">
        <f t="shared" ca="1" si="4"/>
        <v>-740.38184034200185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-182.75807143434383</v>
      </c>
      <c r="J13" s="14">
        <f ca="1">-(J17-Q10)</f>
        <v>-915.42323724275457</v>
      </c>
      <c r="K13" s="13">
        <f ca="1">-(K17-Q11)</f>
        <v>-438.54701678520632</v>
      </c>
      <c r="L13" s="14">
        <f t="shared" ca="1" si="5"/>
        <v>-1536.7283254623048</v>
      </c>
      <c r="M13" s="16">
        <f ca="1">-E15</f>
        <v>-1809.2656437918445</v>
      </c>
      <c r="N13" s="16"/>
      <c r="O13" s="11"/>
      <c r="P13" s="13"/>
      <c r="Q13" s="14">
        <f t="shared" ca="1" si="6"/>
        <v>-3345.9939692541493</v>
      </c>
      <c r="R13" s="16">
        <f t="shared" ca="1" si="4"/>
        <v>-3345.9939692541493</v>
      </c>
    </row>
    <row r="14" spans="1:20">
      <c r="A14" s="18" t="s">
        <v>78</v>
      </c>
      <c r="B14" s="11"/>
      <c r="C14" s="14"/>
      <c r="D14" s="14"/>
      <c r="E14" s="14">
        <f ca="1">-(I13+J13)-K13</f>
        <v>1536.7283254623048</v>
      </c>
      <c r="F14" s="14"/>
      <c r="G14" s="14"/>
      <c r="H14" s="14"/>
      <c r="I14" s="14"/>
      <c r="J14" s="14"/>
      <c r="K14" s="13"/>
      <c r="L14" s="14">
        <f t="shared" ca="1" si="5"/>
        <v>1536.7283254623048</v>
      </c>
      <c r="M14" s="16"/>
      <c r="N14" s="16"/>
      <c r="O14" s="11"/>
      <c r="P14" s="13"/>
      <c r="Q14" s="14">
        <f t="shared" ca="1" si="6"/>
        <v>1536.7283254623048</v>
      </c>
      <c r="R14" s="16">
        <f t="shared" ca="1" si="4"/>
        <v>1536.7283254623048</v>
      </c>
    </row>
    <row r="15" spans="1:20">
      <c r="A15" s="18" t="s">
        <v>79</v>
      </c>
      <c r="B15" s="11"/>
      <c r="C15" s="14"/>
      <c r="D15" s="14"/>
      <c r="E15" s="14">
        <f ca="1">E17-E14</f>
        <v>1809.2656437918445</v>
      </c>
      <c r="F15" s="14"/>
      <c r="G15" s="14"/>
      <c r="H15" s="14"/>
      <c r="I15" s="14"/>
      <c r="J15" s="14"/>
      <c r="K15" s="13"/>
      <c r="L15" s="14">
        <f t="shared" ca="1" si="5"/>
        <v>1809.2656437918445</v>
      </c>
      <c r="M15" s="16"/>
      <c r="N15" s="16"/>
      <c r="O15" s="11"/>
      <c r="P15" s="13"/>
      <c r="Q15" s="14">
        <f t="shared" ca="1" si="6"/>
        <v>1809.2656437918445</v>
      </c>
      <c r="R15" s="16">
        <f t="shared" ca="1" si="4"/>
        <v>1809.2656437918445</v>
      </c>
    </row>
    <row r="16" spans="1:20">
      <c r="A16" s="30" t="s">
        <v>89</v>
      </c>
      <c r="B16" s="21">
        <f ca="1">Q2</f>
        <v>14700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14700</v>
      </c>
      <c r="M16" s="19"/>
      <c r="N16" s="19"/>
      <c r="O16" s="21"/>
      <c r="P16" s="27"/>
      <c r="Q16" s="22">
        <f t="shared" ca="1" si="6"/>
        <v>14700</v>
      </c>
      <c r="R16" s="19">
        <f t="shared" ca="1" si="4"/>
        <v>14700</v>
      </c>
    </row>
    <row r="17" spans="1:18">
      <c r="A17" s="29" t="s">
        <v>88</v>
      </c>
      <c r="B17" s="9">
        <f ca="1">B16</f>
        <v>14700</v>
      </c>
      <c r="C17" s="9">
        <f ca="1">SUM(C$2:C$11)</f>
        <v>3681.2871087853473</v>
      </c>
      <c r="D17" s="9">
        <f ca="1">SUM(D$2:D$11)</f>
        <v>112.0257623025058</v>
      </c>
      <c r="E17" s="9">
        <f ca="1">$Q$5/parameters!$B$4</f>
        <v>3345.9939692541493</v>
      </c>
      <c r="F17" s="9">
        <f t="shared" ref="F17:K17" ca="1" si="7">SUM(F$2:F$11)</f>
        <v>4288.8059701492539</v>
      </c>
      <c r="G17" s="9">
        <f t="shared" ca="1" si="7"/>
        <v>1919.0386624869384</v>
      </c>
      <c r="H17" s="9">
        <f t="shared" ca="1" si="7"/>
        <v>5859.42</v>
      </c>
      <c r="I17" s="9">
        <f t="shared" ca="1" si="7"/>
        <v>995.17807143434379</v>
      </c>
      <c r="J17" s="9">
        <f t="shared" ca="1" si="7"/>
        <v>4984.781928565656</v>
      </c>
      <c r="K17" s="9">
        <f t="shared" ca="1" si="7"/>
        <v>3630.3186913229019</v>
      </c>
      <c r="L17" s="17">
        <f t="shared" ca="1" si="5"/>
        <v>43516.850164301097</v>
      </c>
      <c r="M17" s="17"/>
      <c r="N17" s="17"/>
      <c r="O17" s="9"/>
      <c r="P17" s="14"/>
      <c r="Q17" s="11">
        <f t="shared" ca="1" si="6"/>
        <v>43516.850164301097</v>
      </c>
      <c r="R17" s="17">
        <f t="shared" ca="1" si="4"/>
        <v>43516.850164301097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0.81635641230424638</v>
      </c>
      <c r="J18" s="39">
        <f ca="1">I18</f>
        <v>0.81635641230424638</v>
      </c>
      <c r="K18" s="40">
        <f ca="1">1-(-K13)/K17</f>
        <v>0.87919875524057689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2024-08-12T09:22:26Z</dcterms:modified>
</cp:coreProperties>
</file>