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0F0F1051-57B0-0B47-8DD8-506AD1303210}" xr6:coauthVersionLast="47" xr6:coauthVersionMax="47" xr10:uidLastSave="{00000000-0000-0000-0000-000000000000}"/>
  <bookViews>
    <workbookView xWindow="0" yWindow="500" windowWidth="38400" windowHeight="21100" activeTab="1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5" l="1"/>
  <c r="J18" i="35" s="1"/>
  <c r="I18" i="27"/>
  <c r="J18" i="27" s="1"/>
  <c r="I18" i="15"/>
  <c r="J18" i="15"/>
  <c r="I18" i="21"/>
  <c r="J18" i="2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5" i="42" a="1"/>
  <c r="P8" i="32" a="1"/>
  <c r="O4" i="40" a="1"/>
  <c r="P8" i="34" a="1"/>
  <c r="O9" i="38" a="1"/>
  <c r="P10" i="20" a="1"/>
  <c r="Q4" i="11" a="1"/>
  <c r="P5" i="36" a="1"/>
  <c r="O9" i="42" a="1"/>
  <c r="Q2" i="43" a="1"/>
  <c r="Q10" i="23" a="1"/>
  <c r="Q10" i="43" a="1"/>
  <c r="O5" i="17" a="1"/>
  <c r="O11" i="17" a="1"/>
  <c r="O2" i="21" a="1"/>
  <c r="Q10" i="29" a="1"/>
  <c r="P11" i="29" a="1"/>
  <c r="P5" i="32" a="1"/>
  <c r="Q10" i="36" a="1"/>
  <c r="P4" i="24" a="1"/>
  <c r="P5" i="23" a="1"/>
  <c r="Q6" i="38" a="1"/>
  <c r="O5" i="23" a="1"/>
  <c r="P11" i="14" a="1"/>
  <c r="P4" i="34" a="1"/>
  <c r="O5" i="43" a="1"/>
  <c r="Q3" i="17" a="1"/>
  <c r="P10" i="32" a="1"/>
  <c r="P9" i="29" a="1"/>
  <c r="Q3" i="15" a="1"/>
  <c r="P3" i="41" a="1"/>
  <c r="P3" i="38" a="1"/>
  <c r="O3" i="17" a="1"/>
  <c r="O11" i="29" a="1"/>
  <c r="P8" i="35" a="1"/>
  <c r="P11" i="26" a="1"/>
  <c r="P9" i="20" a="1"/>
  <c r="P3" i="23" a="1"/>
  <c r="Q10" i="37" a="1"/>
  <c r="Q3" i="38" a="1"/>
  <c r="O5" i="36" a="1"/>
  <c r="P9" i="33" a="1"/>
  <c r="Q7" i="23" a="1"/>
  <c r="Q7" i="26" a="1"/>
  <c r="Q10" i="31" a="1"/>
  <c r="O3" i="21" a="1"/>
  <c r="O9" i="43" a="1"/>
  <c r="O2" i="19" a="1"/>
  <c r="P4" i="14" a="1"/>
  <c r="Q7" i="30" a="1"/>
  <c r="Q2" i="26" a="1"/>
  <c r="Q10" i="33" a="1"/>
  <c r="O11" i="23" a="1"/>
  <c r="Q10" i="35" a="1"/>
  <c r="P9" i="37" a="1"/>
  <c r="P10" i="22" a="1"/>
  <c r="Q9" i="21" a="1"/>
  <c r="P3" i="24" a="1"/>
  <c r="P4" i="37" a="1"/>
  <c r="O5" i="29" a="1"/>
  <c r="Q4" i="34" a="1"/>
  <c r="Q3" i="19" a="1"/>
  <c r="P11" i="38" a="1"/>
  <c r="Q10" i="40" a="1"/>
  <c r="O9" i="24" a="1"/>
  <c r="P5" i="40" a="1"/>
  <c r="Q3" i="37" a="1"/>
  <c r="P11" i="32" a="1"/>
  <c r="P10" i="24" a="1"/>
  <c r="O4" i="43" a="1"/>
  <c r="O8" i="36" a="1"/>
  <c r="Q10" i="18" a="1"/>
  <c r="P5" i="31" a="1"/>
  <c r="O4" i="35" a="1"/>
  <c r="O8" i="31" a="1"/>
  <c r="P10" i="28" a="1"/>
  <c r="P5" i="28" a="1"/>
  <c r="O10" i="28" a="1"/>
  <c r="O9" i="26" a="1"/>
  <c r="P3" i="21" a="1"/>
  <c r="O2" i="35" a="1"/>
  <c r="Q4" i="41" a="1"/>
  <c r="P8" i="18" a="1"/>
  <c r="P9" i="23" a="1"/>
  <c r="P3" i="39" a="1"/>
  <c r="O4" i="18" a="1"/>
  <c r="P9" i="36" a="1"/>
  <c r="O11" i="36" a="1"/>
  <c r="P8" i="36" a="1"/>
  <c r="O3" i="37" a="1"/>
  <c r="O10" i="40" a="1"/>
  <c r="O3" i="28" a="1"/>
  <c r="Q6" i="16" a="1"/>
  <c r="P9" i="31" a="1"/>
  <c r="O5" i="14" a="1"/>
  <c r="O9" i="33" a="1"/>
  <c r="O2" i="29" a="1"/>
  <c r="O10" i="16" a="1"/>
  <c r="O4" i="14" a="1"/>
  <c r="Q2" i="33" a="1"/>
  <c r="O8" i="41" a="1"/>
  <c r="Q9" i="41" a="1"/>
  <c r="O2" i="15" a="1"/>
  <c r="Q10" i="39" a="1"/>
  <c r="O8" i="11" a="1"/>
  <c r="O4" i="42" a="1"/>
  <c r="O11" i="15" a="1"/>
  <c r="P9" i="42" a="1"/>
  <c r="Q4" i="43" a="1"/>
  <c r="O9" i="15" a="1"/>
  <c r="P4" i="21" a="1"/>
  <c r="O10" i="14" a="1"/>
  <c r="Q3" i="31" a="1"/>
  <c r="O3" i="16" a="1"/>
  <c r="P8" i="20" a="1"/>
  <c r="P10" i="33" a="1"/>
  <c r="Q6" i="32" a="1"/>
  <c r="Q10" i="15" a="1"/>
  <c r="O11" i="42" a="1"/>
  <c r="Q4" i="15" a="1"/>
  <c r="P10" i="29" a="1"/>
  <c r="P10" i="18" a="1"/>
  <c r="Q3" i="14" a="1"/>
  <c r="O4" i="30" a="1"/>
  <c r="O10" i="42" a="1"/>
  <c r="Q2" i="39" a="1"/>
  <c r="Q6" i="39" a="1"/>
  <c r="P11" i="11" a="1"/>
  <c r="Q9" i="28" a="1"/>
  <c r="O9" i="34" a="1"/>
  <c r="O9" i="30" a="1"/>
  <c r="P10" i="40" a="1"/>
  <c r="Q7" i="38" a="1"/>
  <c r="O2" i="40" a="1"/>
  <c r="Q7" i="16" a="1"/>
  <c r="P11" i="18" a="1"/>
  <c r="P5" i="39" a="1"/>
  <c r="O2" i="23" a="1"/>
  <c r="O5" i="39" a="1"/>
  <c r="P8" i="22" a="1"/>
  <c r="Q7" i="34" a="1"/>
  <c r="Q4" i="32" a="1"/>
  <c r="O10" i="19" a="1"/>
  <c r="P9" i="43" a="1"/>
  <c r="P8" i="11" a="1"/>
  <c r="O10" i="41" a="1"/>
  <c r="O2" i="16" a="1"/>
  <c r="Q4" i="30" a="1"/>
  <c r="Q7" i="42" a="1"/>
  <c r="P10" i="14" a="1"/>
  <c r="P3" i="35" a="1"/>
  <c r="Q6" i="41" a="1"/>
  <c r="P10" i="30" a="1"/>
  <c r="P10" i="36" a="1"/>
  <c r="P8" i="27" a="1"/>
  <c r="Q9" i="14" a="1"/>
  <c r="P3" i="30" a="1"/>
  <c r="O2" i="38" a="1"/>
  <c r="P3" i="16" a="1"/>
  <c r="P8" i="37" a="1"/>
  <c r="O2" i="30" a="1"/>
  <c r="P3" i="22" a="1"/>
  <c r="Q6" i="22" a="1"/>
  <c r="P10" i="27" a="1"/>
  <c r="P11" i="22" a="1"/>
  <c r="O8" i="39" a="1"/>
  <c r="P4" i="41" a="1"/>
  <c r="P8" i="40" a="1"/>
  <c r="O8" i="33" a="1"/>
  <c r="P11" i="36" a="1"/>
  <c r="O8" i="42" a="1"/>
  <c r="O11" i="20" a="1"/>
  <c r="P5" i="18" a="1"/>
  <c r="Q10" i="34" a="1"/>
  <c r="P10" i="15" a="1"/>
  <c r="O4" i="22" a="1"/>
  <c r="P4" i="22" a="1"/>
  <c r="P5" i="22" a="1"/>
  <c r="P3" i="43" a="1"/>
  <c r="P4" i="32" a="1"/>
  <c r="Q9" i="31" a="1"/>
  <c r="P5" i="20" a="1"/>
  <c r="O3" i="40" a="1"/>
  <c r="O3" i="31" a="1"/>
  <c r="Q6" i="21" a="1"/>
  <c r="Q7" i="20" a="1"/>
  <c r="O2" i="24" a="1"/>
  <c r="O9" i="11" a="1"/>
  <c r="P4" i="16" a="1"/>
  <c r="P3" i="42" a="1"/>
  <c r="Q9" i="40" a="1"/>
  <c r="O10" i="15" a="1"/>
  <c r="O3" i="39" a="1"/>
  <c r="P8" i="29" a="1"/>
  <c r="O11" i="37" a="1"/>
  <c r="O8" i="17" a="1"/>
  <c r="Q2" i="38" a="1"/>
  <c r="O8" i="27" a="1"/>
  <c r="Q6" i="36" a="1"/>
  <c r="P11" i="27" a="1"/>
  <c r="Q3" i="21" a="1"/>
  <c r="P4" i="19" a="1"/>
  <c r="O8" i="40" a="1"/>
  <c r="O11" i="24" a="1"/>
  <c r="P3" i="37" a="1"/>
  <c r="O5" i="20" a="1"/>
  <c r="P11" i="20" a="1"/>
  <c r="Q6" i="19" a="1"/>
  <c r="P8" i="26" a="1"/>
  <c r="O8" i="26" a="1"/>
  <c r="P9" i="28" a="1"/>
  <c r="O10" i="39" a="1"/>
  <c r="O10" i="27" a="1"/>
  <c r="Q4" i="16" a="1"/>
  <c r="P4" i="43" a="1"/>
  <c r="P5" i="33" a="1"/>
  <c r="P8" i="24" a="1"/>
  <c r="P3" i="26" a="1"/>
  <c r="Q9" i="19" a="1"/>
  <c r="O8" i="16" a="1"/>
  <c r="Q6" i="26" a="1"/>
  <c r="O2" i="17" a="1"/>
  <c r="O3" i="24" a="1"/>
  <c r="Q10" i="14" a="1"/>
  <c r="Q4" i="22" a="1"/>
  <c r="O11" i="27" a="1"/>
  <c r="O10" i="38" a="1"/>
  <c r="Q3" i="28" a="1"/>
  <c r="O5" i="31" a="1"/>
  <c r="O11" i="22" a="1"/>
  <c r="O5" i="24" a="1"/>
  <c r="P3" i="18" a="1"/>
  <c r="P8" i="30" a="1"/>
  <c r="P8" i="43" a="1"/>
  <c r="O9" i="32" a="1"/>
  <c r="P11" i="33" a="1"/>
  <c r="O3" i="32" a="1"/>
  <c r="O5" i="30" a="1"/>
  <c r="P10" i="16" a="1"/>
  <c r="P10" i="23" a="1"/>
  <c r="P4" i="17" a="1"/>
  <c r="P3" i="17" a="1"/>
  <c r="P8" i="42" a="1"/>
  <c r="P3" i="19" a="1"/>
  <c r="O4" i="37" a="1"/>
  <c r="P4" i="18" a="1"/>
  <c r="O4" i="41" a="1"/>
  <c r="P5" i="16" a="1"/>
  <c r="Q2" i="22" a="1"/>
  <c r="O9" i="28" a="1"/>
  <c r="Q6" i="37" a="1"/>
  <c r="P11" i="40" a="1"/>
  <c r="P11" i="37" a="1"/>
  <c r="P8" i="17" a="1"/>
  <c r="Q3" i="34" a="1"/>
  <c r="P10" i="42" a="1"/>
  <c r="Q9" i="24" a="1"/>
  <c r="P10" i="34" a="1"/>
  <c r="Q7" i="18" a="1"/>
  <c r="P11" i="24" a="1"/>
  <c r="Q6" i="40" a="1"/>
  <c r="Q7" i="15" a="1"/>
  <c r="Q2" i="23" a="1"/>
  <c r="P9" i="18" a="1"/>
  <c r="Q9" i="43" a="1"/>
  <c r="P10" i="31" a="1"/>
  <c r="Q6" i="14" a="1"/>
  <c r="O3" i="22" a="1"/>
  <c r="O5" i="34" a="1"/>
  <c r="Q6" i="17" a="1"/>
  <c r="P10" i="11" a="1"/>
  <c r="O10" i="33" a="1"/>
  <c r="O8" i="29" a="1"/>
  <c r="P11" i="43" a="1"/>
  <c r="P5" i="24" a="1"/>
  <c r="O4" i="19" a="1"/>
  <c r="P10" i="39" a="1"/>
  <c r="P11" i="21" a="1"/>
  <c r="O10" i="24" a="1"/>
  <c r="P11" i="16" a="1"/>
  <c r="P8" i="21" a="1"/>
  <c r="Q7" i="28" a="1"/>
  <c r="O8" i="24" a="1"/>
  <c r="Q7" i="32" a="1"/>
  <c r="O4" i="34" a="1"/>
  <c r="O4" i="11" a="1"/>
  <c r="Q9" i="29" a="1"/>
  <c r="O3" i="18" a="1"/>
  <c r="P5" i="15" a="1"/>
  <c r="P3" i="14" a="1"/>
  <c r="P4" i="40" a="1"/>
  <c r="O4" i="28" a="1"/>
  <c r="Q6" i="34" a="1"/>
  <c r="P3" i="15" a="1"/>
  <c r="O2" i="14" a="1"/>
  <c r="Q4" i="19" a="1"/>
  <c r="O11" i="30" a="1"/>
  <c r="Q2" i="40" a="1"/>
  <c r="P11" i="28" a="1"/>
  <c r="P3" i="28" a="1"/>
  <c r="O8" i="18" a="1"/>
  <c r="P11" i="15" a="1"/>
  <c r="Q3" i="40" a="1"/>
  <c r="O2" i="28" a="1"/>
  <c r="P9" i="38" a="1"/>
  <c r="O2" i="37" a="1"/>
  <c r="O11" i="40" a="1"/>
  <c r="O3" i="34" a="1"/>
  <c r="P10" i="41" a="1"/>
  <c r="O8" i="30" a="1"/>
  <c r="P9" i="21" a="1"/>
  <c r="P4" i="33" a="1"/>
  <c r="P8" i="15" a="1"/>
  <c r="Q2" i="27" a="1"/>
  <c r="Q2" i="37" a="1"/>
  <c r="Q6" i="28" a="1"/>
  <c r="P4" i="15" a="1"/>
  <c r="O11" i="35" a="1"/>
  <c r="P9" i="14" a="1"/>
  <c r="O11" i="18" a="1"/>
  <c r="O9" i="39" a="1"/>
  <c r="O10" i="30" a="1"/>
  <c r="Q3" i="36" a="1"/>
  <c r="P9" i="40" a="1"/>
  <c r="O10" i="20" a="1"/>
  <c r="O8" i="19" a="1"/>
  <c r="Q6" i="11" a="1"/>
  <c r="Q3" i="24" a="1"/>
  <c r="O2" i="26" a="1"/>
  <c r="P9" i="41" a="1"/>
  <c r="O8" i="23" a="1"/>
  <c r="P9" i="24" a="1"/>
  <c r="P11" i="23" a="1"/>
  <c r="P10" i="43" a="1"/>
  <c r="O10" i="35" a="1"/>
  <c r="Q4" i="27" a="1"/>
  <c r="Q7" i="24" a="1"/>
  <c r="P9" i="30" a="1"/>
  <c r="Q10" i="26" a="1"/>
  <c r="O9" i="18" a="1"/>
  <c r="O9" i="20" a="1"/>
  <c r="O5" i="27" a="1"/>
  <c r="Q10" i="20" a="1"/>
  <c r="Q2" i="11" a="1"/>
  <c r="Q4" i="24" a="1"/>
  <c r="P9" i="35" a="1"/>
  <c r="O9" i="40" a="1"/>
  <c r="O2" i="20" a="1"/>
  <c r="Q9" i="39" a="1"/>
  <c r="Q2" i="17" a="1"/>
  <c r="P11" i="35" a="1"/>
  <c r="Q6" i="23" a="1"/>
  <c r="Q7" i="33" a="1"/>
  <c r="P3" i="33" a="1"/>
  <c r="O11" i="28" a="1"/>
  <c r="O8" i="28" a="1"/>
  <c r="Q9" i="23" a="1"/>
  <c r="P8" i="16" a="1"/>
  <c r="Q9" i="22" a="1"/>
  <c r="Q2" i="41" a="1"/>
  <c r="Q3" i="26" a="1"/>
  <c r="O5" i="28" a="1"/>
  <c r="P9" i="27" a="1"/>
  <c r="P9" i="32" a="1"/>
  <c r="Q3" i="35" a="1"/>
  <c r="P5" i="43" a="1"/>
  <c r="O2" i="11" a="1"/>
  <c r="Q9" i="27" a="1"/>
  <c r="O2" i="36" a="1"/>
  <c r="P11" i="41" a="1"/>
  <c r="Q7" i="14" a="1"/>
  <c r="Q4" i="29" a="1"/>
  <c r="O11" i="41" a="1"/>
  <c r="Q2" i="20" a="1"/>
  <c r="O5" i="18" a="1"/>
  <c r="Q10" i="17" a="1"/>
  <c r="Q2" i="31" a="1"/>
  <c r="Q4" i="20" a="1"/>
  <c r="Q4" i="40" a="1"/>
  <c r="Q6" i="31" a="1"/>
  <c r="O10" i="34" a="1"/>
  <c r="O2" i="27" a="1"/>
  <c r="Q2" i="19" a="1"/>
  <c r="Q6" i="18" a="1"/>
  <c r="O9" i="14" a="1"/>
  <c r="Q3" i="39" a="1"/>
  <c r="Q9" i="17" a="1"/>
  <c r="P5" i="17" a="1"/>
  <c r="Q9" i="26" a="1"/>
  <c r="Q4" i="17" a="1"/>
  <c r="Q9" i="35" a="1"/>
  <c r="P4" i="30" a="1"/>
  <c r="O2" i="31" a="1"/>
  <c r="O11" i="11" a="1"/>
  <c r="P4" i="27" a="1"/>
  <c r="P4" i="39" a="1"/>
  <c r="P5" i="38" a="1"/>
  <c r="Q9" i="36" a="1"/>
  <c r="Q4" i="38" a="1"/>
  <c r="Q7" i="22" a="1"/>
  <c r="O4" i="29" a="1"/>
  <c r="P10" i="21" a="1"/>
  <c r="P10" i="35" a="1"/>
  <c r="Q6" i="30" a="1"/>
  <c r="P11" i="17" a="1"/>
  <c r="Q10" i="38" a="1"/>
  <c r="Q4" i="35" a="1"/>
  <c r="O3" i="36" a="1"/>
  <c r="O9" i="22" a="1"/>
  <c r="Q2" i="32" a="1"/>
  <c r="O3" i="19" a="1"/>
  <c r="O5" i="42" a="1"/>
  <c r="P11" i="42" a="1"/>
  <c r="P10" i="19" a="1"/>
  <c r="P11" i="30" a="1"/>
  <c r="O2" i="22" a="1"/>
  <c r="O4" i="20" a="1"/>
  <c r="O10" i="43" a="1"/>
  <c r="P4" i="36" a="1"/>
  <c r="O8" i="15" a="1"/>
  <c r="O5" i="15" a="1"/>
  <c r="Q7" i="11" a="1"/>
  <c r="P5" i="35" a="1"/>
  <c r="P3" i="32" a="1"/>
  <c r="O8" i="37" a="1"/>
  <c r="Q3" i="42" a="1"/>
  <c r="P9" i="34" a="1"/>
  <c r="P5" i="11" a="1"/>
  <c r="P10" i="38" a="1"/>
  <c r="O4" i="38" a="1"/>
  <c r="Q6" i="27" a="1"/>
  <c r="Q10" i="27" a="1"/>
  <c r="O3" i="11" a="1"/>
  <c r="P9" i="26" a="1"/>
  <c r="O3" i="30" a="1"/>
  <c r="Q6" i="42" a="1"/>
  <c r="P9" i="22" a="1"/>
  <c r="P3" i="27" a="1"/>
  <c r="O4" i="24" a="1"/>
  <c r="O8" i="20" a="1"/>
  <c r="Q10" i="22" a="1"/>
  <c r="P5" i="34" a="1"/>
  <c r="O5" i="16" a="1"/>
  <c r="O4" i="15" a="1"/>
  <c r="P4" i="23" a="1"/>
  <c r="O8" i="22" a="1"/>
  <c r="Q6" i="33" a="1"/>
  <c r="O5" i="19" a="1"/>
  <c r="Q7" i="36" a="1"/>
  <c r="O8" i="43" a="1"/>
  <c r="Q7" i="43" a="1"/>
  <c r="Q2" i="34" a="1"/>
  <c r="Q9" i="20" a="1"/>
  <c r="Q3" i="30" a="1"/>
  <c r="P4" i="38" a="1"/>
  <c r="Q6" i="15" a="1"/>
  <c r="O4" i="39" a="1"/>
  <c r="O2" i="32" a="1"/>
  <c r="O2" i="42" a="1"/>
  <c r="Q7" i="31" a="1"/>
  <c r="Q3" i="32" a="1"/>
  <c r="Q2" i="42" a="1"/>
  <c r="O3" i="43" a="1"/>
  <c r="Q4" i="39" a="1"/>
  <c r="P3" i="31" a="1"/>
  <c r="P9" i="17" a="1"/>
  <c r="O9" i="19" a="1"/>
  <c r="O3" i="35" a="1"/>
  <c r="P5" i="26" a="1"/>
  <c r="P8" i="39" a="1"/>
  <c r="O5" i="41" a="1"/>
  <c r="O4" i="16" a="1"/>
  <c r="Q7" i="21" a="1"/>
  <c r="Q2" i="21" a="1"/>
  <c r="Q9" i="15" a="1"/>
  <c r="P5" i="30" a="1"/>
  <c r="Q3" i="29" a="1"/>
  <c r="P11" i="31" a="1"/>
  <c r="O5" i="35" a="1"/>
  <c r="O11" i="16" a="1"/>
  <c r="P11" i="19" a="1"/>
  <c r="Q10" i="41" a="1"/>
  <c r="Q3" i="23" a="1"/>
  <c r="Q4" i="28" a="1"/>
  <c r="Q3" i="11" a="1"/>
  <c r="Q4" i="23" a="1"/>
  <c r="O10" i="18" a="1"/>
  <c r="Q7" i="40" a="1"/>
  <c r="P3" i="20" a="1"/>
  <c r="Q9" i="37" a="1"/>
  <c r="P4" i="42" a="1"/>
  <c r="Q10" i="32" a="1"/>
  <c r="O5" i="33" a="1"/>
  <c r="P8" i="14" a="1"/>
  <c r="P5" i="19" a="1"/>
  <c r="P9" i="11" a="1"/>
  <c r="Q4" i="37" a="1"/>
  <c r="O2" i="33" a="1"/>
  <c r="P9" i="16" a="1"/>
  <c r="O5" i="22" a="1"/>
  <c r="O11" i="38" a="1"/>
  <c r="Q2" i="29" a="1"/>
  <c r="O4" i="32" a="1"/>
  <c r="O3" i="42" a="1"/>
  <c r="Q6" i="29" a="1"/>
  <c r="Q9" i="38" a="1"/>
  <c r="Q10" i="30" a="1"/>
  <c r="O9" i="27" a="1"/>
  <c r="O9" i="21" a="1"/>
  <c r="O5" i="37" a="1"/>
  <c r="Q3" i="27" a="1"/>
  <c r="P3" i="11" a="1"/>
  <c r="O11" i="31" a="1"/>
  <c r="Q9" i="32" a="1"/>
  <c r="P5" i="14" a="1"/>
  <c r="P8" i="38" a="1"/>
  <c r="Q2" i="15" a="1"/>
  <c r="P5" i="29" a="1"/>
  <c r="O9" i="17" a="1"/>
  <c r="P4" i="20" a="1"/>
  <c r="Q3" i="22" a="1"/>
  <c r="P11" i="39" a="1"/>
  <c r="P8" i="23" a="1"/>
  <c r="P10" i="26" a="1"/>
  <c r="O2" i="39" a="1"/>
  <c r="O10" i="32" a="1"/>
  <c r="P11" i="34" a="1"/>
  <c r="O3" i="29" a="1"/>
  <c r="O5" i="21" a="1"/>
  <c r="P9" i="15" a="1"/>
  <c r="Q7" i="29" a="1"/>
  <c r="Q9" i="33" a="1"/>
  <c r="Q4" i="18" a="1"/>
  <c r="O10" i="22" a="1"/>
  <c r="O10" i="11" a="1"/>
  <c r="O3" i="14" a="1"/>
  <c r="Q2" i="28" a="1"/>
  <c r="O8" i="38" a="1"/>
  <c r="Q6" i="35" a="1"/>
  <c r="O2" i="43" a="1"/>
  <c r="Q10" i="11" a="1"/>
  <c r="O9" i="16" a="1"/>
  <c r="Q7" i="19" a="1"/>
  <c r="O9" i="37" a="1"/>
  <c r="O8" i="32" a="1"/>
  <c r="Q10" i="19" a="1"/>
  <c r="O10" i="31" a="1"/>
  <c r="Q2" i="14" a="1"/>
  <c r="P5" i="21" a="1"/>
  <c r="P3" i="40" a="1"/>
  <c r="Q9" i="18" a="1"/>
  <c r="Q4" i="31" a="1"/>
  <c r="P4" i="26" a="1"/>
  <c r="O8" i="35" a="1"/>
  <c r="P4" i="28" a="1"/>
  <c r="P5" i="41" a="1"/>
  <c r="O10" i="29" a="1"/>
  <c r="O11" i="43" a="1"/>
  <c r="O5" i="38" a="1"/>
  <c r="O3" i="23" a="1"/>
  <c r="O3" i="27" a="1"/>
  <c r="O4" i="33" a="1"/>
  <c r="O9" i="41" a="1"/>
  <c r="O9" i="36" a="1"/>
  <c r="Q2" i="35" a="1"/>
  <c r="Q3" i="20" a="1"/>
  <c r="P9" i="39" a="1"/>
  <c r="Q6" i="24" a="1"/>
  <c r="O5" i="40" a="1"/>
  <c r="Q9" i="30" a="1"/>
  <c r="O8" i="21" a="1"/>
  <c r="O4" i="23" a="1"/>
  <c r="Q7" i="37" a="1"/>
  <c r="O9" i="31" a="1"/>
  <c r="O11" i="33" a="1"/>
  <c r="Q7" i="17" a="1"/>
  <c r="O10" i="37" a="1"/>
  <c r="O11" i="14" a="1"/>
  <c r="Q7" i="39" a="1"/>
  <c r="Q7" i="27" a="1"/>
  <c r="O5" i="11" a="1"/>
  <c r="O4" i="26" a="1"/>
  <c r="O3" i="26" a="1"/>
  <c r="O2" i="41" a="1"/>
  <c r="O8" i="34" a="1"/>
  <c r="Q6" i="43" a="1"/>
  <c r="Q4" i="33" a="1"/>
  <c r="Q2" i="36" a="1"/>
  <c r="P3" i="29" a="1"/>
  <c r="O10" i="23" a="1"/>
  <c r="Q3" i="18" a="1"/>
  <c r="Q10" i="24" a="1"/>
  <c r="O11" i="32" a="1"/>
  <c r="Q9" i="16" a="1"/>
  <c r="Q4" i="26" a="1"/>
  <c r="O11" i="26" a="1"/>
  <c r="O3" i="41" a="1"/>
  <c r="O3" i="20" a="1"/>
  <c r="Q2" i="30" a="1"/>
  <c r="Q10" i="28" a="1"/>
  <c r="O11" i="21" a="1"/>
  <c r="P10" i="37" a="1"/>
  <c r="O10" i="36" a="1"/>
  <c r="Q3" i="43" a="1"/>
  <c r="P4" i="31" a="1"/>
  <c r="P4" i="11" a="1"/>
  <c r="O9" i="35" a="1"/>
  <c r="Q3" i="16" a="1"/>
  <c r="P8" i="28" a="1"/>
  <c r="O11" i="39" a="1"/>
  <c r="P8" i="41" a="1"/>
  <c r="O3" i="38" a="1"/>
  <c r="Q9" i="34" a="1"/>
  <c r="O5" i="32" a="1"/>
  <c r="O10" i="21" a="1"/>
  <c r="P10" i="17" a="1"/>
  <c r="Q4" i="21" a="1"/>
  <c r="P3" i="36" a="1"/>
  <c r="P8" i="31" a="1"/>
  <c r="O4" i="17" a="1"/>
  <c r="Q2" i="24" a="1"/>
  <c r="O9" i="29" a="1"/>
  <c r="P9" i="19" a="1"/>
  <c r="O3" i="33" a="1"/>
  <c r="O10" i="26" a="1"/>
  <c r="P5" i="37" a="1"/>
  <c r="Q9" i="11" a="1"/>
  <c r="Q3" i="41" a="1"/>
  <c r="Q2" i="18" a="1"/>
  <c r="O4" i="21" a="1"/>
  <c r="Q10" i="21" a="1"/>
  <c r="P8" i="19" a="1"/>
  <c r="O9" i="23" a="1"/>
  <c r="Q2" i="16" a="1"/>
  <c r="O2" i="18" a="1"/>
  <c r="O4" i="31" a="1"/>
  <c r="Q4" i="36" a="1"/>
  <c r="O5" i="26" a="1"/>
  <c r="Q10" i="16" a="1"/>
  <c r="P5" i="27" a="1"/>
  <c r="O4" i="36" a="1"/>
  <c r="Q4" i="42" a="1"/>
  <c r="Q4" i="14" a="1"/>
  <c r="Q10" i="42" a="1"/>
  <c r="Q7" i="35" a="1"/>
  <c r="Q9" i="42" a="1"/>
  <c r="O10" i="17" a="1"/>
  <c r="O3" i="15" a="1"/>
  <c r="P3" i="34" a="1"/>
  <c r="Q3" i="33" a="1"/>
  <c r="O2" i="34" a="1"/>
  <c r="Q7" i="41" a="1"/>
  <c r="O8" i="14" a="1"/>
  <c r="O11" i="19" a="1"/>
  <c r="P4" i="35" a="1"/>
  <c r="P4" i="29" a="1"/>
  <c r="P8" i="33" a="1"/>
  <c r="O11" i="34" a="1"/>
  <c r="O4" i="27" a="1"/>
  <c r="Q6" i="19" l="1"/>
  <c r="F5" i="19" s="1"/>
  <c r="Q6" i="35"/>
  <c r="F5" i="35" s="1"/>
  <c r="Q6" i="26"/>
  <c r="Q6" i="43"/>
  <c r="Q6" i="34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F5" i="11" s="1"/>
  <c r="Q6" i="37"/>
  <c r="Q6" i="28"/>
  <c r="Q6" i="17"/>
  <c r="F5" i="17" s="1"/>
  <c r="Q6" i="36"/>
  <c r="F5" i="36" s="1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D2" i="34" s="1"/>
  <c r="D17" i="34" s="1"/>
  <c r="D12" i="34" s="1"/>
  <c r="D18" i="34" s="1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B16" i="18" s="1"/>
  <c r="B17" i="18" s="1"/>
  <c r="B12" i="18" s="1"/>
  <c r="B18" i="18" s="1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H7" i="34" l="1"/>
  <c r="K9" i="34"/>
  <c r="C2" i="34"/>
  <c r="C17" i="34" s="1"/>
  <c r="C12" i="34" s="1"/>
  <c r="C18" i="34" s="1"/>
  <c r="F5" i="34"/>
  <c r="F3" i="34" s="1"/>
  <c r="H6" i="34"/>
  <c r="H17" i="34" s="1"/>
  <c r="K10" i="34"/>
  <c r="K9" i="35"/>
  <c r="I8" i="35"/>
  <c r="I17" i="35" s="1"/>
  <c r="I13" i="35" s="1"/>
  <c r="C2" i="35"/>
  <c r="C17" i="35" s="1"/>
  <c r="C12" i="35" s="1"/>
  <c r="C18" i="35" s="1"/>
  <c r="H7" i="35"/>
  <c r="K10" i="35"/>
  <c r="J8" i="35"/>
  <c r="J17" i="35" s="1"/>
  <c r="J13" i="35" s="1"/>
  <c r="G4" i="35"/>
  <c r="D2" i="35"/>
  <c r="D17" i="35" s="1"/>
  <c r="D12" i="35" s="1"/>
  <c r="D18" i="35" s="1"/>
  <c r="F3" i="35"/>
  <c r="H6" i="35"/>
  <c r="F3" i="16"/>
  <c r="G3" i="16" s="1"/>
  <c r="G4" i="16"/>
  <c r="F3" i="39"/>
  <c r="G3" i="39" s="1"/>
  <c r="G5" i="39" s="1"/>
  <c r="G4" i="18"/>
  <c r="F5" i="18"/>
  <c r="F3" i="18" s="1"/>
  <c r="F3" i="20"/>
  <c r="G3" i="20" s="1"/>
  <c r="G4" i="20"/>
  <c r="K10" i="18"/>
  <c r="D2" i="18"/>
  <c r="D17" i="18" s="1"/>
  <c r="D12" i="18" s="1"/>
  <c r="D18" i="18" s="1"/>
  <c r="C2" i="18"/>
  <c r="C17" i="18" s="1"/>
  <c r="C12" i="18" s="1"/>
  <c r="C18" i="18" s="1"/>
  <c r="K9" i="18"/>
  <c r="H7" i="18"/>
  <c r="H6" i="18"/>
  <c r="K9" i="15"/>
  <c r="H7" i="15"/>
  <c r="G4" i="15"/>
  <c r="D2" i="15"/>
  <c r="D17" i="15" s="1"/>
  <c r="D12" i="15" s="1"/>
  <c r="D18" i="15" s="1"/>
  <c r="C2" i="15"/>
  <c r="C17" i="15" s="1"/>
  <c r="C12" i="15" s="1"/>
  <c r="C18" i="15" s="1"/>
  <c r="K10" i="15"/>
  <c r="F3" i="15"/>
  <c r="F17" i="15" s="1"/>
  <c r="F12" i="15" s="1"/>
  <c r="F18" i="15" s="1"/>
  <c r="H6" i="15"/>
  <c r="G4" i="19"/>
  <c r="G4" i="24"/>
  <c r="F5" i="24"/>
  <c r="F3" i="24" s="1"/>
  <c r="G3" i="24" s="1"/>
  <c r="F5" i="26"/>
  <c r="F5" i="37"/>
  <c r="F5" i="40"/>
  <c r="F5" i="28"/>
  <c r="F5" i="41"/>
  <c r="F5" i="42"/>
  <c r="F5" i="30"/>
  <c r="F5" i="43"/>
  <c r="F5" i="22"/>
  <c r="F5" i="31"/>
  <c r="F5" i="32"/>
  <c r="F5" i="23"/>
  <c r="F5" i="29"/>
  <c r="F5" i="33"/>
  <c r="F5" i="38"/>
  <c r="Q8" i="17"/>
  <c r="Q8" i="23"/>
  <c r="Q8" i="32"/>
  <c r="Q8" i="15"/>
  <c r="Q8" i="18"/>
  <c r="I18" i="18" s="1"/>
  <c r="Q8" i="14"/>
  <c r="Q8" i="36"/>
  <c r="Q8" i="39"/>
  <c r="Q8" i="34"/>
  <c r="I18" i="34" s="1"/>
  <c r="Q8" i="26"/>
  <c r="Q8" i="16"/>
  <c r="Q8" i="37"/>
  <c r="Q8" i="27"/>
  <c r="Q8" i="40"/>
  <c r="Q8" i="41"/>
  <c r="I18" i="41" s="1"/>
  <c r="J18" i="41" s="1"/>
  <c r="Q8" i="11"/>
  <c r="Q8" i="29"/>
  <c r="Q8" i="42"/>
  <c r="Q8" i="21"/>
  <c r="Q8" i="30"/>
  <c r="Q8" i="43"/>
  <c r="I18" i="43" s="1"/>
  <c r="J18" i="43" s="1"/>
  <c r="Q8" i="28"/>
  <c r="Q8" i="22"/>
  <c r="Q8" i="31"/>
  <c r="Q8" i="20"/>
  <c r="Q8" i="35"/>
  <c r="Q8" i="24"/>
  <c r="Q8" i="33"/>
  <c r="Q8" i="38"/>
  <c r="K17" i="34" l="1"/>
  <c r="J18" i="34"/>
  <c r="J8" i="34" s="1"/>
  <c r="J17" i="34" s="1"/>
  <c r="J13" i="34" s="1"/>
  <c r="I8" i="34"/>
  <c r="I17" i="34" s="1"/>
  <c r="I13" i="34" s="1"/>
  <c r="F17" i="34"/>
  <c r="F12" i="34" s="1"/>
  <c r="F18" i="34" s="1"/>
  <c r="G3" i="34"/>
  <c r="H12" i="34"/>
  <c r="H18" i="34" s="1"/>
  <c r="F17" i="35"/>
  <c r="F12" i="35" s="1"/>
  <c r="F18" i="35" s="1"/>
  <c r="G3" i="35"/>
  <c r="G5" i="35" s="1"/>
  <c r="H17" i="35"/>
  <c r="H12" i="35" s="1"/>
  <c r="H18" i="35" s="1"/>
  <c r="K17" i="35"/>
  <c r="G5" i="16"/>
  <c r="G5" i="18"/>
  <c r="G5" i="20"/>
  <c r="F17" i="18"/>
  <c r="F12" i="18" s="1"/>
  <c r="F18" i="18" s="1"/>
  <c r="K17" i="18"/>
  <c r="J18" i="18"/>
  <c r="J8" i="18" s="1"/>
  <c r="J17" i="18" s="1"/>
  <c r="J13" i="18" s="1"/>
  <c r="I8" i="18"/>
  <c r="I17" i="18" s="1"/>
  <c r="I13" i="18" s="1"/>
  <c r="H17" i="18"/>
  <c r="H12" i="18" s="1"/>
  <c r="H18" i="18" s="1"/>
  <c r="G3" i="15"/>
  <c r="G5" i="15" s="1"/>
  <c r="J8" i="15"/>
  <c r="J17" i="15" s="1"/>
  <c r="J13" i="15" s="1"/>
  <c r="I8" i="15"/>
  <c r="I17" i="15" s="1"/>
  <c r="I13" i="15" s="1"/>
  <c r="H17" i="15"/>
  <c r="H12" i="15" s="1"/>
  <c r="H18" i="15" s="1"/>
  <c r="K17" i="15"/>
  <c r="G5" i="24"/>
  <c r="I18" i="24"/>
  <c r="I18" i="14"/>
  <c r="J18" i="14" s="1"/>
  <c r="L2" i="35"/>
  <c r="P2" i="35" s="1"/>
  <c r="G17" i="35" l="1"/>
  <c r="G12" i="35" s="1"/>
  <c r="G18" i="35" s="1"/>
  <c r="G17" i="15"/>
  <c r="G12" i="15" s="1"/>
  <c r="G18" i="1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D17" i="39" l="1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L4" i="24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L4" i="19"/>
  <c r="N4" i="19" s="1"/>
  <c r="D2" i="19"/>
  <c r="C2" i="17"/>
  <c r="C17" i="17" s="1"/>
  <c r="L4" i="17"/>
  <c r="D2" i="17"/>
  <c r="D17" i="22" l="1"/>
  <c r="D12" i="22" s="1"/>
  <c r="D17" i="28"/>
  <c r="D12" i="28" s="1"/>
  <c r="D17" i="30"/>
  <c r="D17" i="27"/>
  <c r="D17" i="31"/>
  <c r="D17" i="19"/>
  <c r="D12" i="19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R4" i="19"/>
  <c r="C12" i="19"/>
  <c r="C18" i="19" s="1"/>
  <c r="L2" i="19"/>
  <c r="L2" i="18"/>
  <c r="P2" i="18" s="1"/>
  <c r="C12" i="17"/>
  <c r="C18" i="17" s="1"/>
  <c r="L2" i="17"/>
  <c r="P2" i="17" s="1"/>
  <c r="D18" i="21" l="1"/>
  <c r="D18" i="23"/>
  <c r="D18" i="17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L4" i="16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I18" i="20"/>
  <c r="N2" i="20"/>
  <c r="R2" i="20" s="1"/>
  <c r="B16" i="20"/>
  <c r="Q11" i="34"/>
  <c r="K13" i="34" s="1"/>
  <c r="G4" i="29"/>
  <c r="L4" i="29" s="1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L10" i="18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L7" i="18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H6" i="19"/>
  <c r="K9" i="21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G5" i="34" s="1"/>
  <c r="G4" i="34" s="1"/>
  <c r="G17" i="34" s="1"/>
  <c r="G12" i="34" s="1"/>
  <c r="G18" i="34" s="1"/>
  <c r="F17" i="17"/>
  <c r="F12" i="17" s="1"/>
  <c r="F18" i="17" s="1"/>
  <c r="G3" i="17"/>
  <c r="F17" i="16"/>
  <c r="F12" i="16" s="1"/>
  <c r="F18" i="16" s="1"/>
  <c r="F17" i="11"/>
  <c r="F12" i="11" s="1"/>
  <c r="F18" i="11" s="1"/>
  <c r="G3" i="11"/>
  <c r="F17" i="22"/>
  <c r="F12" i="22" s="1"/>
  <c r="F18" i="22" s="1"/>
  <c r="G3" i="22"/>
  <c r="Q11" i="15"/>
  <c r="K13" i="15" s="1"/>
  <c r="Q11" i="11"/>
  <c r="Q11" i="17"/>
  <c r="Q11" i="18"/>
  <c r="K13" i="18" s="1"/>
  <c r="Q11" i="22"/>
  <c r="Q11" i="16"/>
  <c r="Q11" i="21"/>
  <c r="Q11" i="14"/>
  <c r="Q11" i="37"/>
  <c r="L9" i="20"/>
  <c r="M11" i="20"/>
  <c r="K17" i="20"/>
  <c r="B17" i="20"/>
  <c r="L16" i="20"/>
  <c r="I8" i="20"/>
  <c r="J18" i="20"/>
  <c r="J8" i="20" s="1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I18" i="19" s="1"/>
  <c r="J18" i="19" s="1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8" l="1"/>
  <c r="E14" i="18"/>
  <c r="K18" i="15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R11" i="34"/>
  <c r="R11" i="20"/>
  <c r="L3" i="15"/>
  <c r="K13" i="19"/>
  <c r="K18" i="19" s="1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31"/>
  <c r="J18" i="31" s="1"/>
  <c r="J8" i="31" s="1"/>
  <c r="J17" i="31" s="1"/>
  <c r="J13" i="31" s="1"/>
  <c r="R2" i="42"/>
  <c r="I18" i="17"/>
  <c r="I8" i="17" s="1"/>
  <c r="I17" i="17" s="1"/>
  <c r="I8" i="19"/>
  <c r="I17" i="19" s="1"/>
  <c r="I13" i="19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I18" i="29"/>
  <c r="J18" i="29" s="1"/>
  <c r="J8" i="29" s="1"/>
  <c r="J17" i="29" s="1"/>
  <c r="J13" i="29" s="1"/>
  <c r="I18" i="39"/>
  <c r="I18" i="30"/>
  <c r="I18" i="38"/>
  <c r="I18" i="36"/>
  <c r="I18" i="28"/>
  <c r="I18" i="32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32"/>
  <c r="H12" i="32" s="1"/>
  <c r="H18" i="32" s="1"/>
  <c r="H17" i="27"/>
  <c r="H12" i="27" s="1"/>
  <c r="H18" i="27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34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J8" i="43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21"/>
  <c r="K18" i="21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G17" i="18" l="1"/>
  <c r="G12" i="18" s="1"/>
  <c r="G18" i="18" s="1"/>
  <c r="R11" i="32"/>
  <c r="R11" i="30"/>
  <c r="R11" i="40"/>
  <c r="R11" i="26"/>
  <c r="R11" i="11"/>
  <c r="R11" i="41"/>
  <c r="R11" i="29"/>
  <c r="R11" i="21"/>
  <c r="R11" i="42"/>
  <c r="R11" i="38"/>
  <c r="R11" i="14"/>
  <c r="R11" i="39"/>
  <c r="R11" i="31"/>
  <c r="R11" i="24"/>
  <c r="R11" i="15"/>
  <c r="R11" i="22"/>
  <c r="R11" i="16"/>
  <c r="R11" i="18"/>
  <c r="R11" i="23"/>
  <c r="R11" i="36"/>
  <c r="R11" i="17"/>
  <c r="R11" i="33"/>
  <c r="R11" i="37"/>
  <c r="R11" i="28"/>
  <c r="R11" i="27"/>
  <c r="R11" i="19"/>
  <c r="Q5" i="28"/>
  <c r="E17" i="28" s="1"/>
  <c r="E12" i="28" s="1"/>
  <c r="E18" i="28" s="1"/>
  <c r="Q5" i="30"/>
  <c r="E17" i="30" s="1"/>
  <c r="E12" i="30" s="1"/>
  <c r="E18" i="30" s="1"/>
  <c r="Q5" i="22"/>
  <c r="Q5" i="40"/>
  <c r="Q5" i="31"/>
  <c r="G17" i="16"/>
  <c r="L3" i="18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40"/>
  <c r="L3" i="30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G5" i="41"/>
  <c r="L5" i="41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Q5" i="29" l="1"/>
  <c r="L4" i="20"/>
  <c r="Q5" i="38"/>
  <c r="Q5" i="27"/>
  <c r="Q5" i="41"/>
  <c r="Q5" i="14"/>
  <c r="Q5" i="26"/>
  <c r="N3" i="18"/>
  <c r="R3" i="18" s="1"/>
  <c r="Q5" i="32"/>
  <c r="L5" i="16"/>
  <c r="Q5" i="43"/>
  <c r="N3" i="23"/>
  <c r="R3" i="23" s="1"/>
  <c r="Q5" i="21"/>
  <c r="Q5" i="17"/>
  <c r="E17" i="17" s="1"/>
  <c r="E12" i="17" s="1"/>
  <c r="E18" i="17" s="1"/>
  <c r="Q5" i="36"/>
  <c r="Q5" i="42"/>
  <c r="G12" i="16"/>
  <c r="G18" i="16" s="1"/>
  <c r="L5" i="33"/>
  <c r="H17" i="33"/>
  <c r="H12" i="33" s="1"/>
  <c r="H18" i="33" s="1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26"/>
  <c r="G17" i="36"/>
  <c r="G12" i="36" s="1"/>
  <c r="G18" i="36" s="1"/>
  <c r="R5" i="42"/>
  <c r="E14" i="33"/>
  <c r="R5" i="32"/>
  <c r="R5" i="41"/>
  <c r="R5" i="38"/>
  <c r="L8" i="43"/>
  <c r="N8" i="43" s="1"/>
  <c r="R8" i="43" s="1"/>
  <c r="G5" i="37"/>
  <c r="L5" i="37" s="1"/>
  <c r="R5" i="36"/>
  <c r="E14" i="26"/>
  <c r="R5" i="27"/>
  <c r="R5" i="43"/>
  <c r="E14" i="31"/>
  <c r="L12" i="28"/>
  <c r="K13" i="43"/>
  <c r="K18" i="43" s="1"/>
  <c r="L12" i="30"/>
  <c r="R16" i="23"/>
  <c r="Q16" i="23"/>
  <c r="B12" i="23"/>
  <c r="B18" i="23" s="1"/>
  <c r="L13" i="34"/>
  <c r="N8" i="41"/>
  <c r="I13" i="41"/>
  <c r="E14" i="16"/>
  <c r="L13" i="16"/>
  <c r="L13" i="21"/>
  <c r="E14" i="21"/>
  <c r="G17" i="21"/>
  <c r="G12" i="21" s="1"/>
  <c r="G18" i="21" s="1"/>
  <c r="G17" i="14"/>
  <c r="E14" i="11"/>
  <c r="E17" i="22"/>
  <c r="L17" i="22" s="1"/>
  <c r="L13" i="19"/>
  <c r="E14" i="19"/>
  <c r="E14" i="22"/>
  <c r="L13" i="22"/>
  <c r="L13" i="18"/>
  <c r="R5" i="21"/>
  <c r="N3" i="14"/>
  <c r="R3" i="14" s="1"/>
  <c r="R5" i="14"/>
  <c r="R5" i="29" l="1"/>
  <c r="L5" i="34"/>
  <c r="R5" i="16"/>
  <c r="R11" i="43"/>
  <c r="Q5" i="16"/>
  <c r="E17" i="16" s="1"/>
  <c r="L17" i="16" s="1"/>
  <c r="Q5" i="37"/>
  <c r="N4" i="20"/>
  <c r="R4" i="20" s="1"/>
  <c r="Q5" i="33"/>
  <c r="E17" i="33" s="1"/>
  <c r="E12" i="33" s="1"/>
  <c r="E18" i="33" s="1"/>
  <c r="G12" i="14"/>
  <c r="G18" i="14" s="1"/>
  <c r="R5" i="33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6"/>
  <c r="E12" i="36" s="1"/>
  <c r="E18" i="36" s="1"/>
  <c r="E17" i="41"/>
  <c r="E12" i="41" s="1"/>
  <c r="E18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Q5" i="34" l="1"/>
  <c r="E17" i="34" s="1"/>
  <c r="R5" i="34"/>
  <c r="L4" i="34"/>
  <c r="N4" i="34" s="1"/>
  <c r="R4" i="34" s="1"/>
  <c r="L5" i="18"/>
  <c r="Q5" i="20"/>
  <c r="E17" i="20" s="1"/>
  <c r="L5" i="39"/>
  <c r="L4" i="18"/>
  <c r="R12" i="40"/>
  <c r="L12" i="41"/>
  <c r="R12" i="41" s="1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6"/>
  <c r="L17" i="41"/>
  <c r="R17" i="41" s="1"/>
  <c r="L17" i="36"/>
  <c r="Q17" i="36" s="1"/>
  <c r="L17" i="38"/>
  <c r="R17" i="38" s="1"/>
  <c r="L17" i="33"/>
  <c r="Q17" i="33" s="1"/>
  <c r="Q17" i="40"/>
  <c r="E15" i="42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E15" i="34" l="1"/>
  <c r="E12" i="34"/>
  <c r="E18" i="34" s="1"/>
  <c r="M13" i="34"/>
  <c r="L17" i="34"/>
  <c r="Q17" i="34" s="1"/>
  <c r="Q13" i="31"/>
  <c r="N4" i="18"/>
  <c r="R4" i="18" s="1"/>
  <c r="N3" i="20"/>
  <c r="R3" i="20" s="1"/>
  <c r="Q5" i="39"/>
  <c r="E17" i="39" s="1"/>
  <c r="R5" i="39"/>
  <c r="L4" i="39"/>
  <c r="G17" i="39"/>
  <c r="G12" i="39" s="1"/>
  <c r="G18" i="39" s="1"/>
  <c r="L5" i="24"/>
  <c r="G17" i="24"/>
  <c r="G12" i="24" s="1"/>
  <c r="G18" i="24" s="1"/>
  <c r="L3" i="24"/>
  <c r="Q12" i="41"/>
  <c r="L12" i="27"/>
  <c r="Q12" i="27" s="1"/>
  <c r="E18" i="27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Q17" i="41"/>
  <c r="Q17" i="29"/>
  <c r="M13" i="36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L12" i="34" l="1"/>
  <c r="Q12" i="34" s="1"/>
  <c r="L15" i="34"/>
  <c r="Q15" i="34" s="1"/>
  <c r="R17" i="34"/>
  <c r="R12" i="34"/>
  <c r="Q13" i="16"/>
  <c r="R13" i="33"/>
  <c r="R13" i="32"/>
  <c r="Q13" i="27"/>
  <c r="Q13" i="26"/>
  <c r="R13" i="36"/>
  <c r="Q13" i="21"/>
  <c r="R13" i="34"/>
  <c r="R13" i="43"/>
  <c r="N3" i="24"/>
  <c r="R3" i="24" s="1"/>
  <c r="R5" i="24"/>
  <c r="N4" i="39"/>
  <c r="R4" i="39" s="1"/>
  <c r="L17" i="39"/>
  <c r="E12" i="39"/>
  <c r="E15" i="39"/>
  <c r="Q5" i="24"/>
  <c r="E17" i="24" s="1"/>
  <c r="E12" i="24" s="1"/>
  <c r="R12" i="27"/>
  <c r="Q12" i="14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4"/>
  <c r="Q12" i="29"/>
  <c r="Q13" i="36"/>
  <c r="R15" i="27"/>
  <c r="R17" i="37"/>
  <c r="L15" i="37"/>
  <c r="R15" i="37" s="1"/>
  <c r="Q13" i="33"/>
  <c r="Q13" i="42"/>
  <c r="R13" i="42"/>
  <c r="R15" i="42"/>
  <c r="Q15" i="42"/>
  <c r="R13" i="23"/>
  <c r="Q13" i="23"/>
  <c r="R15" i="23"/>
  <c r="Q15" i="23"/>
  <c r="R13" i="40"/>
  <c r="Q13" i="40"/>
  <c r="Q13" i="38"/>
  <c r="R13" i="38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R15" i="34" l="1"/>
  <c r="Q13" i="37"/>
  <c r="M13" i="39"/>
  <c r="L15" i="39"/>
  <c r="L12" i="39"/>
  <c r="E18" i="39"/>
  <c r="Q17" i="39"/>
  <c r="R17" i="39"/>
  <c r="E15" i="24"/>
  <c r="L17" i="24"/>
  <c r="Q17" i="24" s="1"/>
  <c r="E18" i="24"/>
  <c r="L12" i="24"/>
  <c r="R15" i="20"/>
  <c r="Q15" i="20"/>
  <c r="Q13" i="20"/>
  <c r="R13" i="20"/>
  <c r="Q12" i="20"/>
  <c r="R12" i="20"/>
  <c r="R13" i="37"/>
  <c r="Q15" i="37"/>
  <c r="L2" i="14"/>
  <c r="P2" i="14" s="1"/>
  <c r="L15" i="24" l="1"/>
  <c r="Q15" i="24" s="1"/>
  <c r="R12" i="39"/>
  <c r="Q12" i="39"/>
  <c r="Q15" i="39"/>
  <c r="R15" i="39"/>
  <c r="Q13" i="39"/>
  <c r="R13" i="39"/>
  <c r="M13" i="24"/>
  <c r="R17" i="24"/>
  <c r="R12" i="24"/>
  <c r="Q12" i="24"/>
  <c r="N2" i="14"/>
  <c r="L3" i="11"/>
  <c r="C12" i="11"/>
  <c r="C18" i="11" s="1"/>
  <c r="Q13" i="24" l="1"/>
  <c r="R15" i="24"/>
  <c r="R13" i="24"/>
  <c r="R2" i="14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L12" i="15"/>
  <c r="H12" i="11"/>
  <c r="H18" i="11" s="1"/>
  <c r="L5" i="11"/>
  <c r="R13" i="15" l="1"/>
  <c r="Q5" i="1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J8" i="14"/>
  <c r="J17" i="14" s="1"/>
  <c r="I8" i="14"/>
  <c r="I17" i="14" s="1"/>
  <c r="Q13" i="11" l="1"/>
  <c r="R13" i="1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G5" i="19" l="1"/>
  <c r="L5" i="19" s="1"/>
  <c r="F17" i="19"/>
  <c r="F12" i="19" s="1"/>
  <c r="F18" i="19" s="1"/>
  <c r="L3" i="19" l="1"/>
  <c r="Q5" i="19"/>
  <c r="R5" i="19"/>
  <c r="G17" i="19"/>
  <c r="G12" i="19" s="1"/>
  <c r="G18" i="19" s="1"/>
  <c r="N3" i="19" l="1"/>
  <c r="R3" i="19" s="1"/>
  <c r="E17" i="19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l="1"/>
  <c r="R12" i="19"/>
  <c r="Q15" i="19"/>
  <c r="R13" i="19"/>
  <c r="Q5" i="18" l="1"/>
  <c r="E17" i="18" s="1"/>
  <c r="R5" i="18"/>
  <c r="E15" i="18" l="1"/>
  <c r="E12" i="18"/>
  <c r="E18" i="18" s="1"/>
  <c r="L17" i="18"/>
  <c r="R17" i="18" l="1"/>
  <c r="Q17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<sst xmlns="http://schemas.openxmlformats.org/spreadsheetml/2006/main" count="1164" uniqueCount="109">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</sst>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tabSelected="1"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8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289912.52360817167</v>
      </c>
      <c r="D3" s="1">
        <f>VLOOKUP($B3, '[1]Pro of iron ore'!$B$2:$X$31, $A$1, FALSE)*(1-VLOOKUP($B3, '[1]Foundry share'!$B$2:$X$31, $A$1, FALSE))</f>
        <v>179618.29812133004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375239.86087477312</v>
      </c>
      <c r="H3" s="1">
        <f>VLOOKUP($B3, '[1]Exp of pig iron'!$B$2:$X$31, $A$1, FALSE)</f>
        <v>867</v>
      </c>
      <c r="I3" s="1">
        <f>VLOOKUP($B3, '[1]Imp of pig iron'!$B$2:$X$31, $A$1, FALSE)</f>
        <v>170</v>
      </c>
      <c r="J3" s="1">
        <f>VLOOKUP($B3, '[1]Pro of DRI'!$B$2:$X$31, $A$1, FALSE)</f>
        <v>212</v>
      </c>
      <c r="K3" s="1">
        <f>VLOOKUP($B3, '[1]Exp of DRI'!$B$2:$X$31, $A$1, FALSE)</f>
        <v>14</v>
      </c>
      <c r="L3" s="1">
        <f>VLOOKUP($B3, '[1]Imp of DRI'!$B$2:$X$31, $A$1, FALSE)</f>
        <v>314</v>
      </c>
      <c r="M3" s="1">
        <f>VLOOKUP($B3, '[1]Exp of scrap'!$B$2:$X$31, $A$1, FALSE)</f>
        <v>0</v>
      </c>
      <c r="N3" s="1">
        <f>VLOOKUP($B3, '[1]Imp of scrap'!$B$2:$X$31, $A$1, FALSE)</f>
        <v>5385</v>
      </c>
      <c r="O3" s="1">
        <f>VLOOKUP($B3, '[1]Pro of BOF steel'!$B$2:$X$31, $A$1, FALSE)</f>
        <v>376715</v>
      </c>
      <c r="P3" s="1">
        <f>VLOOKUP($B3, '[1]Pro of OHF steel'!$B$2:$X$31, $A$1, FALSE)</f>
        <v>0</v>
      </c>
      <c r="Q3" s="1">
        <f>VLOOKUP($B3, '[1]Pro of EAF steel'!$B$2:$X$31, $A$1, FALSE)</f>
        <v>44202</v>
      </c>
      <c r="R3" s="1">
        <f>VLOOKUP($B3, '[1]Exp of ingots and semis'!$B$2:$X$31, $A$1, FALSE)</f>
        <v>9078</v>
      </c>
      <c r="S3" s="1">
        <f>VLOOKUP($B3, '[1]Imp of ingots and semis'!$B$2:$X$31, $A$1, FALSE)</f>
        <v>507</v>
      </c>
      <c r="T3" s="1">
        <f>VLOOKUP($B3, '[1]Pro of hr long'!$B$2:$X$31, $A$1, FALSE)+VLOOKUP($B3, '[1]Pro of seamless tubes'!$B$2:$X$31, $A$1, FALSE)</f>
        <v>248370</v>
      </c>
      <c r="U3" s="1">
        <f>VLOOKUP($B3, '[1]Exp of long'!$B$2:$X$31, $A$1, FALSE)</f>
        <v>15106</v>
      </c>
      <c r="V3" s="1">
        <f>VLOOKUP($B3, '[1]Imp of long'!$B$2:$X$31, $A$1, FALSE)</f>
        <v>1963</v>
      </c>
      <c r="W3" s="1">
        <f>VLOOKUP($B3, '[1]Pro of hr flat'!$B$2:$X$31, $A$1, FALSE)*parameters!$B$8</f>
        <v>133190.8293029872</v>
      </c>
      <c r="X3" s="1">
        <f>VLOOKUP($B3, '[1]Exp of flat'!$B$2:$X$31, $A$1, FALSE)</f>
        <v>20377</v>
      </c>
      <c r="Y3" s="1">
        <f>VLOOKUP($B3, '[1]Imp of flat'!$B$2:$X$31, $A$1, FALSE)</f>
        <v>15538</v>
      </c>
      <c r="Z3" s="1">
        <f>VLOOKUP($B3, '[1]Indirect exp'!$B$2:$X$31, $A$1, FALSE)</f>
        <v>42231</v>
      </c>
      <c r="AA3" s="1">
        <f>VLOOKUP($B3, '[1]Indirect imp'!$B$2:$X$31, $A$1, FALSE)</f>
        <v>7211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181000</v>
      </c>
      <c r="D4" s="1">
        <f>VLOOKUP($B4, '[1]Pro of iron ore'!$B$2:$X$31, $A$1, FALSE)*(1-VLOOKUP($B4, '[1]Foundry share'!$B$2:$X$31, $A$1, FALSE))</f>
        <v>117000</v>
      </c>
      <c r="E4" s="47">
        <f>VLOOKUP($B4, '[1]Iron content'!$B$2:$X$31, $A$1, FALSE)</f>
        <v>0.64640883977900554</v>
      </c>
      <c r="F4" s="1">
        <f>VLOOKUP($B4, '[1]Exp of usable iron ore'!$B$2:$X$31, $A$1, FALSE)*parameters!$B$12</f>
        <v>56410.25</v>
      </c>
      <c r="G4" s="1">
        <f>VLOOKUP($B4, '[1]Pro of pig iron'!$B$2:$X$31, $A$1, FALSE)*(1-VLOOKUP($B4, '[1]Foundry share'!$B$2:$X$31, $A$1, FALSE))</f>
        <v>28256</v>
      </c>
      <c r="H4" s="1">
        <f>VLOOKUP($B4, '[1]Exp of pig iron'!$B$2:$X$31, $A$1, FALSE)</f>
        <v>680</v>
      </c>
      <c r="I4" s="1">
        <f>VLOOKUP($B4, '[1]Imp of pig iron'!$B$2:$X$31, $A$1, FALSE)</f>
        <v>4</v>
      </c>
      <c r="J4" s="1">
        <f>VLOOKUP($B4, '[1]Pro of DRI'!$B$2:$X$31, $A$1, FALSE)</f>
        <v>15032</v>
      </c>
      <c r="K4" s="1">
        <f>VLOOKUP($B4, '[1]Exp of DRI'!$B$2:$X$31, $A$1, FALSE)</f>
        <v>38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3145</v>
      </c>
      <c r="O4" s="1">
        <f>VLOOKUP($B4, '[1]Pro of BOF steel'!$B$2:$X$31, $A$1, FALSE)</f>
        <v>20800</v>
      </c>
      <c r="P4" s="1">
        <f>VLOOKUP($B4, '[1]Pro of OHF steel'!$B$2:$X$31, $A$1, FALSE)</f>
        <v>1000</v>
      </c>
      <c r="Q4" s="1">
        <f>VLOOKUP($B4, '[1]Pro of EAF steel'!$B$2:$X$31, $A$1, FALSE)</f>
        <v>27650</v>
      </c>
      <c r="R4" s="1">
        <f>VLOOKUP($B4, '[1]Exp of ingots and semis'!$B$2:$X$31, $A$1, FALSE)</f>
        <v>1220</v>
      </c>
      <c r="S4" s="1">
        <f>VLOOKUP($B4, '[1]Imp of ingots and semis'!$B$2:$X$31, $A$1, FALSE)</f>
        <v>470</v>
      </c>
      <c r="T4" s="1">
        <f>VLOOKUP($B4, '[1]Pro of hr long'!$B$2:$X$31, $A$1, FALSE)+VLOOKUP($B4, '[1]Pro of seamless tubes'!$B$2:$X$31, $A$1, FALSE)</f>
        <v>17993</v>
      </c>
      <c r="U4" s="1">
        <f>VLOOKUP($B4, '[1]Exp of long'!$B$2:$X$31, $A$1, FALSE)</f>
        <v>569.5</v>
      </c>
      <c r="V4" s="1">
        <f>VLOOKUP($B4, '[1]Imp of long'!$B$2:$X$31, $A$1, FALSE)</f>
        <v>0</v>
      </c>
      <c r="W4" s="1">
        <f>VLOOKUP($B4, '[1]Pro of hr flat'!$B$2:$X$31, $A$1, FALSE)*parameters!$B$8</f>
        <v>28092.382645803697</v>
      </c>
      <c r="X4" s="1">
        <f>VLOOKUP($B4, '[1]Exp of flat'!$B$2:$X$31, $A$1, FALSE)</f>
        <v>3868</v>
      </c>
      <c r="Y4" s="1">
        <f>VLOOKUP($B4, '[1]Imp of flat'!$B$2:$X$31, $A$1, FALSE)</f>
        <v>4278.5</v>
      </c>
      <c r="Z4" s="1">
        <f>VLOOKUP($B4, '[1]Indirect exp'!$B$2:$X$31, $A$1, FALSE)</f>
        <v>2652</v>
      </c>
      <c r="AA4" s="1">
        <f>VLOOKUP($B4, '[1]Indirect imp'!$B$2:$X$31, $A$1, FALSE)</f>
        <v>3143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23.400000000000002</v>
      </c>
      <c r="G5" s="1">
        <f>VLOOKUP($B5, '[1]Pro of pig iron'!$B$2:$X$31, $A$1, FALSE)*(1-VLOOKUP($B5, '[1]Foundry share'!$B$2:$X$31, $A$1, FALSE))</f>
        <v>84270</v>
      </c>
      <c r="H5" s="1">
        <f>VLOOKUP($B5, '[1]Exp of pig iron'!$B$2:$X$31, $A$1, FALSE)</f>
        <v>37</v>
      </c>
      <c r="I5" s="1">
        <f>VLOOKUP($B5, '[1]Imp of pig iron'!$B$2:$X$31, $A$1, FALSE)</f>
        <v>1425</v>
      </c>
      <c r="J5" s="1">
        <f>VLOOKUP($B5, '[1]Pro of DRI'!$B$2:$X$31, $A$1, FALSE)</f>
        <v>0</v>
      </c>
      <c r="K5" s="1">
        <f>VLOOKUP($B5, '[1]Exp of DRI'!$B$2:$X$31, $A$1, FALSE)</f>
        <v>3</v>
      </c>
      <c r="L5" s="1">
        <f>VLOOKUP($B5, '[1]Imp of DRI'!$B$2:$X$31, $A$1, FALSE)</f>
        <v>0</v>
      </c>
      <c r="M5" s="1">
        <f>VLOOKUP($B5, '[1]Exp of scrap'!$B$2:$X$31, $A$1, FALSE)</f>
        <v>7654</v>
      </c>
      <c r="N5" s="1">
        <f>VLOOKUP($B5, '[1]Imp of scrap'!$B$2:$X$31, $A$1, FALSE)</f>
        <v>185</v>
      </c>
      <c r="O5" s="1">
        <f>VLOOKUP($B5, '[1]Pro of BOF steel'!$B$2:$X$31, $A$1, FALSE)</f>
        <v>85965</v>
      </c>
      <c r="P5" s="1">
        <f>VLOOKUP($B5, '[1]Pro of OHF steel'!$B$2:$X$31, $A$1, FALSE)</f>
        <v>0</v>
      </c>
      <c r="Q5" s="1">
        <f>VLOOKUP($B5, '[1]Pro of EAF steel'!$B$2:$X$31, $A$1, FALSE)</f>
        <v>30261</v>
      </c>
      <c r="R5" s="1">
        <f>VLOOKUP($B5, '[1]Exp of ingots and semis'!$B$2:$X$31, $A$1, FALSE)</f>
        <v>4514</v>
      </c>
      <c r="S5" s="1">
        <f>VLOOKUP($B5, '[1]Imp of ingots and semis'!$B$2:$X$31, $A$1, FALSE)</f>
        <v>63</v>
      </c>
      <c r="T5" s="1">
        <f>VLOOKUP($B5, '[1]Pro of hr long'!$B$2:$X$31, $A$1, FALSE)+VLOOKUP($B5, '[1]Pro of seamless tubes'!$B$2:$X$31, $A$1, FALSE)</f>
        <v>37731</v>
      </c>
      <c r="U5" s="1">
        <f>VLOOKUP($B5, '[1]Exp of long'!$B$2:$X$31, $A$1, FALSE)</f>
        <v>4020</v>
      </c>
      <c r="V5" s="1">
        <f>VLOOKUP($B5, '[1]Imp of long'!$B$2:$X$31, $A$1, FALSE)</f>
        <v>757</v>
      </c>
      <c r="W5" s="1">
        <f>VLOOKUP($B5, '[1]Pro of hr flat'!$B$2:$X$31, $A$1, FALSE)*parameters!$B$8</f>
        <v>64144.678520625886</v>
      </c>
      <c r="X5" s="1">
        <f>VLOOKUP($B5, '[1]Exp of flat'!$B$2:$X$31, $A$1, FALSE)</f>
        <v>22573</v>
      </c>
      <c r="Y5" s="1">
        <f>VLOOKUP($B5, '[1]Imp of flat'!$B$2:$X$31, $A$1, FALSE)</f>
        <v>3345</v>
      </c>
      <c r="Z5" s="1">
        <f>VLOOKUP($B5, '[1]Indirect exp'!$B$2:$X$31, $A$1, FALSE)</f>
        <v>27372</v>
      </c>
      <c r="AA5" s="1">
        <f>VLOOKUP($B5, '[1]Indirect imp'!$B$2:$X$31, $A$1, FALSE)</f>
        <v>5927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52749</v>
      </c>
      <c r="D6" s="1">
        <f>VLOOKUP($B6, '[1]Pro of iron ore'!$B$2:$X$31, $A$1, FALSE)*(1-VLOOKUP($B6, '[1]Foundry share'!$B$2:$X$31, $A$1, FALSE))</f>
        <v>33274</v>
      </c>
      <c r="E6" s="47">
        <f>VLOOKUP($B6, '[1]Iron content'!$B$2:$X$31, $A$1, FALSE)</f>
        <v>0.63079868812678919</v>
      </c>
      <c r="F6" s="1">
        <f>VLOOKUP($B6, '[1]Exp of usable iron ore'!$B$2:$X$31, $A$1, FALSE)*parameters!$B$12</f>
        <v>5376.8</v>
      </c>
      <c r="G6" s="1">
        <f>VLOOKUP($B6, '[1]Pro of pig iron'!$B$2:$X$31, $A$1, FALSE)*(1-VLOOKUP($B6, '[1]Foundry share'!$B$2:$X$31, $A$1, FALSE))</f>
        <v>37903</v>
      </c>
      <c r="H6" s="1">
        <f>VLOOKUP($B6, '[1]Exp of pig iron'!$B$2:$X$31, $A$1, FALSE)</f>
        <v>55</v>
      </c>
      <c r="I6" s="1">
        <f>VLOOKUP($B6, '[1]Imp of pig iron'!$B$2:$X$31, $A$1, FALSE)</f>
        <v>6731</v>
      </c>
      <c r="J6" s="1">
        <f>VLOOKUP($B6, '[1]Pro of DRI'!$B$2:$X$31, $A$1, FALSE)</f>
        <v>240</v>
      </c>
      <c r="K6" s="1">
        <f>VLOOKUP($B6, '[1]Exp of DRI'!$B$2:$X$31, $A$1, FALSE)</f>
        <v>12</v>
      </c>
      <c r="L6" s="1">
        <f>VLOOKUP($B6, '[1]Imp of DRI'!$B$2:$X$31, $A$1, FALSE)</f>
        <v>2772</v>
      </c>
      <c r="M6" s="1">
        <f>VLOOKUP($B6, '[1]Exp of scrap'!$B$2:$X$31, $A$1, FALSE)</f>
        <v>13978</v>
      </c>
      <c r="N6" s="1">
        <f>VLOOKUP($B6, '[1]Imp of scrap'!$B$2:$X$31, $A$1, FALSE)</f>
        <v>4813</v>
      </c>
      <c r="O6" s="1">
        <f>VLOOKUP($B6, '[1]Pro of BOF steel'!$B$2:$X$31, $A$1, FALSE)</f>
        <v>42458</v>
      </c>
      <c r="P6" s="1">
        <f>VLOOKUP($B6, '[1]Pro of OHF steel'!$B$2:$X$31, $A$1, FALSE)</f>
        <v>0</v>
      </c>
      <c r="Q6" s="1">
        <f>VLOOKUP($B6, '[1]Pro of EAF steel'!$B$2:$X$31, $A$1, FALSE)</f>
        <v>56098</v>
      </c>
      <c r="R6" s="1">
        <f>VLOOKUP($B6, '[1]Exp of ingots and semis'!$B$2:$X$31, $A$1, FALSE)</f>
        <v>204</v>
      </c>
      <c r="S6" s="1">
        <f>VLOOKUP($B6, '[1]Imp of ingots and semis'!$B$2:$X$31, $A$1, FALSE)</f>
        <v>8454</v>
      </c>
      <c r="T6" s="1">
        <f>VLOOKUP($B6, '[1]Pro of hr long'!$B$2:$X$31, $A$1, FALSE)+VLOOKUP($B6, '[1]Pro of seamless tubes'!$B$2:$X$31, $A$1, FALSE)</f>
        <v>29745</v>
      </c>
      <c r="U6" s="1">
        <f>VLOOKUP($B6, '[1]Exp of long'!$B$2:$X$31, $A$1, FALSE)</f>
        <v>2405</v>
      </c>
      <c r="V6" s="1">
        <f>VLOOKUP($B6, '[1]Imp of long'!$B$2:$X$31, $A$1, FALSE)</f>
        <v>9719</v>
      </c>
      <c r="W6" s="1">
        <f>VLOOKUP($B6, '[1]Pro of hr flat'!$B$2:$X$31, $A$1, FALSE)*parameters!$B$8</f>
        <v>67466.40967283072</v>
      </c>
      <c r="X6" s="1">
        <f>VLOOKUP($B6, '[1]Exp of flat'!$B$2:$X$31, $A$1, FALSE)</f>
        <v>5212</v>
      </c>
      <c r="Y6" s="1">
        <f>VLOOKUP($B6, '[1]Imp of flat'!$B$2:$X$31, $A$1, FALSE)</f>
        <v>16226</v>
      </c>
      <c r="Z6" s="1">
        <f>VLOOKUP($B6, '[1]Indirect exp'!$B$2:$X$31, $A$1, FALSE)</f>
        <v>19815</v>
      </c>
      <c r="AA6" s="1">
        <f>VLOOKUP($B6, '[1]Indirect imp'!$B$2:$X$31, $A$1, FALSE)</f>
        <v>40261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102000</v>
      </c>
      <c r="D7" s="1">
        <f>VLOOKUP($B7, '[1]Pro of iron ore'!$B$2:$X$31, $A$1, FALSE)*(1-VLOOKUP($B7, '[1]Foundry share'!$B$2:$X$31, $A$1, FALSE))</f>
        <v>59100</v>
      </c>
      <c r="E7" s="47">
        <f>VLOOKUP($B7, '[1]Iron content'!$B$2:$X$31, $A$1, FALSE)</f>
        <v>0.5794117647058824</v>
      </c>
      <c r="F7" s="1">
        <f>VLOOKUP($B7, '[1]Exp of usable iron ore'!$B$2:$X$31, $A$1, FALSE)*parameters!$B$12</f>
        <v>15395.9</v>
      </c>
      <c r="G7" s="1">
        <f>VLOOKUP($B7, '[1]Pro of pig iron'!$B$2:$X$31, $A$1, FALSE)*(1-VLOOKUP($B7, '[1]Foundry share'!$B$2:$X$31, $A$1, FALSE))</f>
        <v>51742</v>
      </c>
      <c r="H7" s="1">
        <f>VLOOKUP($B7, '[1]Exp of pig iron'!$B$2:$X$31, $A$1, FALSE)</f>
        <v>6237</v>
      </c>
      <c r="I7" s="1">
        <f>VLOOKUP($B7, '[1]Imp of pig iron'!$B$2:$X$31, $A$1, FALSE)</f>
        <v>0</v>
      </c>
      <c r="J7" s="1">
        <f>VLOOKUP($B7, '[1]Pro of DRI'!$B$2:$X$31, $A$1, FALSE)</f>
        <v>3280</v>
      </c>
      <c r="K7" s="1">
        <f>VLOOKUP($B7, '[1]Exp of DRI'!$B$2:$X$31, $A$1, FALSE)</f>
        <v>1223</v>
      </c>
      <c r="L7" s="1">
        <f>VLOOKUP($B7, '[1]Imp of DRI'!$B$2:$X$31, $A$1, FALSE)</f>
        <v>0</v>
      </c>
      <c r="M7" s="1">
        <f>VLOOKUP($B7, '[1]Exp of scrap'!$B$2:$X$31, $A$1, FALSE)</f>
        <v>9797</v>
      </c>
      <c r="N7" s="1">
        <f>VLOOKUP($B7, '[1]Imp of scrap'!$B$2:$X$31, $A$1, FALSE)</f>
        <v>174</v>
      </c>
      <c r="O7" s="1">
        <f>VLOOKUP($B7, '[1]Pro of BOF steel'!$B$2:$X$31, $A$1, FALSE)</f>
        <v>41686</v>
      </c>
      <c r="P7" s="1">
        <f>VLOOKUP($B7, '[1]Pro of OHF steel'!$B$2:$X$31, $A$1, FALSE)</f>
        <v>12875</v>
      </c>
      <c r="Q7" s="1">
        <f>VLOOKUP($B7, '[1]Pro of EAF steel'!$B$2:$X$31, $A$1, FALSE)</f>
        <v>16269</v>
      </c>
      <c r="R7" s="1">
        <f>VLOOKUP($B7, '[1]Exp of ingots and semis'!$B$2:$X$31, $A$1, FALSE)</f>
        <v>15504</v>
      </c>
      <c r="S7" s="1">
        <f>VLOOKUP($B7, '[1]Imp of ingots and semis'!$B$2:$X$31, $A$1, FALSE)</f>
        <v>21</v>
      </c>
      <c r="T7" s="1">
        <f>VLOOKUP($B7, '[1]Pro of hr long'!$B$2:$X$31, $A$1, FALSE)+VLOOKUP($B7, '[1]Pro of seamless tubes'!$B$2:$X$31, $A$1, FALSE)</f>
        <v>23800</v>
      </c>
      <c r="U7" s="1">
        <f>VLOOKUP($B7, '[1]Exp of long'!$B$2:$X$31, $A$1, FALSE)</f>
        <v>4316</v>
      </c>
      <c r="V7" s="1">
        <f>VLOOKUP($B7, '[1]Imp of long'!$B$2:$X$31, $A$1, FALSE)</f>
        <v>1509</v>
      </c>
      <c r="W7" s="1">
        <f>VLOOKUP($B7, '[1]Pro of hr flat'!$B$2:$X$31, $A$1, FALSE)*parameters!$B$8</f>
        <v>35947.368421052633</v>
      </c>
      <c r="X7" s="1">
        <f>VLOOKUP($B7, '[1]Exp of flat'!$B$2:$X$31, $A$1, FALSE)</f>
        <v>10225</v>
      </c>
      <c r="Y7" s="1">
        <f>VLOOKUP($B7, '[1]Imp of flat'!$B$2:$X$31, $A$1, FALSE)</f>
        <v>2968</v>
      </c>
      <c r="Z7" s="1">
        <f>VLOOKUP($B7, '[1]Indirect exp'!$B$2:$X$31, $A$1, FALSE)</f>
        <v>2651</v>
      </c>
      <c r="AA7" s="1">
        <f>VLOOKUP($B7, '[1]Indirect imp'!$B$2:$X$31, $A$1, FALSE)</f>
        <v>7008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27559</v>
      </c>
      <c r="H8" s="1">
        <f>VLOOKUP($B8, '[1]Exp of pig iron'!$B$2:$X$31, $A$1, FALSE)</f>
        <v>0</v>
      </c>
      <c r="I8" s="1">
        <f>VLOOKUP($B8, '[1]Imp of pig iron'!$B$2:$X$31, $A$1, FALSE)</f>
        <v>850</v>
      </c>
      <c r="J8" s="1">
        <f>VLOOKUP($B8, '[1]Pro of DRI'!$B$2:$X$31, $A$1, FALSE)</f>
        <v>0</v>
      </c>
      <c r="K8" s="1">
        <f>VLOOKUP($B8, '[1]Exp of DRI'!$B$2:$X$31, $A$1, FALSE)</f>
        <v>0</v>
      </c>
      <c r="L8" s="1">
        <f>VLOOKUP($B8, '[1]Imp of DRI'!$B$2:$X$31, $A$1, FALSE)</f>
        <v>469</v>
      </c>
      <c r="M8" s="1">
        <f>VLOOKUP($B8, '[1]Exp of scrap'!$B$2:$X$31, $A$1, FALSE)</f>
        <v>327</v>
      </c>
      <c r="N8" s="1">
        <f>VLOOKUP($B8, '[1]Imp of scrap'!$B$2:$X$31, $A$1, FALSE)</f>
        <v>5621</v>
      </c>
      <c r="O8" s="1">
        <f>VLOOKUP($B8, '[1]Pro of BOF steel'!$B$2:$X$31, $A$1, FALSE)</f>
        <v>26291</v>
      </c>
      <c r="P8" s="1">
        <f>VLOOKUP($B8, '[1]Pro of OHF steel'!$B$2:$X$31, $A$1, FALSE)</f>
        <v>0</v>
      </c>
      <c r="Q8" s="1">
        <f>VLOOKUP($B8, '[1]Pro of EAF steel'!$B$2:$X$31, $A$1, FALSE)</f>
        <v>22164</v>
      </c>
      <c r="R8" s="1">
        <f>VLOOKUP($B8, '[1]Exp of ingots and semis'!$B$2:$X$31, $A$1, FALSE)</f>
        <v>187</v>
      </c>
      <c r="S8" s="1">
        <f>VLOOKUP($B8, '[1]Imp of ingots and semis'!$B$2:$X$31, $A$1, FALSE)</f>
        <v>5068</v>
      </c>
      <c r="T8" s="1">
        <f>VLOOKUP($B8, '[1]Pro of hr long'!$B$2:$X$31, $A$1, FALSE)+VLOOKUP($B8, '[1]Pro of seamless tubes'!$B$2:$X$31, $A$1, FALSE)</f>
        <v>19602</v>
      </c>
      <c r="U8" s="1">
        <f>VLOOKUP($B8, '[1]Exp of long'!$B$2:$X$31, $A$1, FALSE)</f>
        <v>3006</v>
      </c>
      <c r="V8" s="1">
        <f>VLOOKUP($B8, '[1]Imp of long'!$B$2:$X$31, $A$1, FALSE)</f>
        <v>4592</v>
      </c>
      <c r="W8" s="1">
        <f>VLOOKUP($B8, '[1]Pro of hr flat'!$B$2:$X$31, $A$1, FALSE)*parameters!$B$8</f>
        <v>30385.241820768137</v>
      </c>
      <c r="X8" s="1">
        <f>VLOOKUP($B8, '[1]Exp of flat'!$B$2:$X$31, $A$1, FALSE)</f>
        <v>13263</v>
      </c>
      <c r="Y8" s="1">
        <f>VLOOKUP($B8, '[1]Imp of flat'!$B$2:$X$31, $A$1, FALSE)</f>
        <v>11967</v>
      </c>
      <c r="Z8" s="1">
        <f>VLOOKUP($B8, '[1]Indirect exp'!$B$2:$X$31, $A$1, FALSE)</f>
        <v>16298</v>
      </c>
      <c r="AA8" s="1">
        <f>VLOOKUP($B8, '[1]Indirect imp'!$B$2:$X$31, $A$1, FALSE)</f>
        <v>3672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411.97300000000001</v>
      </c>
      <c r="D9" s="1">
        <f>VLOOKUP($B9, '[1]Pro of iron ore'!$B$2:$X$31, $A$1, FALSE)*(1-VLOOKUP($B9, '[1]Foundry share'!$B$2:$X$31, $A$1, FALSE))</f>
        <v>43.7</v>
      </c>
      <c r="E9" s="47">
        <f>VLOOKUP($B9, '[1]Iron content'!$B$2:$X$31, $A$1, FALSE)</f>
        <v>0.10607491267631616</v>
      </c>
      <c r="F9" s="1">
        <f>VLOOKUP($B9, '[1]Exp of usable iron ore'!$B$2:$X$31, $A$1, FALSE)*parameters!$B$12</f>
        <v>11.700000000000001</v>
      </c>
      <c r="G9" s="1">
        <f>VLOOKUP($B9, '[1]Pro of pig iron'!$B$2:$X$31, $A$1, FALSE)*(1-VLOOKUP($B9, '[1]Foundry share'!$B$2:$X$31, $A$1, FALSE))</f>
        <v>30360</v>
      </c>
      <c r="H9" s="1">
        <f>VLOOKUP($B9, '[1]Exp of pig iron'!$B$2:$X$31, $A$1, FALSE)</f>
        <v>181</v>
      </c>
      <c r="I9" s="1">
        <f>VLOOKUP($B9, '[1]Imp of pig iron'!$B$2:$X$31, $A$1, FALSE)</f>
        <v>423</v>
      </c>
      <c r="J9" s="1">
        <f>VLOOKUP($B9, '[1]Pro of DRI'!$B$2:$X$31, $A$1, FALSE)</f>
        <v>580</v>
      </c>
      <c r="K9" s="1">
        <f>VLOOKUP($B9, '[1]Exp of DRI'!$B$2:$X$31, $A$1, FALSE)</f>
        <v>141</v>
      </c>
      <c r="L9" s="1">
        <f>VLOOKUP($B9, '[1]Imp of DRI'!$B$2:$X$31, $A$1, FALSE)</f>
        <v>102</v>
      </c>
      <c r="M9" s="1">
        <f>VLOOKUP($B9, '[1]Exp of scrap'!$B$2:$X$31, $A$1, FALSE)</f>
        <v>7605</v>
      </c>
      <c r="N9" s="1">
        <f>VLOOKUP($B9, '[1]Imp of scrap'!$B$2:$X$31, $A$1, FALSE)</f>
        <v>5593</v>
      </c>
      <c r="O9" s="1">
        <f>VLOOKUP($B9, '[1]Pro of BOF steel'!$B$2:$X$31, $A$1, FALSE)</f>
        <v>32550</v>
      </c>
      <c r="P9" s="1">
        <f>VLOOKUP($B9, '[1]Pro of OHF steel'!$B$2:$X$31, $A$1, FALSE)</f>
        <v>0</v>
      </c>
      <c r="Q9" s="1">
        <f>VLOOKUP($B9, '[1]Pro of EAF steel'!$B$2:$X$31, $A$1, FALSE)</f>
        <v>14674</v>
      </c>
      <c r="R9" s="1">
        <f>VLOOKUP($B9, '[1]Exp of ingots and semis'!$B$2:$X$31, $A$1, FALSE)</f>
        <v>2171</v>
      </c>
      <c r="S9" s="1">
        <f>VLOOKUP($B9, '[1]Imp of ingots and semis'!$B$2:$X$31, $A$1, FALSE)</f>
        <v>2578</v>
      </c>
      <c r="T9" s="1">
        <f>VLOOKUP($B9, '[1]Pro of hr long'!$B$2:$X$31, $A$1, FALSE)+VLOOKUP($B9, '[1]Pro of seamless tubes'!$B$2:$X$31, $A$1, FALSE)</f>
        <v>15776</v>
      </c>
      <c r="U9" s="1">
        <f>VLOOKUP($B9, '[1]Exp of long'!$B$2:$X$31, $A$1, FALSE)</f>
        <v>8044</v>
      </c>
      <c r="V9" s="1">
        <f>VLOOKUP($B9, '[1]Imp of long'!$B$2:$X$31, $A$1, FALSE)</f>
        <v>6962</v>
      </c>
      <c r="W9" s="1">
        <f>VLOOKUP($B9, '[1]Pro of hr flat'!$B$2:$X$31, $A$1, FALSE)*parameters!$B$8</f>
        <v>26399.941678520627</v>
      </c>
      <c r="X9" s="1">
        <f>VLOOKUP($B9, '[1]Exp of flat'!$B$2:$X$31, $A$1, FALSE)</f>
        <v>14973</v>
      </c>
      <c r="Y9" s="1">
        <f>VLOOKUP($B9, '[1]Imp of flat'!$B$2:$X$31, $A$1, FALSE)</f>
        <v>12452</v>
      </c>
      <c r="Z9" s="1">
        <f>VLOOKUP($B9, '[1]Indirect exp'!$B$2:$X$31, $A$1, FALSE)</f>
        <v>27797</v>
      </c>
      <c r="AA9" s="1">
        <f>VLOOKUP($B9, '[1]Indirect imp'!$B$2:$X$31, $A$1, FALSE)</f>
        <v>20493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3501.6826282899774</v>
      </c>
      <c r="D10" s="1">
        <f>VLOOKUP($B10, '[1]Pro of iron ore'!$B$2:$X$31, $A$1, FALSE)*(1-VLOOKUP($B10, '[1]Foundry share'!$B$2:$X$31, $A$1, FALSE))</f>
        <v>1850.2946516723791</v>
      </c>
      <c r="E10" s="47">
        <f>VLOOKUP($B10, '[1]Iron content'!$B$2:$X$31, $A$1, FALSE)</f>
        <v>0.52840158520475566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5506.4768833770004</v>
      </c>
      <c r="H10" s="1">
        <f>VLOOKUP($B10, '[1]Exp of pig iron'!$B$2:$X$31, $A$1, FALSE)</f>
        <v>1</v>
      </c>
      <c r="I10" s="1">
        <f>VLOOKUP($B10, '[1]Imp of pig iron'!$B$2:$X$31, $A$1, FALSE)</f>
        <v>338</v>
      </c>
      <c r="J10" s="1">
        <f>VLOOKUP($B10, '[1]Pro of DRI'!$B$2:$X$31, $A$1, FALSE)</f>
        <v>0</v>
      </c>
      <c r="K10" s="1">
        <f>VLOOKUP($B10, '[1]Exp of DRI'!$B$2:$X$31, $A$1, FALSE)</f>
        <v>0</v>
      </c>
      <c r="L10" s="1">
        <f>VLOOKUP($B10, '[1]Imp of DRI'!$B$2:$X$31, $A$1, FALSE)</f>
        <v>44</v>
      </c>
      <c r="M10" s="1">
        <f>VLOOKUP($B10, '[1]Exp of scrap'!$B$2:$X$31, $A$1, FALSE)</f>
        <v>53</v>
      </c>
      <c r="N10" s="1">
        <f>VLOOKUP($B10, '[1]Imp of scrap'!$B$2:$X$31, $A$1, FALSE)</f>
        <v>13352</v>
      </c>
      <c r="O10" s="1">
        <f>VLOOKUP($B10, '[1]Pro of BOF steel'!$B$2:$X$31, $A$1, FALSE)</f>
        <v>6185</v>
      </c>
      <c r="P10" s="1">
        <f>VLOOKUP($B10, '[1]Pro of OHF steel'!$B$2:$X$31, $A$1, FALSE)</f>
        <v>0</v>
      </c>
      <c r="Q10" s="1">
        <f>VLOOKUP($B10, '[1]Pro of EAF steel'!$B$2:$X$31, $A$1, FALSE)</f>
        <v>17130</v>
      </c>
      <c r="R10" s="1">
        <f>VLOOKUP($B10, '[1]Exp of ingots and semis'!$B$2:$X$31, $A$1, FALSE)</f>
        <v>223</v>
      </c>
      <c r="S10" s="1">
        <f>VLOOKUP($B10, '[1]Imp of ingots and semis'!$B$2:$X$31, $A$1, FALSE)</f>
        <v>3255</v>
      </c>
      <c r="T10" s="1">
        <f>VLOOKUP($B10, '[1]Pro of hr long'!$B$2:$X$31, $A$1, FALSE)+VLOOKUP($B10, '[1]Pro of seamless tubes'!$B$2:$X$31, $A$1, FALSE)</f>
        <v>13500</v>
      </c>
      <c r="U10" s="1">
        <f>VLOOKUP($B10, '[1]Exp of long'!$B$2:$X$31, $A$1, FALSE)</f>
        <v>6782</v>
      </c>
      <c r="V10" s="1">
        <f>VLOOKUP($B10, '[1]Imp of long'!$B$2:$X$31, $A$1, FALSE)</f>
        <v>1006</v>
      </c>
      <c r="W10" s="1">
        <f>VLOOKUP($B10, '[1]Pro of hr flat'!$B$2:$X$31, $A$1, FALSE)*parameters!$B$8</f>
        <v>11087.31311497256</v>
      </c>
      <c r="X10" s="1">
        <f>VLOOKUP($B10, '[1]Exp of flat'!$B$2:$X$31, $A$1, FALSE)</f>
        <v>1313</v>
      </c>
      <c r="Y10" s="1">
        <f>VLOOKUP($B10, '[1]Imp of flat'!$B$2:$X$31, $A$1, FALSE)</f>
        <v>7719</v>
      </c>
      <c r="Z10" s="1">
        <f>VLOOKUP($B10, '[1]Indirect exp'!$B$2:$X$31, $A$1, FALSE)</f>
        <v>4536</v>
      </c>
      <c r="AA10" s="1">
        <f>VLOOKUP($B10, '[1]Indirect imp'!$B$2:$X$31, $A$1, FALSE)</f>
        <v>2588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317800.22899999999</v>
      </c>
      <c r="D11" s="1">
        <f>VLOOKUP($B11, '[1]Pro of iron ore'!$B$2:$X$31, $A$1, FALSE)*(1-VLOOKUP($B11, '[1]Foundry share'!$B$2:$X$31, $A$1, FALSE))</f>
        <v>211020</v>
      </c>
      <c r="E11" s="47">
        <f>VLOOKUP($B11, '[1]Iron content'!$B$2:$X$31, $A$1, FALSE)</f>
        <v>0.66400203884056985</v>
      </c>
      <c r="F11" s="1">
        <f>VLOOKUP($B11, '[1]Exp of usable iron ore'!$B$2:$X$31, $A$1, FALSE)*parameters!$B$12</f>
        <v>160277</v>
      </c>
      <c r="G11" s="1">
        <f>VLOOKUP($B11, '[1]Pro of pig iron'!$B$2:$X$31, $A$1, FALSE)*(1-VLOOKUP($B11, '[1]Foundry share'!$B$2:$X$31, $A$1, FALSE))</f>
        <v>32452</v>
      </c>
      <c r="H11" s="1">
        <f>VLOOKUP($B11, '[1]Exp of pig iron'!$B$2:$X$31, $A$1, FALSE)</f>
        <v>6251</v>
      </c>
      <c r="I11" s="1">
        <f>VLOOKUP($B11, '[1]Imp of pig iron'!$B$2:$X$31, $A$1, FALSE)</f>
        <v>0</v>
      </c>
      <c r="J11" s="1">
        <f>VLOOKUP($B11, '[1]Pro of DRI'!$B$2:$X$31, $A$1, FALSE)</f>
        <v>376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34</v>
      </c>
      <c r="N11" s="1">
        <f>VLOOKUP($B11, '[1]Imp of scrap'!$B$2:$X$31, $A$1, FALSE)</f>
        <v>57</v>
      </c>
      <c r="O11" s="1">
        <f>VLOOKUP($B11, '[1]Pro of BOF steel'!$B$2:$X$31, $A$1, FALSE)</f>
        <v>22821</v>
      </c>
      <c r="P11" s="1">
        <f>VLOOKUP($B11, '[1]Pro of OHF steel'!$B$2:$X$31, $A$1, FALSE)</f>
        <v>0</v>
      </c>
      <c r="Q11" s="1">
        <f>VLOOKUP($B11, '[1]Pro of EAF steel'!$B$2:$X$31, $A$1, FALSE)</f>
        <v>7541</v>
      </c>
      <c r="R11" s="1">
        <f>VLOOKUP($B11, '[1]Exp of ingots and semis'!$B$2:$X$31, $A$1, FALSE)</f>
        <v>5738</v>
      </c>
      <c r="S11" s="1">
        <f>VLOOKUP($B11, '[1]Imp of ingots and semis'!$B$2:$X$31, $A$1, FALSE)</f>
        <v>806</v>
      </c>
      <c r="T11" s="1">
        <f>VLOOKUP($B11, '[1]Pro of hr long'!$B$2:$X$31, $A$1, FALSE)+VLOOKUP($B11, '[1]Pro of seamless tubes'!$B$2:$X$31, $A$1, FALSE)</f>
        <v>9607</v>
      </c>
      <c r="U11" s="1">
        <f>VLOOKUP($B11, '[1]Exp of long'!$B$2:$X$31, $A$1, FALSE)</f>
        <v>2279</v>
      </c>
      <c r="V11" s="1">
        <f>VLOOKUP($B11, '[1]Imp of long'!$B$2:$X$31, $A$1, FALSE)</f>
        <v>430</v>
      </c>
      <c r="W11" s="1">
        <f>VLOOKUP($B11, '[1]Pro of hr flat'!$B$2:$X$31, $A$1, FALSE)*parameters!$B$8</f>
        <v>13452.088193456615</v>
      </c>
      <c r="X11" s="1">
        <f>VLOOKUP($B11, '[1]Exp of flat'!$B$2:$X$31, $A$1, FALSE)</f>
        <v>4088</v>
      </c>
      <c r="Y11" s="1">
        <f>VLOOKUP($B11, '[1]Imp of flat'!$B$2:$X$31, $A$1, FALSE)</f>
        <v>553</v>
      </c>
      <c r="Z11" s="1">
        <f>VLOOKUP($B11, '[1]Indirect exp'!$B$2:$X$31, $A$1, FALSE)</f>
        <v>3357</v>
      </c>
      <c r="AA11" s="1">
        <f>VLOOKUP($B11, '[1]Indirect imp'!$B$2:$X$31, $A$1, FALSE)</f>
        <v>1703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24105.707167298908</v>
      </c>
      <c r="D12" s="1">
        <f>VLOOKUP($B12, '[1]Pro of iron ore'!$B$2:$X$31, $A$1, FALSE)*(1-VLOOKUP($B12, '[1]Foundry share'!$B$2:$X$31, $A$1, FALSE))</f>
        <v>11940.867990259419</v>
      </c>
      <c r="E12" s="47">
        <f>VLOOKUP($B12, '[1]Iron content'!$B$2:$X$31, $A$1, FALSE)</f>
        <v>0.49535439501472289</v>
      </c>
      <c r="F12" s="1">
        <f>VLOOKUP($B12, '[1]Exp of usable iron ore'!$B$2:$X$31, $A$1, FALSE)*parameters!$B$12</f>
        <v>2304.25</v>
      </c>
      <c r="G12" s="1">
        <f>VLOOKUP($B12, '[1]Pro of pig iron'!$B$2:$X$31, $A$1, FALSE)*(1-VLOOKUP($B12, '[1]Foundry share'!$B$2:$X$31, $A$1, FALSE))</f>
        <v>1874.7162744707291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</f>
        <v>6929</v>
      </c>
      <c r="K12" s="1">
        <f>VLOOKUP($B12, '[1]Exp of DRI'!$B$2:$X$31, $A$1, FALSE)</f>
        <v>0</v>
      </c>
      <c r="L12" s="1">
        <f>VLOOKUP($B12, '[1]Imp of DRI'!$B$2:$X$31, $A$1, FALSE)</f>
        <v>61</v>
      </c>
      <c r="M12" s="1">
        <f>VLOOKUP($B12, '[1]Exp of scrap'!$B$2:$X$31, $A$1, FALSE)</f>
        <v>0</v>
      </c>
      <c r="N12" s="1">
        <f>VLOOKUP($B12, '[1]Imp of scrap'!$B$2:$X$31, $A$1, FALSE)</f>
        <v>42</v>
      </c>
      <c r="O12" s="1">
        <f>VLOOKUP($B12, '[1]Pro of BOF steel'!$B$2:$X$31, $A$1, FALSE)</f>
        <v>2200</v>
      </c>
      <c r="P12" s="1">
        <f>VLOOKUP($B12, '[1]Pro of OHF steel'!$B$2:$X$31, $A$1, FALSE)</f>
        <v>0</v>
      </c>
      <c r="Q12" s="1">
        <f>VLOOKUP($B12, '[1]Pro of EAF steel'!$B$2:$X$31, $A$1, FALSE)</f>
        <v>7590</v>
      </c>
      <c r="R12" s="1">
        <f>VLOOKUP($B12, '[1]Exp of ingots and semis'!$B$2:$X$31, $A$1, FALSE)</f>
        <v>0</v>
      </c>
      <c r="S12" s="1">
        <f>VLOOKUP($B12, '[1]Imp of ingots and semis'!$B$2:$X$31, $A$1, FALSE)</f>
        <v>2003</v>
      </c>
      <c r="T12" s="1">
        <f>VLOOKUP($B12, '[1]Pro of hr long'!$B$2:$X$31, $A$1, FALSE)+VLOOKUP($B12, '[1]Pro of seamless tubes'!$B$2:$X$31, $A$1, FALSE)</f>
        <v>4464</v>
      </c>
      <c r="U12" s="1">
        <f>VLOOKUP($B12, '[1]Exp of long'!$B$2:$X$31, $A$1, FALSE)</f>
        <v>0</v>
      </c>
      <c r="V12" s="1">
        <f>VLOOKUP($B12, '[1]Imp of long'!$B$2:$X$31, $A$1, FALSE)</f>
        <v>1378</v>
      </c>
      <c r="W12" s="1">
        <f>VLOOKUP($B12, '[1]Pro of hr flat'!$B$2:$X$31, $A$1, FALSE)*parameters!$B$8</f>
        <v>4579.8890469416783</v>
      </c>
      <c r="X12" s="1">
        <f>VLOOKUP($B12, '[1]Exp of flat'!$B$2:$X$31, $A$1, FALSE)</f>
        <v>0</v>
      </c>
      <c r="Y12" s="1">
        <f>VLOOKUP($B12, '[1]Imp of flat'!$B$2:$X$31, $A$1, FALSE)</f>
        <v>3061</v>
      </c>
      <c r="Z12" s="1">
        <f>VLOOKUP($B12, '[1]Indirect exp'!$B$2:$X$31, $A$1, FALSE)</f>
        <v>55</v>
      </c>
      <c r="AA12" s="1">
        <f>VLOOKUP($B12, '[1]Indirect imp'!$B$2:$X$31, $A$1, FALSE)</f>
        <v>1198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10.4</v>
      </c>
      <c r="G13" s="1">
        <f>VLOOKUP($B13, '[1]Pro of pig iron'!$B$2:$X$31, $A$1, FALSE)*(1-VLOOKUP($B13, '[1]Foundry share'!$B$2:$X$31, $A$1, FALSE))</f>
        <v>11497</v>
      </c>
      <c r="H13" s="1">
        <f>VLOOKUP($B13, '[1]Exp of pig iron'!$B$2:$X$31, $A$1, FALSE)</f>
        <v>22</v>
      </c>
      <c r="I13" s="1">
        <f>VLOOKUP($B13, '[1]Imp of pig iron'!$B$2:$X$31, $A$1, FALSE)</f>
        <v>1791</v>
      </c>
      <c r="J13" s="1">
        <f>VLOOKUP($B13, '[1]Pro of DRI'!$B$2:$X$31, $A$1, FALSE)</f>
        <v>0</v>
      </c>
      <c r="K13" s="1">
        <f>VLOOKUP($B13, '[1]Exp of DRI'!$B$2:$X$31, $A$1, FALSE)</f>
        <v>0</v>
      </c>
      <c r="L13" s="1">
        <f>VLOOKUP($B13, '[1]Imp of DRI'!$B$2:$X$31, $A$1, FALSE)</f>
        <v>438</v>
      </c>
      <c r="M13" s="1">
        <f>VLOOKUP($B13, '[1]Exp of scrap'!$B$2:$X$31, $A$1, FALSE)</f>
        <v>190</v>
      </c>
      <c r="N13" s="1">
        <f>VLOOKUP($B13, '[1]Imp of scrap'!$B$2:$X$31, $A$1, FALSE)</f>
        <v>5668</v>
      </c>
      <c r="O13" s="1">
        <f>VLOOKUP($B13, '[1]Pro of BOF steel'!$B$2:$X$31, $A$1, FALSE)</f>
        <v>11823</v>
      </c>
      <c r="P13" s="1">
        <f>VLOOKUP($B13, '[1]Pro of OHF steel'!$B$2:$X$31, $A$1, FALSE)</f>
        <v>0</v>
      </c>
      <c r="Q13" s="1">
        <f>VLOOKUP($B13, '[1]Pro of EAF steel'!$B$2:$X$31, $A$1, FALSE)</f>
        <v>19802</v>
      </c>
      <c r="R13" s="1">
        <f>VLOOKUP($B13, '[1]Exp of ingots and semis'!$B$2:$X$31, $A$1, FALSE)</f>
        <v>959</v>
      </c>
      <c r="S13" s="1">
        <f>VLOOKUP($B13, '[1]Imp of ingots and semis'!$B$2:$X$31, $A$1, FALSE)</f>
        <v>5791</v>
      </c>
      <c r="T13" s="1">
        <f>VLOOKUP($B13, '[1]Pro of hr long'!$B$2:$X$31, $A$1, FALSE)+VLOOKUP($B13, '[1]Pro of seamless tubes'!$B$2:$X$31, $A$1, FALSE)</f>
        <v>17638</v>
      </c>
      <c r="U13" s="1">
        <f>VLOOKUP($B13, '[1]Exp of long'!$B$2:$X$31, $A$1, FALSE)</f>
        <v>5601</v>
      </c>
      <c r="V13" s="1">
        <f>VLOOKUP($B13, '[1]Imp of long'!$B$2:$X$31, $A$1, FALSE)</f>
        <v>3685</v>
      </c>
      <c r="W13" s="1">
        <f>VLOOKUP($B13, '[1]Pro of hr flat'!$B$2:$X$31, $A$1, FALSE)*parameters!$B$8</f>
        <v>14326.483641536273</v>
      </c>
      <c r="X13" s="1">
        <f>VLOOKUP($B13, '[1]Exp of flat'!$B$2:$X$31, $A$1, FALSE)</f>
        <v>6871</v>
      </c>
      <c r="Y13" s="1">
        <f>VLOOKUP($B13, '[1]Imp of flat'!$B$2:$X$31, $A$1, FALSE)</f>
        <v>13305</v>
      </c>
      <c r="Z13" s="1">
        <f>VLOOKUP($B13, '[1]Indirect exp'!$B$2:$X$31, $A$1, FALSE)</f>
        <v>13755</v>
      </c>
      <c r="AA13" s="1">
        <f>VLOOKUP($B13, '[1]Indirect imp'!$B$2:$X$31, $A$1, FALSE)</f>
        <v>8351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74000</v>
      </c>
      <c r="D14" s="1">
        <f>VLOOKUP($B14, '[1]Pro of iron ore'!$B$2:$X$31, $A$1, FALSE)*(1-VLOOKUP($B14, '[1]Foundry share'!$B$2:$X$31, $A$1, FALSE))</f>
        <v>40700</v>
      </c>
      <c r="E14" s="47">
        <f>VLOOKUP($B14, '[1]Iron content'!$B$2:$X$31, $A$1, FALSE)</f>
        <v>0.55000000000000004</v>
      </c>
      <c r="F14" s="1">
        <f>VLOOKUP($B14, '[1]Exp of usable iron ore'!$B$2:$X$31, $A$1, FALSE)*parameters!$B$12</f>
        <v>13140.4</v>
      </c>
      <c r="G14" s="1">
        <f>VLOOKUP($B14, '[1]Pro of pig iron'!$B$2:$X$31, $A$1, FALSE)*(1-VLOOKUP($B14, '[1]Foundry share'!$B$2:$X$31, $A$1, FALSE))</f>
        <v>32950</v>
      </c>
      <c r="H14" s="1">
        <f>VLOOKUP($B14, '[1]Exp of pig iron'!$B$2:$X$31, $A$1, FALSE)</f>
        <v>1250</v>
      </c>
      <c r="I14" s="1">
        <f>VLOOKUP($B14, '[1]Imp of pig iron'!$B$2:$X$31, $A$1, FALSE)</f>
        <v>552</v>
      </c>
      <c r="J14" s="1">
        <f>VLOOKUP($B14, '[1]Pro of DRI'!$B$2:$X$31, $A$1, FALSE)</f>
        <v>0</v>
      </c>
      <c r="K14" s="1">
        <f>VLOOKUP($B14, '[1]Exp of DRI'!$B$2:$X$31, $A$1, FALSE)</f>
        <v>0</v>
      </c>
      <c r="L14" s="1">
        <f>VLOOKUP($B14, '[1]Imp of DRI'!$B$2:$X$31, $A$1, FALSE)</f>
        <v>536</v>
      </c>
      <c r="M14" s="1">
        <f>VLOOKUP($B14, '[1]Exp of scrap'!$B$2:$X$31, $A$1, FALSE)</f>
        <v>744</v>
      </c>
      <c r="N14" s="1">
        <f>VLOOKUP($B14, '[1]Imp of scrap'!$B$2:$X$31, $A$1, FALSE)</f>
        <v>10</v>
      </c>
      <c r="O14" s="1">
        <f>VLOOKUP($B14, '[1]Pro of BOF steel'!$B$2:$X$31, $A$1, FALSE)</f>
        <v>21157</v>
      </c>
      <c r="P14" s="1">
        <f>VLOOKUP($B14, '[1]Pro of OHF steel'!$B$2:$X$31, $A$1, FALSE)</f>
        <v>18233</v>
      </c>
      <c r="Q14" s="1">
        <f>VLOOKUP($B14, '[1]Pro of EAF steel'!$B$2:$X$31, $A$1, FALSE)</f>
        <v>1501</v>
      </c>
      <c r="R14" s="1">
        <f>VLOOKUP($B14, '[1]Exp of ingots and semis'!$B$2:$X$31, $A$1, FALSE)</f>
        <v>12557</v>
      </c>
      <c r="S14" s="1">
        <f>VLOOKUP($B14, '[1]Imp of ingots and semis'!$B$2:$X$31, $A$1, FALSE)</f>
        <v>370</v>
      </c>
      <c r="T14" s="1">
        <f>VLOOKUP($B14, '[1]Pro of hr long'!$B$2:$X$31, $A$1, FALSE)+VLOOKUP($B14, '[1]Pro of seamless tubes'!$B$2:$X$31, $A$1, FALSE)</f>
        <v>16860</v>
      </c>
      <c r="U14" s="1">
        <f>VLOOKUP($B14, '[1]Exp of long'!$B$2:$X$31, $A$1, FALSE)</f>
        <v>7204</v>
      </c>
      <c r="V14" s="1">
        <f>VLOOKUP($B14, '[1]Imp of long'!$B$2:$X$31, $A$1, FALSE)</f>
        <v>358</v>
      </c>
      <c r="W14" s="1">
        <f>VLOOKUP($B14, '[1]Pro of hr flat'!$B$2:$X$31, $A$1, FALSE)*parameters!$B$8</f>
        <v>18342.873399715503</v>
      </c>
      <c r="X14" s="1">
        <f>VLOOKUP($B14, '[1]Exp of flat'!$B$2:$X$31, $A$1, FALSE)</f>
        <v>8803</v>
      </c>
      <c r="Y14" s="1">
        <f>VLOOKUP($B14, '[1]Imp of flat'!$B$2:$X$31, $A$1, FALSE)</f>
        <v>687</v>
      </c>
      <c r="Z14" s="1">
        <f>VLOOKUP($B14, '[1]Indirect exp'!$B$2:$X$31, $A$1, FALSE)</f>
        <v>1819</v>
      </c>
      <c r="AA14" s="1">
        <f>VLOOKUP($B14, '[1]Indirect imp'!$B$2:$X$31, $A$1, FALSE)</f>
        <v>1814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10983</v>
      </c>
      <c r="D15" s="1">
        <f>VLOOKUP($B15, '[1]Pro of iron ore'!$B$2:$X$31, $A$1, FALSE)*(1-VLOOKUP($B15, '[1]Foundry share'!$B$2:$X$31, $A$1, FALSE))</f>
        <v>6590</v>
      </c>
      <c r="E15" s="47">
        <f>VLOOKUP($B15, '[1]Iron content'!$B$2:$X$31, $A$1, FALSE)</f>
        <v>0.60001820996084854</v>
      </c>
      <c r="F15" s="1">
        <f>VLOOKUP($B15, '[1]Exp of usable iron ore'!$B$2:$X$31, $A$1, FALSE)*parameters!$B$12</f>
        <v>853.45</v>
      </c>
      <c r="G15" s="1">
        <f>VLOOKUP($B15, '[1]Pro of pig iron'!$B$2:$X$31, $A$1, FALSE)*(1-VLOOKUP($B15, '[1]Foundry share'!$B$2:$X$31, $A$1, FALSE))</f>
        <v>3790</v>
      </c>
      <c r="H15" s="1">
        <f>VLOOKUP($B15, '[1]Exp of pig iron'!$B$2:$X$31, $A$1, FALSE)</f>
        <v>0</v>
      </c>
      <c r="I15" s="1">
        <f>VLOOKUP($B15, '[1]Imp of pig iron'!$B$2:$X$31, $A$1, FALSE)</f>
        <v>767</v>
      </c>
      <c r="J15" s="1">
        <f>VLOOKUP($B15, '[1]Pro of DRI'!$B$2:$X$31, $A$1, FALSE)</f>
        <v>6167</v>
      </c>
      <c r="K15" s="1">
        <f>VLOOKUP($B15, '[1]Exp of DRI'!$B$2:$X$31, $A$1, FALSE)</f>
        <v>0</v>
      </c>
      <c r="L15" s="1">
        <f>VLOOKUP($B15, '[1]Imp of DRI'!$B$2:$X$31, $A$1, FALSE)</f>
        <v>290</v>
      </c>
      <c r="M15" s="1">
        <f>VLOOKUP($B15, '[1]Exp of scrap'!$B$2:$X$31, $A$1, FALSE)</f>
        <v>553</v>
      </c>
      <c r="N15" s="1">
        <f>VLOOKUP($B15, '[1]Imp of scrap'!$B$2:$X$31, $A$1, FALSE)</f>
        <v>1558</v>
      </c>
      <c r="O15" s="1">
        <f>VLOOKUP($B15, '[1]Pro of BOF steel'!$B$2:$X$31, $A$1, FALSE)</f>
        <v>4188</v>
      </c>
      <c r="P15" s="1">
        <f>VLOOKUP($B15, '[1]Pro of OHF steel'!$B$2:$X$31, $A$1, FALSE)</f>
        <v>0</v>
      </c>
      <c r="Q15" s="1">
        <f>VLOOKUP($B15, '[1]Pro of EAF steel'!$B$2:$X$31, $A$1, FALSE)</f>
        <v>12259</v>
      </c>
      <c r="R15" s="1">
        <f>VLOOKUP($B15, '[1]Exp of ingots and semis'!$B$2:$X$31, $A$1, FALSE)</f>
        <v>2365</v>
      </c>
      <c r="S15" s="1">
        <f>VLOOKUP($B15, '[1]Imp of ingots and semis'!$B$2:$X$31, $A$1, FALSE)</f>
        <v>1323</v>
      </c>
      <c r="T15" s="1">
        <f>VLOOKUP($B15, '[1]Pro of hr long'!$B$2:$X$31, $A$1, FALSE)+VLOOKUP($B15, '[1]Pro of seamless tubes'!$B$2:$X$31, $A$1, FALSE)</f>
        <v>7288</v>
      </c>
      <c r="U15" s="1">
        <f>VLOOKUP($B15, '[1]Exp of long'!$B$2:$X$31, $A$1, FALSE)</f>
        <v>646</v>
      </c>
      <c r="V15" s="1">
        <f>VLOOKUP($B15, '[1]Imp of long'!$B$2:$X$31, $A$1, FALSE)</f>
        <v>1672</v>
      </c>
      <c r="W15" s="1">
        <f>VLOOKUP($B15, '[1]Pro of hr flat'!$B$2:$X$31, $A$1, FALSE)*parameters!$B$8</f>
        <v>6980.5903271692741</v>
      </c>
      <c r="X15" s="1">
        <f>VLOOKUP($B15, '[1]Exp of flat'!$B$2:$X$31, $A$1, FALSE)</f>
        <v>1042</v>
      </c>
      <c r="Y15" s="1">
        <f>VLOOKUP($B15, '[1]Imp of flat'!$B$2:$X$31, $A$1, FALSE)</f>
        <v>4609</v>
      </c>
      <c r="Z15" s="1">
        <f>VLOOKUP($B15, '[1]Indirect exp'!$B$2:$X$31, $A$1, FALSE)</f>
        <v>8909</v>
      </c>
      <c r="AA15" s="1">
        <f>VLOOKUP($B15, '[1]Indirect imp'!$B$2:$X$31, $A$1, FALSE)</f>
        <v>8369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881.47161302573465</v>
      </c>
      <c r="D16" s="1">
        <f>VLOOKUP($B16, '[1]Pro of iron ore'!$B$2:$X$31, $A$1, FALSE)*(1-VLOOKUP($B16, '[1]Foundry share'!$B$2:$X$31, $A$1, FALSE))</f>
        <v>440.73580651286733</v>
      </c>
      <c r="E16" s="47">
        <f>VLOOKUP($B16, '[1]Iron content'!$B$2:$X$31, $A$1, FALSE)</f>
        <v>0.5</v>
      </c>
      <c r="F16" s="1">
        <f>VLOOKUP($B16, '[1]Exp of usable iron ore'!$B$2:$X$31, $A$1, FALSE)*parameters!$B$12</f>
        <v>1040</v>
      </c>
      <c r="G16" s="1">
        <f>VLOOKUP($B16, '[1]Pro of pig iron'!$B$2:$X$31, $A$1, FALSE)*(1-VLOOKUP($B16, '[1]Foundry share'!$B$2:$X$31, $A$1, FALSE))</f>
        <v>182.3436375965</v>
      </c>
      <c r="H16" s="1">
        <f>VLOOKUP($B16, '[1]Exp of pig iron'!$B$2:$X$31, $A$1, FALSE)</f>
        <v>0</v>
      </c>
      <c r="I16" s="1">
        <f>VLOOKUP($B16, '[1]Imp of pig iron'!$B$2:$X$31, $A$1, FALSE)</f>
        <v>11</v>
      </c>
      <c r="J16" s="1">
        <f>VLOOKUP($B16, '[1]Pro of DRI'!$B$2:$X$31, $A$1, FALSE)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750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1869</v>
      </c>
      <c r="R16" s="1">
        <f>VLOOKUP($B16, '[1]Exp of ingots and semis'!$B$2:$X$31, $A$1, FALSE)</f>
        <v>0</v>
      </c>
      <c r="S16" s="1">
        <f>VLOOKUP($B16, '[1]Imp of ingots and semis'!$B$2:$X$31, $A$1, FALSE)</f>
        <v>1728</v>
      </c>
      <c r="T16" s="1">
        <f>VLOOKUP($B16, '[1]Pro of hr long'!$B$2:$X$31, $A$1, FALSE)+VLOOKUP($B16, '[1]Pro of seamless tubes'!$B$2:$X$31, $A$1, FALSE)</f>
        <v>3468</v>
      </c>
      <c r="U16" s="1">
        <f>VLOOKUP($B16, '[1]Exp of long'!$B$2:$X$31, $A$1, FALSE)</f>
        <v>173</v>
      </c>
      <c r="V16" s="1">
        <f>VLOOKUP($B16, '[1]Imp of long'!$B$2:$X$31, $A$1, FALSE)</f>
        <v>317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2093</v>
      </c>
      <c r="Z16" s="1">
        <f>VLOOKUP($B16, '[1]Indirect exp'!$B$2:$X$31, $A$1, FALSE)</f>
        <v>218</v>
      </c>
      <c r="AA16" s="1">
        <f>VLOOKUP($B16, '[1]Indirect imp'!$B$2:$X$31, $A$1, FALSE)</f>
        <v>655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49.4</v>
      </c>
      <c r="G17" s="1">
        <f>VLOOKUP($B17, '[1]Pro of pig iron'!$B$2:$X$31, $A$1, FALSE)*(1-VLOOKUP($B17, '[1]Foundry share'!$B$2:$X$31, $A$1, FALSE))</f>
        <v>13013</v>
      </c>
      <c r="H17" s="1">
        <f>VLOOKUP($B17, '[1]Exp of pig iron'!$B$2:$X$31, $A$1, FALSE)</f>
        <v>114</v>
      </c>
      <c r="I17" s="1">
        <f>VLOOKUP($B17, '[1]Imp of pig iron'!$B$2:$X$31, $A$1, FALSE)</f>
        <v>184</v>
      </c>
      <c r="J17" s="1">
        <f>VLOOKUP($B17, '[1]Pro of DRI'!$B$2:$X$31, $A$1, FALSE)</f>
        <v>0</v>
      </c>
      <c r="K17" s="1">
        <f>VLOOKUP($B17, '[1]Exp of DRI'!$B$2:$X$31, $A$1, FALSE)</f>
        <v>7</v>
      </c>
      <c r="L17" s="1">
        <f>VLOOKUP($B17, '[1]Imp of DRI'!$B$2:$X$31, $A$1, FALSE)</f>
        <v>208</v>
      </c>
      <c r="M17" s="1">
        <f>VLOOKUP($B17, '[1]Exp of scrap'!$B$2:$X$31, $A$1, FALSE)</f>
        <v>6120</v>
      </c>
      <c r="N17" s="1">
        <f>VLOOKUP($B17, '[1]Imp of scrap'!$B$2:$X$31, $A$1, FALSE)</f>
        <v>3319</v>
      </c>
      <c r="O17" s="1">
        <f>VLOOKUP($B17, '[1]Pro of BOF steel'!$B$2:$X$31, $A$1, FALSE)</f>
        <v>12242</v>
      </c>
      <c r="P17" s="1">
        <f>VLOOKUP($B17, '[1]Pro of OHF steel'!$B$2:$X$31, $A$1, FALSE)</f>
        <v>0</v>
      </c>
      <c r="Q17" s="1">
        <f>VLOOKUP($B17, '[1]Pro of EAF steel'!$B$2:$X$31, $A$1, FALSE)</f>
        <v>7610</v>
      </c>
      <c r="R17" s="1">
        <f>VLOOKUP($B17, '[1]Exp of ingots and semis'!$B$2:$X$31, $A$1, FALSE)</f>
        <v>3028</v>
      </c>
      <c r="S17" s="1">
        <f>VLOOKUP($B17, '[1]Imp of ingots and semis'!$B$2:$X$31, $A$1, FALSE)</f>
        <v>1562</v>
      </c>
      <c r="T17" s="1">
        <f>VLOOKUP($B17, '[1]Pro of hr long'!$B$2:$X$31, $A$1, FALSE)+VLOOKUP($B17, '[1]Pro of seamless tubes'!$B$2:$X$31, $A$1, FALSE)</f>
        <v>5416</v>
      </c>
      <c r="U17" s="1">
        <f>VLOOKUP($B17, '[1]Exp of long'!$B$2:$X$31, $A$1, FALSE)</f>
        <v>2864</v>
      </c>
      <c r="V17" s="1">
        <f>VLOOKUP($B17, '[1]Imp of long'!$B$2:$X$31, $A$1, FALSE)</f>
        <v>3973</v>
      </c>
      <c r="W17" s="1">
        <f>VLOOKUP($B17, '[1]Pro of hr flat'!$B$2:$X$31, $A$1, FALSE)*parameters!$B$8</f>
        <v>11281.644381223328</v>
      </c>
      <c r="X17" s="1">
        <f>VLOOKUP($B17, '[1]Exp of flat'!$B$2:$X$31, $A$1, FALSE)</f>
        <v>11362</v>
      </c>
      <c r="Y17" s="1">
        <f>VLOOKUP($B17, '[1]Imp of flat'!$B$2:$X$31, $A$1, FALSE)</f>
        <v>9998</v>
      </c>
      <c r="Z17" s="1">
        <f>VLOOKUP($B17, '[1]Indirect exp'!$B$2:$X$31, $A$1, FALSE)</f>
        <v>11584</v>
      </c>
      <c r="AA17" s="1">
        <f>VLOOKUP($B17, '[1]Indirect imp'!$B$2:$X$31, $A$1, FALSE)</f>
        <v>13362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3432</v>
      </c>
      <c r="H18" s="1">
        <f>VLOOKUP($B18, '[1]Exp of pig iron'!$B$2:$X$31, $A$1, FALSE)</f>
        <v>4</v>
      </c>
      <c r="I18" s="1">
        <f>VLOOKUP($B18, '[1]Imp of pig iron'!$B$2:$X$31, $A$1, FALSE)</f>
        <v>793</v>
      </c>
      <c r="J18" s="1">
        <f>VLOOKUP($B18, '[1]Pro of DRI'!$B$2:$X$31, $A$1, FALSE)</f>
        <v>0</v>
      </c>
      <c r="K18" s="1">
        <f>VLOOKUP($B18, '[1]Exp of DRI'!$B$2:$X$31, $A$1, FALSE)</f>
        <v>2</v>
      </c>
      <c r="L18" s="1">
        <f>VLOOKUP($B18, '[1]Imp of DRI'!$B$2:$X$31, $A$1, FALSE)</f>
        <v>582</v>
      </c>
      <c r="M18" s="1">
        <f>VLOOKUP($B18, '[1]Exp of scrap'!$B$2:$X$31, $A$1, FALSE)</f>
        <v>137</v>
      </c>
      <c r="N18" s="1">
        <f>VLOOKUP($B18, '[1]Imp of scrap'!$B$2:$X$31, $A$1, FALSE)</f>
        <v>7437</v>
      </c>
      <c r="O18" s="1">
        <f>VLOOKUP($B18, '[1]Pro of BOF steel'!$B$2:$X$31, $A$1, FALSE)</f>
        <v>3601</v>
      </c>
      <c r="P18" s="1">
        <f>VLOOKUP($B18, '[1]Pro of OHF steel'!$B$2:$X$31, $A$1, FALSE)</f>
        <v>0</v>
      </c>
      <c r="Q18" s="1">
        <f>VLOOKUP($B18, '[1]Pro of EAF steel'!$B$2:$X$31, $A$1, FALSE)</f>
        <v>14790</v>
      </c>
      <c r="R18" s="1">
        <f>VLOOKUP($B18, '[1]Exp of ingots and semis'!$B$2:$X$31, $A$1, FALSE)</f>
        <v>115</v>
      </c>
      <c r="S18" s="1">
        <f>VLOOKUP($B18, '[1]Imp of ingots and semis'!$B$2:$X$31, $A$1, FALSE)</f>
        <v>1602</v>
      </c>
      <c r="T18" s="1">
        <f>VLOOKUP($B18, '[1]Pro of hr long'!$B$2:$X$31, $A$1, FALSE)+VLOOKUP($B18, '[1]Pro of seamless tubes'!$B$2:$X$31, $A$1, FALSE)</f>
        <v>12664</v>
      </c>
      <c r="U18" s="1">
        <f>VLOOKUP($B18, '[1]Exp of long'!$B$2:$X$31, $A$1, FALSE)</f>
        <v>3543</v>
      </c>
      <c r="V18" s="1">
        <f>VLOOKUP($B18, '[1]Imp of long'!$B$2:$X$31, $A$1, FALSE)</f>
        <v>3751</v>
      </c>
      <c r="W18" s="1">
        <f>VLOOKUP($B18, '[1]Pro of hr flat'!$B$2:$X$31, $A$1, FALSE)*parameters!$B$8</f>
        <v>5774.8961593172116</v>
      </c>
      <c r="X18" s="1">
        <f>VLOOKUP($B18, '[1]Exp of flat'!$B$2:$X$31, $A$1, FALSE)</f>
        <v>2429</v>
      </c>
      <c r="Y18" s="1">
        <f>VLOOKUP($B18, '[1]Imp of flat'!$B$2:$X$31, $A$1, FALSE)</f>
        <v>8068</v>
      </c>
      <c r="Z18" s="1">
        <f>VLOOKUP($B18, '[1]Indirect exp'!$B$2:$X$31, $A$1, FALSE)</f>
        <v>7056</v>
      </c>
      <c r="AA18" s="1">
        <f>VLOOKUP($B18, '[1]Indirect imp'!$B$2:$X$31, $A$1, FALSE)</f>
        <v>7985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33542.978000000003</v>
      </c>
      <c r="D19" s="1">
        <f>VLOOKUP($B19, '[1]Pro of iron ore'!$B$2:$X$31, $A$1, FALSE)*(1-VLOOKUP($B19, '[1]Foundry share'!$B$2:$X$31, $A$1, FALSE))</f>
        <v>21341</v>
      </c>
      <c r="E19" s="47">
        <f>VLOOKUP($B19, '[1]Iron content'!$B$2:$X$31, $A$1, FALSE)</f>
        <v>0.63622854237927229</v>
      </c>
      <c r="F19" s="1">
        <f>VLOOKUP($B19, '[1]Exp of usable iron ore'!$B$2:$X$31, $A$1, FALSE)*parameters!$B$12</f>
        <v>17864.600000000002</v>
      </c>
      <c r="G19" s="1">
        <f>VLOOKUP($B19, '[1]Pro of pig iron'!$B$2:$X$31, $A$1, FALSE)*(1-VLOOKUP($B19, '[1]Foundry share'!$B$2:$X$31, $A$1, FALSE))</f>
        <v>8305</v>
      </c>
      <c r="H19" s="1">
        <f>VLOOKUP($B19, '[1]Exp of pig iron'!$B$2:$X$31, $A$1, FALSE)</f>
        <v>101</v>
      </c>
      <c r="I19" s="1">
        <f>VLOOKUP($B19, '[1]Imp of pig iron'!$B$2:$X$31, $A$1, FALSE)</f>
        <v>46</v>
      </c>
      <c r="J19" s="1">
        <f>VLOOKUP($B19, '[1]Pro of DRI'!$B$2:$X$31, $A$1, FALSE)</f>
        <v>446</v>
      </c>
      <c r="K19" s="1">
        <f>VLOOKUP($B19, '[1]Exp of DRI'!$B$2:$X$31, $A$1, FALSE)</f>
        <v>642</v>
      </c>
      <c r="L19" s="1">
        <f>VLOOKUP($B19, '[1]Imp of DRI'!$B$2:$X$31, $A$1, FALSE)</f>
        <v>609</v>
      </c>
      <c r="M19" s="1">
        <f>VLOOKUP($B19, '[1]Exp of scrap'!$B$2:$X$31, $A$1, FALSE)</f>
        <v>3935</v>
      </c>
      <c r="N19" s="1">
        <f>VLOOKUP($B19, '[1]Imp of scrap'!$B$2:$X$31, $A$1, FALSE)</f>
        <v>1497</v>
      </c>
      <c r="O19" s="1">
        <f>VLOOKUP($B19, '[1]Pro of BOF steel'!$B$2:$X$31, $A$1, FALSE)</f>
        <v>9028</v>
      </c>
      <c r="P19" s="1">
        <f>VLOOKUP($B19, '[1]Pro of OHF steel'!$B$2:$X$31, $A$1, FALSE)</f>
        <v>0</v>
      </c>
      <c r="Q19" s="1">
        <f>VLOOKUP($B19, '[1]Pro of EAF steel'!$B$2:$X$31, $A$1, FALSE)</f>
        <v>6372</v>
      </c>
      <c r="R19" s="1">
        <f>VLOOKUP($B19, '[1]Exp of ingots and semis'!$B$2:$X$31, $A$1, FALSE)</f>
        <v>389</v>
      </c>
      <c r="S19" s="1">
        <f>VLOOKUP($B19, '[1]Imp of ingots and semis'!$B$2:$X$31, $A$1, FALSE)</f>
        <v>891</v>
      </c>
      <c r="T19" s="1">
        <f>VLOOKUP($B19, '[1]Pro of hr long'!$B$2:$X$31, $A$1, FALSE)+VLOOKUP($B19, '[1]Pro of seamless tubes'!$B$2:$X$31, $A$1, FALSE)</f>
        <v>3349</v>
      </c>
      <c r="U19" s="1">
        <f>VLOOKUP($B19, '[1]Exp of long'!$B$2:$X$31, $A$1, FALSE)</f>
        <v>1907</v>
      </c>
      <c r="V19" s="1">
        <f>VLOOKUP($B19, '[1]Imp of long'!$B$2:$X$31, $A$1, FALSE)</f>
        <v>3163</v>
      </c>
      <c r="W19" s="1">
        <f>VLOOKUP($B19, '[1]Pro of hr flat'!$B$2:$X$31, $A$1, FALSE)*parameters!$B$8</f>
        <v>10492.745376955903</v>
      </c>
      <c r="X19" s="1">
        <f>VLOOKUP($B19, '[1]Exp of flat'!$B$2:$X$31, $A$1, FALSE)</f>
        <v>2625</v>
      </c>
      <c r="Y19" s="1">
        <f>VLOOKUP($B19, '[1]Imp of flat'!$B$2:$X$31, $A$1, FALSE)</f>
        <v>5129</v>
      </c>
      <c r="Z19" s="1">
        <f>VLOOKUP($B19, '[1]Indirect exp'!$B$2:$X$31, $A$1, FALSE)</f>
        <v>8169</v>
      </c>
      <c r="AA19" s="1">
        <f>VLOOKUP($B19, '[1]Indirect imp'!$B$2:$X$31, $A$1, FALSE)</f>
        <v>12344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87.97</v>
      </c>
      <c r="D20" s="1">
        <f>VLOOKUP($B20, '[1]Pro of iron ore'!$B$2:$X$31, $A$1, FALSE)*(1-VLOOKUP($B20, '[1]Foundry share'!$B$2:$X$31, $A$1, FALSE))</f>
        <v>50</v>
      </c>
      <c r="E20" s="47">
        <f>VLOOKUP($B20, '[1]Iron content'!$B$2:$X$31, $A$1, FALSE)</f>
        <v>0.56837558258497212</v>
      </c>
      <c r="F20" s="1">
        <f>VLOOKUP($B20, '[1]Exp of usable iron ore'!$B$2:$X$31, $A$1, FALSE)*parameters!$B$12</f>
        <v>458.90000000000003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34</v>
      </c>
      <c r="I20" s="1">
        <f>VLOOKUP($B20, '[1]Imp of pig iron'!$B$2:$X$31, $A$1, FALSE)</f>
        <v>17</v>
      </c>
      <c r="J20" s="1">
        <f>VLOOKUP($B20, '[1]Pro of DRI'!$B$2:$X$31, $A$1, FALSE)</f>
        <v>1200</v>
      </c>
      <c r="K20" s="1">
        <f>VLOOKUP($B20, '[1]Exp of DRI'!$B$2:$X$31, $A$1, FALSE)</f>
        <v>0</v>
      </c>
      <c r="L20" s="1">
        <f>VLOOKUP($B20, '[1]Imp of DRI'!$B$2:$X$31, $A$1, FALSE)</f>
        <v>276</v>
      </c>
      <c r="M20" s="1">
        <f>VLOOKUP($B20, '[1]Exp of scrap'!$B$2:$X$31, $A$1, FALSE)</f>
        <v>0</v>
      </c>
      <c r="N20" s="1">
        <f>VLOOKUP($B20, '[1]Imp of scrap'!$B$2:$X$31, $A$1, FALSE)</f>
        <v>1063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3759</v>
      </c>
      <c r="R20" s="1">
        <f>VLOOKUP($B20, '[1]Exp of ingots and semis'!$B$2:$X$31, $A$1, FALSE)</f>
        <v>32</v>
      </c>
      <c r="S20" s="1">
        <f>VLOOKUP($B20, '[1]Imp of ingots and semis'!$B$2:$X$31, $A$1, FALSE)</f>
        <v>1923</v>
      </c>
      <c r="T20" s="1">
        <f>VLOOKUP($B20, '[1]Pro of hr long'!$B$2:$X$31, $A$1, FALSE)+VLOOKUP($B20, '[1]Pro of seamless tubes'!$B$2:$X$31, $A$1, FALSE)</f>
        <v>2655</v>
      </c>
      <c r="U20" s="1">
        <f>VLOOKUP($B20, '[1]Exp of long'!$B$2:$X$31, $A$1, FALSE)</f>
        <v>292</v>
      </c>
      <c r="V20" s="1">
        <f>VLOOKUP($B20, '[1]Imp of long'!$B$2:$X$31, $A$1, FALSE)</f>
        <v>640</v>
      </c>
      <c r="W20" s="1">
        <f>VLOOKUP($B20, '[1]Pro of hr flat'!$B$2:$X$31, $A$1, FALSE)*parameters!$B$8</f>
        <v>2423.0469416785204</v>
      </c>
      <c r="X20" s="1">
        <f>VLOOKUP($B20, '[1]Exp of flat'!$B$2:$X$31, $A$1, FALSE)</f>
        <v>1204</v>
      </c>
      <c r="Y20" s="1">
        <f>VLOOKUP($B20, '[1]Imp of flat'!$B$2:$X$31, $A$1, FALSE)</f>
        <v>1743</v>
      </c>
      <c r="Z20" s="1">
        <f>VLOOKUP($B20, '[1]Indirect exp'!$B$2:$X$31, $A$1, FALSE)</f>
        <v>1231</v>
      </c>
      <c r="AA20" s="1">
        <f>VLOOKUP($B20, '[1]Indirect imp'!$B$2:$X$31, $A$1, FALSE)</f>
        <v>2407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5333</v>
      </c>
      <c r="H21" s="1">
        <f>VLOOKUP($B21, '[1]Exp of pig iron'!$B$2:$X$31, $A$1, FALSE)</f>
        <v>19</v>
      </c>
      <c r="I21" s="1">
        <f>VLOOKUP($B21, '[1]Imp of pig iron'!$B$2:$X$31, $A$1, FALSE)</f>
        <v>221</v>
      </c>
      <c r="J21" s="1">
        <f>VLOOKUP($B21, '[1]Pro of DRI'!$B$2:$X$31, $A$1, FALSE)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1189</v>
      </c>
      <c r="N21" s="1">
        <f>VLOOKUP($B21, '[1]Imp of scrap'!$B$2:$X$31, $A$1, FALSE)</f>
        <v>286</v>
      </c>
      <c r="O21" s="1">
        <f>VLOOKUP($B21, '[1]Pro of BOF steel'!$B$2:$X$31, $A$1, FALSE)</f>
        <v>5766</v>
      </c>
      <c r="P21" s="1">
        <f>VLOOKUP($B21, '[1]Pro of OHF steel'!$B$2:$X$31, $A$1, FALSE)</f>
        <v>0</v>
      </c>
      <c r="Q21" s="1">
        <f>VLOOKUP($B21, '[1]Pro of EAF steel'!$B$2:$X$31, $A$1, FALSE)</f>
        <v>4241</v>
      </c>
      <c r="R21" s="1">
        <f>VLOOKUP($B21, '[1]Exp of ingots and semis'!$B$2:$X$31, $A$1, FALSE)</f>
        <v>966</v>
      </c>
      <c r="S21" s="1">
        <f>VLOOKUP($B21, '[1]Imp of ingots and semis'!$B$2:$X$31, $A$1, FALSE)</f>
        <v>571</v>
      </c>
      <c r="T21" s="1">
        <f>VLOOKUP($B21, '[1]Pro of hr long'!$B$2:$X$31, $A$1, FALSE)+VLOOKUP($B21, '[1]Pro of seamless tubes'!$B$2:$X$31, $A$1, FALSE)</f>
        <v>4960</v>
      </c>
      <c r="U21" s="1">
        <f>VLOOKUP($B21, '[1]Exp of long'!$B$2:$X$31, $A$1, FALSE)</f>
        <v>2056</v>
      </c>
      <c r="V21" s="1">
        <f>VLOOKUP($B21, '[1]Imp of long'!$B$2:$X$31, $A$1, FALSE)</f>
        <v>1414</v>
      </c>
      <c r="W21" s="1">
        <f>VLOOKUP($B21, '[1]Pro of hr flat'!$B$2:$X$31, $A$1, FALSE)*parameters!$B$8</f>
        <v>2851.5007112375533</v>
      </c>
      <c r="X21" s="1">
        <f>VLOOKUP($B21, '[1]Exp of flat'!$B$2:$X$31, $A$1, FALSE)</f>
        <v>715</v>
      </c>
      <c r="Y21" s="1">
        <f>VLOOKUP($B21, '[1]Imp of flat'!$B$2:$X$31, $A$1, FALSE)</f>
        <v>3895</v>
      </c>
      <c r="Z21" s="1">
        <f>VLOOKUP($B21, '[1]Indirect exp'!$B$2:$X$31, $A$1, FALSE)</f>
        <v>6290</v>
      </c>
      <c r="AA21" s="1">
        <f>VLOOKUP($B21, '[1]Indirect imp'!$B$2:$X$31, $A$1, FALSE)</f>
        <v>5576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1421.2898964514286</v>
      </c>
      <c r="D22" s="1">
        <f>VLOOKUP($B22, '[1]Pro of iron ore'!$B$2:$X$31, $A$1, FALSE)*(1-VLOOKUP($B22, '[1]Foundry share'!$B$2:$X$31, $A$1, FALSE))</f>
        <v>710.6449482257143</v>
      </c>
      <c r="E22" s="47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977.13680381035715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</f>
        <v>3100</v>
      </c>
      <c r="K22" s="1">
        <f>VLOOKUP($B22, '[1]Exp of DRI'!$B$2:$X$31, $A$1, FALSE)</f>
        <v>0</v>
      </c>
      <c r="L22" s="1">
        <f>VLOOKUP($B22, '[1]Imp of DRI'!$B$2:$X$31, $A$1, FALSE)</f>
        <v>126</v>
      </c>
      <c r="M22" s="1">
        <f>VLOOKUP($B22, '[1]Exp of scrap'!$B$2:$X$31, $A$1, FALSE)</f>
        <v>0</v>
      </c>
      <c r="N22" s="1">
        <f>VLOOKUP($B22, '[1]Imp of scrap'!$B$2:$X$31, $A$1, FALSE)</f>
        <v>2275</v>
      </c>
      <c r="O22" s="1">
        <f>VLOOKUP($B22, '[1]Pro of BOF steel'!$B$2:$X$31, $A$1, FALSE)</f>
        <v>1300</v>
      </c>
      <c r="P22" s="1">
        <f>VLOOKUP($B22, '[1]Pro of OHF steel'!$B$2:$X$31, $A$1, FALSE)</f>
        <v>0</v>
      </c>
      <c r="Q22" s="1">
        <f>VLOOKUP($B22, '[1]Pro of EAF steel'!$B$2:$X$31, $A$1, FALSE)</f>
        <v>4750</v>
      </c>
      <c r="R22" s="1">
        <f>VLOOKUP($B22, '[1]Exp of ingots and semis'!$B$2:$X$31, $A$1, FALSE)</f>
        <v>46</v>
      </c>
      <c r="S22" s="1">
        <f>VLOOKUP($B22, '[1]Imp of ingots and semis'!$B$2:$X$31, $A$1, FALSE)</f>
        <v>1873</v>
      </c>
      <c r="T22" s="1">
        <f>VLOOKUP($B22, '[1]Pro of hr long'!$B$2:$X$31, $A$1, FALSE)+VLOOKUP($B22, '[1]Pro of seamless tubes'!$B$2:$X$31, $A$1, FALSE)</f>
        <v>4326</v>
      </c>
      <c r="U22" s="1">
        <f>VLOOKUP($B22, '[1]Exp of long'!$B$2:$X$31, $A$1, FALSE)</f>
        <v>0</v>
      </c>
      <c r="V22" s="1">
        <f>VLOOKUP($B22, '[1]Imp of long'!$B$2:$X$31, $A$1, FALSE)</f>
        <v>181</v>
      </c>
      <c r="W22" s="1">
        <f>VLOOKUP($B22, '[1]Pro of hr flat'!$B$2:$X$31, $A$1, FALSE)*parameters!$B$8</f>
        <v>2035.3982930298719</v>
      </c>
      <c r="X22" s="1">
        <f>VLOOKUP($B22, '[1]Exp of flat'!$B$2:$X$31, $A$1, FALSE)</f>
        <v>0</v>
      </c>
      <c r="Y22" s="1">
        <f>VLOOKUP($B22, '[1]Imp of flat'!$B$2:$X$31, $A$1, FALSE)</f>
        <v>535</v>
      </c>
      <c r="Z22" s="1">
        <f>VLOOKUP($B22, '[1]Indirect exp'!$B$2:$X$31, $A$1, FALSE)</f>
        <v>175</v>
      </c>
      <c r="AA22" s="1">
        <f>VLOOKUP($B22, '[1]Indirect imp'!$B$2:$X$31, $A$1, FALSE)</f>
        <v>454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26</v>
      </c>
      <c r="J23" s="1">
        <f>VLOOKUP($B23, '[1]Pro of DRI'!$B$2:$X$31, $A$1, FALSE)</f>
        <v>3581</v>
      </c>
      <c r="K23" s="1">
        <f>VLOOKUP($B23, '[1]Exp of DRI'!$B$2:$X$31, $A$1, FALSE)</f>
        <v>0</v>
      </c>
      <c r="L23" s="1">
        <f>VLOOKUP($B23, '[1]Imp of DRI'!$B$2:$X$31, $A$1, FALSE)</f>
        <v>63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3974</v>
      </c>
      <c r="R23" s="1">
        <f>VLOOKUP($B23, '[1]Exp of ingots and semis'!$B$2:$X$31, $A$1, FALSE)</f>
        <v>0</v>
      </c>
      <c r="S23" s="1">
        <f>VLOOKUP($B23, '[1]Imp of ingots and semis'!$B$2:$X$31, $A$1, FALSE)</f>
        <v>796</v>
      </c>
      <c r="T23" s="1">
        <f>VLOOKUP($B23, '[1]Pro of hr long'!$B$2:$X$31, $A$1, FALSE)+VLOOKUP($B23, '[1]Pro of seamless tubes'!$B$2:$X$31, $A$1, FALSE)</f>
        <v>2230</v>
      </c>
      <c r="U23" s="1">
        <f>VLOOKUP($B23, '[1]Exp of long'!$B$2:$X$31, $A$1, FALSE)</f>
        <v>0</v>
      </c>
      <c r="V23" s="1">
        <f>VLOOKUP($B23, '[1]Imp of long'!$B$2:$X$31, $A$1, FALSE)</f>
        <v>716</v>
      </c>
      <c r="W23" s="1">
        <f>VLOOKUP($B23, '[1]Pro of hr flat'!$B$2:$X$31, $A$1, FALSE)*parameters!$B$8</f>
        <v>1502.1489189925373</v>
      </c>
      <c r="X23" s="1">
        <f>VLOOKUP($B23, '[1]Exp of flat'!$B$2:$X$31, $A$1, FALSE)</f>
        <v>0</v>
      </c>
      <c r="Y23" s="1">
        <f>VLOOKUP($B23, '[1]Imp of flat'!$B$2:$X$31, $A$1, FALSE)</f>
        <v>1802</v>
      </c>
      <c r="Z23" s="1">
        <f>VLOOKUP($B23, '[1]Indirect exp'!$B$2:$X$31, $A$1, FALSE)</f>
        <v>34</v>
      </c>
      <c r="AA23" s="1">
        <f>VLOOKUP($B23, '[1]Indirect imp'!$B$2:$X$31, $A$1, FALSE)</f>
        <v>2234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2092.9960000000001</v>
      </c>
      <c r="D24" s="1">
        <f>VLOOKUP($B24, '[1]Pro of iron ore'!$B$2:$X$31, $A$1, FALSE)*(1-VLOOKUP($B24, '[1]Foundry share'!$B$2:$X$31, $A$1, FALSE))</f>
        <v>669.43799999999999</v>
      </c>
      <c r="E24" s="47">
        <f>VLOOKUP($B24, '[1]Iron content'!$B$2:$X$31, $A$1, FALSE)</f>
        <v>0.31984676511565235</v>
      </c>
      <c r="F24" s="1">
        <f>VLOOKUP($B24, '[1]Exp of usable iron ore'!$B$2:$X$31, $A$1, FALSE)*parameters!$B$12</f>
        <v>1.3</v>
      </c>
      <c r="G24" s="1">
        <f>VLOOKUP($B24, '[1]Pro of pig iron'!$B$2:$X$31, $A$1, FALSE)*(1-VLOOKUP($B24, '[1]Foundry share'!$B$2:$X$31, $A$1, FALSE))</f>
        <v>5547</v>
      </c>
      <c r="H24" s="1">
        <f>VLOOKUP($B24, '[1]Exp of pig iron'!$B$2:$X$31, $A$1, FALSE)</f>
        <v>6</v>
      </c>
      <c r="I24" s="1">
        <f>VLOOKUP($B24, '[1]Imp of pig iron'!$B$2:$X$31, $A$1, FALSE)</f>
        <v>40</v>
      </c>
      <c r="J24" s="1">
        <f>VLOOKUP($B24, '[1]Pro of DRI'!$B$2:$X$31, $A$1, FALSE)</f>
        <v>0</v>
      </c>
      <c r="K24" s="1">
        <f>VLOOKUP($B24, '[1]Exp of DRI'!$B$2:$X$31, $A$1, FALSE)</f>
        <v>0</v>
      </c>
      <c r="L24" s="1">
        <f>VLOOKUP($B24, '[1]Imp of DRI'!$B$2:$X$31, $A$1, FALSE)</f>
        <v>2</v>
      </c>
      <c r="M24" s="1">
        <f>VLOOKUP($B24, '[1]Exp of scrap'!$B$2:$X$31, $A$1, FALSE)</f>
        <v>1148</v>
      </c>
      <c r="N24" s="1">
        <f>VLOOKUP($B24, '[1]Imp of scrap'!$B$2:$X$31, $A$1, FALSE)</f>
        <v>1098</v>
      </c>
      <c r="O24" s="1">
        <f>VLOOKUP($B24, '[1]Pro of BOF steel'!$B$2:$X$31, $A$1, FALSE)</f>
        <v>6487</v>
      </c>
      <c r="P24" s="1">
        <f>VLOOKUP($B24, '[1]Pro of OHF steel'!$B$2:$X$31, $A$1, FALSE)</f>
        <v>0</v>
      </c>
      <c r="Q24" s="1">
        <f>VLOOKUP($B24, '[1]Pro of EAF steel'!$B$2:$X$31, $A$1, FALSE)</f>
        <v>643</v>
      </c>
      <c r="R24" s="1">
        <f>VLOOKUP($B24, '[1]Exp of ingots and semis'!$B$2:$X$31, $A$1, FALSE)</f>
        <v>306</v>
      </c>
      <c r="S24" s="1">
        <f>VLOOKUP($B24, '[1]Imp of ingots and semis'!$B$2:$X$31, $A$1, FALSE)</f>
        <v>135</v>
      </c>
      <c r="T24" s="1">
        <f>VLOOKUP($B24, '[1]Pro of hr long'!$B$2:$X$31, $A$1, FALSE)+VLOOKUP($B24, '[1]Pro of seamless tubes'!$B$2:$X$31, $A$1, FALSE)</f>
        <v>1652</v>
      </c>
      <c r="U24" s="1">
        <f>VLOOKUP($B24, '[1]Exp of long'!$B$2:$X$31, $A$1, FALSE)</f>
        <v>1255</v>
      </c>
      <c r="V24" s="1">
        <f>VLOOKUP($B24, '[1]Imp of long'!$B$2:$X$31, $A$1, FALSE)</f>
        <v>1303</v>
      </c>
      <c r="W24" s="1">
        <f>VLOOKUP($B24, '[1]Pro of hr flat'!$B$2:$X$31, $A$1, FALSE)*parameters!$B$8</f>
        <v>4706.1906116642958</v>
      </c>
      <c r="X24" s="1">
        <f>VLOOKUP($B24, '[1]Exp of flat'!$B$2:$X$31, $A$1, FALSE)</f>
        <v>3995</v>
      </c>
      <c r="Y24" s="1">
        <f>VLOOKUP($B24, '[1]Imp of flat'!$B$2:$X$31, $A$1, FALSE)</f>
        <v>1942</v>
      </c>
      <c r="Z24" s="1">
        <f>VLOOKUP($B24, '[1]Indirect exp'!$B$2:$X$31, $A$1, FALSE)</f>
        <v>3509</v>
      </c>
      <c r="AA24" s="1">
        <f>VLOOKUP($B24, '[1]Indirect imp'!$B$2:$X$31, $A$1, FALSE)</f>
        <v>3470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27.95</v>
      </c>
      <c r="G25" s="1">
        <f>VLOOKUP($B25, '[1]Pro of pig iron'!$B$2:$X$31, $A$1, FALSE)*(1-VLOOKUP($B25, '[1]Foundry share'!$B$2:$X$31, $A$1, FALSE))</f>
        <v>7516</v>
      </c>
      <c r="H25" s="1">
        <f>VLOOKUP($B25, '[1]Exp of pig iron'!$B$2:$X$31, $A$1, FALSE)</f>
        <v>224</v>
      </c>
      <c r="I25" s="1">
        <f>VLOOKUP($B25, '[1]Imp of pig iron'!$B$2:$X$31, $A$1, FALSE)</f>
        <v>552</v>
      </c>
      <c r="J25" s="1">
        <f>VLOOKUP($B25, '[1]Pro of DRI'!$B$2:$X$31, $A$1, FALSE)</f>
        <v>0</v>
      </c>
      <c r="K25" s="1">
        <f>VLOOKUP($B25, '[1]Exp of DRI'!$B$2:$X$31, $A$1, FALSE)</f>
        <v>12</v>
      </c>
      <c r="L25" s="1">
        <f>VLOOKUP($B25, '[1]Imp of DRI'!$B$2:$X$31, $A$1, FALSE)</f>
        <v>85</v>
      </c>
      <c r="M25" s="1">
        <f>VLOOKUP($B25, '[1]Exp of scrap'!$B$2:$X$31, $A$1, FALSE)</f>
        <v>2994</v>
      </c>
      <c r="N25" s="1">
        <f>VLOOKUP($B25, '[1]Imp of scrap'!$B$2:$X$31, $A$1, FALSE)</f>
        <v>4489</v>
      </c>
      <c r="O25" s="1">
        <f>VLOOKUP($B25, '[1]Pro of BOF steel'!$B$2:$X$31, $A$1, FALSE)</f>
        <v>8172</v>
      </c>
      <c r="P25" s="1">
        <f>VLOOKUP($B25, '[1]Pro of OHF steel'!$B$2:$X$31, $A$1, FALSE)</f>
        <v>0</v>
      </c>
      <c r="Q25" s="1">
        <f>VLOOKUP($B25, '[1]Pro of EAF steel'!$B$2:$X$31, $A$1, FALSE)</f>
        <v>3458</v>
      </c>
      <c r="R25" s="1">
        <f>VLOOKUP($B25, '[1]Exp of ingots and semis'!$B$2:$X$31, $A$1, FALSE)</f>
        <v>857</v>
      </c>
      <c r="S25" s="1">
        <f>VLOOKUP($B25, '[1]Imp of ingots and semis'!$B$2:$X$31, $A$1, FALSE)</f>
        <v>2831</v>
      </c>
      <c r="T25" s="1">
        <f>VLOOKUP($B25, '[1]Pro of hr long'!$B$2:$X$31, $A$1, FALSE)+VLOOKUP($B25, '[1]Pro of seamless tubes'!$B$2:$X$31, $A$1, FALSE)</f>
        <v>1260</v>
      </c>
      <c r="U25" s="1">
        <f>VLOOKUP($B25, '[1]Exp of long'!$B$2:$X$31, $A$1, FALSE)</f>
        <v>2265</v>
      </c>
      <c r="V25" s="1">
        <f>VLOOKUP($B25, '[1]Imp of long'!$B$2:$X$31, $A$1, FALSE)</f>
        <v>2322</v>
      </c>
      <c r="W25" s="1">
        <f>VLOOKUP($B25, '[1]Pro of hr flat'!$B$2:$X$31, $A$1, FALSE)*parameters!$B$8</f>
        <v>11173.80227596017</v>
      </c>
      <c r="X25" s="1">
        <f>VLOOKUP($B25, '[1]Exp of flat'!$B$2:$X$31, $A$1, FALSE)</f>
        <v>16431</v>
      </c>
      <c r="Y25" s="1">
        <f>VLOOKUP($B25, '[1]Imp of flat'!$B$2:$X$31, $A$1, FALSE)</f>
        <v>8711</v>
      </c>
      <c r="Z25" s="1">
        <f>VLOOKUP($B25, '[1]Indirect exp'!$B$2:$X$31, $A$1, FALSE)</f>
        <v>7165</v>
      </c>
      <c r="AA25" s="1">
        <f>VLOOKUP($B25, '[1]Indirect imp'!$B$2:$X$31, $A$1, FALSE)</f>
        <v>7458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3.25</v>
      </c>
      <c r="G26" s="1">
        <f>VLOOKUP($B26, '[1]Pro of pig iron'!$B$2:$X$31, $A$1, FALSE)*(1-VLOOKUP($B26, '[1]Foundry share'!$B$2:$X$31, $A$1, FALSE))</f>
        <v>10696</v>
      </c>
      <c r="H26" s="1">
        <f>VLOOKUP($B26, '[1]Exp of pig iron'!$B$2:$X$31, $A$1, FALSE)</f>
        <v>5</v>
      </c>
      <c r="I26" s="1">
        <f>VLOOKUP($B26, '[1]Imp of pig iron'!$B$2:$X$31, $A$1, FALSE)</f>
        <v>82</v>
      </c>
      <c r="J26" s="1">
        <f>VLOOKUP($B26, '[1]Pro of DRI'!$B$2:$X$31, $A$1, FALSE)</f>
        <v>0</v>
      </c>
      <c r="K26" s="1">
        <f>VLOOKUP($B26, '[1]Exp of DRI'!$B$2:$X$31, $A$1, FALSE)</f>
        <v>0</v>
      </c>
      <c r="L26" s="1">
        <f>VLOOKUP($B26, '[1]Imp of DRI'!$B$2:$X$31, $A$1, FALSE)</f>
        <v>1</v>
      </c>
      <c r="M26" s="1">
        <f>VLOOKUP($B26, '[1]Exp of scrap'!$B$2:$X$31, $A$1, FALSE)</f>
        <v>7426</v>
      </c>
      <c r="N26" s="1">
        <f>VLOOKUP($B26, '[1]Imp of scrap'!$B$2:$X$31, $A$1, FALSE)</f>
        <v>161</v>
      </c>
      <c r="O26" s="1">
        <f>VLOOKUP($B26, '[1]Pro of BOF steel'!$B$2:$X$31, $A$1, FALSE)</f>
        <v>11203</v>
      </c>
      <c r="P26" s="1">
        <f>VLOOKUP($B26, '[1]Pro of OHF steel'!$B$2:$X$31, $A$1, FALSE)</f>
        <v>0</v>
      </c>
      <c r="Q26" s="1">
        <f>VLOOKUP($B26, '[1]Pro of EAF steel'!$B$2:$X$31, $A$1, FALSE)</f>
        <v>2666</v>
      </c>
      <c r="R26" s="1">
        <f>VLOOKUP($B26, '[1]Exp of ingots and semis'!$B$2:$X$31, $A$1, FALSE)</f>
        <v>2677</v>
      </c>
      <c r="S26" s="1">
        <f>VLOOKUP($B26, '[1]Imp of ingots and semis'!$B$2:$X$31, $A$1, FALSE)</f>
        <v>1059</v>
      </c>
      <c r="T26" s="1">
        <f>VLOOKUP($B26, '[1]Pro of hr long'!$B$2:$X$31, $A$1, FALSE)+VLOOKUP($B26, '[1]Pro of seamless tubes'!$B$2:$X$31, $A$1, FALSE)</f>
        <v>4596</v>
      </c>
      <c r="U26" s="1">
        <f>VLOOKUP($B26, '[1]Exp of long'!$B$2:$X$31, $A$1, FALSE)</f>
        <v>2446</v>
      </c>
      <c r="V26" s="1">
        <f>VLOOKUP($B26, '[1]Imp of long'!$B$2:$X$31, $A$1, FALSE)</f>
        <v>2273</v>
      </c>
      <c r="W26" s="1">
        <f>VLOOKUP($B26, '[1]Pro of hr flat'!$B$2:$X$31, $A$1, FALSE)*parameters!$B$8</f>
        <v>5985.7226173541967</v>
      </c>
      <c r="X26" s="1">
        <f>VLOOKUP($B26, '[1]Exp of flat'!$B$2:$X$31, $A$1, FALSE)</f>
        <v>2537</v>
      </c>
      <c r="Y26" s="1">
        <f>VLOOKUP($B26, '[1]Imp of flat'!$B$2:$X$31, $A$1, FALSE)</f>
        <v>4282</v>
      </c>
      <c r="Z26" s="1">
        <f>VLOOKUP($B26, '[1]Indirect exp'!$B$2:$X$31, $A$1, FALSE)</f>
        <v>6459</v>
      </c>
      <c r="AA26" s="1">
        <f>VLOOKUP($B26, '[1]Indirect imp'!$B$2:$X$31, $A$1, FALSE)</f>
        <v>11511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16600.350000000002</v>
      </c>
      <c r="G27" s="1">
        <f>VLOOKUP($B27, '[1]Pro of pig iron'!$B$2:$X$31, $A$1, FALSE)*(1-VLOOKUP($B27, '[1]Foundry share'!$B$2:$X$31, $A$1, FALSE))</f>
        <v>5017.2293875679998</v>
      </c>
      <c r="H27" s="1">
        <f>VLOOKUP($B27, '[1]Exp of pig iron'!$B$2:$X$31, $A$1, FALSE)</f>
        <v>112</v>
      </c>
      <c r="I27" s="1">
        <f>VLOOKUP($B27, '[1]Imp of pig iron'!$B$2:$X$31, $A$1, FALSE)</f>
        <v>331</v>
      </c>
      <c r="J27" s="1">
        <f>VLOOKUP($B27, '[1]Pro of DRI'!$B$2:$X$31, $A$1, FALSE)</f>
        <v>0</v>
      </c>
      <c r="K27" s="1">
        <f>VLOOKUP($B27, '[1]Exp of DRI'!$B$2:$X$31, $A$1, FALSE)</f>
        <v>22</v>
      </c>
      <c r="L27" s="1">
        <f>VLOOKUP($B27, '[1]Imp of DRI'!$B$2:$X$31, $A$1, FALSE)</f>
        <v>246</v>
      </c>
      <c r="M27" s="1">
        <f>VLOOKUP($B27, '[1]Exp of scrap'!$B$2:$X$31, $A$1, FALSE)</f>
        <v>4727</v>
      </c>
      <c r="N27" s="1">
        <f>VLOOKUP($B27, '[1]Imp of scrap'!$B$2:$X$31, $A$1, FALSE)</f>
        <v>2330</v>
      </c>
      <c r="O27" s="1">
        <f>VLOOKUP($B27, '[1]Pro of BOF steel'!$B$2:$X$31, $A$1, FALSE)</f>
        <v>6223</v>
      </c>
      <c r="P27" s="1">
        <f>VLOOKUP($B27, '[1]Pro of OHF steel'!$B$2:$X$31, $A$1, FALSE)</f>
        <v>0</v>
      </c>
      <c r="Q27" s="1">
        <f>VLOOKUP($B27, '[1]Pro of EAF steel'!$B$2:$X$31, $A$1, FALSE)</f>
        <v>150</v>
      </c>
      <c r="R27" s="1">
        <f>VLOOKUP($B27, '[1]Exp of ingots and semis'!$B$2:$X$31, $A$1, FALSE)</f>
        <v>367</v>
      </c>
      <c r="S27" s="1">
        <f>VLOOKUP($B27, '[1]Imp of ingots and semis'!$B$2:$X$31, $A$1, FALSE)</f>
        <v>387</v>
      </c>
      <c r="T27" s="1">
        <f>VLOOKUP($B27, '[1]Pro of hr long'!$B$2:$X$31, $A$1, FALSE)+VLOOKUP($B27, '[1]Pro of seamless tubes'!$B$2:$X$31, $A$1, FALSE)</f>
        <v>252</v>
      </c>
      <c r="U27" s="1">
        <f>VLOOKUP($B27, '[1]Exp of long'!$B$2:$X$31, $A$1, FALSE)</f>
        <v>1136</v>
      </c>
      <c r="V27" s="1">
        <f>VLOOKUP($B27, '[1]Imp of long'!$B$2:$X$31, $A$1, FALSE)</f>
        <v>2957</v>
      </c>
      <c r="W27" s="1">
        <f>VLOOKUP($B27, '[1]Pro of hr flat'!$B$2:$X$31, $A$1, FALSE)*parameters!$B$8</f>
        <v>5967.2631578947367</v>
      </c>
      <c r="X27" s="1">
        <f>VLOOKUP($B27, '[1]Exp of flat'!$B$2:$X$31, $A$1, FALSE)</f>
        <v>8141</v>
      </c>
      <c r="Y27" s="1">
        <f>VLOOKUP($B27, '[1]Imp of flat'!$B$2:$X$31, $A$1, FALSE)</f>
        <v>4082</v>
      </c>
      <c r="Z27" s="1">
        <f>VLOOKUP($B27, '[1]Indirect exp'!$B$2:$X$31, $A$1, FALSE)</f>
        <v>5173</v>
      </c>
      <c r="AA27" s="1">
        <f>VLOOKUP($B27, '[1]Indirect imp'!$B$2:$X$31, $A$1, FALSE)</f>
        <v>5852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275000</v>
      </c>
      <c r="D28" s="1">
        <f>VLOOKUP($B28, '[1]Pro of iron ore'!$B$2:$X$31, $A$1, FALSE)*(1-VLOOKUP($B28, '[1]Foundry share'!$B$2:$X$31, $A$1, FALSE))</f>
        <v>171000</v>
      </c>
      <c r="E28" s="47">
        <f>VLOOKUP($B28, '[1]Iron content'!$B$2:$X$31, $A$1, FALSE)</f>
        <v>0.62181818181818183</v>
      </c>
      <c r="F28" s="1">
        <f>VLOOKUP($B28, '[1]Exp of usable iron ore'!$B$2:$X$31, $A$1, FALSE)*parameters!$B$12</f>
        <v>161295.55000000002</v>
      </c>
      <c r="G28" s="1">
        <f>VLOOKUP($B28, '[1]Pro of pig iron'!$B$2:$X$31, $A$1, FALSE)*(1-VLOOKUP($B28, '[1]Foundry share'!$B$2:$X$31, $A$1, FALSE))</f>
        <v>6433</v>
      </c>
      <c r="H28" s="1">
        <f>VLOOKUP($B28, '[1]Exp of pig iron'!$B$2:$X$31, $A$1, FALSE)</f>
        <v>67</v>
      </c>
      <c r="I28" s="1">
        <f>VLOOKUP($B28, '[1]Imp of pig iron'!$B$2:$X$31, $A$1, FALSE)</f>
        <v>196</v>
      </c>
      <c r="J28" s="1">
        <f>VLOOKUP($B28, '[1]Pro of DRI'!$B$2:$X$31, $A$1, FALSE)</f>
        <v>0</v>
      </c>
      <c r="K28" s="1">
        <f>VLOOKUP($B28, '[1]Exp of DRI'!$B$2:$X$31, $A$1, FALSE)</f>
        <v>0</v>
      </c>
      <c r="L28" s="1">
        <f>VLOOKUP($B28, '[1]Imp of DRI'!$B$2:$X$31, $A$1, FALSE)</f>
        <v>2</v>
      </c>
      <c r="M28" s="1">
        <f>VLOOKUP($B28, '[1]Exp of scrap'!$B$2:$X$31, $A$1, FALSE)</f>
        <v>1355</v>
      </c>
      <c r="N28" s="1">
        <f>VLOOKUP($B28, '[1]Imp of scrap'!$B$2:$X$31, $A$1, FALSE)</f>
        <v>25</v>
      </c>
      <c r="O28" s="1">
        <f>VLOOKUP($B28, '[1]Pro of BOF steel'!$B$2:$X$31, $A$1, FALSE)</f>
        <v>6442</v>
      </c>
      <c r="P28" s="1">
        <f>VLOOKUP($B28, '[1]Pro of OHF steel'!$B$2:$X$31, $A$1, FALSE)</f>
        <v>0</v>
      </c>
      <c r="Q28" s="1">
        <f>VLOOKUP($B28, '[1]Pro of EAF steel'!$B$2:$X$31, $A$1, FALSE)</f>
        <v>1439</v>
      </c>
      <c r="R28" s="1">
        <f>VLOOKUP($B28, '[1]Exp of ingots and semis'!$B$2:$X$31, $A$1, FALSE)</f>
        <v>1</v>
      </c>
      <c r="S28" s="1">
        <f>VLOOKUP($B28, '[1]Imp of ingots and semis'!$B$2:$X$31, $A$1, FALSE)</f>
        <v>12</v>
      </c>
      <c r="T28" s="1">
        <f>VLOOKUP($B28, '[1]Pro of hr long'!$B$2:$X$31, $A$1, FALSE)+VLOOKUP($B28, '[1]Pro of seamless tubes'!$B$2:$X$31, $A$1, FALSE)</f>
        <v>2320</v>
      </c>
      <c r="U28" s="1">
        <f>VLOOKUP($B28, '[1]Exp of long'!$B$2:$X$31, $A$1, FALSE)</f>
        <v>169</v>
      </c>
      <c r="V28" s="1">
        <f>VLOOKUP($B28, '[1]Imp of long'!$B$2:$X$31, $A$1, FALSE)</f>
        <v>735</v>
      </c>
      <c r="W28" s="1">
        <f>VLOOKUP($B28, '[1]Pro of hr flat'!$B$2:$X$31, $A$1, FALSE)*parameters!$B$8</f>
        <v>2945.7411095305833</v>
      </c>
      <c r="X28" s="1">
        <f>VLOOKUP($B28, '[1]Exp of flat'!$B$2:$X$31, $A$1, FALSE)</f>
        <v>938</v>
      </c>
      <c r="Y28" s="1">
        <f>VLOOKUP($B28, '[1]Imp of flat'!$B$2:$X$31, $A$1, FALSE)</f>
        <v>1039</v>
      </c>
      <c r="Z28" s="1">
        <f>VLOOKUP($B28, '[1]Indirect exp'!$B$2:$X$31, $A$1, FALSE)</f>
        <v>679</v>
      </c>
      <c r="AA28" s="1">
        <f>VLOOKUP($B28, '[1]Indirect imp'!$B$2:$X$31, $A$1, FALSE)</f>
        <v>3790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41326.036</v>
      </c>
      <c r="D29" s="1">
        <f>VLOOKUP($B29, '[1]Pro of iron ore'!$B$2:$X$31, $A$1, FALSE)*(1-VLOOKUP($B29, '[1]Foundry share'!$B$2:$X$31, $A$1, FALSE))</f>
        <v>26100</v>
      </c>
      <c r="E29" s="47">
        <f>VLOOKUP($B29, '[1]Iron content'!$B$2:$X$31, $A$1, FALSE)</f>
        <v>0.63156311435241452</v>
      </c>
      <c r="F29" s="1">
        <f>VLOOKUP($B29, '[1]Exp of usable iron ore'!$B$2:$X$31, $A$1, FALSE)*parameters!$B$12</f>
        <v>17004.650000000001</v>
      </c>
      <c r="G29" s="1">
        <f>VLOOKUP($B29, '[1]Pro of pig iron'!$B$2:$X$31, $A$1, FALSE)*(1-VLOOKUP($B29, '[1]Foundry share'!$B$2:$X$31, $A$1, FALSE))</f>
        <v>6159</v>
      </c>
      <c r="H29" s="1">
        <f>VLOOKUP($B29, '[1]Exp of pig iron'!$B$2:$X$31, $A$1, FALSE)</f>
        <v>536</v>
      </c>
      <c r="I29" s="1">
        <f>VLOOKUP($B29, '[1]Imp of pig iron'!$B$2:$X$31, $A$1, FALSE)</f>
        <v>0</v>
      </c>
      <c r="J29" s="1">
        <f>VLOOKUP($B29, '[1]Pro of DRI'!$B$2:$X$31, $A$1, FALSE)</f>
        <v>1754</v>
      </c>
      <c r="K29" s="1">
        <f>VLOOKUP($B29, '[1]Exp of DRI'!$B$2:$X$31, $A$1, FALSE)</f>
        <v>1</v>
      </c>
      <c r="L29" s="1">
        <f>VLOOKUP($B29, '[1]Imp of DRI'!$B$2:$X$31, $A$1, FALSE)</f>
        <v>56</v>
      </c>
      <c r="M29" s="1">
        <f>VLOOKUP($B29, '[1]Exp of scrap'!$B$2:$X$31, $A$1, FALSE)</f>
        <v>555</v>
      </c>
      <c r="N29" s="1">
        <f>VLOOKUP($B29, '[1]Imp of scrap'!$B$2:$X$31, $A$1, FALSE)</f>
        <v>8</v>
      </c>
      <c r="O29" s="1">
        <f>VLOOKUP($B29, '[1]Pro of BOF steel'!$B$2:$X$31, $A$1, FALSE)</f>
        <v>5174</v>
      </c>
      <c r="P29" s="1">
        <f>VLOOKUP($B29, '[1]Pro of OHF steel'!$B$2:$X$31, $A$1, FALSE)</f>
        <v>0</v>
      </c>
      <c r="Q29" s="1">
        <f>VLOOKUP($B29, '[1]Pro of EAF steel'!$B$2:$X$31, $A$1, FALSE)</f>
        <v>4544</v>
      </c>
      <c r="R29" s="1">
        <f>VLOOKUP($B29, '[1]Exp of ingots and semis'!$B$2:$X$31, $A$1, FALSE)</f>
        <v>301</v>
      </c>
      <c r="S29" s="1">
        <f>VLOOKUP($B29, '[1]Imp of ingots and semis'!$B$2:$X$31, $A$1, FALSE)</f>
        <v>139</v>
      </c>
      <c r="T29" s="1">
        <f>VLOOKUP($B29, '[1]Pro of hr long'!$B$2:$X$31, $A$1, FALSE)+VLOOKUP($B29, '[1]Pro of seamless tubes'!$B$2:$X$31, $A$1, FALSE)</f>
        <v>3014</v>
      </c>
      <c r="U29" s="1">
        <f>VLOOKUP($B29, '[1]Exp of long'!$B$2:$X$31, $A$1, FALSE)</f>
        <v>784</v>
      </c>
      <c r="V29" s="1">
        <f>VLOOKUP($B29, '[1]Imp of long'!$B$2:$X$31, $A$1, FALSE)</f>
        <v>175</v>
      </c>
      <c r="W29" s="1">
        <f>VLOOKUP($B29, '[1]Pro of hr flat'!$B$2:$X$31, $A$1, FALSE)*parameters!$B$8</f>
        <v>4371.9772403982934</v>
      </c>
      <c r="X29" s="1">
        <f>VLOOKUP($B29, '[1]Exp of flat'!$B$2:$X$31, $A$1, FALSE)</f>
        <v>2173</v>
      </c>
      <c r="Y29" s="1">
        <f>VLOOKUP($B29, '[1]Imp of flat'!$B$2:$X$31, $A$1, FALSE)</f>
        <v>430</v>
      </c>
      <c r="Z29" s="1">
        <f>VLOOKUP($B29, '[1]Indirect exp'!$B$2:$X$31, $A$1, FALSE)</f>
        <v>1233</v>
      </c>
      <c r="AA29" s="1">
        <f>VLOOKUP($B29, '[1]Indirect imp'!$B$2:$X$31, $A$1, FALSE)</f>
        <v>1645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667.08199999999999</v>
      </c>
      <c r="D30" s="1">
        <f>VLOOKUP($B30, '[1]Pro of iron ore'!$B$2:$X$31, $A$1, FALSE)*(1-VLOOKUP($B30, '[1]Foundry share'!$B$2:$X$31, $A$1, FALSE))</f>
        <v>380</v>
      </c>
      <c r="E30" s="47">
        <f>VLOOKUP($B30, '[1]Iron content'!$B$2:$X$31, $A$1, FALSE)</f>
        <v>0.5696451110957873</v>
      </c>
      <c r="F30" s="1">
        <f>VLOOKUP($B30, '[1]Exp of usable iron ore'!$B$2:$X$31, $A$1, FALSE)*parameters!$B$12</f>
        <v>133.25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3</v>
      </c>
      <c r="I30" s="1">
        <f>VLOOKUP($B30, '[1]Imp of pig iron'!$B$2:$X$31, $A$1, FALSE)</f>
        <v>330</v>
      </c>
      <c r="J30" s="1">
        <f>VLOOKUP($B30, '[1]Pro of DRI'!$B$2:$X$31, $A$1, FALSE)</f>
        <v>1277</v>
      </c>
      <c r="K30" s="1">
        <f>VLOOKUP($B30, '[1]Exp of DRI'!$B$2:$X$31, $A$1, FALSE)</f>
        <v>200</v>
      </c>
      <c r="L30" s="1">
        <f>VLOOKUP($B30, '[1]Imp of DRI'!$B$2:$X$31, $A$1, FALSE)</f>
        <v>0</v>
      </c>
      <c r="M30" s="1">
        <f>VLOOKUP($B30, '[1]Exp of scrap'!$B$2:$X$31, $A$1, FALSE)</f>
        <v>28</v>
      </c>
      <c r="N30" s="1">
        <f>VLOOKUP($B30, '[1]Imp of scrap'!$B$2:$X$31, $A$1, FALSE)</f>
        <v>2941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5834</v>
      </c>
      <c r="R30" s="1">
        <f>VLOOKUP($B30, '[1]Exp of ingots and semis'!$B$2:$X$31, $A$1, FALSE)</f>
        <v>318</v>
      </c>
      <c r="S30" s="1">
        <f>VLOOKUP($B30, '[1]Imp of ingots and semis'!$B$2:$X$31, $A$1, FALSE)</f>
        <v>408</v>
      </c>
      <c r="T30" s="1">
        <f>VLOOKUP($B30, '[1]Pro of hr long'!$B$2:$X$31, $A$1, FALSE)+VLOOKUP($B30, '[1]Pro of seamless tubes'!$B$2:$X$31, $A$1, FALSE)</f>
        <v>3485</v>
      </c>
      <c r="U30" s="1">
        <f>VLOOKUP($B30, '[1]Exp of long'!$B$2:$X$31, $A$1, FALSE)</f>
        <v>555</v>
      </c>
      <c r="V30" s="1">
        <f>VLOOKUP($B30, '[1]Imp of long'!$B$2:$X$31, $A$1, FALSE)</f>
        <v>752</v>
      </c>
      <c r="W30" s="1">
        <f>VLOOKUP($B30, '[1]Pro of hr flat'!$B$2:$X$31, $A$1, FALSE)*parameters!$B$8</f>
        <v>2176.2731152204838</v>
      </c>
      <c r="X30" s="1">
        <f>VLOOKUP($B30, '[1]Exp of flat'!$B$2:$X$31, $A$1, FALSE)</f>
        <v>1377</v>
      </c>
      <c r="Y30" s="1">
        <f>VLOOKUP($B30, '[1]Imp of flat'!$B$2:$X$31, $A$1, FALSE)</f>
        <v>2587</v>
      </c>
      <c r="Z30" s="1">
        <f>VLOOKUP($B30, '[1]Indirect exp'!$B$2:$X$31, $A$1, FALSE)</f>
        <v>1484</v>
      </c>
      <c r="AA30" s="1">
        <f>VLOOKUP($B30, '[1]Indirect imp'!$B$2:$X$31, $A$1, FALSE)</f>
        <v>1957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264.28899999999999</v>
      </c>
      <c r="D31" s="1">
        <f>VLOOKUP($B31, '[1]Pro of iron ore'!$B$2:$X$31, $A$1, FALSE)*(1-VLOOKUP($B31, '[1]Foundry share'!$B$2:$X$31, $A$1, FALSE))</f>
        <v>132</v>
      </c>
      <c r="E31" s="47">
        <f>VLOOKUP($B31, '[1]Iron content'!$B$2:$X$31, $A$1, FALSE)</f>
        <v>0.4994532500406752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100</v>
      </c>
      <c r="I31" s="1">
        <f>VLOOKUP($B31, '[1]Imp of pig iron'!$B$2:$X$31, $A$1, FALSE)</f>
        <v>559</v>
      </c>
      <c r="J31" s="1">
        <f>VLOOKUP($B31, '[1]Pro of DRI'!$B$2:$X$31, $A$1, FALSE)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246</v>
      </c>
      <c r="N31" s="1">
        <f>VLOOKUP($B31, '[1]Imp of scrap'!$B$2:$X$31, $A$1, FALSE)</f>
        <v>1373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4914</v>
      </c>
      <c r="R31" s="1">
        <f>VLOOKUP($B31, '[1]Exp of ingots and semis'!$B$2:$X$31, $A$1, FALSE)</f>
        <v>18</v>
      </c>
      <c r="S31" s="1">
        <f>VLOOKUP($B31, '[1]Imp of ingots and semis'!$B$2:$X$31, $A$1, FALSE)</f>
        <v>3925</v>
      </c>
      <c r="T31" s="1">
        <f>VLOOKUP($B31, '[1]Pro of hr long'!$B$2:$X$31, $A$1, FALSE)+VLOOKUP($B31, '[1]Pro of seamless tubes'!$B$2:$X$31, $A$1, FALSE)</f>
        <v>4242</v>
      </c>
      <c r="U31" s="1">
        <f>VLOOKUP($B31, '[1]Exp of long'!$B$2:$X$31, $A$1, FALSE)</f>
        <v>568</v>
      </c>
      <c r="V31" s="1">
        <f>VLOOKUP($B31, '[1]Imp of long'!$B$2:$X$31, $A$1, FALSE)</f>
        <v>1155</v>
      </c>
      <c r="W31" s="1">
        <f>VLOOKUP($B31, '[1]Pro of hr flat'!$B$2:$X$31, $A$1, FALSE)*parameters!$B$8</f>
        <v>4008.6173541963017</v>
      </c>
      <c r="X31" s="1">
        <f>VLOOKUP($B31, '[1]Exp of flat'!$B$2:$X$31, $A$1, FALSE)</f>
        <v>1401</v>
      </c>
      <c r="Y31" s="1">
        <f>VLOOKUP($B31, '[1]Imp of flat'!$B$2:$X$31, $A$1, FALSE)</f>
        <v>4608</v>
      </c>
      <c r="Z31" s="1">
        <f>VLOOKUP($B31, '[1]Indirect exp'!$B$2:$X$31, $A$1, FALSE)</f>
        <v>2751</v>
      </c>
      <c r="AA31" s="1">
        <f>VLOOKUP($B31, '[1]Indirect imp'!$B$2:$X$31, $A$1, FALSE)</f>
        <v>1747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23300</v>
      </c>
      <c r="D32" s="1">
        <f>VLOOKUP($B32, '[1]Pro of iron ore'!$B$2:$X$31, $A$1, FALSE)*(1-VLOOKUP($B32, '[1]Foundry share'!$B$2:$X$31, $A$1, FALSE))</f>
        <v>15000</v>
      </c>
      <c r="E32" s="47">
        <f>VLOOKUP($B32, '[1]Iron content'!$B$2:$X$31, $A$1, FALSE)</f>
        <v>0.64377682403433478</v>
      </c>
      <c r="F32" s="1">
        <f>VLOOKUP($B32, '[1]Exp of usable iron ore'!$B$2:$X$31, $A$1, FALSE)*parameters!$B$12</f>
        <v>11965.85</v>
      </c>
      <c r="G32" s="1">
        <f>VLOOKUP($B32, '[1]Pro of pig iron'!$B$2:$X$31, $A$1, FALSE)*(1-VLOOKUP($B32, '[1]Foundry share'!$B$2:$X$31, $A$1, FALSE))</f>
        <v>3577</v>
      </c>
      <c r="H32" s="1">
        <f>VLOOKUP($B32, '[1]Exp of pig iron'!$B$2:$X$31, $A$1, FALSE)</f>
        <v>146</v>
      </c>
      <c r="I32" s="1">
        <f>VLOOKUP($B32, '[1]Imp of pig iron'!$B$2:$X$31, $A$1, FALSE)</f>
        <v>43</v>
      </c>
      <c r="J32" s="1">
        <f>VLOOKUP($B32, '[1]Pro of DRI'!$B$2:$X$31, $A$1, FALSE)</f>
        <v>124</v>
      </c>
      <c r="K32" s="1">
        <f>VLOOKUP($B32, '[1]Exp of DRI'!$B$2:$X$31, $A$1, FALSE)</f>
        <v>8</v>
      </c>
      <c r="L32" s="1">
        <f>VLOOKUP($B32, '[1]Imp of DRI'!$B$2:$X$31, $A$1, FALSE)</f>
        <v>0</v>
      </c>
      <c r="M32" s="1">
        <f>VLOOKUP($B32, '[1]Exp of scrap'!$B$2:$X$31, $A$1, FALSE)</f>
        <v>850</v>
      </c>
      <c r="N32" s="1">
        <f>VLOOKUP($B32, '[1]Imp of scrap'!$B$2:$X$31, $A$1, FALSE)</f>
        <v>280</v>
      </c>
      <c r="O32" s="1">
        <f>VLOOKUP($B32, '[1]Pro of BOF steel'!$B$2:$X$31, $A$1, FALSE)</f>
        <v>3585</v>
      </c>
      <c r="P32" s="1">
        <f>VLOOKUP($B32, '[1]Pro of OHF steel'!$B$2:$X$31, $A$1, FALSE)</f>
        <v>0</v>
      </c>
      <c r="Q32" s="1">
        <f>VLOOKUP($B32, '[1]Pro of EAF steel'!$B$2:$X$31, $A$1, FALSE)</f>
        <v>1881</v>
      </c>
      <c r="R32" s="1">
        <f>VLOOKUP($B32, '[1]Exp of ingots and semis'!$B$2:$X$31, $A$1, FALSE)</f>
        <v>117</v>
      </c>
      <c r="S32" s="1">
        <f>VLOOKUP($B32, '[1]Imp of ingots and semis'!$B$2:$X$31, $A$1, FALSE)</f>
        <v>109</v>
      </c>
      <c r="T32" s="1">
        <f>VLOOKUP($B32, '[1]Pro of hr long'!$B$2:$X$31, $A$1, FALSE)+VLOOKUP($B32, '[1]Pro of seamless tubes'!$B$2:$X$31, $A$1, FALSE)</f>
        <v>763</v>
      </c>
      <c r="U32" s="1">
        <f>VLOOKUP($B32, '[1]Exp of long'!$B$2:$X$31, $A$1, FALSE)</f>
        <v>802</v>
      </c>
      <c r="V32" s="1">
        <f>VLOOKUP($B32, '[1]Imp of long'!$B$2:$X$31, $A$1, FALSE)</f>
        <v>978</v>
      </c>
      <c r="W32" s="1">
        <f>VLOOKUP($B32, '[1]Pro of hr flat'!$B$2:$X$31, $A$1, FALSE)*parameters!$B$8</f>
        <v>4584.74679943101</v>
      </c>
      <c r="X32" s="1">
        <f>VLOOKUP($B32, '[1]Exp of flat'!$B$2:$X$31, $A$1, FALSE)</f>
        <v>2768</v>
      </c>
      <c r="Y32" s="1">
        <f>VLOOKUP($B32, '[1]Imp of flat'!$B$2:$X$31, $A$1, FALSE)</f>
        <v>2216</v>
      </c>
      <c r="Z32" s="1">
        <f>VLOOKUP($B32, '[1]Indirect exp'!$B$2:$X$31, $A$1, FALSE)</f>
        <v>2994</v>
      </c>
      <c r="AA32" s="1">
        <f>VLOOKUP($B32, '[1]Indirect imp'!$B$2:$X$31, $A$1, FALSE)</f>
        <v>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356849.82240782992</v>
      </c>
      <c r="D2" s="9">
        <f ca="1">Q4/parameters!$B$3</f>
        <v>196.27654221596057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357046.09895004588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-177427.80082871584</v>
      </c>
      <c r="Q2" s="17" cm="1">
        <f t="array" aca="1" ref="Q2" ca="1">INDIRECT("'data'!$D$" &amp; $A$1)</f>
        <v>179618.29812133004</v>
      </c>
      <c r="R2" s="17">
        <f ca="1">SUM(L2:P2)</f>
        <v>179618.29812133004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334545.41044776124</v>
      </c>
      <c r="G3" s="14">
        <f ca="1">Q3-O3-P3-F3</f>
        <v>19397.593078899372</v>
      </c>
      <c r="H3" s="14"/>
      <c r="I3" s="14"/>
      <c r="J3" s="14"/>
      <c r="K3" s="13"/>
      <c r="L3" s="16">
        <f t="shared" ca="1" si="0"/>
        <v>353943.00352666061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819.31499999999994</v>
      </c>
      <c r="P3" s="13" cm="1">
        <f t="array" aca="1" ref="P3" ca="1">-INDIRECT("'data'!$I$" &amp; $A$1)*parameters!$B$13</f>
        <v>-160.65</v>
      </c>
      <c r="Q3" s="16" cm="1">
        <f t="array" aca="1" ref="Q3" ca="1">INDIRECT("'data'!$G$" &amp; $A$1)*parameters!$B$13</f>
        <v>354601.66852666059</v>
      </c>
      <c r="R3" s="16">
        <f t="shared" ref="R3:R10" ca="1" si="2">SUM(L3:P3)</f>
        <v>354601.66852666059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471.04</v>
      </c>
      <c r="H4" s="14"/>
      <c r="I4" s="14"/>
      <c r="J4" s="14"/>
      <c r="K4" s="13"/>
      <c r="L4" s="16">
        <f t="shared" ca="1" si="0"/>
        <v>471.04</v>
      </c>
      <c r="M4" s="16"/>
      <c r="N4" s="16">
        <f t="shared" ca="1" si="1"/>
        <v>0</v>
      </c>
      <c r="O4" s="11" cm="1">
        <f t="array" aca="1" ref="O4" ca="1">INDIRECT("'data'!$K$" &amp; $A$1)*parameters!$B$14</f>
        <v>12.88</v>
      </c>
      <c r="P4" s="13" cm="1">
        <f t="array" aca="1" ref="P4" ca="1">-INDIRECT("'data'!$L$" &amp; $A$1)*parameters!$B$14</f>
        <v>-288.88</v>
      </c>
      <c r="Q4" s="16" cm="1">
        <f t="array" aca="1" ref="Q4" ca="1">INDIRECT("'data'!$J$" &amp; $A$1)*parameters!$B$14</f>
        <v>195.04000000000002</v>
      </c>
      <c r="R4" s="16">
        <f t="shared" ca="1" si="2"/>
        <v>195.04000000000002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Q6/parameters!$B$5*15%</f>
        <v>59037.425373134334</v>
      </c>
      <c r="G5" s="14">
        <f ca="1">Q7/parameters!$B$7-(G3+G4)</f>
        <v>25395.692939909408</v>
      </c>
      <c r="H5" s="14"/>
      <c r="I5" s="14"/>
      <c r="J5" s="14"/>
      <c r="K5" s="13"/>
      <c r="L5" s="16">
        <f t="shared" ca="1" si="0"/>
        <v>84433.118313043742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-5277.3</v>
      </c>
      <c r="Q5" s="16">
        <f ca="1">SUM(L5:P5)</f>
        <v>79155.818313043739</v>
      </c>
      <c r="R5" s="16">
        <f t="shared" ca="1" si="2"/>
        <v>79155.818313043739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369180.7</v>
      </c>
      <c r="I6" s="14"/>
      <c r="J6" s="14"/>
      <c r="K6" s="13"/>
      <c r="L6" s="16">
        <f t="shared" ca="1" si="0"/>
        <v>369180.7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369180.7</v>
      </c>
      <c r="R6" s="16">
        <f t="shared" ca="1" si="2"/>
        <v>369180.7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43317.96</v>
      </c>
      <c r="I7" s="14"/>
      <c r="J7" s="14"/>
      <c r="K7" s="13"/>
      <c r="L7" s="16">
        <f t="shared" ca="1" si="0"/>
        <v>43317.96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43317.96</v>
      </c>
      <c r="R7" s="16">
        <f t="shared" ca="1" si="2"/>
        <v>43317.96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263040.85952151549</v>
      </c>
      <c r="J8" s="14">
        <f ca="1">Q10/J18</f>
        <v>141058.22047848452</v>
      </c>
      <c r="K8" s="13"/>
      <c r="L8" s="16">
        <f t="shared" ca="1" si="0"/>
        <v>404099.08</v>
      </c>
      <c r="M8" s="16"/>
      <c r="N8" s="16">
        <f t="shared" ca="1" si="3"/>
        <v>0</v>
      </c>
      <c r="O8" s="11" cm="1">
        <f t="array" aca="1" ref="O8" ca="1">INDIRECT("'data'!$R$" &amp; $A$1)*parameters!$B$15</f>
        <v>8896.44</v>
      </c>
      <c r="P8" s="13" cm="1">
        <f t="array" aca="1" ref="P8" ca="1">-INDIRECT("'data'!$S$" &amp; $A$1)*parameters!$B$15</f>
        <v>-496.86</v>
      </c>
      <c r="Q8" s="16">
        <f ca="1">SUM(Q6:Q7)</f>
        <v>412498.66000000003</v>
      </c>
      <c r="R8" s="16">
        <f t="shared" ca="1" si="2"/>
        <v>412498.66000000003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230522.46</v>
      </c>
      <c r="L9" s="16">
        <f t="shared" ca="1" si="0"/>
        <v>230522.46</v>
      </c>
      <c r="M9" s="16"/>
      <c r="N9" s="16">
        <f t="shared" ca="1" si="3"/>
        <v>0</v>
      </c>
      <c r="O9" s="11" cm="1">
        <f t="array" aca="1" ref="O9" ca="1">INDIRECT("'data'!$U$" &amp; $A$1)*parameters!$B$15</f>
        <v>14803.88</v>
      </c>
      <c r="P9" s="13" cm="1">
        <f t="array" aca="1" ref="P9" ca="1">-INDIRECT("'data'!$V$" &amp; $A$1)*parameters!$B$15</f>
        <v>-1923.74</v>
      </c>
      <c r="Q9" s="16" cm="1">
        <f t="array" aca="1" ref="Q9" ca="1">INDIRECT("'data'!$T$" &amp; $A$1)*parameters!$B$15</f>
        <v>243402.6</v>
      </c>
      <c r="R9" s="16">
        <f t="shared" ca="1" si="2"/>
        <v>243402.6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125784.79271692746</v>
      </c>
      <c r="L10" s="16">
        <f t="shared" ca="1" si="0"/>
        <v>125784.79271692746</v>
      </c>
      <c r="M10" s="16"/>
      <c r="N10" s="16">
        <f t="shared" ca="1" si="3"/>
        <v>0</v>
      </c>
      <c r="O10" s="11" cm="1">
        <f t="array" aca="1" ref="O10" ca="1">INDIRECT("'data'!$X$" &amp; $A$1)*parameters!$B$15</f>
        <v>19969.46</v>
      </c>
      <c r="P10" s="13" cm="1">
        <f t="array" aca="1" ref="P10" ca="1">-INDIRECT("'data'!$Y$" &amp; $A$1)*parameters!$B$15</f>
        <v>-15227.24</v>
      </c>
      <c r="Q10" s="16" cm="1">
        <f t="array" aca="1" ref="Q10" ca="1">INDIRECT("'data'!$W$" &amp; $A$1)*parameters!$B$15</f>
        <v>130527.01271692745</v>
      </c>
      <c r="R10" s="16">
        <f t="shared" ca="1" si="2"/>
        <v>130527.01271692746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290546.43413655763</v>
      </c>
      <c r="N11" s="19"/>
      <c r="O11" s="21" cm="1">
        <f t="array" aca="1" ref="O11" ca="1">INDIRECT("'data'!$Z$" &amp; $A$1)*parameters!$B$15</f>
        <v>41386.379999999997</v>
      </c>
      <c r="P11" s="27" cm="1">
        <f t="array" aca="1" ref="P11" ca="1">-INDIRECT("'data'!$AA$" &amp; $A$1)*parameters!$B$15</f>
        <v>-7066.78</v>
      </c>
      <c r="Q11" s="16">
        <f ca="1">K9*parameters!$B$10+K10*parameters!$B$11</f>
        <v>324866.0341365576</v>
      </c>
      <c r="R11" s="16">
        <f t="shared" ref="R11:R17" ca="1" si="4">SUM(L11:P11)</f>
        <v>324866.0341365576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-2248.1538811693317</v>
      </c>
      <c r="D12" s="9">
        <f ca="1">-(D17-Q4)</f>
        <v>-1.2365422159605544</v>
      </c>
      <c r="E12" s="9">
        <f ca="1">-(E17-Q5)</f>
        <v>-9783.303387005406</v>
      </c>
      <c r="F12" s="9">
        <f ca="1">-(F17-Q6)</f>
        <v>-24402.13582089555</v>
      </c>
      <c r="G12" s="9">
        <f ca="1">-(G17-Q7)</f>
        <v>-1946.3660188087815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-38381.195650095033</v>
      </c>
      <c r="M12" s="17"/>
      <c r="N12" s="17"/>
      <c r="O12" s="10"/>
      <c r="P12" s="12"/>
      <c r="Q12" s="9">
        <f t="shared" ref="Q12:Q17" ca="1" si="6">SUM(L12:P12)</f>
        <v>-38381.195650095033</v>
      </c>
      <c r="R12" s="17">
        <f t="shared" ca="1" si="4"/>
        <v>-38381.195650095033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-19638.259521515487</v>
      </c>
      <c r="J13" s="14">
        <f ca="1">-(J17-Q10)</f>
        <v>-10531.207761557074</v>
      </c>
      <c r="K13" s="13">
        <f ca="1">-(K17-Q11)</f>
        <v>-31441.218580369838</v>
      </c>
      <c r="L13" s="14">
        <f t="shared" ca="1" si="5"/>
        <v>-61610.685863442399</v>
      </c>
      <c r="M13" s="16">
        <f ca="1">-E15</f>
        <v>-27328.435836606746</v>
      </c>
      <c r="N13" s="16"/>
      <c r="O13" s="11"/>
      <c r="P13" s="13"/>
      <c r="Q13" s="14">
        <f t="shared" ca="1" si="6"/>
        <v>-88939.121700049145</v>
      </c>
      <c r="R13" s="16">
        <f t="shared" ca="1" si="4"/>
        <v>-88939.121700049145</v>
      </c>
    </row>
    <row r="14" spans="1:20">
      <c r="A14" s="18" t="s">
        <v>78</v>
      </c>
      <c r="B14" s="11"/>
      <c r="C14" s="14"/>
      <c r="D14" s="14"/>
      <c r="E14" s="14">
        <f ca="1">-(I13+J13)-K13</f>
        <v>61610.685863442399</v>
      </c>
      <c r="F14" s="14"/>
      <c r="G14" s="14"/>
      <c r="H14" s="14"/>
      <c r="I14" s="14"/>
      <c r="J14" s="14"/>
      <c r="K14" s="13"/>
      <c r="L14" s="14">
        <f t="shared" ca="1" si="5"/>
        <v>61610.685863442399</v>
      </c>
      <c r="M14" s="16"/>
      <c r="N14" s="16"/>
      <c r="O14" s="11"/>
      <c r="P14" s="13"/>
      <c r="Q14" s="14">
        <f t="shared" ca="1" si="6"/>
        <v>61610.685863442399</v>
      </c>
      <c r="R14" s="16">
        <f t="shared" ca="1" si="4"/>
        <v>61610.685863442399</v>
      </c>
    </row>
    <row r="15" spans="1:20">
      <c r="A15" s="18" t="s">
        <v>79</v>
      </c>
      <c r="B15" s="11"/>
      <c r="C15" s="14"/>
      <c r="D15" s="14"/>
      <c r="E15" s="14">
        <f ca="1">E17-E14</f>
        <v>27328.435836606746</v>
      </c>
      <c r="F15" s="14"/>
      <c r="G15" s="14"/>
      <c r="H15" s="14"/>
      <c r="I15" s="14"/>
      <c r="J15" s="14"/>
      <c r="K15" s="13"/>
      <c r="L15" s="14">
        <f t="shared" ca="1" si="5"/>
        <v>27328.435836606746</v>
      </c>
      <c r="M15" s="16"/>
      <c r="N15" s="16"/>
      <c r="O15" s="11"/>
      <c r="P15" s="13"/>
      <c r="Q15" s="14">
        <f t="shared" ca="1" si="6"/>
        <v>27328.435836606746</v>
      </c>
      <c r="R15" s="16">
        <f t="shared" ca="1" si="4"/>
        <v>27328.435836606746</v>
      </c>
    </row>
    <row r="16" spans="1:20">
      <c r="A16" s="30" t="s">
        <v>89</v>
      </c>
      <c r="B16" s="21">
        <f ca="1">Q2</f>
        <v>179618.29812133004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179618.29812133004</v>
      </c>
      <c r="M16" s="19"/>
      <c r="N16" s="19"/>
      <c r="O16" s="21"/>
      <c r="P16" s="27"/>
      <c r="Q16" s="22">
        <f t="shared" ca="1" si="6"/>
        <v>179618.29812133004</v>
      </c>
      <c r="R16" s="19">
        <f t="shared" ca="1" si="4"/>
        <v>179618.29812133004</v>
      </c>
    </row>
    <row r="17" spans="1:18">
      <c r="A17" s="29" t="s">
        <v>88</v>
      </c>
      <c r="B17" s="9">
        <f ca="1">B16</f>
        <v>179618.29812133004</v>
      </c>
      <c r="C17" s="9">
        <f ca="1">SUM(C$2:C$11)</f>
        <v>356849.82240782992</v>
      </c>
      <c r="D17" s="9">
        <f ca="1">SUM(D$2:D$11)</f>
        <v>196.27654221596057</v>
      </c>
      <c r="E17" s="9">
        <f ca="1">$Q$5/parameters!$B$4</f>
        <v>88939.121700049145</v>
      </c>
      <c r="F17" s="9">
        <f t="shared" ref="F17:K17" ca="1" si="7">SUM(F$2:F$11)</f>
        <v>393582.83582089556</v>
      </c>
      <c r="G17" s="9">
        <f t="shared" ca="1" si="7"/>
        <v>45264.326018808781</v>
      </c>
      <c r="H17" s="9">
        <f t="shared" ca="1" si="7"/>
        <v>412498.66000000003</v>
      </c>
      <c r="I17" s="9">
        <f t="shared" ca="1" si="7"/>
        <v>263040.85952151549</v>
      </c>
      <c r="J17" s="9">
        <f t="shared" ca="1" si="7"/>
        <v>141058.22047848452</v>
      </c>
      <c r="K17" s="9">
        <f t="shared" ca="1" si="7"/>
        <v>356307.25271692744</v>
      </c>
      <c r="L17" s="17">
        <f t="shared" ca="1" si="5"/>
        <v>2237355.6733280569</v>
      </c>
      <c r="M17" s="17"/>
      <c r="N17" s="17"/>
      <c r="O17" s="9"/>
      <c r="P17" s="14"/>
      <c r="Q17" s="11">
        <f t="shared" ca="1" si="6"/>
        <v>2237355.6733280569</v>
      </c>
      <c r="R17" s="17">
        <f t="shared" ca="1" si="4"/>
        <v>2237355.6733280569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0.92534141061872111</v>
      </c>
      <c r="J18" s="39">
        <f ca="1">I18</f>
        <v>0.92534141061872111</v>
      </c>
      <c r="K18" s="40">
        <f ca="1">1-(-K13)/K17</f>
        <v>0.91175812914100662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26871.208614269897</v>
      </c>
      <c r="D2" s="9">
        <f ca="1">Q4/parameters!$B$3</f>
        <v>13917.117842407166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40788.326456677067</v>
      </c>
      <c r="M2" s="17"/>
      <c r="N2" s="17">
        <f ca="1">Q2-(L2+O2+P2)</f>
        <v>19801.423543322933</v>
      </c>
      <c r="O2" s="11" cm="1">
        <f t="array" aca="1" ref="O2" ca="1">INDIRECT("'data'!$F$" &amp; $A$1)</f>
        <v>56410.25</v>
      </c>
      <c r="P2" s="13">
        <f ca="1">IF(-(L2-Q2+O2)&lt;0, -(L2-Q2+O2), 0)</f>
        <v>0</v>
      </c>
      <c r="Q2" s="17" cm="1">
        <f t="array" aca="1" ref="Q2" ca="1">INDIRECT("'data'!$D$" &amp; $A$1)</f>
        <v>117000</v>
      </c>
      <c r="R2" s="17">
        <f ca="1">SUM(L2:P2)</f>
        <v>117000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18220.895522388062</v>
      </c>
      <c r="G3" s="14">
        <f ca="1">Q3-O3-P3-F3</f>
        <v>7842.2044776119365</v>
      </c>
      <c r="H3" s="14"/>
      <c r="I3" s="14"/>
      <c r="J3" s="14"/>
      <c r="K3" s="13"/>
      <c r="L3" s="16">
        <f t="shared" ca="1" si="0"/>
        <v>26063.1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642.6</v>
      </c>
      <c r="P3" s="13" cm="1">
        <f t="array" aca="1" ref="P3" ca="1">-INDIRECT("'data'!$I$" &amp; $A$1)*parameters!$B$13</f>
        <v>-3.78</v>
      </c>
      <c r="Q3" s="16" cm="1">
        <f t="array" aca="1" ref="Q3" ca="1">INDIRECT("'data'!$G$" &amp; $A$1)*parameters!$B$13</f>
        <v>26701.919999999998</v>
      </c>
      <c r="R3" s="16">
        <f t="shared" ref="R3:R10" ca="1" si="2">SUM(L3:P3)</f>
        <v>26701.919999999998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13794.480000000001</v>
      </c>
      <c r="H4" s="14"/>
      <c r="I4" s="14"/>
      <c r="J4" s="14"/>
      <c r="K4" s="13"/>
      <c r="L4" s="16">
        <f t="shared" ca="1" si="0"/>
        <v>13794.480000000001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34.96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13829.44</v>
      </c>
      <c r="R4" s="16">
        <f t="shared" ca="1" si="2"/>
        <v>13829.44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4555.2238805970155</v>
      </c>
      <c r="G5" s="14">
        <f ca="1">Q7/parameters!$B$7-(G3+G4)</f>
        <v>6677.8400782919271</v>
      </c>
      <c r="H5" s="14"/>
      <c r="I5" s="14"/>
      <c r="J5" s="14"/>
      <c r="K5" s="13"/>
      <c r="L5" s="16">
        <f t="shared" ca="1" si="0"/>
        <v>11233.063958888943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-3082.1</v>
      </c>
      <c r="Q5" s="16">
        <f ca="1">SUM(L5:P5)</f>
        <v>8150.9639588889422</v>
      </c>
      <c r="R5" s="16">
        <f t="shared" ca="1" si="2"/>
        <v>8150.9639588889422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21364</v>
      </c>
      <c r="I6" s="14"/>
      <c r="J6" s="14"/>
      <c r="K6" s="13"/>
      <c r="L6" s="16">
        <f t="shared" ca="1" si="0"/>
        <v>21364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21364</v>
      </c>
      <c r="R6" s="16">
        <f t="shared" ca="1" si="2"/>
        <v>21364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27097</v>
      </c>
      <c r="I7" s="14"/>
      <c r="J7" s="14"/>
      <c r="K7" s="13"/>
      <c r="L7" s="16">
        <f t="shared" ca="1" si="0"/>
        <v>27097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27097</v>
      </c>
      <c r="R7" s="16">
        <f t="shared" ca="1" si="2"/>
        <v>27097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18633.542105963006</v>
      </c>
      <c r="J8" s="14">
        <f ca="1">Q10/J18</f>
        <v>29092.45789403699</v>
      </c>
      <c r="K8" s="13"/>
      <c r="L8" s="16">
        <f t="shared" ca="1" si="0"/>
        <v>47726</v>
      </c>
      <c r="M8" s="16"/>
      <c r="N8" s="16">
        <f t="shared" ca="1" si="3"/>
        <v>0</v>
      </c>
      <c r="O8" s="11" cm="1">
        <f t="array" aca="1" ref="O8" ca="1">INDIRECT("'data'!$R$" &amp; $A$1)*parameters!$B$15</f>
        <v>1195.5999999999999</v>
      </c>
      <c r="P8" s="13" cm="1">
        <f t="array" aca="1" ref="P8" ca="1">-INDIRECT("'data'!$S$" &amp; $A$1)*parameters!$B$15</f>
        <v>-460.59999999999997</v>
      </c>
      <c r="Q8" s="16">
        <f ca="1">SUM(Q6:Q7)</f>
        <v>48461</v>
      </c>
      <c r="R8" s="16">
        <f t="shared" ca="1" si="2"/>
        <v>48461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17075.03</v>
      </c>
      <c r="L9" s="16">
        <f t="shared" ca="1" si="0"/>
        <v>17075.03</v>
      </c>
      <c r="M9" s="16"/>
      <c r="N9" s="16">
        <f t="shared" ca="1" si="3"/>
        <v>0</v>
      </c>
      <c r="O9" s="11" cm="1">
        <f t="array" aca="1" ref="O9" ca="1">INDIRECT("'data'!$U$" &amp; $A$1)*parameters!$B$15</f>
        <v>558.11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17633.14</v>
      </c>
      <c r="R9" s="16">
        <f t="shared" ca="1" si="2"/>
        <v>17633.14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27932.824992887621</v>
      </c>
      <c r="L10" s="16">
        <f t="shared" ca="1" si="0"/>
        <v>27932.824992887621</v>
      </c>
      <c r="M10" s="16"/>
      <c r="N10" s="16">
        <f t="shared" ca="1" si="3"/>
        <v>0</v>
      </c>
      <c r="O10" s="11" cm="1">
        <f t="array" aca="1" ref="O10" ca="1">INDIRECT("'data'!$X$" &amp; $A$1)*parameters!$B$15</f>
        <v>3790.64</v>
      </c>
      <c r="P10" s="13" cm="1">
        <f t="array" aca="1" ref="P10" ca="1">-INDIRECT("'data'!$Y$" &amp; $A$1)*parameters!$B$15</f>
        <v>-4192.93</v>
      </c>
      <c r="Q10" s="16" cm="1">
        <f t="array" aca="1" ref="Q10" ca="1">INDIRECT("'data'!$W$" &amp; $A$1)*parameters!$B$15</f>
        <v>27530.53499288762</v>
      </c>
      <c r="R10" s="16">
        <f t="shared" ca="1" si="2"/>
        <v>27530.53499288762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40553.937693883352</v>
      </c>
      <c r="N11" s="19"/>
      <c r="O11" s="21" cm="1">
        <f t="array" aca="1" ref="O11" ca="1">INDIRECT("'data'!$Z$" &amp; $A$1)*parameters!$B$15</f>
        <v>2598.96</v>
      </c>
      <c r="P11" s="27" cm="1">
        <f t="array" aca="1" ref="P11" ca="1">-INDIRECT("'data'!$AA$" &amp; $A$1)*parameters!$B$15</f>
        <v>-3080.14</v>
      </c>
      <c r="Q11" s="16">
        <f ca="1">K9*parameters!$B$10+K10*parameters!$B$11</f>
        <v>40072.757693883352</v>
      </c>
      <c r="R11" s="16">
        <f t="shared" ref="R11:R17" ca="1" si="4">SUM(L11:P11)</f>
        <v>40072.757693883352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-169.28861426989897</v>
      </c>
      <c r="D12" s="9">
        <f ca="1">-(D17-Q4)</f>
        <v>-87.677842407165372</v>
      </c>
      <c r="E12" s="9">
        <f ca="1">-(E17-Q5)</f>
        <v>-1007.422511772791</v>
      </c>
      <c r="F12" s="9">
        <f ca="1">-(F17-Q6)</f>
        <v>-1412.1194029850776</v>
      </c>
      <c r="G12" s="9">
        <f ca="1">-(G17-Q7)</f>
        <v>-1217.5245559038667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-3894.0329273387997</v>
      </c>
      <c r="M12" s="17"/>
      <c r="N12" s="17"/>
      <c r="O12" s="10"/>
      <c r="P12" s="12"/>
      <c r="Q12" s="9">
        <f t="shared" ref="Q12:Q17" ca="1" si="6">SUM(L12:P12)</f>
        <v>-3894.0329273387997</v>
      </c>
      <c r="R12" s="17">
        <f t="shared" ca="1" si="4"/>
        <v>-3894.0329273387997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-1000.4021059630068</v>
      </c>
      <c r="J13" s="14">
        <f ca="1">-(J17-Q10)</f>
        <v>-1561.9229011493699</v>
      </c>
      <c r="K13" s="13">
        <f ca="1">-(K17-Q11)</f>
        <v>-4935.0972990042646</v>
      </c>
      <c r="L13" s="14">
        <f t="shared" ca="1" si="5"/>
        <v>-7497.4223061166413</v>
      </c>
      <c r="M13" s="16">
        <f ca="1">-E15</f>
        <v>-1660.964164545092</v>
      </c>
      <c r="N13" s="16"/>
      <c r="O13" s="11"/>
      <c r="P13" s="13"/>
      <c r="Q13" s="14">
        <f t="shared" ca="1" si="6"/>
        <v>-9158.3864706617333</v>
      </c>
      <c r="R13" s="16">
        <f t="shared" ca="1" si="4"/>
        <v>-9158.3864706617333</v>
      </c>
    </row>
    <row r="14" spans="1:22">
      <c r="A14" s="18" t="s">
        <v>78</v>
      </c>
      <c r="B14" s="11"/>
      <c r="C14" s="14"/>
      <c r="D14" s="14"/>
      <c r="E14" s="14">
        <f ca="1">-(I13+J13)-K13</f>
        <v>7497.4223061166413</v>
      </c>
      <c r="F14" s="14"/>
      <c r="G14" s="14"/>
      <c r="H14" s="14"/>
      <c r="I14" s="14"/>
      <c r="J14" s="14"/>
      <c r="K14" s="13"/>
      <c r="L14" s="14">
        <f t="shared" ca="1" si="5"/>
        <v>7497.4223061166413</v>
      </c>
      <c r="M14" s="16"/>
      <c r="N14" s="16"/>
      <c r="O14" s="11"/>
      <c r="P14" s="13"/>
      <c r="Q14" s="14">
        <f t="shared" ca="1" si="6"/>
        <v>7497.4223061166413</v>
      </c>
      <c r="R14" s="16">
        <f t="shared" ca="1" si="4"/>
        <v>7497.4223061166413</v>
      </c>
    </row>
    <row r="15" spans="1:22">
      <c r="A15" s="18" t="s">
        <v>79</v>
      </c>
      <c r="B15" s="11"/>
      <c r="C15" s="14"/>
      <c r="D15" s="14"/>
      <c r="E15" s="14">
        <f ca="1">E17-E14</f>
        <v>1660.964164545092</v>
      </c>
      <c r="F15" s="14"/>
      <c r="G15" s="14"/>
      <c r="H15" s="14"/>
      <c r="I15" s="14"/>
      <c r="J15" s="14"/>
      <c r="K15" s="13"/>
      <c r="L15" s="14">
        <f t="shared" ca="1" si="5"/>
        <v>1660.964164545092</v>
      </c>
      <c r="M15" s="16"/>
      <c r="N15" s="16"/>
      <c r="O15" s="11"/>
      <c r="P15" s="13"/>
      <c r="Q15" s="14">
        <f t="shared" ca="1" si="6"/>
        <v>1660.964164545092</v>
      </c>
      <c r="R15" s="16">
        <f t="shared" ca="1" si="4"/>
        <v>1660.964164545092</v>
      </c>
    </row>
    <row r="16" spans="1:22">
      <c r="A16" s="30" t="s">
        <v>89</v>
      </c>
      <c r="B16" s="21">
        <f ca="1">Q2</f>
        <v>117000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117000</v>
      </c>
      <c r="M16" s="19"/>
      <c r="N16" s="19"/>
      <c r="O16" s="21"/>
      <c r="P16" s="27"/>
      <c r="Q16" s="22">
        <f t="shared" ca="1" si="6"/>
        <v>117000</v>
      </c>
      <c r="R16" s="19">
        <f t="shared" ca="1" si="4"/>
        <v>117000</v>
      </c>
    </row>
    <row r="17" spans="1:18">
      <c r="A17" s="29" t="s">
        <v>88</v>
      </c>
      <c r="B17" s="9">
        <f ca="1">B16</f>
        <v>117000</v>
      </c>
      <c r="C17" s="9">
        <f ca="1">SUM(C$2:C$11)</f>
        <v>26871.208614269897</v>
      </c>
      <c r="D17" s="9">
        <f ca="1">SUM(D$2:D$11)</f>
        <v>13917.117842407166</v>
      </c>
      <c r="E17" s="9">
        <f ca="1">$Q$5/parameters!$B$4</f>
        <v>9158.3864706617333</v>
      </c>
      <c r="F17" s="9">
        <f t="shared" ref="F17:K17" ca="1" si="7">SUM(F$2:F$11)</f>
        <v>22776.119402985078</v>
      </c>
      <c r="G17" s="9">
        <f t="shared" ca="1" si="7"/>
        <v>28314.524555903867</v>
      </c>
      <c r="H17" s="9">
        <f t="shared" ca="1" si="7"/>
        <v>48461</v>
      </c>
      <c r="I17" s="9">
        <f t="shared" ca="1" si="7"/>
        <v>18633.542105963006</v>
      </c>
      <c r="J17" s="9">
        <f t="shared" ca="1" si="7"/>
        <v>29092.45789403699</v>
      </c>
      <c r="K17" s="9">
        <f t="shared" ca="1" si="7"/>
        <v>45007.854992887616</v>
      </c>
      <c r="L17" s="17">
        <f t="shared" ca="1" si="5"/>
        <v>359232.21187911532</v>
      </c>
      <c r="M17" s="17"/>
      <c r="N17" s="17"/>
      <c r="O17" s="9"/>
      <c r="P17" s="14"/>
      <c r="Q17" s="11">
        <f t="shared" ca="1" si="6"/>
        <v>359232.21187911532</v>
      </c>
      <c r="R17" s="17">
        <f t="shared" ca="1" si="4"/>
        <v>359232.21187911532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0.94631175864073303</v>
      </c>
      <c r="J18" s="39">
        <f ca="1">I18</f>
        <v>0.94631175864073303</v>
      </c>
      <c r="K18" s="40">
        <f ca="1">1-(-K13)/K17</f>
        <v>0.89035031107827434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80140.032202878123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80140.032202878123</v>
      </c>
      <c r="M2" s="17"/>
      <c r="N2" s="17">
        <f ca="1">Q2-(L2+O2+P2)</f>
        <v>0</v>
      </c>
      <c r="O2" s="11" cm="1">
        <f t="array" aca="1" ref="O2" ca="1">INDIRECT("'data'!$F$" &amp; $A$1)</f>
        <v>23.400000000000002</v>
      </c>
      <c r="P2" s="13">
        <f ca="1">IF(-(L2-Q2+O2)&lt;0, -(L2-Q2+O2), 0)</f>
        <v>-80163.432202878117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79934.619402985074</v>
      </c>
      <c r="G3" s="14">
        <f ca="1">Q3-O3-P3-F3</f>
        <v>1012.1905970149237</v>
      </c>
      <c r="H3" s="14"/>
      <c r="I3" s="14"/>
      <c r="J3" s="14"/>
      <c r="K3" s="13"/>
      <c r="L3" s="16">
        <f t="shared" ca="1" si="0"/>
        <v>80946.81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34.964999999999996</v>
      </c>
      <c r="P3" s="13" cm="1">
        <f t="array" aca="1" ref="P3" ca="1">-INDIRECT("'data'!$I$" &amp; $A$1)*parameters!$B$13</f>
        <v>-1346.625</v>
      </c>
      <c r="Q3" s="16" cm="1">
        <f t="array" aca="1" ref="Q3" ca="1">INDIRECT("'data'!$G$" &amp; $A$1)*parameters!$B$13</f>
        <v>79635.149999999994</v>
      </c>
      <c r="R3" s="16">
        <f t="shared" ref="R3:R10" ca="1" si="2">SUM(L3:P3)</f>
        <v>79635.149999999994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-2.7600000000000002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Q6/parameters!$B$5*11%</f>
        <v>9879.5597014925388</v>
      </c>
      <c r="G5" s="14">
        <f ca="1">Q7/parameters!$B$7-(G3+G4)</f>
        <v>29976.08526505404</v>
      </c>
      <c r="H5" s="14"/>
      <c r="I5" s="14"/>
      <c r="J5" s="14"/>
      <c r="K5" s="13"/>
      <c r="L5" s="16">
        <f t="shared" ca="1" si="0"/>
        <v>39855.644966546577</v>
      </c>
      <c r="M5" s="16"/>
      <c r="N5" s="16"/>
      <c r="O5" s="11" cm="1">
        <f t="array" aca="1" ref="O5" ca="1">INDIRECT("'data'!$M$" &amp; $A$1)*parameters!$B$15</f>
        <v>7500.92</v>
      </c>
      <c r="P5" s="13" cm="1">
        <f t="array" aca="1" ref="P5" ca="1">-INDIRECT("'data'!$N$" &amp; $A$1)*parameters!$B$15</f>
        <v>-181.29999999999998</v>
      </c>
      <c r="Q5" s="16">
        <f ca="1">SUM(L5:P5)</f>
        <v>47175.264966546572</v>
      </c>
      <c r="R5" s="16">
        <f t="shared" ca="1" si="2"/>
        <v>47175.264966546572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84245.7</v>
      </c>
      <c r="I6" s="14"/>
      <c r="J6" s="14"/>
      <c r="K6" s="13"/>
      <c r="L6" s="16">
        <f t="shared" ca="1" si="0"/>
        <v>84245.7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84245.7</v>
      </c>
      <c r="R6" s="16">
        <f t="shared" ca="1" si="2"/>
        <v>84245.7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29655.78</v>
      </c>
      <c r="I7" s="14"/>
      <c r="J7" s="14"/>
      <c r="K7" s="13"/>
      <c r="L7" s="16">
        <f t="shared" ca="1" si="0"/>
        <v>29655.78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29655.78</v>
      </c>
      <c r="R7" s="16">
        <f t="shared" ca="1" si="2"/>
        <v>29655.78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40569.397274377123</v>
      </c>
      <c r="J8" s="14">
        <f ca="1">Q10/J18</f>
        <v>68970.102725622884</v>
      </c>
      <c r="K8" s="13"/>
      <c r="L8" s="16">
        <f t="shared" ca="1" si="0"/>
        <v>109539.5</v>
      </c>
      <c r="M8" s="16"/>
      <c r="N8" s="16">
        <f t="shared" ca="1" si="3"/>
        <v>0</v>
      </c>
      <c r="O8" s="11" cm="1">
        <f t="array" aca="1" ref="O8" ca="1">INDIRECT("'data'!$R$" &amp; $A$1)*parameters!$B$15</f>
        <v>4423.72</v>
      </c>
      <c r="P8" s="13" cm="1">
        <f t="array" aca="1" ref="P8" ca="1">-INDIRECT("'data'!$S$" &amp; $A$1)*parameters!$B$15</f>
        <v>-61.74</v>
      </c>
      <c r="Q8" s="16">
        <f ca="1">SUM(Q6:Q7)</f>
        <v>113901.48</v>
      </c>
      <c r="R8" s="16">
        <f t="shared" ca="1" si="2"/>
        <v>113901.48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33778.639999999999</v>
      </c>
      <c r="L9" s="16">
        <f t="shared" ca="1" si="0"/>
        <v>33778.639999999999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3939.6</v>
      </c>
      <c r="P9" s="13" cm="1">
        <f t="array" aca="1" ref="P9" ca="1">-INDIRECT("'data'!$V$" &amp; $A$1)*parameters!$B$15</f>
        <v>-741.86</v>
      </c>
      <c r="Q9" s="16" cm="1">
        <f t="array" aca="1" ref="Q9" ca="1">INDIRECT("'data'!$T$" &amp; $A$1)*parameters!$B$15</f>
        <v>36976.379999999997</v>
      </c>
      <c r="R9" s="16">
        <f t="shared" ca="1" si="2"/>
        <v>36976.379999999997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44018.344950213366</v>
      </c>
      <c r="L10" s="16">
        <f t="shared" ca="1" si="0"/>
        <v>44018.344950213366</v>
      </c>
      <c r="M10" s="16"/>
      <c r="N10" s="16">
        <f t="shared" ca="1" si="3"/>
        <v>0</v>
      </c>
      <c r="O10" s="11" cm="1">
        <f t="array" aca="1" ref="O10" ca="1">INDIRECT("'data'!$X$" &amp; $A$1)*parameters!$B$15</f>
        <v>22121.54</v>
      </c>
      <c r="P10" s="13" cm="1">
        <f t="array" aca="1" ref="P10" ca="1">-INDIRECT("'data'!$Y$" &amp; $A$1)*parameters!$B$15</f>
        <v>-3278.1</v>
      </c>
      <c r="Q10" s="16" cm="1">
        <f t="array" aca="1" ref="Q10" ca="1">INDIRECT("'data'!$W$" &amp; $A$1)*parameters!$B$15</f>
        <v>62861.784950213369</v>
      </c>
      <c r="R10" s="16">
        <f t="shared" ca="1" si="2"/>
        <v>62861.784950213369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48591.598257183497</v>
      </c>
      <c r="N11" s="19"/>
      <c r="O11" s="21" cm="1">
        <f t="array" aca="1" ref="O11" ca="1">INDIRECT("'data'!$Z$" &amp; $A$1)*parameters!$B$15</f>
        <v>26824.560000000001</v>
      </c>
      <c r="P11" s="27" cm="1">
        <f t="array" aca="1" ref="P11" ca="1">-INDIRECT("'data'!$AA$" &amp; $A$1)*parameters!$B$15</f>
        <v>-5808.46</v>
      </c>
      <c r="Q11" s="16">
        <f ca="1">K9*parameters!$B$10+K10*parameters!$B$11</f>
        <v>69607.698257183496</v>
      </c>
      <c r="R11" s="16">
        <f t="shared" ref="R11:R17" ca="1" si="4">SUM(L11:P11)</f>
        <v>69607.698257183496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-504.88220287812874</v>
      </c>
      <c r="D12" s="9">
        <f ca="1">-(D17-Q4)</f>
        <v>0</v>
      </c>
      <c r="E12" s="9">
        <f ca="1">-(E17-Q5)</f>
        <v>-5830.6507262023879</v>
      </c>
      <c r="F12" s="9">
        <f ca="1">-(F17-Q6)</f>
        <v>-5568.4791044776211</v>
      </c>
      <c r="G12" s="9">
        <f ca="1">-(G17-Q7)</f>
        <v>-1332.4958620689649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-13236.507895627103</v>
      </c>
      <c r="M12" s="17"/>
      <c r="N12" s="17"/>
      <c r="O12" s="10"/>
      <c r="P12" s="12"/>
      <c r="Q12" s="9">
        <f t="shared" ref="Q12:Q17" ca="1" si="6">SUM(L12:P12)</f>
        <v>-13236.507895627103</v>
      </c>
      <c r="R12" s="17">
        <f t="shared" ca="1" si="4"/>
        <v>-13236.507895627103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-3593.0172743771254</v>
      </c>
      <c r="J13" s="14">
        <f ca="1">-(J17-Q10)</f>
        <v>-6108.3177754095159</v>
      </c>
      <c r="K13" s="13">
        <f ca="1">-(K17-Q11)</f>
        <v>-8189.2866930298769</v>
      </c>
      <c r="L13" s="14">
        <f t="shared" ca="1" si="5"/>
        <v>-17890.621742816518</v>
      </c>
      <c r="M13" s="16">
        <f ca="1">-E15</f>
        <v>-35115.293949932442</v>
      </c>
      <c r="N13" s="16"/>
      <c r="O13" s="11"/>
      <c r="P13" s="13"/>
      <c r="Q13" s="14">
        <f t="shared" ca="1" si="6"/>
        <v>-53005.91569274896</v>
      </c>
      <c r="R13" s="16">
        <f t="shared" ca="1" si="4"/>
        <v>-53005.91569274896</v>
      </c>
    </row>
    <row r="14" spans="1:20">
      <c r="A14" s="18" t="s">
        <v>78</v>
      </c>
      <c r="B14" s="11"/>
      <c r="C14" s="14"/>
      <c r="D14" s="14"/>
      <c r="E14" s="14">
        <f ca="1">-(I13+J13)-K13</f>
        <v>17890.621742816518</v>
      </c>
      <c r="F14" s="14"/>
      <c r="G14" s="14"/>
      <c r="H14" s="14"/>
      <c r="I14" s="14"/>
      <c r="J14" s="14"/>
      <c r="K14" s="13"/>
      <c r="L14" s="14">
        <f t="shared" ca="1" si="5"/>
        <v>17890.621742816518</v>
      </c>
      <c r="M14" s="16"/>
      <c r="N14" s="16"/>
      <c r="O14" s="11"/>
      <c r="P14" s="13"/>
      <c r="Q14" s="14">
        <f t="shared" ca="1" si="6"/>
        <v>17890.621742816518</v>
      </c>
      <c r="R14" s="16">
        <f t="shared" ca="1" si="4"/>
        <v>17890.621742816518</v>
      </c>
    </row>
    <row r="15" spans="1:20">
      <c r="A15" s="18" t="s">
        <v>79</v>
      </c>
      <c r="B15" s="11"/>
      <c r="C15" s="14"/>
      <c r="D15" s="14"/>
      <c r="E15" s="14">
        <f ca="1">E17-E14</f>
        <v>35115.293949932442</v>
      </c>
      <c r="F15" s="14"/>
      <c r="G15" s="14"/>
      <c r="H15" s="14"/>
      <c r="I15" s="14"/>
      <c r="J15" s="14"/>
      <c r="K15" s="13"/>
      <c r="L15" s="14">
        <f t="shared" ca="1" si="5"/>
        <v>35115.293949932442</v>
      </c>
      <c r="M15" s="16"/>
      <c r="N15" s="16"/>
      <c r="O15" s="11"/>
      <c r="P15" s="13"/>
      <c r="Q15" s="14">
        <f t="shared" ca="1" si="6"/>
        <v>35115.293949932442</v>
      </c>
      <c r="R15" s="16">
        <f t="shared" ca="1" si="4"/>
        <v>35115.293949932442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80140.032202878123</v>
      </c>
      <c r="D17" s="9">
        <f ca="1">SUM(D$2:D$11)</f>
        <v>0</v>
      </c>
      <c r="E17" s="9">
        <f ca="1">$Q$5/parameters!$B$4</f>
        <v>53005.91569274896</v>
      </c>
      <c r="F17" s="9">
        <f t="shared" ref="F17:K17" ca="1" si="7">SUM(F$2:F$11)</f>
        <v>89814.179104477618</v>
      </c>
      <c r="G17" s="9">
        <f t="shared" ca="1" si="7"/>
        <v>30988.275862068964</v>
      </c>
      <c r="H17" s="9">
        <f t="shared" ca="1" si="7"/>
        <v>113901.48</v>
      </c>
      <c r="I17" s="9">
        <f t="shared" ca="1" si="7"/>
        <v>40569.397274377123</v>
      </c>
      <c r="J17" s="9">
        <f t="shared" ca="1" si="7"/>
        <v>68970.102725622884</v>
      </c>
      <c r="K17" s="9">
        <f t="shared" ca="1" si="7"/>
        <v>77796.984950213373</v>
      </c>
      <c r="L17" s="17">
        <f t="shared" ca="1" si="5"/>
        <v>555186.36781238706</v>
      </c>
      <c r="M17" s="17"/>
      <c r="N17" s="17"/>
      <c r="O17" s="9"/>
      <c r="P17" s="14"/>
      <c r="Q17" s="11">
        <f t="shared" ca="1" si="6"/>
        <v>555186.36781238706</v>
      </c>
      <c r="R17" s="17">
        <f t="shared" ca="1" si="4"/>
        <v>555186.36781238706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0.91143528088236081</v>
      </c>
      <c r="J18" s="39">
        <f ca="1">I18</f>
        <v>0.91143528088236081</v>
      </c>
      <c r="K18" s="40">
        <f ca="1">1-(-K13)/K17</f>
        <v>0.89473516617294802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36045.421153265568</v>
      </c>
      <c r="D2" s="9">
        <f ca="1">Q4/parameters!$B$3</f>
        <v>222.19985911240818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36267.621012377975</v>
      </c>
      <c r="M2" s="17"/>
      <c r="N2" s="17">
        <f ca="1">Q2-(L2+O2+P2)</f>
        <v>0</v>
      </c>
      <c r="O2" s="11" cm="1">
        <f t="array" aca="1" ref="O2" ca="1">INDIRECT("'data'!$F$" &amp; $A$1)</f>
        <v>5376.8</v>
      </c>
      <c r="P2" s="13">
        <f ca="1">IF(-(L2-Q2+O2)&lt;0, -(L2-Q2+O2), 0)</f>
        <v>-8370.421012377974</v>
      </c>
      <c r="Q2" s="17" cm="1">
        <f t="array" aca="1" ref="Q2" ca="1">INDIRECT("'data'!$D$" &amp; $A$1)</f>
        <v>33274</v>
      </c>
      <c r="R2" s="17">
        <f ca="1">SUM(L2:P2)</f>
        <v>33274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36374.465671641789</v>
      </c>
      <c r="G3" s="14">
        <f ca="1">Q3-O3-P3-F3</f>
        <v>5752.6893283582103</v>
      </c>
      <c r="H3" s="14"/>
      <c r="I3" s="14"/>
      <c r="J3" s="14"/>
      <c r="K3" s="13"/>
      <c r="L3" s="16">
        <f t="shared" ca="1" si="0"/>
        <v>42127.154999999999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51.974999999999994</v>
      </c>
      <c r="P3" s="13" cm="1">
        <f t="array" aca="1" ref="P3" ca="1">-INDIRECT("'data'!$I$" &amp; $A$1)*parameters!$B$13</f>
        <v>-6360.7950000000001</v>
      </c>
      <c r="Q3" s="16" cm="1">
        <f t="array" aca="1" ref="Q3" ca="1">INDIRECT("'data'!$G$" &amp; $A$1)*parameters!$B$13</f>
        <v>35818.334999999999</v>
      </c>
      <c r="R3" s="16">
        <f t="shared" ref="R3:R10" ca="1" si="2">SUM(L3:P3)</f>
        <v>35818.334999999999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2760.0000000000005</v>
      </c>
      <c r="H4" s="14"/>
      <c r="I4" s="14"/>
      <c r="J4" s="14"/>
      <c r="K4" s="13"/>
      <c r="L4" s="16">
        <f t="shared" ca="1" si="0"/>
        <v>2760.0000000000005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11.040000000000001</v>
      </c>
      <c r="P4" s="13" cm="1">
        <f t="array" aca="1" ref="P4" ca="1">-INDIRECT("'data'!$L$" &amp; $A$1)*parameters!$B$14</f>
        <v>-2550.2400000000002</v>
      </c>
      <c r="Q4" s="16" cm="1">
        <f t="array" aca="1" ref="Q4" ca="1">INDIRECT("'data'!$J$" &amp; $A$1)*parameters!$B$14</f>
        <v>220.8</v>
      </c>
      <c r="R4" s="16">
        <f t="shared" ca="1" si="2"/>
        <v>220.80000000000018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Q6/parameters!$B$5*18%</f>
        <v>7984.6388059701485</v>
      </c>
      <c r="G5" s="14">
        <f ca="1">Q7/parameters!$B$7-(G3+G4)</f>
        <v>48933.538466835103</v>
      </c>
      <c r="H5" s="14"/>
      <c r="I5" s="14"/>
      <c r="J5" s="14"/>
      <c r="K5" s="13"/>
      <c r="L5" s="16">
        <f t="shared" ca="1" si="0"/>
        <v>56918.177272805253</v>
      </c>
      <c r="M5" s="16"/>
      <c r="N5" s="16"/>
      <c r="O5" s="11" cm="1">
        <f t="array" aca="1" ref="O5" ca="1">INDIRECT("'data'!$M$" &amp; $A$1)*parameters!$B$15</f>
        <v>13698.44</v>
      </c>
      <c r="P5" s="13" cm="1">
        <f t="array" aca="1" ref="P5" ca="1">-INDIRECT("'data'!$N$" &amp; $A$1)*parameters!$B$15</f>
        <v>-4716.74</v>
      </c>
      <c r="Q5" s="16">
        <f ca="1">SUM(L5:P5)</f>
        <v>65899.877272805243</v>
      </c>
      <c r="R5" s="16">
        <f t="shared" ca="1" si="2"/>
        <v>65899.877272805243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41608.839999999997</v>
      </c>
      <c r="I6" s="14"/>
      <c r="J6" s="14"/>
      <c r="K6" s="13"/>
      <c r="L6" s="16">
        <f t="shared" ca="1" si="0"/>
        <v>41608.839999999997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41608.839999999997</v>
      </c>
      <c r="R6" s="16">
        <f t="shared" ca="1" si="2"/>
        <v>41608.839999999997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54976.04</v>
      </c>
      <c r="I7" s="14"/>
      <c r="J7" s="14"/>
      <c r="K7" s="13"/>
      <c r="L7" s="16">
        <f t="shared" ca="1" si="0"/>
        <v>54976.04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54976.04</v>
      </c>
      <c r="R7" s="16">
        <f t="shared" ca="1" si="2"/>
        <v>54976.04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32027.162151832836</v>
      </c>
      <c r="J8" s="14">
        <f ca="1">Q10/J18</f>
        <v>72642.717848167173</v>
      </c>
      <c r="K8" s="13"/>
      <c r="L8" s="16">
        <f t="shared" ca="1" si="0"/>
        <v>104669.88</v>
      </c>
      <c r="M8" s="16"/>
      <c r="N8" s="16">
        <f t="shared" ca="1" si="3"/>
        <v>0</v>
      </c>
      <c r="O8" s="11" cm="1">
        <f t="array" aca="1" ref="O8" ca="1">INDIRECT("'data'!$R$" &amp; $A$1)*parameters!$B$15</f>
        <v>199.92</v>
      </c>
      <c r="P8" s="13" cm="1">
        <f t="array" aca="1" ref="P8" ca="1">-INDIRECT("'data'!$S$" &amp; $A$1)*parameters!$B$15</f>
        <v>-8284.92</v>
      </c>
      <c r="Q8" s="16">
        <f ca="1">SUM(Q6:Q7)</f>
        <v>96584.88</v>
      </c>
      <c r="R8" s="16">
        <f t="shared" ca="1" si="2"/>
        <v>96584.88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36317.819999999992</v>
      </c>
      <c r="L9" s="16">
        <f t="shared" ca="1" si="0"/>
        <v>36317.819999999992</v>
      </c>
      <c r="M9" s="16"/>
      <c r="N9" s="16">
        <f t="shared" ca="1" si="3"/>
        <v>0</v>
      </c>
      <c r="O9" s="11" cm="1">
        <f t="array" aca="1" ref="O9" ca="1">INDIRECT("'data'!$U$" &amp; $A$1)*parameters!$B$15</f>
        <v>2356.9</v>
      </c>
      <c r="P9" s="13" cm="1">
        <f t="array" aca="1" ref="P9" ca="1">-INDIRECT("'data'!$V$" &amp; $A$1)*parameters!$B$15</f>
        <v>-9524.619999999999</v>
      </c>
      <c r="Q9" s="16" cm="1">
        <f t="array" aca="1" ref="Q9" ca="1">INDIRECT("'data'!$T$" &amp; $A$1)*parameters!$B$15</f>
        <v>29150.1</v>
      </c>
      <c r="R9" s="16">
        <f t="shared" ca="1" si="2"/>
        <v>29150.099999999995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76910.801479374102</v>
      </c>
      <c r="L10" s="16">
        <f t="shared" ca="1" si="0"/>
        <v>76910.801479374102</v>
      </c>
      <c r="M10" s="16"/>
      <c r="N10" s="16">
        <f t="shared" ca="1" si="3"/>
        <v>0</v>
      </c>
      <c r="O10" s="11" cm="1">
        <f t="array" aca="1" ref="O10" ca="1">INDIRECT("'data'!$X$" &amp; $A$1)*parameters!$B$15</f>
        <v>5107.76</v>
      </c>
      <c r="P10" s="13" cm="1">
        <f t="array" aca="1" ref="P10" ca="1">-INDIRECT("'data'!$Y$" &amp; $A$1)*parameters!$B$15</f>
        <v>-15901.48</v>
      </c>
      <c r="Q10" s="16" cm="1">
        <f t="array" aca="1" ref="Q10" ca="1">INDIRECT("'data'!$W$" &amp; $A$1)*parameters!$B$15</f>
        <v>66117.081479374101</v>
      </c>
      <c r="R10" s="16">
        <f t="shared" ca="1" si="2"/>
        <v>66117.081479374101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120319.12007226172</v>
      </c>
      <c r="N11" s="19"/>
      <c r="O11" s="21" cm="1">
        <f t="array" aca="1" ref="O11" ca="1">INDIRECT("'data'!$Z$" &amp; $A$1)*parameters!$B$15</f>
        <v>19418.7</v>
      </c>
      <c r="P11" s="27" cm="1">
        <f t="array" aca="1" ref="P11" ca="1">-INDIRECT("'data'!$AA$" &amp; $A$1)*parameters!$B$15</f>
        <v>-39455.78</v>
      </c>
      <c r="Q11" s="16">
        <f ca="1">K9*parameters!$B$10+K10*parameters!$B$11</f>
        <v>100282.04007226172</v>
      </c>
      <c r="R11" s="16">
        <f t="shared" ref="R11:R17" ca="1" si="4">SUM(L11:P11)</f>
        <v>100282.04007226173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-227.08615326556901</v>
      </c>
      <c r="D12" s="9">
        <f ca="1">-(D17-Q4)</f>
        <v>-1.3998591124081656</v>
      </c>
      <c r="E12" s="9">
        <f ca="1">-(E17-Q5)</f>
        <v>-8144.9286516950233</v>
      </c>
      <c r="F12" s="9">
        <f ca="1">-(F17-Q6)</f>
        <v>-2750.2644776119414</v>
      </c>
      <c r="G12" s="9">
        <f ca="1">-(G17-Q7)</f>
        <v>-2470.1877951933129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-13593.866936878254</v>
      </c>
      <c r="M12" s="17"/>
      <c r="N12" s="17"/>
      <c r="O12" s="10"/>
      <c r="P12" s="12"/>
      <c r="Q12" s="9">
        <f t="shared" ref="Q12:Q17" ca="1" si="6">SUM(L12:P12)</f>
        <v>-13593.866936878254</v>
      </c>
      <c r="R12" s="17">
        <f t="shared" ca="1" si="4"/>
        <v>-13593.866936878254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-2877.0621518328371</v>
      </c>
      <c r="J13" s="14">
        <f ca="1">-(J17-Q10)</f>
        <v>-6525.6363687930716</v>
      </c>
      <c r="K13" s="13">
        <f ca="1">-(K17-Q11)</f>
        <v>-12946.581407112375</v>
      </c>
      <c r="L13" s="14">
        <f t="shared" ca="1" si="5"/>
        <v>-22349.279927738284</v>
      </c>
      <c r="M13" s="16">
        <f ca="1">-E15</f>
        <v>-51695.525996761979</v>
      </c>
      <c r="N13" s="16"/>
      <c r="O13" s="11"/>
      <c r="P13" s="13"/>
      <c r="Q13" s="14">
        <f t="shared" ca="1" si="6"/>
        <v>-74044.805924500266</v>
      </c>
      <c r="R13" s="16">
        <f t="shared" ca="1" si="4"/>
        <v>-74044.805924500266</v>
      </c>
    </row>
    <row r="14" spans="1:20">
      <c r="A14" s="18" t="s">
        <v>78</v>
      </c>
      <c r="B14" s="11"/>
      <c r="C14" s="14"/>
      <c r="D14" s="14"/>
      <c r="E14" s="14">
        <f ca="1">-(I13+J13)-K13</f>
        <v>22349.279927738284</v>
      </c>
      <c r="F14" s="14"/>
      <c r="G14" s="14"/>
      <c r="H14" s="14"/>
      <c r="I14" s="14"/>
      <c r="J14" s="14"/>
      <c r="K14" s="13"/>
      <c r="L14" s="14">
        <f t="shared" ca="1" si="5"/>
        <v>22349.279927738284</v>
      </c>
      <c r="M14" s="16"/>
      <c r="N14" s="16"/>
      <c r="O14" s="11"/>
      <c r="P14" s="13"/>
      <c r="Q14" s="14">
        <f t="shared" ca="1" si="6"/>
        <v>22349.279927738284</v>
      </c>
      <c r="R14" s="16">
        <f t="shared" ca="1" si="4"/>
        <v>22349.279927738284</v>
      </c>
    </row>
    <row r="15" spans="1:20">
      <c r="A15" s="18" t="s">
        <v>79</v>
      </c>
      <c r="B15" s="11"/>
      <c r="C15" s="14"/>
      <c r="D15" s="14"/>
      <c r="E15" s="14">
        <f ca="1">E17-E14</f>
        <v>51695.525996761979</v>
      </c>
      <c r="F15" s="14"/>
      <c r="G15" s="14"/>
      <c r="H15" s="14"/>
      <c r="I15" s="14"/>
      <c r="J15" s="14"/>
      <c r="K15" s="13"/>
      <c r="L15" s="14">
        <f t="shared" ca="1" si="5"/>
        <v>51695.525996761979</v>
      </c>
      <c r="M15" s="16"/>
      <c r="N15" s="16"/>
      <c r="O15" s="11"/>
      <c r="P15" s="13"/>
      <c r="Q15" s="14">
        <f t="shared" ca="1" si="6"/>
        <v>51695.525996761979</v>
      </c>
      <c r="R15" s="16">
        <f t="shared" ca="1" si="4"/>
        <v>51695.525996761979</v>
      </c>
    </row>
    <row r="16" spans="1:20">
      <c r="A16" s="30" t="s">
        <v>89</v>
      </c>
      <c r="B16" s="21">
        <f ca="1">Q2</f>
        <v>33274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33274</v>
      </c>
      <c r="M16" s="19"/>
      <c r="N16" s="19"/>
      <c r="O16" s="21"/>
      <c r="P16" s="27"/>
      <c r="Q16" s="22">
        <f t="shared" ca="1" si="6"/>
        <v>33274</v>
      </c>
      <c r="R16" s="19">
        <f t="shared" ca="1" si="4"/>
        <v>33274</v>
      </c>
    </row>
    <row r="17" spans="1:18">
      <c r="A17" s="29" t="s">
        <v>88</v>
      </c>
      <c r="B17" s="9">
        <f ca="1">B16</f>
        <v>33274</v>
      </c>
      <c r="C17" s="9">
        <f ca="1">SUM(C$2:C$11)</f>
        <v>36045.421153265568</v>
      </c>
      <c r="D17" s="9">
        <f ca="1">SUM(D$2:D$11)</f>
        <v>222.19985911240818</v>
      </c>
      <c r="E17" s="9">
        <f ca="1">$Q$5/parameters!$B$4</f>
        <v>74044.805924500266</v>
      </c>
      <c r="F17" s="9">
        <f t="shared" ref="F17:K17" ca="1" si="7">SUM(F$2:F$11)</f>
        <v>44359.104477611938</v>
      </c>
      <c r="G17" s="9">
        <f t="shared" ca="1" si="7"/>
        <v>57446.227795193314</v>
      </c>
      <c r="H17" s="9">
        <f t="shared" ca="1" si="7"/>
        <v>96584.88</v>
      </c>
      <c r="I17" s="9">
        <f t="shared" ca="1" si="7"/>
        <v>32027.162151832836</v>
      </c>
      <c r="J17" s="9">
        <f t="shared" ca="1" si="7"/>
        <v>72642.717848167173</v>
      </c>
      <c r="K17" s="9">
        <f t="shared" ca="1" si="7"/>
        <v>113228.62147937409</v>
      </c>
      <c r="L17" s="17">
        <f t="shared" ca="1" si="5"/>
        <v>559875.14068905765</v>
      </c>
      <c r="M17" s="17"/>
      <c r="N17" s="17"/>
      <c r="O17" s="9"/>
      <c r="P17" s="14"/>
      <c r="Q17" s="11">
        <f t="shared" ca="1" si="6"/>
        <v>559875.14068905765</v>
      </c>
      <c r="R17" s="17">
        <f t="shared" ca="1" si="4"/>
        <v>559875.14068905765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0.91016805865616823</v>
      </c>
      <c r="J18" s="39">
        <f ca="1">I18</f>
        <v>0.91016805865616823</v>
      </c>
      <c r="K18" s="40">
        <f ca="1">1-(-K13)/K17</f>
        <v>0.8856598160609882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49206.188990641029</v>
      </c>
      <c r="D2" s="9">
        <f ca="1">Q4/parameters!$B$3</f>
        <v>3036.7314078695781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52242.920398510607</v>
      </c>
      <c r="M2" s="17"/>
      <c r="N2" s="17">
        <f ca="1">Q2-(L2+O2+P2)</f>
        <v>0</v>
      </c>
      <c r="O2" s="11" cm="1">
        <f t="array" aca="1" ref="O2" ca="1">INDIRECT("'data'!$F$" &amp; $A$1)</f>
        <v>15395.9</v>
      </c>
      <c r="P2" s="13">
        <f ca="1">IF(-(L2-Q2+O2)&lt;0, -(L2-Q2+O2), 0)</f>
        <v>-8538.8203985106065</v>
      </c>
      <c r="Q2" s="17" cm="1">
        <f t="array" aca="1" ref="Q2" ca="1">INDIRECT("'data'!$D$" &amp; $A$1)</f>
        <v>59100</v>
      </c>
      <c r="R2" s="17">
        <f ca="1">SUM(L2:P2)</f>
        <v>59100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42753.022388059704</v>
      </c>
      <c r="G3" s="14">
        <f ca="1">Q3-O3-P3-F3</f>
        <v>249.20261194028717</v>
      </c>
      <c r="H3" s="14"/>
      <c r="I3" s="14"/>
      <c r="J3" s="14"/>
      <c r="K3" s="13"/>
      <c r="L3" s="16">
        <f t="shared" ca="1" si="0"/>
        <v>43002.224999999991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5893.9650000000001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48896.189999999995</v>
      </c>
      <c r="R3" s="16">
        <f t="shared" ref="R3:R10" ca="1" si="2">SUM(L3:P3)</f>
        <v>48896.189999999988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1892.4399999999998</v>
      </c>
      <c r="H4" s="14"/>
      <c r="I4" s="14"/>
      <c r="J4" s="14"/>
      <c r="K4" s="13"/>
      <c r="L4" s="16">
        <f t="shared" ca="1" si="0"/>
        <v>1892.4399999999998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1125.1600000000001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3017.6</v>
      </c>
      <c r="R4" s="16">
        <f t="shared" ca="1" si="2"/>
        <v>3017.6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Q6/parameters!$B$5*25%</f>
        <v>14251.007462686568</v>
      </c>
      <c r="G5" s="14">
        <f ca="1">Q7/parameters!$B$7-(G3+G4)</f>
        <v>14518.357388059714</v>
      </c>
      <c r="H5" s="14"/>
      <c r="I5" s="14"/>
      <c r="J5" s="14"/>
      <c r="K5" s="13"/>
      <c r="L5" s="16">
        <f t="shared" ca="1" si="0"/>
        <v>28769.364850746282</v>
      </c>
      <c r="M5" s="16"/>
      <c r="N5" s="16"/>
      <c r="O5" s="11" cm="1">
        <f t="array" aca="1" ref="O5" ca="1">INDIRECT("'data'!$M$" &amp; $A$1)*parameters!$B$15</f>
        <v>9601.06</v>
      </c>
      <c r="P5" s="13" cm="1">
        <f t="array" aca="1" ref="P5" ca="1">-INDIRECT("'data'!$N$" &amp; $A$1)*parameters!$B$15</f>
        <v>-170.52</v>
      </c>
      <c r="Q5" s="16">
        <f ca="1">SUM(L5:P5)</f>
        <v>38199.904850746287</v>
      </c>
      <c r="R5" s="16">
        <f t="shared" ca="1" si="2"/>
        <v>38199.904850746287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53469.78</v>
      </c>
      <c r="I6" s="14"/>
      <c r="J6" s="14"/>
      <c r="K6" s="13"/>
      <c r="L6" s="16">
        <f t="shared" ca="1" si="0"/>
        <v>53469.78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53469.78</v>
      </c>
      <c r="R6" s="16">
        <f t="shared" ca="1" si="2"/>
        <v>53469.78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15943.619999999999</v>
      </c>
      <c r="I7" s="14"/>
      <c r="J7" s="14"/>
      <c r="K7" s="13"/>
      <c r="L7" s="16">
        <f t="shared" ca="1" si="0"/>
        <v>15943.619999999999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15943.619999999999</v>
      </c>
      <c r="R7" s="16">
        <f t="shared" ca="1" si="2"/>
        <v>15943.619999999999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23800</v>
      </c>
      <c r="J8" s="14">
        <f ca="1">Q10/J18</f>
        <v>35947.368421052633</v>
      </c>
      <c r="K8" s="13"/>
      <c r="L8" s="16">
        <f t="shared" ca="1" si="0"/>
        <v>59747.368421052633</v>
      </c>
      <c r="M8" s="16"/>
      <c r="N8" s="16">
        <f t="shared" ca="1" si="3"/>
        <v>-5507.3084210526431</v>
      </c>
      <c r="O8" s="11" cm="1">
        <f t="array" aca="1" ref="O8" ca="1">INDIRECT("'data'!$R$" &amp; $A$1)*parameters!$B$15</f>
        <v>15193.92</v>
      </c>
      <c r="P8" s="13" cm="1">
        <f t="array" aca="1" ref="P8" ca="1">-INDIRECT("'data'!$S$" &amp; $A$1)*parameters!$B$15</f>
        <v>-20.58</v>
      </c>
      <c r="Q8" s="16">
        <f ca="1">SUM(Q6:Q7)</f>
        <v>69413.399999999994</v>
      </c>
      <c r="R8" s="16">
        <f t="shared" ca="1" si="2"/>
        <v>69413.399999999994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20573.14</v>
      </c>
      <c r="L9" s="16">
        <f t="shared" ca="1" si="0"/>
        <v>20573.14</v>
      </c>
      <c r="M9" s="16"/>
      <c r="N9" s="16">
        <f t="shared" ca="1" si="3"/>
        <v>0</v>
      </c>
      <c r="O9" s="11" cm="1">
        <f t="array" aca="1" ref="O9" ca="1">INDIRECT("'data'!$U$" &amp; $A$1)*parameters!$B$15</f>
        <v>4229.68</v>
      </c>
      <c r="P9" s="13" cm="1">
        <f t="array" aca="1" ref="P9" ca="1">-INDIRECT("'data'!$V$" &amp; $A$1)*parameters!$B$15</f>
        <v>-1478.82</v>
      </c>
      <c r="Q9" s="16" cm="1">
        <f t="array" aca="1" ref="Q9" ca="1">INDIRECT("'data'!$T$" &amp; $A$1)*parameters!$B$15</f>
        <v>23324</v>
      </c>
      <c r="R9" s="16">
        <f t="shared" ca="1" si="2"/>
        <v>23324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28116.56105263158</v>
      </c>
      <c r="L10" s="16">
        <f t="shared" ca="1" si="0"/>
        <v>28116.56105263158</v>
      </c>
      <c r="M10" s="16"/>
      <c r="N10" s="16">
        <f t="shared" ca="1" si="3"/>
        <v>0</v>
      </c>
      <c r="O10" s="11" cm="1">
        <f t="array" aca="1" ref="O10" ca="1">INDIRECT("'data'!$X$" &amp; $A$1)*parameters!$B$15</f>
        <v>10020.5</v>
      </c>
      <c r="P10" s="13" cm="1">
        <f t="array" aca="1" ref="P10" ca="1">-INDIRECT("'data'!$Y$" &amp; $A$1)*parameters!$B$15</f>
        <v>-2908.64</v>
      </c>
      <c r="Q10" s="16" cm="1">
        <f t="array" aca="1" ref="Q10" ca="1">INDIRECT("'data'!$W$" &amp; $A$1)*parameters!$B$15</f>
        <v>35228.42105263158</v>
      </c>
      <c r="R10" s="16">
        <f t="shared" ca="1" si="2"/>
        <v>35228.42105263158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47788.854105263163</v>
      </c>
      <c r="N11" s="19"/>
      <c r="O11" s="21" cm="1">
        <f t="array" aca="1" ref="O11" ca="1">INDIRECT("'data'!$Z$" &amp; $A$1)*parameters!$B$15</f>
        <v>2597.98</v>
      </c>
      <c r="P11" s="27" cm="1">
        <f t="array" aca="1" ref="P11" ca="1">-INDIRECT("'data'!$AA$" &amp; $A$1)*parameters!$B$15</f>
        <v>-6867.84</v>
      </c>
      <c r="Q11" s="16">
        <f ca="1">K9*parameters!$B$10+K10*parameters!$B$11</f>
        <v>43518.994105263162</v>
      </c>
      <c r="R11" s="16">
        <f t="shared" ref="R11:R17" ca="1" si="4">SUM(L11:P11)</f>
        <v>43518.994105263162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-309.99899064103374</v>
      </c>
      <c r="D12" s="9">
        <f ca="1">-(D17-Q4)</f>
        <v>-19.131407869578197</v>
      </c>
      <c r="E12" s="9">
        <f ca="1">-(E17-Q5)</f>
        <v>-4721.3365545866181</v>
      </c>
      <c r="F12" s="9">
        <f ca="1">-(F17-Q6)</f>
        <v>-3534.2498507462733</v>
      </c>
      <c r="G12" s="9">
        <f ca="1">-(G17-Q7)</f>
        <v>-716.38000000000102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-9301.0968038435039</v>
      </c>
      <c r="M12" s="17"/>
      <c r="N12" s="17"/>
      <c r="O12" s="10"/>
      <c r="P12" s="12"/>
      <c r="Q12" s="9">
        <f t="shared" ref="Q12:Q17" ca="1" si="6">SUM(L12:P12)</f>
        <v>-9301.0968038435039</v>
      </c>
      <c r="R12" s="17">
        <f t="shared" ca="1" si="4"/>
        <v>-9301.0968038435039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-476</v>
      </c>
      <c r="J13" s="14">
        <f ca="1">-(J17-Q10)</f>
        <v>-718.9473684210534</v>
      </c>
      <c r="K13" s="13">
        <f ca="1">-(K17-Q11)</f>
        <v>-5170.7069473684169</v>
      </c>
      <c r="L13" s="14">
        <f t="shared" ca="1" si="5"/>
        <v>-6365.6543157894703</v>
      </c>
      <c r="M13" s="16">
        <f ca="1">-E15</f>
        <v>-36555.587089543435</v>
      </c>
      <c r="N13" s="16"/>
      <c r="O13" s="11"/>
      <c r="P13" s="13"/>
      <c r="Q13" s="14">
        <f t="shared" ca="1" si="6"/>
        <v>-42921.241405332905</v>
      </c>
      <c r="R13" s="16">
        <f t="shared" ca="1" si="4"/>
        <v>-42921.241405332905</v>
      </c>
    </row>
    <row r="14" spans="1:20">
      <c r="A14" s="18" t="s">
        <v>78</v>
      </c>
      <c r="B14" s="11"/>
      <c r="C14" s="14"/>
      <c r="D14" s="14"/>
      <c r="E14" s="14">
        <f ca="1">-(I13+J13)-K13</f>
        <v>6365.6543157894703</v>
      </c>
      <c r="F14" s="14"/>
      <c r="G14" s="14"/>
      <c r="H14" s="14"/>
      <c r="I14" s="14"/>
      <c r="J14" s="14"/>
      <c r="K14" s="13"/>
      <c r="L14" s="14">
        <f t="shared" ca="1" si="5"/>
        <v>6365.6543157894703</v>
      </c>
      <c r="M14" s="16"/>
      <c r="N14" s="16"/>
      <c r="O14" s="11"/>
      <c r="P14" s="13"/>
      <c r="Q14" s="14">
        <f t="shared" ca="1" si="6"/>
        <v>6365.6543157894703</v>
      </c>
      <c r="R14" s="16">
        <f t="shared" ca="1" si="4"/>
        <v>6365.6543157894703</v>
      </c>
    </row>
    <row r="15" spans="1:20">
      <c r="A15" s="18" t="s">
        <v>79</v>
      </c>
      <c r="B15" s="11"/>
      <c r="C15" s="14"/>
      <c r="D15" s="14"/>
      <c r="E15" s="14">
        <f ca="1">E17-E14</f>
        <v>36555.587089543435</v>
      </c>
      <c r="F15" s="14"/>
      <c r="G15" s="14"/>
      <c r="H15" s="14"/>
      <c r="I15" s="14"/>
      <c r="J15" s="14"/>
      <c r="K15" s="13"/>
      <c r="L15" s="14">
        <f t="shared" ca="1" si="5"/>
        <v>36555.587089543435</v>
      </c>
      <c r="M15" s="16"/>
      <c r="N15" s="16"/>
      <c r="O15" s="11"/>
      <c r="P15" s="13"/>
      <c r="Q15" s="14">
        <f t="shared" ca="1" si="6"/>
        <v>36555.587089543435</v>
      </c>
      <c r="R15" s="16">
        <f t="shared" ca="1" si="4"/>
        <v>36555.587089543435</v>
      </c>
    </row>
    <row r="16" spans="1:20">
      <c r="A16" s="30" t="s">
        <v>89</v>
      </c>
      <c r="B16" s="21">
        <f ca="1">Q2</f>
        <v>59100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59100</v>
      </c>
      <c r="M16" s="19"/>
      <c r="N16" s="19"/>
      <c r="O16" s="21"/>
      <c r="P16" s="27"/>
      <c r="Q16" s="22">
        <f t="shared" ca="1" si="6"/>
        <v>59100</v>
      </c>
      <c r="R16" s="19">
        <f t="shared" ca="1" si="4"/>
        <v>59100</v>
      </c>
    </row>
    <row r="17" spans="1:18">
      <c r="A17" s="29" t="s">
        <v>88</v>
      </c>
      <c r="B17" s="9">
        <f ca="1">B16</f>
        <v>59100</v>
      </c>
      <c r="C17" s="9">
        <f ca="1">SUM(C$2:C$11)</f>
        <v>49206.188990641029</v>
      </c>
      <c r="D17" s="9">
        <f ca="1">SUM(D$2:D$11)</f>
        <v>3036.7314078695781</v>
      </c>
      <c r="E17" s="9">
        <f ca="1">$Q$5/parameters!$B$4</f>
        <v>42921.241405332905</v>
      </c>
      <c r="F17" s="9">
        <f t="shared" ref="F17:K17" ca="1" si="7">SUM(F$2:F$11)</f>
        <v>57004.029850746272</v>
      </c>
      <c r="G17" s="9">
        <f t="shared" ca="1" si="7"/>
        <v>16660</v>
      </c>
      <c r="H17" s="9">
        <f t="shared" ca="1" si="7"/>
        <v>69413.399999999994</v>
      </c>
      <c r="I17" s="9">
        <f t="shared" ca="1" si="7"/>
        <v>23800</v>
      </c>
      <c r="J17" s="9">
        <f t="shared" ca="1" si="7"/>
        <v>35947.368421052633</v>
      </c>
      <c r="K17" s="9">
        <f t="shared" ca="1" si="7"/>
        <v>48689.701052631579</v>
      </c>
      <c r="L17" s="17">
        <f t="shared" ca="1" si="5"/>
        <v>405778.66112827399</v>
      </c>
      <c r="M17" s="17"/>
      <c r="N17" s="17"/>
      <c r="O17" s="9"/>
      <c r="P17" s="14"/>
      <c r="Q17" s="11">
        <f t="shared" ca="1" si="6"/>
        <v>405778.66112827399</v>
      </c>
      <c r="R17" s="17">
        <f t="shared" ca="1" si="4"/>
        <v>405778.66112827399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0.89380286106544182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26208.36771661467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26208.36771661467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-26208.36771661467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21974.567164179105</v>
      </c>
      <c r="G3" s="14">
        <f ca="1">Q3-O3-P3-F3</f>
        <v>4871.9378358208924</v>
      </c>
      <c r="H3" s="14"/>
      <c r="I3" s="14"/>
      <c r="J3" s="14"/>
      <c r="K3" s="13"/>
      <c r="L3" s="16">
        <f t="shared" ca="1" si="0"/>
        <v>26846.504999999997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-803.25</v>
      </c>
      <c r="Q3" s="16" cm="1">
        <f t="array" aca="1" ref="Q3" ca="1">INDIRECT("'data'!$G$" &amp; $A$1)*parameters!$B$13</f>
        <v>26043.254999999997</v>
      </c>
      <c r="R3" s="16">
        <f t="shared" ref="R3:R10" ca="1" si="2">SUM(L3:P3)</f>
        <v>26043.254999999997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431.48</v>
      </c>
      <c r="H4" s="14"/>
      <c r="I4" s="14"/>
      <c r="J4" s="14"/>
      <c r="K4" s="13"/>
      <c r="L4" s="16">
        <f t="shared" ca="1" si="0"/>
        <v>431.48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-431.48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5493.6417910447772</v>
      </c>
      <c r="G5" s="14">
        <f ca="1">Q7/parameters!$B$7-(G3+G4)</f>
        <v>17393.259280166571</v>
      </c>
      <c r="H5" s="14"/>
      <c r="I5" s="14"/>
      <c r="J5" s="14"/>
      <c r="K5" s="13"/>
      <c r="L5" s="16">
        <f t="shared" ca="1" si="0"/>
        <v>22886.901071211349</v>
      </c>
      <c r="M5" s="16"/>
      <c r="N5" s="16"/>
      <c r="O5" s="11" cm="1">
        <f t="array" aca="1" ref="O5" ca="1">INDIRECT("'data'!$M$" &amp; $A$1)*parameters!$B$15</f>
        <v>320.45999999999998</v>
      </c>
      <c r="P5" s="13" cm="1">
        <f t="array" aca="1" ref="P5" ca="1">-INDIRECT("'data'!$N$" &amp; $A$1)*parameters!$B$15</f>
        <v>-5508.58</v>
      </c>
      <c r="Q5" s="16">
        <f ca="1">SUM(L5:P5)</f>
        <v>17698.78107121135</v>
      </c>
      <c r="R5" s="16">
        <f t="shared" ca="1" si="2"/>
        <v>17698.78107121135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25765.18</v>
      </c>
      <c r="I6" s="14"/>
      <c r="J6" s="14"/>
      <c r="K6" s="13"/>
      <c r="L6" s="16">
        <f t="shared" ca="1" si="0"/>
        <v>25765.18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25765.18</v>
      </c>
      <c r="R6" s="16">
        <f t="shared" ca="1" si="2"/>
        <v>25765.18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21720.720000000001</v>
      </c>
      <c r="I7" s="14"/>
      <c r="J7" s="14"/>
      <c r="K7" s="13"/>
      <c r="L7" s="16">
        <f t="shared" ca="1" si="0"/>
        <v>21720.720000000001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21720.720000000001</v>
      </c>
      <c r="R7" s="16">
        <f t="shared" ca="1" si="2"/>
        <v>21720.720000000001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20496.878588214444</v>
      </c>
      <c r="J8" s="14">
        <f ca="1">Q10/J18</f>
        <v>31772.401411785555</v>
      </c>
      <c r="K8" s="13"/>
      <c r="L8" s="16">
        <f t="shared" ca="1" si="0"/>
        <v>52269.279999999999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183.26</v>
      </c>
      <c r="P8" s="13" cm="1">
        <f t="array" aca="1" ref="P8" ca="1">-INDIRECT("'data'!$S$" &amp; $A$1)*parameters!$B$15</f>
        <v>-4966.6400000000003</v>
      </c>
      <c r="Q8" s="16">
        <f ca="1">SUM(Q6:Q7)</f>
        <v>47485.9</v>
      </c>
      <c r="R8" s="16">
        <f t="shared" ca="1" si="2"/>
        <v>47485.9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20764.239999999998</v>
      </c>
      <c r="L9" s="16">
        <f t="shared" ca="1" si="0"/>
        <v>20764.239999999998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2945.88</v>
      </c>
      <c r="P9" s="13" cm="1">
        <f t="array" aca="1" ref="P9" ca="1">-INDIRECT("'data'!$V$" &amp; $A$1)*parameters!$B$15</f>
        <v>-4500.16</v>
      </c>
      <c r="Q9" s="16" cm="1">
        <f t="array" aca="1" ref="Q9" ca="1">INDIRECT("'data'!$T$" &amp; $A$1)*parameters!$B$15</f>
        <v>19209.96</v>
      </c>
      <c r="R9" s="16">
        <f t="shared" ca="1" si="2"/>
        <v>19209.96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28507.456984352775</v>
      </c>
      <c r="L10" s="16">
        <f t="shared" ca="1" si="0"/>
        <v>28507.456984352775</v>
      </c>
      <c r="M10" s="16"/>
      <c r="N10" s="16">
        <f t="shared" ca="1" si="3"/>
        <v>0</v>
      </c>
      <c r="O10" s="11" cm="1">
        <f t="array" aca="1" ref="O10" ca="1">INDIRECT("'data'!$X$" &amp; $A$1)*parameters!$B$15</f>
        <v>12997.74</v>
      </c>
      <c r="P10" s="13" cm="1">
        <f t="array" aca="1" ref="P10" ca="1">-INDIRECT("'data'!$Y$" &amp; $A$1)*parameters!$B$15</f>
        <v>-11727.66</v>
      </c>
      <c r="Q10" s="16" cm="1">
        <f t="array" aca="1" ref="Q10" ca="1">INDIRECT("'data'!$W$" &amp; $A$1)*parameters!$B$15</f>
        <v>29777.536984352773</v>
      </c>
      <c r="R10" s="16">
        <f t="shared" ca="1" si="2"/>
        <v>29777.536984352777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31661.31860654338</v>
      </c>
      <c r="N11" s="19"/>
      <c r="O11" s="21" cm="1">
        <f t="array" aca="1" ref="O11" ca="1">INDIRECT("'data'!$Z$" &amp; $A$1)*parameters!$B$15</f>
        <v>15972.039999999999</v>
      </c>
      <c r="P11" s="27" cm="1">
        <f t="array" aca="1" ref="P11" ca="1">-INDIRECT("'data'!$AA$" &amp; $A$1)*parameters!$B$15</f>
        <v>-3598.56</v>
      </c>
      <c r="Q11" s="16">
        <f ca="1">K9*parameters!$B$10+K10*parameters!$B$11</f>
        <v>44034.79860654338</v>
      </c>
      <c r="R11" s="16">
        <f t="shared" ref="R11:R17" ca="1" si="4">SUM(L11:P11)</f>
        <v>44034.79860654338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-165.11271661467254</v>
      </c>
      <c r="D12" s="9">
        <f ca="1">-(D17-Q4)</f>
        <v>0</v>
      </c>
      <c r="E12" s="9">
        <f ca="1">-(E17-Q5)</f>
        <v>-2187.4897953182553</v>
      </c>
      <c r="F12" s="9">
        <f ca="1">-(F17-Q6)</f>
        <v>-1703.0289552238828</v>
      </c>
      <c r="G12" s="9">
        <f ca="1">-(G17-Q7)</f>
        <v>-975.95711598746129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-5031.588583144272</v>
      </c>
      <c r="M12" s="17"/>
      <c r="N12" s="17"/>
      <c r="O12" s="10"/>
      <c r="P12" s="12"/>
      <c r="Q12" s="9">
        <f t="shared" ref="Q12:Q17" ca="1" si="6">SUM(L12:P12)</f>
        <v>-5031.588583144272</v>
      </c>
      <c r="R12" s="17">
        <f t="shared" ca="1" si="4"/>
        <v>-5031.588583144272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-1286.9185882144448</v>
      </c>
      <c r="J13" s="14">
        <f ca="1">-(J17-Q10)</f>
        <v>-1994.8644274327817</v>
      </c>
      <c r="K13" s="13">
        <f ca="1">-(K17-Q11)</f>
        <v>-5236.8983778093971</v>
      </c>
      <c r="L13" s="14">
        <f t="shared" ca="1" si="5"/>
        <v>-8518.6813934566235</v>
      </c>
      <c r="M13" s="16">
        <f ca="1">-E15</f>
        <v>-11367.589473072981</v>
      </c>
      <c r="N13" s="16"/>
      <c r="O13" s="11"/>
      <c r="P13" s="13"/>
      <c r="Q13" s="14">
        <f t="shared" ca="1" si="6"/>
        <v>-19886.270866529605</v>
      </c>
      <c r="R13" s="16">
        <f t="shared" ca="1" si="4"/>
        <v>-19886.270866529605</v>
      </c>
    </row>
    <row r="14" spans="1:20">
      <c r="A14" s="18" t="s">
        <v>78</v>
      </c>
      <c r="B14" s="11"/>
      <c r="C14" s="14"/>
      <c r="D14" s="14"/>
      <c r="E14" s="14">
        <f ca="1">-(I13+J13)-K13</f>
        <v>8518.6813934566235</v>
      </c>
      <c r="F14" s="14"/>
      <c r="G14" s="14"/>
      <c r="H14" s="14"/>
      <c r="I14" s="14"/>
      <c r="J14" s="14"/>
      <c r="K14" s="13"/>
      <c r="L14" s="14">
        <f t="shared" ca="1" si="5"/>
        <v>8518.6813934566235</v>
      </c>
      <c r="M14" s="16"/>
      <c r="N14" s="16"/>
      <c r="O14" s="11"/>
      <c r="P14" s="13"/>
      <c r="Q14" s="14">
        <f t="shared" ca="1" si="6"/>
        <v>8518.6813934566235</v>
      </c>
      <c r="R14" s="16">
        <f t="shared" ca="1" si="4"/>
        <v>8518.6813934566235</v>
      </c>
    </row>
    <row r="15" spans="1:20">
      <c r="A15" s="18" t="s">
        <v>79</v>
      </c>
      <c r="B15" s="11"/>
      <c r="C15" s="14"/>
      <c r="D15" s="14"/>
      <c r="E15" s="14">
        <f ca="1">E17-E14</f>
        <v>11367.589473072981</v>
      </c>
      <c r="F15" s="14"/>
      <c r="G15" s="14"/>
      <c r="H15" s="14"/>
      <c r="I15" s="14"/>
      <c r="J15" s="14"/>
      <c r="K15" s="13"/>
      <c r="L15" s="14">
        <f t="shared" ca="1" si="5"/>
        <v>11367.589473072981</v>
      </c>
      <c r="M15" s="16"/>
      <c r="N15" s="16"/>
      <c r="O15" s="11"/>
      <c r="P15" s="13"/>
      <c r="Q15" s="14">
        <f t="shared" ca="1" si="6"/>
        <v>11367.589473072981</v>
      </c>
      <c r="R15" s="16">
        <f t="shared" ca="1" si="4"/>
        <v>11367.589473072981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26208.36771661467</v>
      </c>
      <c r="D17" s="9">
        <f ca="1">SUM(D$2:D$11)</f>
        <v>0</v>
      </c>
      <c r="E17" s="9">
        <f ca="1">$Q$5/parameters!$B$4</f>
        <v>19886.270866529605</v>
      </c>
      <c r="F17" s="9">
        <f t="shared" ref="F17:K17" ca="1" si="7">SUM(F$2:F$11)</f>
        <v>27468.208955223883</v>
      </c>
      <c r="G17" s="9">
        <f t="shared" ca="1" si="7"/>
        <v>22696.677115987462</v>
      </c>
      <c r="H17" s="9">
        <f t="shared" ca="1" si="7"/>
        <v>47485.9</v>
      </c>
      <c r="I17" s="9">
        <f t="shared" ca="1" si="7"/>
        <v>20496.878588214444</v>
      </c>
      <c r="J17" s="9">
        <f t="shared" ca="1" si="7"/>
        <v>31772.401411785555</v>
      </c>
      <c r="K17" s="9">
        <f t="shared" ca="1" si="7"/>
        <v>49271.696984352777</v>
      </c>
      <c r="L17" s="17">
        <f t="shared" ca="1" si="5"/>
        <v>245286.40163870843</v>
      </c>
      <c r="M17" s="17"/>
      <c r="N17" s="17"/>
      <c r="O17" s="9"/>
      <c r="P17" s="14"/>
      <c r="Q17" s="11">
        <f t="shared" ca="1" si="6"/>
        <v>245286.40163870843</v>
      </c>
      <c r="R17" s="17">
        <f t="shared" ca="1" si="4"/>
        <v>245286.40163870843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0.9372139234432304</v>
      </c>
      <c r="J18" s="39">
        <f ca="1">I18</f>
        <v>0.9372139234432304</v>
      </c>
      <c r="K18" s="40">
        <f ca="1">1-(-K13)/K17</f>
        <v>0.89371386214945103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28872.094193418532</v>
      </c>
      <c r="D2" s="9">
        <f ca="1">Q4/parameters!$B$3</f>
        <v>536.98299285498638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29409.07718627352</v>
      </c>
      <c r="M2" s="17"/>
      <c r="N2" s="16">
        <v>0</v>
      </c>
      <c r="O2" s="11" cm="1">
        <f t="array" aca="1" ref="O2" ca="1">INDIRECT("'data'!$F$" &amp; $A$1)</f>
        <v>11.700000000000001</v>
      </c>
      <c r="P2" s="13">
        <f ca="1">IF(-(L2-Q2+O2)&lt;0, -(L2-Q2+O2), 0)</f>
        <v>-29377.07718627352</v>
      </c>
      <c r="Q2" s="17" cm="1">
        <f t="array" aca="1" ref="Q2" ca="1">INDIRECT("'data'!$D$" &amp; $A$1)</f>
        <v>43.7</v>
      </c>
      <c r="R2" s="17">
        <f ca="1">SUM(L2:P2)</f>
        <v>43.700000000000728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27205.970149253735</v>
      </c>
      <c r="G3" s="14">
        <f ca="1">Q3-O3-P3-F3</f>
        <v>1712.9198507462643</v>
      </c>
      <c r="H3" s="14"/>
      <c r="I3" s="14"/>
      <c r="J3" s="14"/>
      <c r="K3" s="13"/>
      <c r="L3" s="16">
        <f t="shared" ca="1" si="0"/>
        <v>28918.89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171.04499999999999</v>
      </c>
      <c r="P3" s="13" cm="1">
        <f t="array" aca="1" ref="P3" ca="1">-INDIRECT("'data'!$I$" &amp; $A$1)*parameters!$B$13</f>
        <v>-399.73499999999996</v>
      </c>
      <c r="Q3" s="16" cm="1">
        <f t="array" aca="1" ref="Q3" ca="1">INDIRECT("'data'!$G$" &amp; $A$1)*parameters!$B$13</f>
        <v>28690.199999999997</v>
      </c>
      <c r="R3" s="16">
        <f t="shared" ref="R3:R10" ca="1" si="2">SUM(L3:P3)</f>
        <v>28690.199999999997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497.72</v>
      </c>
      <c r="H4" s="14"/>
      <c r="I4" s="14"/>
      <c r="J4" s="14"/>
      <c r="K4" s="13"/>
      <c r="L4" s="16">
        <f t="shared" ca="1" si="0"/>
        <v>497.72</v>
      </c>
      <c r="M4" s="16"/>
      <c r="N4" s="16">
        <f t="shared" ca="1" si="1"/>
        <v>0</v>
      </c>
      <c r="O4" s="11" cm="1">
        <f t="array" aca="1" ref="O4" ca="1">INDIRECT("'data'!$K$" &amp; $A$1)*parameters!$B$14</f>
        <v>129.72</v>
      </c>
      <c r="P4" s="13" cm="1">
        <f t="array" aca="1" ref="P4" ca="1">-INDIRECT("'data'!$L$" &amp; $A$1)*parameters!$B$14</f>
        <v>-93.84</v>
      </c>
      <c r="Q4" s="16" cm="1">
        <f t="array" aca="1" ref="Q4" ca="1">INDIRECT("'data'!$J$" &amp; $A$1)*parameters!$B$14</f>
        <v>533.6</v>
      </c>
      <c r="R4" s="16">
        <f t="shared" ca="1" si="2"/>
        <v>533.6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6801.4925373134338</v>
      </c>
      <c r="G5" s="14">
        <f ca="1">Q7/parameters!$B$7-(G3+G4)</f>
        <v>12816.026815920402</v>
      </c>
      <c r="H5" s="14"/>
      <c r="I5" s="14"/>
      <c r="J5" s="14"/>
      <c r="K5" s="13"/>
      <c r="L5" s="16">
        <f t="shared" ca="1" si="0"/>
        <v>19617.519353233838</v>
      </c>
      <c r="M5" s="16"/>
      <c r="N5" s="16"/>
      <c r="O5" s="11" cm="1">
        <f t="array" aca="1" ref="O5" ca="1">INDIRECT("'data'!$M$" &amp; $A$1)*parameters!$B$15</f>
        <v>7452.9</v>
      </c>
      <c r="P5" s="13" cm="1">
        <f t="array" aca="1" ref="P5" ca="1">-INDIRECT("'data'!$N$" &amp; $A$1)*parameters!$B$15</f>
        <v>-5481.14</v>
      </c>
      <c r="Q5" s="16">
        <f ca="1">SUM(L5:P5)</f>
        <v>21589.27935323384</v>
      </c>
      <c r="R5" s="16">
        <f t="shared" ca="1" si="2"/>
        <v>21589.27935323384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31899</v>
      </c>
      <c r="I6" s="14"/>
      <c r="J6" s="14"/>
      <c r="K6" s="13"/>
      <c r="L6" s="16">
        <f t="shared" ca="1" si="0"/>
        <v>31899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31899</v>
      </c>
      <c r="R6" s="16">
        <f t="shared" ca="1" si="2"/>
        <v>31899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14380.52</v>
      </c>
      <c r="I7" s="14"/>
      <c r="J7" s="14"/>
      <c r="K7" s="13"/>
      <c r="L7" s="16">
        <f t="shared" ca="1" si="0"/>
        <v>14380.52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14380.52</v>
      </c>
      <c r="R7" s="16">
        <f t="shared" ca="1" si="2"/>
        <v>14380.52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17460.146556846961</v>
      </c>
      <c r="J8" s="14">
        <f ca="1">Q10/J18</f>
        <v>29218.233443153043</v>
      </c>
      <c r="K8" s="13"/>
      <c r="L8" s="16">
        <f t="shared" ca="1" si="0"/>
        <v>46678.380000000005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2127.58</v>
      </c>
      <c r="P8" s="13" cm="1">
        <f t="array" aca="1" ref="P8" ca="1">-INDIRECT("'data'!$S$" &amp; $A$1)*parameters!$B$15</f>
        <v>-2526.44</v>
      </c>
      <c r="Q8" s="16">
        <f ca="1">SUM(Q6:Q7)</f>
        <v>46279.520000000004</v>
      </c>
      <c r="R8" s="16">
        <f t="shared" ca="1" si="2"/>
        <v>46279.520000000004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14400.119999999999</v>
      </c>
      <c r="L9" s="16">
        <f t="shared" ca="1" si="0"/>
        <v>14400.119999999999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7883.12</v>
      </c>
      <c r="P9" s="13" cm="1">
        <f t="array" aca="1" ref="P9" ca="1">-INDIRECT("'data'!$V$" &amp; $A$1)*parameters!$B$15</f>
        <v>-6822.76</v>
      </c>
      <c r="Q9" s="16" cm="1">
        <f t="array" aca="1" ref="Q9" ca="1">INDIRECT("'data'!$T$" &amp; $A$1)*parameters!$B$15</f>
        <v>15460.48</v>
      </c>
      <c r="R9" s="16">
        <f t="shared" ca="1" si="2"/>
        <v>15460.479999999998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23401.362844950214</v>
      </c>
      <c r="L10" s="16">
        <f t="shared" ca="1" si="0"/>
        <v>23401.362844950214</v>
      </c>
      <c r="M10" s="16"/>
      <c r="N10" s="16">
        <f t="shared" ca="1" si="3"/>
        <v>0</v>
      </c>
      <c r="O10" s="11" cm="1">
        <f t="array" aca="1" ref="O10" ca="1">INDIRECT("'data'!$X$" &amp; $A$1)*parameters!$B$15</f>
        <v>14673.539999999999</v>
      </c>
      <c r="P10" s="13" cm="1">
        <f t="array" aca="1" ref="P10" ca="1">-INDIRECT("'data'!$Y$" &amp; $A$1)*parameters!$B$15</f>
        <v>-12202.96</v>
      </c>
      <c r="Q10" s="16" cm="1">
        <f t="array" aca="1" ref="Q10" ca="1">INDIRECT("'data'!$W$" &amp; $A$1)*parameters!$B$15</f>
        <v>25871.942844950212</v>
      </c>
      <c r="R10" s="16">
        <f t="shared" ca="1" si="2"/>
        <v>25871.942844950216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26503.364846657179</v>
      </c>
      <c r="N11" s="19"/>
      <c r="O11" s="21" cm="1">
        <f t="array" aca="1" ref="O11" ca="1">INDIRECT("'data'!$Z$" &amp; $A$1)*parameters!$B$15</f>
        <v>27241.06</v>
      </c>
      <c r="P11" s="27" cm="1">
        <f t="array" aca="1" ref="P11" ca="1">-INDIRECT("'data'!$AA$" &amp; $A$1)*parameters!$B$15</f>
        <v>-20083.14</v>
      </c>
      <c r="Q11" s="16">
        <f ca="1">K9*parameters!$B$10+K10*parameters!$B$11</f>
        <v>33661.284846657181</v>
      </c>
      <c r="R11" s="16">
        <f t="shared" ref="R11:R17" ca="1" si="4">SUM(L11:P11)</f>
        <v>33661.284846657181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-181.894193418535</v>
      </c>
      <c r="D12" s="9">
        <f ca="1">-(D17-Q4)</f>
        <v>-3.3829928549863553</v>
      </c>
      <c r="E12" s="9">
        <f ca="1">-(E17-Q5)</f>
        <v>-2668.3378975906999</v>
      </c>
      <c r="F12" s="9">
        <f ca="1">-(F17-Q6)</f>
        <v>-2108.4626865671671</v>
      </c>
      <c r="G12" s="9">
        <f ca="1">-(G17-Q7)</f>
        <v>-646.14666666666744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-5608.2244370980552</v>
      </c>
      <c r="M12" s="17"/>
      <c r="N12" s="17"/>
      <c r="O12" s="10"/>
      <c r="P12" s="12"/>
      <c r="Q12" s="9">
        <f t="shared" ref="Q12:Q17" ca="1" si="6">SUM(L12:P12)</f>
        <v>-5608.2244370980552</v>
      </c>
      <c r="R12" s="17">
        <f t="shared" ca="1" si="4"/>
        <v>-5608.2244370980552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-1999.6665568469616</v>
      </c>
      <c r="J13" s="14">
        <f ca="1">-(J17-Q10)</f>
        <v>-3346.2905982028315</v>
      </c>
      <c r="K13" s="13">
        <f ca="1">-(K17-Q11)</f>
        <v>-4140.1979982930279</v>
      </c>
      <c r="L13" s="14">
        <f t="shared" ca="1" si="5"/>
        <v>-9486.155153342821</v>
      </c>
      <c r="M13" s="16">
        <f ca="1">-E15</f>
        <v>-14771.462097481719</v>
      </c>
      <c r="N13" s="16"/>
      <c r="O13" s="11"/>
      <c r="P13" s="13"/>
      <c r="Q13" s="14">
        <f t="shared" ca="1" si="6"/>
        <v>-24257.61725082454</v>
      </c>
      <c r="R13" s="16">
        <f t="shared" ca="1" si="4"/>
        <v>-24257.61725082454</v>
      </c>
    </row>
    <row r="14" spans="1:20">
      <c r="A14" s="18" t="s">
        <v>78</v>
      </c>
      <c r="B14" s="11"/>
      <c r="C14" s="14"/>
      <c r="D14" s="14"/>
      <c r="E14" s="14">
        <f ca="1">-(I13+J13)-K13</f>
        <v>9486.155153342821</v>
      </c>
      <c r="F14" s="14"/>
      <c r="G14" s="14"/>
      <c r="H14" s="14"/>
      <c r="I14" s="14"/>
      <c r="J14" s="14"/>
      <c r="K14" s="13"/>
      <c r="L14" s="14">
        <f t="shared" ca="1" si="5"/>
        <v>9486.155153342821</v>
      </c>
      <c r="M14" s="16"/>
      <c r="N14" s="16"/>
      <c r="O14" s="11"/>
      <c r="P14" s="13"/>
      <c r="Q14" s="14">
        <f t="shared" ca="1" si="6"/>
        <v>9486.155153342821</v>
      </c>
      <c r="R14" s="16">
        <f t="shared" ca="1" si="4"/>
        <v>9486.155153342821</v>
      </c>
    </row>
    <row r="15" spans="1:20">
      <c r="A15" s="18" t="s">
        <v>79</v>
      </c>
      <c r="B15" s="11"/>
      <c r="C15" s="14"/>
      <c r="D15" s="14"/>
      <c r="E15" s="14">
        <f ca="1">E17-E14</f>
        <v>14771.462097481719</v>
      </c>
      <c r="F15" s="14"/>
      <c r="G15" s="14"/>
      <c r="H15" s="14"/>
      <c r="I15" s="14"/>
      <c r="J15" s="14"/>
      <c r="K15" s="13"/>
      <c r="L15" s="14">
        <f t="shared" ca="1" si="5"/>
        <v>14771.462097481719</v>
      </c>
      <c r="M15" s="16"/>
      <c r="N15" s="16"/>
      <c r="O15" s="11"/>
      <c r="P15" s="13"/>
      <c r="Q15" s="14">
        <f t="shared" ca="1" si="6"/>
        <v>14771.462097481719</v>
      </c>
      <c r="R15" s="16">
        <f t="shared" ca="1" si="4"/>
        <v>14771.462097481719</v>
      </c>
    </row>
    <row r="16" spans="1:20">
      <c r="A16" s="30" t="s">
        <v>89</v>
      </c>
      <c r="B16" s="21">
        <f ca="1">Q2</f>
        <v>43.7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43.7</v>
      </c>
      <c r="M16" s="19"/>
      <c r="N16" s="19"/>
      <c r="O16" s="21"/>
      <c r="P16" s="27"/>
      <c r="Q16" s="22">
        <f t="shared" ca="1" si="6"/>
        <v>43.7</v>
      </c>
      <c r="R16" s="19">
        <f t="shared" ca="1" si="4"/>
        <v>43.7</v>
      </c>
    </row>
    <row r="17" spans="1:18">
      <c r="A17" s="29" t="s">
        <v>88</v>
      </c>
      <c r="B17" s="9">
        <f ca="1">B16</f>
        <v>43.7</v>
      </c>
      <c r="C17" s="9">
        <f ca="1">SUM(C$2:C$11)</f>
        <v>28872.094193418532</v>
      </c>
      <c r="D17" s="9">
        <f ca="1">SUM(D$2:D$11)</f>
        <v>536.98299285498638</v>
      </c>
      <c r="E17" s="9">
        <f ca="1">$Q$5/parameters!$B$4</f>
        <v>24257.61725082454</v>
      </c>
      <c r="F17" s="9">
        <f t="shared" ref="F17:K17" ca="1" si="7">SUM(F$2:F$11)</f>
        <v>34007.462686567167</v>
      </c>
      <c r="G17" s="9">
        <f t="shared" ca="1" si="7"/>
        <v>15026.666666666668</v>
      </c>
      <c r="H17" s="9">
        <f t="shared" ca="1" si="7"/>
        <v>46279.520000000004</v>
      </c>
      <c r="I17" s="9">
        <f t="shared" ca="1" si="7"/>
        <v>17460.146556846961</v>
      </c>
      <c r="J17" s="9">
        <f t="shared" ca="1" si="7"/>
        <v>29218.233443153043</v>
      </c>
      <c r="K17" s="9">
        <f t="shared" ca="1" si="7"/>
        <v>37801.482844950209</v>
      </c>
      <c r="L17" s="17">
        <f t="shared" ca="1" si="5"/>
        <v>233503.9066352821</v>
      </c>
      <c r="M17" s="17"/>
      <c r="N17" s="17"/>
      <c r="O17" s="9"/>
      <c r="P17" s="14"/>
      <c r="Q17" s="11">
        <f t="shared" ca="1" si="6"/>
        <v>233503.9066352821</v>
      </c>
      <c r="R17" s="17">
        <f t="shared" ca="1" si="4"/>
        <v>233503.9066352821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0.88547252164599988</v>
      </c>
      <c r="J18" s="39">
        <f ca="1">I18</f>
        <v>0.88547252164599988</v>
      </c>
      <c r="K18" s="40">
        <f ca="1">1-(-K13)/K17</f>
        <v>0.89047524893997365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5236.6113060191856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5236.6113060191856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-3386.3166543468064</v>
      </c>
      <c r="Q2" s="17" cm="1">
        <f t="array" aca="1" ref="Q2" ca="1">INDIRECT("'data'!$D$" &amp; $A$1)</f>
        <v>1850.2946516723791</v>
      </c>
      <c r="R2" s="17">
        <f ca="1">SUM(L2:P2)</f>
        <v>1850.2946516723791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5169.5522388059708</v>
      </c>
      <c r="G3" s="14">
        <f ca="1">Q3-O3-P3-F3</f>
        <v>352.5334159852946</v>
      </c>
      <c r="H3" s="14"/>
      <c r="I3" s="14"/>
      <c r="J3" s="14"/>
      <c r="K3" s="13"/>
      <c r="L3" s="16">
        <f t="shared" ca="1" si="0"/>
        <v>5522.0856547912654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-319.40999999999997</v>
      </c>
      <c r="Q3" s="16" cm="1">
        <f t="array" aca="1" ref="Q3" ca="1">INDIRECT("'data'!$G$" &amp; $A$1)*parameters!$B$13</f>
        <v>5203.6206547912652</v>
      </c>
      <c r="R3" s="16">
        <f t="shared" ref="R3:R10" ca="1" si="2">SUM(L3:P3)</f>
        <v>5203.6206547912652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40.480000000000004</v>
      </c>
      <c r="H4" s="14"/>
      <c r="I4" s="14"/>
      <c r="J4" s="14"/>
      <c r="K4" s="13"/>
      <c r="L4" s="16">
        <f t="shared" ca="1" si="0"/>
        <v>40.480000000000004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-40.480000000000004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1292.3880597014927</v>
      </c>
      <c r="G5" s="14">
        <f ca="1">Q7/parameters!$B$7-(G3+G4)</f>
        <v>17148.679373983359</v>
      </c>
      <c r="H5" s="14"/>
      <c r="I5" s="14"/>
      <c r="J5" s="14"/>
      <c r="K5" s="13"/>
      <c r="L5" s="16">
        <f t="shared" ca="1" si="0"/>
        <v>18441.067433684853</v>
      </c>
      <c r="M5" s="16"/>
      <c r="N5" s="16"/>
      <c r="O5" s="11" cm="1">
        <f t="array" aca="1" ref="O5" ca="1">INDIRECT("'data'!$M$" &amp; $A$1)*parameters!$B$15</f>
        <v>51.94</v>
      </c>
      <c r="P5" s="13" cm="1">
        <f t="array" aca="1" ref="P5" ca="1">-INDIRECT("'data'!$N$" &amp; $A$1)*parameters!$B$15</f>
        <v>-13084.96</v>
      </c>
      <c r="Q5" s="16">
        <f ca="1">SUM(L5:P5)</f>
        <v>5408.0474336848529</v>
      </c>
      <c r="R5" s="16">
        <f t="shared" ca="1" si="2"/>
        <v>5408.0474336848529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6061.3</v>
      </c>
      <c r="I6" s="14"/>
      <c r="J6" s="14"/>
      <c r="K6" s="13"/>
      <c r="L6" s="16">
        <f t="shared" ca="1" si="0"/>
        <v>6061.3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6061.3</v>
      </c>
      <c r="R6" s="16">
        <f t="shared" ca="1" si="2"/>
        <v>6061.3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16787.400000000001</v>
      </c>
      <c r="I7" s="14"/>
      <c r="J7" s="14"/>
      <c r="K7" s="13"/>
      <c r="L7" s="16">
        <f t="shared" ca="1" si="0"/>
        <v>16787.400000000001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16787.400000000001</v>
      </c>
      <c r="R7" s="16">
        <f t="shared" ca="1" si="2"/>
        <v>16787.400000000001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14176.856510105457</v>
      </c>
      <c r="J8" s="14">
        <f ca="1">Q10/J18</f>
        <v>11643.203489894544</v>
      </c>
      <c r="K8" s="13"/>
      <c r="L8" s="16">
        <f t="shared" ca="1" si="0"/>
        <v>25820.06</v>
      </c>
      <c r="M8" s="16"/>
      <c r="N8" s="16">
        <f t="shared" ca="1" si="3"/>
        <v>0</v>
      </c>
      <c r="O8" s="11" cm="1">
        <f t="array" aca="1" ref="O8" ca="1">INDIRECT("'data'!$R$" &amp; $A$1)*parameters!$B$15</f>
        <v>218.54</v>
      </c>
      <c r="P8" s="13" cm="1">
        <f t="array" aca="1" ref="P8" ca="1">-INDIRECT("'data'!$S$" &amp; $A$1)*parameters!$B$15</f>
        <v>-3189.9</v>
      </c>
      <c r="Q8" s="16">
        <f ca="1">SUM(Q6:Q7)</f>
        <v>22848.7</v>
      </c>
      <c r="R8" s="16">
        <f t="shared" ca="1" si="2"/>
        <v>22848.7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7569.52</v>
      </c>
      <c r="L9" s="16">
        <f t="shared" ca="1" si="0"/>
        <v>7569.52</v>
      </c>
      <c r="M9" s="16"/>
      <c r="N9" s="16">
        <f t="shared" ca="1" si="3"/>
        <v>0</v>
      </c>
      <c r="O9" s="11" cm="1">
        <f t="array" aca="1" ref="O9" ca="1">INDIRECT("'data'!$U$" &amp; $A$1)*parameters!$B$15</f>
        <v>6646.36</v>
      </c>
      <c r="P9" s="13" cm="1">
        <f t="array" aca="1" ref="P9" ca="1">-INDIRECT("'data'!$V$" &amp; $A$1)*parameters!$B$15</f>
        <v>-985.88</v>
      </c>
      <c r="Q9" s="16" cm="1">
        <f t="array" aca="1" ref="Q9" ca="1">INDIRECT("'data'!$T$" &amp; $A$1)*parameters!$B$15</f>
        <v>13230</v>
      </c>
      <c r="R9" s="16">
        <f t="shared" ca="1" si="2"/>
        <v>13230.000000000002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17143.446852673107</v>
      </c>
      <c r="L10" s="16">
        <f t="shared" ca="1" si="0"/>
        <v>17143.446852673107</v>
      </c>
      <c r="M10" s="16"/>
      <c r="N10" s="16">
        <f t="shared" ca="1" si="3"/>
        <v>0</v>
      </c>
      <c r="O10" s="11" cm="1">
        <f t="array" aca="1" ref="O10" ca="1">INDIRECT("'data'!$X$" &amp; $A$1)*parameters!$B$15</f>
        <v>1286.74</v>
      </c>
      <c r="P10" s="13" cm="1">
        <f t="array" aca="1" ref="P10" ca="1">-INDIRECT("'data'!$Y$" &amp; $A$1)*parameters!$B$15</f>
        <v>-7564.62</v>
      </c>
      <c r="Q10" s="16" cm="1">
        <f t="array" aca="1" ref="Q10" ca="1">INDIRECT("'data'!$W$" &amp; $A$1)*parameters!$B$15</f>
        <v>10865.566852673108</v>
      </c>
      <c r="R10" s="16">
        <f t="shared" ca="1" si="2"/>
        <v>10865.56685267311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19949.673093298872</v>
      </c>
      <c r="N11" s="19"/>
      <c r="O11" s="21" cm="1">
        <f t="array" aca="1" ref="O11" ca="1">INDIRECT("'data'!$Z$" &amp; $A$1)*parameters!$B$15</f>
        <v>4445.28</v>
      </c>
      <c r="P11" s="27" cm="1">
        <f t="array" aca="1" ref="P11" ca="1">-INDIRECT("'data'!$AA$" &amp; $A$1)*parameters!$B$15</f>
        <v>-2536.2399999999998</v>
      </c>
      <c r="Q11" s="16">
        <f ca="1">K9*parameters!$B$10+K10*parameters!$B$11</f>
        <v>21858.713093298873</v>
      </c>
      <c r="R11" s="16">
        <f t="shared" ref="R11:R17" ca="1" si="4">SUM(L11:P11)</f>
        <v>21858.713093298873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-32.990651227920353</v>
      </c>
      <c r="D12" s="9">
        <f ca="1">-(D17-Q4)</f>
        <v>0</v>
      </c>
      <c r="E12" s="9">
        <f ca="1">-(E17-Q5)</f>
        <v>-668.41035697228472</v>
      </c>
      <c r="F12" s="9">
        <f ca="1">-(F17-Q6)</f>
        <v>-400.64029850746283</v>
      </c>
      <c r="G12" s="9">
        <f ca="1">-(G17-Q7)</f>
        <v>-754.29278996865105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-1856.3340966763189</v>
      </c>
      <c r="M12" s="17"/>
      <c r="N12" s="17"/>
      <c r="O12" s="10"/>
      <c r="P12" s="12"/>
      <c r="Q12" s="9">
        <f t="shared" ref="Q12:Q17" ca="1" si="6">SUM(L12:P12)</f>
        <v>-1856.3340966763189</v>
      </c>
      <c r="R12" s="17">
        <f t="shared" ca="1" si="4"/>
        <v>-1856.3340966763189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-946.85651010545735</v>
      </c>
      <c r="J13" s="14">
        <f ca="1">-(J17-Q10)</f>
        <v>-777.6366372214361</v>
      </c>
      <c r="K13" s="13">
        <f ca="1">-(K17-Q11)</f>
        <v>-2854.2537593742345</v>
      </c>
      <c r="L13" s="14">
        <f t="shared" ca="1" si="5"/>
        <v>-4578.746906701128</v>
      </c>
      <c r="M13" s="16">
        <f ca="1">-E15</f>
        <v>-1497.7108839560096</v>
      </c>
      <c r="N13" s="16"/>
      <c r="O13" s="11"/>
      <c r="P13" s="13"/>
      <c r="Q13" s="14">
        <f t="shared" ca="1" si="6"/>
        <v>-6076.4577906571376</v>
      </c>
      <c r="R13" s="16">
        <f t="shared" ca="1" si="4"/>
        <v>-6076.4577906571376</v>
      </c>
    </row>
    <row r="14" spans="1:20">
      <c r="A14" s="18" t="s">
        <v>78</v>
      </c>
      <c r="B14" s="11"/>
      <c r="C14" s="14"/>
      <c r="D14" s="14"/>
      <c r="E14" s="14">
        <f ca="1">-(I13+J13)-K13</f>
        <v>4578.746906701128</v>
      </c>
      <c r="F14" s="14"/>
      <c r="G14" s="14"/>
      <c r="H14" s="14"/>
      <c r="I14" s="14"/>
      <c r="J14" s="14"/>
      <c r="K14" s="13"/>
      <c r="L14" s="14">
        <f t="shared" ca="1" si="5"/>
        <v>4578.746906701128</v>
      </c>
      <c r="M14" s="16"/>
      <c r="N14" s="16"/>
      <c r="O14" s="11"/>
      <c r="P14" s="13"/>
      <c r="Q14" s="14">
        <f t="shared" ca="1" si="6"/>
        <v>4578.746906701128</v>
      </c>
      <c r="R14" s="16">
        <f t="shared" ca="1" si="4"/>
        <v>4578.746906701128</v>
      </c>
    </row>
    <row r="15" spans="1:20">
      <c r="A15" s="18" t="s">
        <v>79</v>
      </c>
      <c r="B15" s="11"/>
      <c r="C15" s="14"/>
      <c r="D15" s="14"/>
      <c r="E15" s="14">
        <f ca="1">E17-E14</f>
        <v>1497.7108839560096</v>
      </c>
      <c r="F15" s="14"/>
      <c r="G15" s="14"/>
      <c r="H15" s="14"/>
      <c r="I15" s="14"/>
      <c r="J15" s="14"/>
      <c r="K15" s="13"/>
      <c r="L15" s="14">
        <f t="shared" ca="1" si="5"/>
        <v>1497.7108839560096</v>
      </c>
      <c r="M15" s="16"/>
      <c r="N15" s="16"/>
      <c r="O15" s="11"/>
      <c r="P15" s="13"/>
      <c r="Q15" s="14">
        <f t="shared" ca="1" si="6"/>
        <v>1497.7108839560096</v>
      </c>
      <c r="R15" s="16">
        <f t="shared" ca="1" si="4"/>
        <v>1497.7108839560096</v>
      </c>
    </row>
    <row r="16" spans="1:20">
      <c r="A16" s="30" t="s">
        <v>89</v>
      </c>
      <c r="B16" s="21">
        <f ca="1">Q2</f>
        <v>1850.2946516723791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1850.2946516723791</v>
      </c>
      <c r="M16" s="19"/>
      <c r="N16" s="19"/>
      <c r="O16" s="21"/>
      <c r="P16" s="27"/>
      <c r="Q16" s="22">
        <f t="shared" ca="1" si="6"/>
        <v>1850.2946516723791</v>
      </c>
      <c r="R16" s="19">
        <f t="shared" ca="1" si="4"/>
        <v>1850.2946516723791</v>
      </c>
    </row>
    <row r="17" spans="1:18">
      <c r="A17" s="29" t="s">
        <v>88</v>
      </c>
      <c r="B17" s="9">
        <f ca="1">B16</f>
        <v>1850.2946516723791</v>
      </c>
      <c r="C17" s="9">
        <f ca="1">SUM(C$2:C$11)</f>
        <v>5236.6113060191856</v>
      </c>
      <c r="D17" s="9">
        <f ca="1">SUM(D$2:D$11)</f>
        <v>0</v>
      </c>
      <c r="E17" s="9">
        <f ca="1">$Q$5/parameters!$B$4</f>
        <v>6076.4577906571376</v>
      </c>
      <c r="F17" s="9">
        <f t="shared" ref="F17:K17" ca="1" si="7">SUM(F$2:F$11)</f>
        <v>6461.940298507463</v>
      </c>
      <c r="G17" s="9">
        <f t="shared" ca="1" si="7"/>
        <v>17541.692789968653</v>
      </c>
      <c r="H17" s="9">
        <f t="shared" ca="1" si="7"/>
        <v>22848.7</v>
      </c>
      <c r="I17" s="9">
        <f t="shared" ca="1" si="7"/>
        <v>14176.856510105457</v>
      </c>
      <c r="J17" s="9">
        <f t="shared" ca="1" si="7"/>
        <v>11643.203489894544</v>
      </c>
      <c r="K17" s="9">
        <f t="shared" ca="1" si="7"/>
        <v>24712.966852673107</v>
      </c>
      <c r="L17" s="17">
        <f t="shared" ca="1" si="5"/>
        <v>110548.72368949793</v>
      </c>
      <c r="M17" s="17"/>
      <c r="N17" s="17"/>
      <c r="O17" s="9"/>
      <c r="P17" s="14"/>
      <c r="Q17" s="11">
        <f t="shared" ca="1" si="6"/>
        <v>110548.72368949793</v>
      </c>
      <c r="R17" s="17">
        <f t="shared" ca="1" si="4"/>
        <v>110548.72368949793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0.93321110999250612</v>
      </c>
      <c r="J18" s="39">
        <f ca="1">I18</f>
        <v>0.93321110999250612</v>
      </c>
      <c r="K18" s="40">
        <f ca="1">1-(-K13)/K17</f>
        <v>0.88450380011473606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30861.567877629062</v>
      </c>
      <c r="D2" s="9">
        <f ca="1">Q4/parameters!$B$3</f>
        <v>348.1131126094395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31209.680990238503</v>
      </c>
      <c r="M2" s="17"/>
      <c r="N2" s="17">
        <f ca="1">Q2-(L2+O2+P2)</f>
        <v>19533.319009761501</v>
      </c>
      <c r="O2" s="11" cm="1">
        <f t="array" aca="1" ref="O2" ca="1">INDIRECT("'data'!$F$" &amp; $A$1)</f>
        <v>160277</v>
      </c>
      <c r="P2" s="13">
        <f ca="1">IF(-(L2-Q2+O2)&lt;0, -(L2-Q2+O2), 0)</f>
        <v>0</v>
      </c>
      <c r="Q2" s="17" cm="1">
        <f t="array" aca="1" ref="Q2" ca="1">INDIRECT("'data'!$D$" &amp; $A$1)</f>
        <v>211020</v>
      </c>
      <c r="R2" s="17">
        <f ca="1">SUM(L2:P2)</f>
        <v>211020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19074.268656716416</v>
      </c>
      <c r="G3" s="14">
        <f ca="1">Q3-O3-P3-F3</f>
        <v>5685.6763432835833</v>
      </c>
      <c r="H3" s="14"/>
      <c r="I3" s="14"/>
      <c r="J3" s="14"/>
      <c r="K3" s="13"/>
      <c r="L3" s="16">
        <f t="shared" ca="1" si="0"/>
        <v>24759.945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5907.1949999999997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30667.14</v>
      </c>
      <c r="R3" s="16">
        <f t="shared" ref="R3:R10" ca="1" si="2">SUM(L3:P3)</f>
        <v>30667.14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345.92</v>
      </c>
      <c r="H4" s="14"/>
      <c r="I4" s="14"/>
      <c r="J4" s="14"/>
      <c r="K4" s="13"/>
      <c r="L4" s="16">
        <f t="shared" ca="1" si="0"/>
        <v>345.92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345.92</v>
      </c>
      <c r="R4" s="16">
        <f t="shared" ca="1" si="2"/>
        <v>345.92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4768.5671641791041</v>
      </c>
      <c r="G5" s="14">
        <f ca="1">Q7/parameters!$B$7-(G3+G4)</f>
        <v>1690.6398113663654</v>
      </c>
      <c r="H5" s="14"/>
      <c r="I5" s="14"/>
      <c r="J5" s="14"/>
      <c r="K5" s="13"/>
      <c r="L5" s="16">
        <f t="shared" ca="1" si="0"/>
        <v>6459.2069755454695</v>
      </c>
      <c r="M5" s="16"/>
      <c r="N5" s="16"/>
      <c r="O5" s="11" cm="1">
        <f t="array" aca="1" ref="O5" ca="1">INDIRECT("'data'!$M$" &amp; $A$1)*parameters!$B$15</f>
        <v>33.32</v>
      </c>
      <c r="P5" s="13" cm="1">
        <f t="array" aca="1" ref="P5" ca="1">-INDIRECT("'data'!$N$" &amp; $A$1)*parameters!$B$15</f>
        <v>-55.86</v>
      </c>
      <c r="Q5" s="16">
        <f ca="1">SUM(L5:P5)</f>
        <v>6436.6669755454695</v>
      </c>
      <c r="R5" s="16">
        <f t="shared" ca="1" si="2"/>
        <v>6436.6669755454695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22364.579999999998</v>
      </c>
      <c r="I6" s="14"/>
      <c r="J6" s="14"/>
      <c r="K6" s="13"/>
      <c r="L6" s="16">
        <f t="shared" ca="1" si="0"/>
        <v>22364.579999999998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22364.579999999998</v>
      </c>
      <c r="R6" s="16">
        <f t="shared" ca="1" si="2"/>
        <v>22364.579999999998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7390.18</v>
      </c>
      <c r="I7" s="14"/>
      <c r="J7" s="14"/>
      <c r="K7" s="13"/>
      <c r="L7" s="16">
        <f t="shared" ca="1" si="0"/>
        <v>7390.18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7390.18</v>
      </c>
      <c r="R7" s="16">
        <f t="shared" ca="1" si="2"/>
        <v>7390.18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10382.88625254225</v>
      </c>
      <c r="J8" s="14">
        <f ca="1">Q10/J18</f>
        <v>14538.513747457748</v>
      </c>
      <c r="K8" s="13"/>
      <c r="L8" s="16">
        <f t="shared" ca="1" si="0"/>
        <v>24921.399999999998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5623.24</v>
      </c>
      <c r="P8" s="13" cm="1">
        <f t="array" aca="1" ref="P8" ca="1">-INDIRECT("'data'!$S$" &amp; $A$1)*parameters!$B$15</f>
        <v>-789.88</v>
      </c>
      <c r="Q8" s="16">
        <f ca="1">SUM(Q6:Q7)</f>
        <v>29754.76</v>
      </c>
      <c r="R8" s="16">
        <f t="shared" ca="1" si="2"/>
        <v>29754.76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7602.84</v>
      </c>
      <c r="L9" s="16">
        <f t="shared" ca="1" si="0"/>
        <v>7602.84</v>
      </c>
      <c r="M9" s="16"/>
      <c r="N9" s="16">
        <f t="shared" ca="1" si="3"/>
        <v>0</v>
      </c>
      <c r="O9" s="11" cm="1">
        <f t="array" aca="1" ref="O9" ca="1">INDIRECT("'data'!$U$" &amp; $A$1)*parameters!$B$15</f>
        <v>2233.42</v>
      </c>
      <c r="P9" s="13" cm="1">
        <f t="array" aca="1" ref="P9" ca="1">-INDIRECT("'data'!$V$" &amp; $A$1)*parameters!$B$15</f>
        <v>-421.4</v>
      </c>
      <c r="Q9" s="16" cm="1">
        <f t="array" aca="1" ref="Q9" ca="1">INDIRECT("'data'!$T$" &amp; $A$1)*parameters!$B$15</f>
        <v>9414.86</v>
      </c>
      <c r="R9" s="16">
        <f t="shared" ca="1" si="2"/>
        <v>9414.86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9718.7464295874834</v>
      </c>
      <c r="L10" s="16">
        <f t="shared" ca="1" si="0"/>
        <v>9718.7464295874834</v>
      </c>
      <c r="M10" s="16"/>
      <c r="N10" s="16">
        <f t="shared" ca="1" si="3"/>
        <v>0</v>
      </c>
      <c r="O10" s="11" cm="1">
        <f t="array" aca="1" ref="O10" ca="1">INDIRECT("'data'!$X$" &amp; $A$1)*parameters!$B$15</f>
        <v>4006.24</v>
      </c>
      <c r="P10" s="13" cm="1">
        <f t="array" aca="1" ref="P10" ca="1">-INDIRECT("'data'!$Y$" &amp; $A$1)*parameters!$B$15</f>
        <v>-541.93999999999994</v>
      </c>
      <c r="Q10" s="16" cm="1">
        <f t="array" aca="1" ref="Q10" ca="1">INDIRECT("'data'!$W$" &amp; $A$1)*parameters!$B$15</f>
        <v>13183.046429587483</v>
      </c>
      <c r="R10" s="16">
        <f t="shared" ca="1" si="2"/>
        <v>13183.046429587483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13883.871529445236</v>
      </c>
      <c r="N11" s="19"/>
      <c r="O11" s="21" cm="1">
        <f t="array" aca="1" ref="O11" ca="1">INDIRECT("'data'!$Z$" &amp; $A$1)*parameters!$B$15</f>
        <v>3289.86</v>
      </c>
      <c r="P11" s="27" cm="1">
        <f t="array" aca="1" ref="P11" ca="1">-INDIRECT("'data'!$AA$" &amp; $A$1)*parameters!$B$15</f>
        <v>-1668.94</v>
      </c>
      <c r="Q11" s="16">
        <f ca="1">K9*parameters!$B$10+K10*parameters!$B$11</f>
        <v>15504.791529445236</v>
      </c>
      <c r="R11" s="16">
        <f t="shared" ref="R11:R17" ca="1" si="4">SUM(L11:P11)</f>
        <v>15504.791529445234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-194.427877629063</v>
      </c>
      <c r="D12" s="9">
        <f ca="1">-(D17-Q4)</f>
        <v>-2.1931126094394813</v>
      </c>
      <c r="E12" s="9">
        <f ca="1">-(E17-Q5)</f>
        <v>-795.54310933708075</v>
      </c>
      <c r="F12" s="9">
        <f ca="1">-(F17-Q6)</f>
        <v>-1478.2558208955234</v>
      </c>
      <c r="G12" s="9">
        <f ca="1">-(G17-Q7)</f>
        <v>-332.05615464994844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-2802.4760751210551</v>
      </c>
      <c r="M12" s="17"/>
      <c r="N12" s="17"/>
      <c r="O12" s="10"/>
      <c r="P12" s="12"/>
      <c r="Q12" s="9">
        <f t="shared" ref="Q12:Q17" ca="1" si="6">SUM(L12:P12)</f>
        <v>-2802.4760751210551</v>
      </c>
      <c r="R12" s="17">
        <f t="shared" ca="1" si="4"/>
        <v>-2802.4760751210551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-968.02625254224949</v>
      </c>
      <c r="J13" s="14">
        <f ca="1">-(J17-Q10)</f>
        <v>-1355.4673178702651</v>
      </c>
      <c r="K13" s="13">
        <f ca="1">-(K17-Q11)</f>
        <v>-1816.7949001422494</v>
      </c>
      <c r="L13" s="14">
        <f t="shared" ca="1" si="5"/>
        <v>-4140.288470554764</v>
      </c>
      <c r="M13" s="16">
        <f ca="1">-E15</f>
        <v>-3091.9216143277863</v>
      </c>
      <c r="N13" s="16"/>
      <c r="O13" s="11"/>
      <c r="P13" s="13"/>
      <c r="Q13" s="14">
        <f t="shared" ca="1" si="6"/>
        <v>-7232.2100848825503</v>
      </c>
      <c r="R13" s="16">
        <f t="shared" ca="1" si="4"/>
        <v>-7232.2100848825503</v>
      </c>
    </row>
    <row r="14" spans="1:19">
      <c r="A14" s="18" t="s">
        <v>78</v>
      </c>
      <c r="B14" s="11"/>
      <c r="C14" s="14"/>
      <c r="D14" s="14"/>
      <c r="E14" s="14">
        <f ca="1">-(I13+J13)-K13</f>
        <v>4140.288470554764</v>
      </c>
      <c r="F14" s="14"/>
      <c r="G14" s="14"/>
      <c r="H14" s="14"/>
      <c r="I14" s="14"/>
      <c r="J14" s="14"/>
      <c r="K14" s="13"/>
      <c r="L14" s="14">
        <f t="shared" ca="1" si="5"/>
        <v>4140.288470554764</v>
      </c>
      <c r="M14" s="16"/>
      <c r="N14" s="16"/>
      <c r="O14" s="11"/>
      <c r="P14" s="13"/>
      <c r="Q14" s="14">
        <f t="shared" ca="1" si="6"/>
        <v>4140.288470554764</v>
      </c>
      <c r="R14" s="16">
        <f t="shared" ca="1" si="4"/>
        <v>4140.288470554764</v>
      </c>
    </row>
    <row r="15" spans="1:19">
      <c r="A15" s="18" t="s">
        <v>79</v>
      </c>
      <c r="B15" s="11"/>
      <c r="C15" s="14"/>
      <c r="D15" s="14"/>
      <c r="E15" s="14">
        <f ca="1">E17-E14</f>
        <v>3091.9216143277863</v>
      </c>
      <c r="F15" s="14"/>
      <c r="G15" s="14"/>
      <c r="H15" s="14"/>
      <c r="I15" s="14"/>
      <c r="J15" s="14"/>
      <c r="K15" s="13"/>
      <c r="L15" s="14">
        <f t="shared" ca="1" si="5"/>
        <v>3091.9216143277863</v>
      </c>
      <c r="M15" s="16"/>
      <c r="N15" s="16"/>
      <c r="O15" s="11"/>
      <c r="P15" s="13"/>
      <c r="Q15" s="14">
        <f t="shared" ca="1" si="6"/>
        <v>3091.9216143277863</v>
      </c>
      <c r="R15" s="16">
        <f t="shared" ca="1" si="4"/>
        <v>3091.9216143277863</v>
      </c>
    </row>
    <row r="16" spans="1:19">
      <c r="A16" s="30" t="s">
        <v>89</v>
      </c>
      <c r="B16" s="21">
        <f ca="1">Q2</f>
        <v>211020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211020</v>
      </c>
      <c r="M16" s="19"/>
      <c r="N16" s="19"/>
      <c r="O16" s="21"/>
      <c r="P16" s="27"/>
      <c r="Q16" s="22">
        <f t="shared" ca="1" si="6"/>
        <v>211020</v>
      </c>
      <c r="R16" s="19">
        <f t="shared" ca="1" si="4"/>
        <v>211020</v>
      </c>
    </row>
    <row r="17" spans="1:18">
      <c r="A17" s="29" t="s">
        <v>88</v>
      </c>
      <c r="B17" s="9">
        <f ca="1">B16</f>
        <v>211020</v>
      </c>
      <c r="C17" s="9">
        <f ca="1">SUM(C$2:C$11)</f>
        <v>30861.567877629062</v>
      </c>
      <c r="D17" s="9">
        <f ca="1">SUM(D$2:D$11)</f>
        <v>348.1131126094395</v>
      </c>
      <c r="E17" s="9">
        <f ca="1">$Q$5/parameters!$B$4</f>
        <v>7232.2100848825503</v>
      </c>
      <c r="F17" s="9">
        <f t="shared" ref="F17:K17" ca="1" si="7">SUM(F$2:F$11)</f>
        <v>23842.835820895521</v>
      </c>
      <c r="G17" s="9">
        <f t="shared" ca="1" si="7"/>
        <v>7722.2361546499487</v>
      </c>
      <c r="H17" s="9">
        <f t="shared" ca="1" si="7"/>
        <v>29754.76</v>
      </c>
      <c r="I17" s="9">
        <f t="shared" ca="1" si="7"/>
        <v>10382.88625254225</v>
      </c>
      <c r="J17" s="9">
        <f t="shared" ca="1" si="7"/>
        <v>14538.513747457748</v>
      </c>
      <c r="K17" s="9">
        <f t="shared" ca="1" si="7"/>
        <v>17321.586429587485</v>
      </c>
      <c r="L17" s="17">
        <f t="shared" ca="1" si="5"/>
        <v>353024.70948025404</v>
      </c>
      <c r="M17" s="17"/>
      <c r="N17" s="17"/>
      <c r="O17" s="9"/>
      <c r="P17" s="14"/>
      <c r="Q17" s="11">
        <f t="shared" ca="1" si="6"/>
        <v>353024.70948025404</v>
      </c>
      <c r="R17" s="17">
        <f t="shared" ca="1" si="4"/>
        <v>353024.70948025404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0.90676713304980805</v>
      </c>
      <c r="J18" s="39">
        <f ca="1">I18</f>
        <v>0.90676713304980805</v>
      </c>
      <c r="K18" s="40">
        <f ca="1">1-(-K13)/K17</f>
        <v>0.89511382762037717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1782.8387635854269</v>
      </c>
      <c r="D2" s="9">
        <f ca="1">Q4/parameters!$B$3</f>
        <v>6415.0950991244845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8197.9338627099114</v>
      </c>
      <c r="M2" s="17"/>
      <c r="N2" s="17">
        <f ca="1">Q2-(L2+O2+P2)</f>
        <v>1438.684127549508</v>
      </c>
      <c r="O2" s="11" cm="1">
        <f t="array" aca="1" ref="O2" ca="1">INDIRECT("'data'!$F$" &amp; $A$1)</f>
        <v>2304.25</v>
      </c>
      <c r="P2" s="13">
        <f ca="1">IF(-(L2-Q2+O2)&lt;0, -(L2-Q2+O2), 0)</f>
        <v>0</v>
      </c>
      <c r="Q2" s="17" cm="1">
        <f t="array" aca="1" ref="Q2" ca="1">INDIRECT("'data'!$D$" &amp; $A$1)</f>
        <v>11940.867990259419</v>
      </c>
      <c r="R2" s="17">
        <f ca="1">SUM(L2:P2)</f>
        <v>11940.867990259419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1769.8507462686566</v>
      </c>
      <c r="G3" s="14">
        <f ca="1">Q3-O3-P3-F3</f>
        <v>1.756133106182233</v>
      </c>
      <c r="H3" s="14"/>
      <c r="I3" s="14"/>
      <c r="J3" s="14"/>
      <c r="K3" s="13"/>
      <c r="L3" s="16">
        <f t="shared" ca="1" si="0"/>
        <v>1771.6068793748389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1771.6068793748389</v>
      </c>
      <c r="R3" s="16">
        <f t="shared" ref="R3:R10" ca="1" si="2">SUM(L3:P3)</f>
        <v>1771.6068793748389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6430.8</v>
      </c>
      <c r="H4" s="14"/>
      <c r="I4" s="14"/>
      <c r="J4" s="14"/>
      <c r="K4" s="13"/>
      <c r="L4" s="16">
        <f t="shared" ca="1" si="0"/>
        <v>6430.8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-56.120000000000005</v>
      </c>
      <c r="Q4" s="16" cm="1">
        <f t="array" aca="1" ref="Q4" ca="1">INDIRECT("'data'!$J$" &amp; $A$1)*parameters!$B$14</f>
        <v>6374.68</v>
      </c>
      <c r="R4" s="16">
        <f t="shared" ca="1" si="2"/>
        <v>6374.68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Q6/parameters!$B$5*23%</f>
        <v>528.6567164179105</v>
      </c>
      <c r="G5" s="14">
        <f ca="1">Q7/parameters!$B$7-(G3+G4)</f>
        <v>1339.8576599972657</v>
      </c>
      <c r="H5" s="14"/>
      <c r="I5" s="14"/>
      <c r="J5" s="14"/>
      <c r="K5" s="13"/>
      <c r="L5" s="16">
        <f t="shared" ca="1" si="0"/>
        <v>1868.5143764151762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-41.16</v>
      </c>
      <c r="Q5" s="16">
        <f ca="1">SUM(L5:P5)</f>
        <v>1827.3543764151761</v>
      </c>
      <c r="R5" s="16">
        <f t="shared" ca="1" si="2"/>
        <v>1827.3543764151761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2156</v>
      </c>
      <c r="I6" s="14"/>
      <c r="J6" s="14"/>
      <c r="K6" s="13"/>
      <c r="L6" s="16">
        <f t="shared" ca="1" si="0"/>
        <v>2156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2156</v>
      </c>
      <c r="R6" s="16">
        <f t="shared" ca="1" si="2"/>
        <v>2156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7438.2</v>
      </c>
      <c r="I7" s="14"/>
      <c r="J7" s="14"/>
      <c r="K7" s="13"/>
      <c r="L7" s="16">
        <f t="shared" ca="1" si="0"/>
        <v>7438.2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7438.2</v>
      </c>
      <c r="R7" s="16">
        <f t="shared" ca="1" si="2"/>
        <v>7438.2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4464</v>
      </c>
      <c r="J8" s="14">
        <f ca="1">Q10/J18</f>
        <v>4579.8890469416783</v>
      </c>
      <c r="K8" s="13"/>
      <c r="L8" s="16">
        <f t="shared" ca="1" si="0"/>
        <v>9043.8890469416783</v>
      </c>
      <c r="M8" s="16"/>
      <c r="N8" s="16">
        <f t="shared" ca="1" si="3"/>
        <v>2513.2509530583229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-1962.94</v>
      </c>
      <c r="Q8" s="16">
        <f ca="1">SUM(Q6:Q7)</f>
        <v>9594.2000000000007</v>
      </c>
      <c r="R8" s="16">
        <f t="shared" ca="1" si="2"/>
        <v>9594.2000000000007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5725.16</v>
      </c>
      <c r="L9" s="16">
        <f t="shared" ca="1" si="0"/>
        <v>5725.16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-1350.44</v>
      </c>
      <c r="Q9" s="16" cm="1">
        <f t="array" aca="1" ref="Q9" ca="1">INDIRECT("'data'!$T$" &amp; $A$1)*parameters!$B$15</f>
        <v>4374.72</v>
      </c>
      <c r="R9" s="16">
        <f t="shared" ca="1" si="2"/>
        <v>4374.7199999999993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7488.0712660028448</v>
      </c>
      <c r="L10" s="16">
        <f t="shared" ca="1" si="0"/>
        <v>7488.0712660028448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-2999.7799999999997</v>
      </c>
      <c r="Q10" s="16" cm="1">
        <f t="array" aca="1" ref="Q10" ca="1">INDIRECT("'data'!$W$" &amp; $A$1)*parameters!$B$15</f>
        <v>4488.2912660028451</v>
      </c>
      <c r="R10" s="16">
        <f t="shared" ca="1" si="2"/>
        <v>4488.2912660028451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12941.531688762447</v>
      </c>
      <c r="N11" s="19"/>
      <c r="O11" s="21" cm="1">
        <f t="array" aca="1" ref="O11" ca="1">INDIRECT("'data'!$Z$" &amp; $A$1)*parameters!$B$15</f>
        <v>53.9</v>
      </c>
      <c r="P11" s="27" cm="1">
        <f t="array" aca="1" ref="P11" ca="1">-INDIRECT("'data'!$AA$" &amp; $A$1)*parameters!$B$15</f>
        <v>-1174.04</v>
      </c>
      <c r="Q11" s="16">
        <f ca="1">K9*parameters!$B$10+K10*parameters!$B$11</f>
        <v>11821.391688762447</v>
      </c>
      <c r="R11" s="16">
        <f t="shared" ref="R11:R17" ca="1" si="4">SUM(L11:P11)</f>
        <v>11821.391688762447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-11.231884210588078</v>
      </c>
      <c r="D12" s="9">
        <f ca="1">-(D17-Q4)</f>
        <v>-40.415099124484186</v>
      </c>
      <c r="E12" s="9">
        <f ca="1">-(E17-Q5)</f>
        <v>-225.85278809625765</v>
      </c>
      <c r="F12" s="9">
        <f ca="1">-(F17-Q6)</f>
        <v>-142.50746268656712</v>
      </c>
      <c r="G12" s="9">
        <f ca="1">-(G17-Q7)</f>
        <v>-334.21379310344855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-754.22102722134559</v>
      </c>
      <c r="M12" s="17"/>
      <c r="N12" s="17"/>
      <c r="O12" s="10"/>
      <c r="P12" s="12"/>
      <c r="Q12" s="9">
        <f t="shared" ref="Q12:Q17" ca="1" si="6">SUM(L12:P12)</f>
        <v>-754.22102722134559</v>
      </c>
      <c r="R12" s="17">
        <f t="shared" ca="1" si="4"/>
        <v>-754.22102722134559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-89.279999999999745</v>
      </c>
      <c r="J13" s="14">
        <f ca="1">-(J17-Q10)</f>
        <v>-91.597780938833239</v>
      </c>
      <c r="K13" s="13">
        <f ca="1">-(K17-Q11)</f>
        <v>-1391.8395772403965</v>
      </c>
      <c r="L13" s="14">
        <f t="shared" ca="1" si="5"/>
        <v>-1572.7173581792294</v>
      </c>
      <c r="M13" s="16">
        <f ca="1">-E15</f>
        <v>-480.48980633220435</v>
      </c>
      <c r="N13" s="16"/>
      <c r="O13" s="11"/>
      <c r="P13" s="13"/>
      <c r="Q13" s="14">
        <f t="shared" ca="1" si="6"/>
        <v>-2053.2071645114338</v>
      </c>
      <c r="R13" s="16">
        <f t="shared" ca="1" si="4"/>
        <v>-2053.2071645114338</v>
      </c>
    </row>
    <row r="14" spans="1:22">
      <c r="A14" s="18" t="s">
        <v>78</v>
      </c>
      <c r="B14" s="11"/>
      <c r="C14" s="14"/>
      <c r="D14" s="14"/>
      <c r="E14" s="14">
        <f ca="1">-(I13+J13)-K13</f>
        <v>1572.7173581792294</v>
      </c>
      <c r="F14" s="14"/>
      <c r="G14" s="14"/>
      <c r="H14" s="14"/>
      <c r="I14" s="14"/>
      <c r="J14" s="14"/>
      <c r="K14" s="13"/>
      <c r="L14" s="14">
        <f t="shared" ca="1" si="5"/>
        <v>1572.7173581792294</v>
      </c>
      <c r="M14" s="16"/>
      <c r="N14" s="16"/>
      <c r="O14" s="11"/>
      <c r="P14" s="13"/>
      <c r="Q14" s="14">
        <f t="shared" ca="1" si="6"/>
        <v>1572.7173581792294</v>
      </c>
      <c r="R14" s="16">
        <f t="shared" ca="1" si="4"/>
        <v>1572.7173581792294</v>
      </c>
    </row>
    <row r="15" spans="1:22">
      <c r="A15" s="18" t="s">
        <v>79</v>
      </c>
      <c r="B15" s="11"/>
      <c r="C15" s="14"/>
      <c r="D15" s="14"/>
      <c r="E15" s="14">
        <f ca="1">E17-E14</f>
        <v>480.48980633220435</v>
      </c>
      <c r="F15" s="14"/>
      <c r="G15" s="14"/>
      <c r="H15" s="14"/>
      <c r="I15" s="14"/>
      <c r="J15" s="14"/>
      <c r="K15" s="13"/>
      <c r="L15" s="14">
        <f t="shared" ca="1" si="5"/>
        <v>480.48980633220435</v>
      </c>
      <c r="M15" s="16"/>
      <c r="N15" s="16"/>
      <c r="O15" s="11"/>
      <c r="P15" s="13"/>
      <c r="Q15" s="14">
        <f t="shared" ca="1" si="6"/>
        <v>480.48980633220435</v>
      </c>
      <c r="R15" s="16">
        <f t="shared" ca="1" si="4"/>
        <v>480.48980633220435</v>
      </c>
    </row>
    <row r="16" spans="1:22">
      <c r="A16" s="30" t="s">
        <v>89</v>
      </c>
      <c r="B16" s="21">
        <f ca="1">Q2</f>
        <v>11940.867990259419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11940.867990259419</v>
      </c>
      <c r="M16" s="19"/>
      <c r="N16" s="19"/>
      <c r="O16" s="21"/>
      <c r="P16" s="27"/>
      <c r="Q16" s="22">
        <f t="shared" ca="1" si="6"/>
        <v>11940.867990259419</v>
      </c>
      <c r="R16" s="19">
        <f t="shared" ca="1" si="4"/>
        <v>11940.867990259419</v>
      </c>
    </row>
    <row r="17" spans="1:18">
      <c r="A17" s="29" t="s">
        <v>88</v>
      </c>
      <c r="B17" s="9">
        <f ca="1">B16</f>
        <v>11940.867990259419</v>
      </c>
      <c r="C17" s="9">
        <f ca="1">SUM(C$2:C$11)</f>
        <v>1782.8387635854269</v>
      </c>
      <c r="D17" s="9">
        <f ca="1">SUM(D$2:D$11)</f>
        <v>6415.0950991244845</v>
      </c>
      <c r="E17" s="9">
        <f ca="1">$Q$5/parameters!$B$4</f>
        <v>2053.2071645114338</v>
      </c>
      <c r="F17" s="9">
        <f t="shared" ref="F17:K17" ca="1" si="7">SUM(F$2:F$11)</f>
        <v>2298.5074626865671</v>
      </c>
      <c r="G17" s="9">
        <f t="shared" ca="1" si="7"/>
        <v>7772.4137931034484</v>
      </c>
      <c r="H17" s="9">
        <f t="shared" ca="1" si="7"/>
        <v>9594.2000000000007</v>
      </c>
      <c r="I17" s="9">
        <f t="shared" ca="1" si="7"/>
        <v>4464</v>
      </c>
      <c r="J17" s="9">
        <f t="shared" ca="1" si="7"/>
        <v>4579.8890469416783</v>
      </c>
      <c r="K17" s="9">
        <f t="shared" ca="1" si="7"/>
        <v>13213.231266002844</v>
      </c>
      <c r="L17" s="17">
        <f t="shared" ca="1" si="5"/>
        <v>64114.250586215305</v>
      </c>
      <c r="M17" s="17"/>
      <c r="N17" s="17"/>
      <c r="O17" s="9"/>
      <c r="P17" s="14"/>
      <c r="Q17" s="11">
        <f t="shared" ca="1" si="6"/>
        <v>64114.250586215305</v>
      </c>
      <c r="R17" s="17">
        <f t="shared" ca="1" si="4"/>
        <v>64114.250586215305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0.89466319409533468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10933.54634195431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10933.54634195431</v>
      </c>
      <c r="M2" s="17"/>
      <c r="N2" s="17">
        <f ca="1">Q2-(L2+O2+P2)</f>
        <v>0</v>
      </c>
      <c r="O2" s="11" cm="1">
        <f t="array" aca="1" ref="O2" ca="1">INDIRECT("'data'!$F$" &amp; $A$1)</f>
        <v>10.4</v>
      </c>
      <c r="P2" s="13">
        <f ca="1">IF(-(L2-Q2+O2)&lt;0, -(L2-Q2+O2), 0)</f>
        <v>-10943.94634195431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9881.9104477611945</v>
      </c>
      <c r="G3" s="14">
        <f ca="1">Q3-O3-P3-F3</f>
        <v>2654.4595522388045</v>
      </c>
      <c r="H3" s="14"/>
      <c r="I3" s="14"/>
      <c r="J3" s="14"/>
      <c r="K3" s="13"/>
      <c r="L3" s="16">
        <f t="shared" ca="1" si="0"/>
        <v>12536.369999999999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20.79</v>
      </c>
      <c r="P3" s="13" cm="1">
        <f t="array" aca="1" ref="P3" ca="1">-INDIRECT("'data'!$I$" &amp; $A$1)*parameters!$B$13</f>
        <v>-1692.4949999999999</v>
      </c>
      <c r="Q3" s="16" cm="1">
        <f t="array" aca="1" ref="Q3" ca="1">INDIRECT("'data'!$G$" &amp; $A$1)*parameters!$B$13</f>
        <v>10864.664999999999</v>
      </c>
      <c r="R3" s="16">
        <f t="shared" ref="R3:R10" ca="1" si="2">SUM(L3:P3)</f>
        <v>10864.665000000001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402.96000000000004</v>
      </c>
      <c r="H4" s="14"/>
      <c r="I4" s="14"/>
      <c r="J4" s="14"/>
      <c r="K4" s="13"/>
      <c r="L4" s="16">
        <f t="shared" ca="1" si="0"/>
        <v>402.96000000000004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-402.96000000000004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2470.4776119402986</v>
      </c>
      <c r="G5" s="14">
        <f ca="1">Q7/parameters!$B$7-(G3+G4)</f>
        <v>17220.490583602368</v>
      </c>
      <c r="H5" s="14"/>
      <c r="I5" s="14"/>
      <c r="J5" s="14"/>
      <c r="K5" s="13"/>
      <c r="L5" s="16">
        <f t="shared" ca="1" si="0"/>
        <v>19690.968195542668</v>
      </c>
      <c r="M5" s="16"/>
      <c r="N5" s="16"/>
      <c r="O5" s="11" cm="1">
        <f t="array" aca="1" ref="O5" ca="1">INDIRECT("'data'!$M$" &amp; $A$1)*parameters!$B$15</f>
        <v>186.2</v>
      </c>
      <c r="P5" s="13" cm="1">
        <f t="array" aca="1" ref="P5" ca="1">-INDIRECT("'data'!$N$" &amp; $A$1)*parameters!$B$15</f>
        <v>-5554.64</v>
      </c>
      <c r="Q5" s="16">
        <f ca="1">SUM(L5:P5)</f>
        <v>14322.528195542669</v>
      </c>
      <c r="R5" s="16">
        <f t="shared" ca="1" si="2"/>
        <v>14322.528195542669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11586.539999999999</v>
      </c>
      <c r="I6" s="14"/>
      <c r="J6" s="14"/>
      <c r="K6" s="13"/>
      <c r="L6" s="16">
        <f t="shared" ca="1" si="0"/>
        <v>11586.539999999999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11586.539999999999</v>
      </c>
      <c r="R6" s="16">
        <f t="shared" ca="1" si="2"/>
        <v>11586.539999999999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19405.96</v>
      </c>
      <c r="I7" s="14"/>
      <c r="J7" s="14"/>
      <c r="K7" s="13"/>
      <c r="L7" s="16">
        <f t="shared" ca="1" si="0"/>
        <v>19405.96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19405.96</v>
      </c>
      <c r="R7" s="16">
        <f t="shared" ca="1" si="2"/>
        <v>19405.96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19714.630830486112</v>
      </c>
      <c r="J8" s="14">
        <f ca="1">Q10/J18</f>
        <v>16013.22916951389</v>
      </c>
      <c r="K8" s="13"/>
      <c r="L8" s="16">
        <f t="shared" ca="1" si="0"/>
        <v>35727.86</v>
      </c>
      <c r="M8" s="16"/>
      <c r="N8" s="16">
        <f t="shared" ca="1" si="3"/>
        <v>0</v>
      </c>
      <c r="O8" s="11" cm="1">
        <f t="array" aca="1" ref="O8" ca="1">INDIRECT("'data'!$R$" &amp; $A$1)*parameters!$B$15</f>
        <v>939.81999999999994</v>
      </c>
      <c r="P8" s="13" cm="1">
        <f t="array" aca="1" ref="P8" ca="1">-INDIRECT("'data'!$S$" &amp; $A$1)*parameters!$B$15</f>
        <v>-5675.18</v>
      </c>
      <c r="Q8" s="16">
        <f ca="1">SUM(Q6:Q7)</f>
        <v>30992.5</v>
      </c>
      <c r="R8" s="16">
        <f t="shared" ca="1" si="2"/>
        <v>30992.5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15407.559999999998</v>
      </c>
      <c r="L9" s="16">
        <f t="shared" ca="1" si="0"/>
        <v>15407.559999999998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5488.98</v>
      </c>
      <c r="P9" s="13" cm="1">
        <f t="array" aca="1" ref="P9" ca="1">-INDIRECT("'data'!$V$" &amp; $A$1)*parameters!$B$15</f>
        <v>-3611.2999999999997</v>
      </c>
      <c r="Q9" s="16" cm="1">
        <f t="array" aca="1" ref="Q9" ca="1">INDIRECT("'data'!$T$" &amp; $A$1)*parameters!$B$15</f>
        <v>17285.239999999998</v>
      </c>
      <c r="R9" s="16">
        <f t="shared" ca="1" si="2"/>
        <v>17285.239999999998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20345.273968705547</v>
      </c>
      <c r="L10" s="16">
        <f t="shared" ca="1" si="0"/>
        <v>20345.273968705547</v>
      </c>
      <c r="M10" s="16"/>
      <c r="N10" s="16">
        <f t="shared" ca="1" si="3"/>
        <v>0</v>
      </c>
      <c r="O10" s="11" cm="1">
        <f t="array" aca="1" ref="O10" ca="1">INDIRECT("'data'!$X$" &amp; $A$1)*parameters!$B$15</f>
        <v>6733.58</v>
      </c>
      <c r="P10" s="13" cm="1">
        <f t="array" aca="1" ref="P10" ca="1">-INDIRECT("'data'!$Y$" &amp; $A$1)*parameters!$B$15</f>
        <v>-13038.9</v>
      </c>
      <c r="Q10" s="16" cm="1">
        <f t="array" aca="1" ref="Q10" ca="1">INDIRECT("'data'!$W$" &amp; $A$1)*parameters!$B$15</f>
        <v>14039.953968705548</v>
      </c>
      <c r="R10" s="16">
        <f t="shared" ca="1" si="2"/>
        <v>14039.953968705546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26684.12201308677</v>
      </c>
      <c r="N11" s="19"/>
      <c r="O11" s="21" cm="1">
        <f t="array" aca="1" ref="O11" ca="1">INDIRECT("'data'!$Z$" &amp; $A$1)*parameters!$B$15</f>
        <v>13479.9</v>
      </c>
      <c r="P11" s="27" cm="1">
        <f t="array" aca="1" ref="P11" ca="1">-INDIRECT("'data'!$AA$" &amp; $A$1)*parameters!$B$15</f>
        <v>-8183.98</v>
      </c>
      <c r="Q11" s="16">
        <f ca="1">K9*parameters!$B$10+K10*parameters!$B$11</f>
        <v>31980.042013086768</v>
      </c>
      <c r="R11" s="16">
        <f t="shared" ref="R11:R17" ca="1" si="4">SUM(L11:P11)</f>
        <v>31980.042013086768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-68.88134195431121</v>
      </c>
      <c r="D12" s="9">
        <f ca="1">-(D17-Q4)</f>
        <v>0</v>
      </c>
      <c r="E12" s="9">
        <f ca="1">-(E17-Q5)</f>
        <v>-1770.200114055835</v>
      </c>
      <c r="F12" s="9">
        <f ca="1">-(F17-Q6)</f>
        <v>-765.848059701495</v>
      </c>
      <c r="G12" s="9">
        <f ca="1">-(G17-Q7)</f>
        <v>-871.9501358411726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-3476.8796515528138</v>
      </c>
      <c r="M12" s="17"/>
      <c r="N12" s="17"/>
      <c r="O12" s="10"/>
      <c r="P12" s="12"/>
      <c r="Q12" s="9">
        <f t="shared" ref="Q12:Q17" ca="1" si="6">SUM(L12:P12)</f>
        <v>-3476.8796515528138</v>
      </c>
      <c r="R12" s="17">
        <f t="shared" ca="1" si="4"/>
        <v>-3476.8796515528138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-2429.3908304861143</v>
      </c>
      <c r="J13" s="14">
        <f ca="1">-(J17-Q10)</f>
        <v>-1973.2752008083426</v>
      </c>
      <c r="K13" s="13">
        <f ca="1">-(K17-Q11)</f>
        <v>-3772.7919556187735</v>
      </c>
      <c r="L13" s="14">
        <f t="shared" ca="1" si="5"/>
        <v>-8175.4579869132303</v>
      </c>
      <c r="M13" s="16">
        <f ca="1">-E15</f>
        <v>-7917.2703226852736</v>
      </c>
      <c r="N13" s="16"/>
      <c r="O13" s="11"/>
      <c r="P13" s="13"/>
      <c r="Q13" s="14">
        <f t="shared" ca="1" si="6"/>
        <v>-16092.728309598504</v>
      </c>
      <c r="R13" s="16">
        <f t="shared" ca="1" si="4"/>
        <v>-16092.728309598504</v>
      </c>
    </row>
    <row r="14" spans="1:20">
      <c r="A14" s="18" t="s">
        <v>78</v>
      </c>
      <c r="B14" s="11"/>
      <c r="C14" s="14"/>
      <c r="D14" s="14"/>
      <c r="E14" s="14">
        <f ca="1">-(I13+J13)-K13</f>
        <v>8175.4579869132303</v>
      </c>
      <c r="F14" s="14"/>
      <c r="G14" s="14"/>
      <c r="H14" s="14"/>
      <c r="I14" s="14"/>
      <c r="J14" s="14"/>
      <c r="K14" s="13"/>
      <c r="L14" s="14">
        <f t="shared" ca="1" si="5"/>
        <v>8175.4579869132303</v>
      </c>
      <c r="M14" s="16"/>
      <c r="N14" s="16"/>
      <c r="O14" s="11"/>
      <c r="P14" s="13"/>
      <c r="Q14" s="14">
        <f t="shared" ca="1" si="6"/>
        <v>8175.4579869132303</v>
      </c>
      <c r="R14" s="16">
        <f t="shared" ca="1" si="4"/>
        <v>8175.4579869132303</v>
      </c>
    </row>
    <row r="15" spans="1:20">
      <c r="A15" s="18" t="s">
        <v>79</v>
      </c>
      <c r="B15" s="11"/>
      <c r="C15" s="14"/>
      <c r="D15" s="14"/>
      <c r="E15" s="14">
        <f ca="1">E17-E14</f>
        <v>7917.2703226852736</v>
      </c>
      <c r="F15" s="14"/>
      <c r="G15" s="14"/>
      <c r="H15" s="14"/>
      <c r="I15" s="14"/>
      <c r="J15" s="14"/>
      <c r="K15" s="13"/>
      <c r="L15" s="14">
        <f t="shared" ca="1" si="5"/>
        <v>7917.2703226852736</v>
      </c>
      <c r="M15" s="16"/>
      <c r="N15" s="16"/>
      <c r="O15" s="11"/>
      <c r="P15" s="13"/>
      <c r="Q15" s="14">
        <f t="shared" ca="1" si="6"/>
        <v>7917.2703226852736</v>
      </c>
      <c r="R15" s="16">
        <f t="shared" ca="1" si="4"/>
        <v>7917.2703226852736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10933.54634195431</v>
      </c>
      <c r="D17" s="9">
        <f ca="1">SUM(D$2:D$11)</f>
        <v>0</v>
      </c>
      <c r="E17" s="9">
        <f ca="1">$Q$5/parameters!$B$4</f>
        <v>16092.728309598504</v>
      </c>
      <c r="F17" s="9">
        <f t="shared" ref="F17:K17" ca="1" si="7">SUM(F$2:F$11)</f>
        <v>12352.388059701494</v>
      </c>
      <c r="G17" s="9">
        <f t="shared" ca="1" si="7"/>
        <v>20277.910135841172</v>
      </c>
      <c r="H17" s="9">
        <f t="shared" ca="1" si="7"/>
        <v>30992.5</v>
      </c>
      <c r="I17" s="9">
        <f t="shared" ca="1" si="7"/>
        <v>19714.630830486112</v>
      </c>
      <c r="J17" s="9">
        <f t="shared" ca="1" si="7"/>
        <v>16013.22916951389</v>
      </c>
      <c r="K17" s="9">
        <f t="shared" ca="1" si="7"/>
        <v>35752.833968705541</v>
      </c>
      <c r="L17" s="17">
        <f t="shared" ca="1" si="5"/>
        <v>162129.76681580103</v>
      </c>
      <c r="M17" s="17"/>
      <c r="N17" s="17"/>
      <c r="O17" s="9"/>
      <c r="P17" s="14"/>
      <c r="Q17" s="11">
        <f t="shared" ca="1" si="6"/>
        <v>162129.76681580103</v>
      </c>
      <c r="R17" s="17">
        <f t="shared" ca="1" si="4"/>
        <v>162129.76681580103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0.87677218755071096</v>
      </c>
      <c r="J18" s="39">
        <f ca="1">I18</f>
        <v>0.87677218755071096</v>
      </c>
      <c r="K18" s="40">
        <f ca="1">1-(-K13)/K17</f>
        <v>0.89447572298964895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31335.161517560631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31335.161517560631</v>
      </c>
      <c r="M2" s="17"/>
      <c r="N2" s="17">
        <f ca="1">Q2-(L2+O2+P2)</f>
        <v>0</v>
      </c>
      <c r="O2" s="11" cm="1">
        <f t="array" aca="1" ref="O2" ca="1">INDIRECT("'data'!$F$" &amp; $A$1)</f>
        <v>13140.4</v>
      </c>
      <c r="P2" s="13">
        <f ca="1">IF(-(L2-Q2+O2)&lt;0, -(L2-Q2+O2), 0)</f>
        <v>-3775.5615175606308</v>
      </c>
      <c r="Q2" s="17" cm="1">
        <f t="array" aca="1" ref="Q2" ca="1">INDIRECT("'data'!$D$" &amp; $A$1)</f>
        <v>40700</v>
      </c>
      <c r="R2" s="17">
        <f ca="1">SUM(L2:P2)</f>
        <v>40700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30453.761194029848</v>
      </c>
      <c r="G3" s="14">
        <f ca="1">Q3-O3-P3-F3</f>
        <v>24.378805970151006</v>
      </c>
      <c r="H3" s="14"/>
      <c r="I3" s="14"/>
      <c r="J3" s="14"/>
      <c r="K3" s="13"/>
      <c r="L3" s="16">
        <f t="shared" ca="1" si="0"/>
        <v>30478.14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1181.25</v>
      </c>
      <c r="P3" s="13" cm="1">
        <f t="array" aca="1" ref="P3" ca="1">-INDIRECT("'data'!$I$" &amp; $A$1)*parameters!$B$13</f>
        <v>-521.64</v>
      </c>
      <c r="Q3" s="16" cm="1">
        <f t="array" aca="1" ref="Q3" ca="1">INDIRECT("'data'!$G$" &amp; $A$1)*parameters!$B$13</f>
        <v>31137.75</v>
      </c>
      <c r="R3" s="16">
        <f t="shared" ref="R3:R10" ca="1" si="2">SUM(L3:P3)</f>
        <v>31137.75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493.12</v>
      </c>
      <c r="H4" s="14"/>
      <c r="I4" s="14"/>
      <c r="J4" s="14"/>
      <c r="K4" s="13"/>
      <c r="L4" s="16">
        <f t="shared" ca="1" si="0"/>
        <v>493.12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-493.12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Q6/parameters!$B$5*26%</f>
        <v>10699.970149253732</v>
      </c>
      <c r="G5" s="14">
        <f ca="1">Q7/parameters!$B$7-(G3+G4)</f>
        <v>1019.5753842074874</v>
      </c>
      <c r="H5" s="14"/>
      <c r="I5" s="14"/>
      <c r="J5" s="14"/>
      <c r="K5" s="13"/>
      <c r="L5" s="16">
        <f t="shared" ca="1" si="0"/>
        <v>11719.54553346122</v>
      </c>
      <c r="M5" s="16"/>
      <c r="N5" s="16"/>
      <c r="O5" s="11" cm="1">
        <f t="array" aca="1" ref="O5" ca="1">INDIRECT("'data'!$M$" &amp; $A$1)*parameters!$B$15</f>
        <v>729.12</v>
      </c>
      <c r="P5" s="13" cm="1">
        <f t="array" aca="1" ref="P5" ca="1">-INDIRECT("'data'!$N$" &amp; $A$1)*parameters!$B$15</f>
        <v>-9.8000000000000007</v>
      </c>
      <c r="Q5" s="16">
        <f ca="1">SUM(L5:P5)</f>
        <v>12438.865533461221</v>
      </c>
      <c r="R5" s="16">
        <f t="shared" ca="1" si="2"/>
        <v>12438.865533461221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38602.199999999997</v>
      </c>
      <c r="I6" s="14"/>
      <c r="J6" s="14"/>
      <c r="K6" s="13"/>
      <c r="L6" s="16">
        <f t="shared" ca="1" si="0"/>
        <v>38602.199999999997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38602.199999999997</v>
      </c>
      <c r="R6" s="16">
        <f t="shared" ca="1" si="2"/>
        <v>38602.199999999997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1470.98</v>
      </c>
      <c r="I7" s="14"/>
      <c r="J7" s="14"/>
      <c r="K7" s="13"/>
      <c r="L7" s="16">
        <f t="shared" ca="1" si="0"/>
        <v>1470.98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1470.98</v>
      </c>
      <c r="R7" s="16">
        <f t="shared" ca="1" si="2"/>
        <v>1470.98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16860</v>
      </c>
      <c r="J8" s="14">
        <f ca="1">Q10/J18</f>
        <v>18342.8733997155</v>
      </c>
      <c r="K8" s="13"/>
      <c r="L8" s="16">
        <f t="shared" ca="1" si="0"/>
        <v>35202.8733997155</v>
      </c>
      <c r="M8" s="16"/>
      <c r="N8" s="16">
        <f t="shared" ca="1" si="3"/>
        <v>-7072.9533997155013</v>
      </c>
      <c r="O8" s="11" cm="1">
        <f t="array" aca="1" ref="O8" ca="1">INDIRECT("'data'!$R$" &amp; $A$1)*parameters!$B$15</f>
        <v>12305.86</v>
      </c>
      <c r="P8" s="13" cm="1">
        <f t="array" aca="1" ref="P8" ca="1">-INDIRECT("'data'!$S$" &amp; $A$1)*parameters!$B$15</f>
        <v>-362.59999999999997</v>
      </c>
      <c r="Q8" s="16">
        <f ca="1">SUM(Q6:Q7)</f>
        <v>40073.18</v>
      </c>
      <c r="R8" s="16">
        <f t="shared" ca="1" si="2"/>
        <v>40073.18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9813.7199999999993</v>
      </c>
      <c r="L9" s="16">
        <f t="shared" ca="1" si="0"/>
        <v>9813.7199999999993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7059.92</v>
      </c>
      <c r="P9" s="13" cm="1">
        <f t="array" aca="1" ref="P9" ca="1">-INDIRECT("'data'!$V$" &amp; $A$1)*parameters!$B$15</f>
        <v>-350.84</v>
      </c>
      <c r="Q9" s="16" cm="1">
        <f t="array" aca="1" ref="Q9" ca="1">INDIRECT("'data'!$T$" &amp; $A$1)*parameters!$B$15</f>
        <v>16522.8</v>
      </c>
      <c r="R9" s="16">
        <f t="shared" ca="1" si="2"/>
        <v>16522.8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10022.335931721191</v>
      </c>
      <c r="L10" s="16">
        <f t="shared" ca="1" si="0"/>
        <v>10022.335931721191</v>
      </c>
      <c r="M10" s="16"/>
      <c r="N10" s="16">
        <f t="shared" ca="1" si="3"/>
        <v>0</v>
      </c>
      <c r="O10" s="11" cm="1">
        <f t="array" aca="1" ref="O10" ca="1">INDIRECT("'data'!$X$" &amp; $A$1)*parameters!$B$15</f>
        <v>8626.94</v>
      </c>
      <c r="P10" s="13" cm="1">
        <f t="array" aca="1" ref="P10" ca="1">-INDIRECT("'data'!$Y$" &amp; $A$1)*parameters!$B$15</f>
        <v>-673.26</v>
      </c>
      <c r="Q10" s="16" cm="1">
        <f t="array" aca="1" ref="Q10" ca="1">INDIRECT("'data'!$W$" &amp; $A$1)*parameters!$B$15</f>
        <v>17976.015931721191</v>
      </c>
      <c r="R10" s="16">
        <f t="shared" ca="1" si="2"/>
        <v>17976.015931721191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17839.205701280225</v>
      </c>
      <c r="N11" s="19"/>
      <c r="O11" s="21" cm="1">
        <f t="array" aca="1" ref="O11" ca="1">INDIRECT("'data'!$Z$" &amp; $A$1)*parameters!$B$15</f>
        <v>1782.62</v>
      </c>
      <c r="P11" s="27" cm="1">
        <f t="array" aca="1" ref="P11" ca="1">-INDIRECT("'data'!$AA$" &amp; $A$1)*parameters!$B$15</f>
        <v>-1777.72</v>
      </c>
      <c r="Q11" s="16">
        <f ca="1">K9*parameters!$B$10+K10*parameters!$B$11</f>
        <v>17844.105701280223</v>
      </c>
      <c r="R11" s="16">
        <f t="shared" ref="R11:R17" ca="1" si="4">SUM(L11:P11)</f>
        <v>17844.105701280223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-197.41151756063118</v>
      </c>
      <c r="D12" s="9">
        <f ca="1">-(D17-Q4)</f>
        <v>0</v>
      </c>
      <c r="E12" s="9">
        <f ca="1">-(E17-Q5)</f>
        <v>-1537.3878749221731</v>
      </c>
      <c r="F12" s="9">
        <f ca="1">-(F17-Q6)</f>
        <v>-2551.5313432835828</v>
      </c>
      <c r="G12" s="9">
        <f ca="1">-(G17-Q7)</f>
        <v>-66.094190177638438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-4352.4249259440257</v>
      </c>
      <c r="M12" s="17"/>
      <c r="N12" s="17"/>
      <c r="O12" s="10"/>
      <c r="P12" s="12"/>
      <c r="Q12" s="9">
        <f t="shared" ref="Q12:Q17" ca="1" si="6">SUM(L12:P12)</f>
        <v>-4352.4249259440257</v>
      </c>
      <c r="R12" s="17">
        <f t="shared" ca="1" si="4"/>
        <v>-4352.4249259440257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-337.20000000000073</v>
      </c>
      <c r="J13" s="14">
        <f ca="1">-(J17-Q10)</f>
        <v>-366.85746799430854</v>
      </c>
      <c r="K13" s="13">
        <f ca="1">-(K17-Q11)</f>
        <v>-1991.9502304409652</v>
      </c>
      <c r="L13" s="14">
        <f t="shared" ca="1" si="5"/>
        <v>-2696.0076984352745</v>
      </c>
      <c r="M13" s="16">
        <f ca="1">-E15</f>
        <v>-11280.24570994812</v>
      </c>
      <c r="N13" s="16"/>
      <c r="O13" s="11"/>
      <c r="P13" s="13"/>
      <c r="Q13" s="14">
        <f t="shared" ca="1" si="6"/>
        <v>-13976.253408383394</v>
      </c>
      <c r="R13" s="16">
        <f t="shared" ca="1" si="4"/>
        <v>-13976.253408383394</v>
      </c>
    </row>
    <row r="14" spans="1:20">
      <c r="A14" s="18" t="s">
        <v>78</v>
      </c>
      <c r="B14" s="11"/>
      <c r="C14" s="14"/>
      <c r="D14" s="14"/>
      <c r="E14" s="14">
        <f ca="1">-(I13+J13)-K13</f>
        <v>2696.0076984352745</v>
      </c>
      <c r="F14" s="14"/>
      <c r="G14" s="14"/>
      <c r="H14" s="14"/>
      <c r="I14" s="14"/>
      <c r="J14" s="14"/>
      <c r="K14" s="13"/>
      <c r="L14" s="14">
        <f t="shared" ca="1" si="5"/>
        <v>2696.0076984352745</v>
      </c>
      <c r="M14" s="16"/>
      <c r="N14" s="16"/>
      <c r="O14" s="11"/>
      <c r="P14" s="13"/>
      <c r="Q14" s="14">
        <f t="shared" ca="1" si="6"/>
        <v>2696.0076984352745</v>
      </c>
      <c r="R14" s="16">
        <f t="shared" ca="1" si="4"/>
        <v>2696.0076984352745</v>
      </c>
    </row>
    <row r="15" spans="1:20">
      <c r="A15" s="18" t="s">
        <v>79</v>
      </c>
      <c r="B15" s="11"/>
      <c r="C15" s="14"/>
      <c r="D15" s="14"/>
      <c r="E15" s="14">
        <f ca="1">E17-E14</f>
        <v>11280.24570994812</v>
      </c>
      <c r="F15" s="14"/>
      <c r="G15" s="14"/>
      <c r="H15" s="14"/>
      <c r="I15" s="14"/>
      <c r="J15" s="14"/>
      <c r="K15" s="13"/>
      <c r="L15" s="14">
        <f t="shared" ca="1" si="5"/>
        <v>11280.24570994812</v>
      </c>
      <c r="M15" s="16"/>
      <c r="N15" s="16"/>
      <c r="O15" s="11"/>
      <c r="P15" s="13"/>
      <c r="Q15" s="14">
        <f t="shared" ca="1" si="6"/>
        <v>11280.24570994812</v>
      </c>
      <c r="R15" s="16">
        <f t="shared" ca="1" si="4"/>
        <v>11280.24570994812</v>
      </c>
    </row>
    <row r="16" spans="1:20">
      <c r="A16" s="30" t="s">
        <v>89</v>
      </c>
      <c r="B16" s="21">
        <f ca="1">Q2</f>
        <v>40700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40700</v>
      </c>
      <c r="M16" s="19"/>
      <c r="N16" s="19"/>
      <c r="O16" s="21"/>
      <c r="P16" s="27"/>
      <c r="Q16" s="22">
        <f t="shared" ca="1" si="6"/>
        <v>40700</v>
      </c>
      <c r="R16" s="19">
        <f t="shared" ca="1" si="4"/>
        <v>40700</v>
      </c>
    </row>
    <row r="17" spans="1:18">
      <c r="A17" s="29" t="s">
        <v>88</v>
      </c>
      <c r="B17" s="9">
        <f ca="1">B16</f>
        <v>40700</v>
      </c>
      <c r="C17" s="9">
        <f ca="1">SUM(C$2:C$11)</f>
        <v>31335.161517560631</v>
      </c>
      <c r="D17" s="9">
        <f ca="1">SUM(D$2:D$11)</f>
        <v>0</v>
      </c>
      <c r="E17" s="9">
        <f ca="1">$Q$5/parameters!$B$4</f>
        <v>13976.253408383394</v>
      </c>
      <c r="F17" s="9">
        <f t="shared" ref="F17:K17" ca="1" si="7">SUM(F$2:F$11)</f>
        <v>41153.73134328358</v>
      </c>
      <c r="G17" s="9">
        <f t="shared" ca="1" si="7"/>
        <v>1537.0741901776385</v>
      </c>
      <c r="H17" s="9">
        <f t="shared" ca="1" si="7"/>
        <v>40073.18</v>
      </c>
      <c r="I17" s="9">
        <f t="shared" ca="1" si="7"/>
        <v>16860</v>
      </c>
      <c r="J17" s="9">
        <f t="shared" ca="1" si="7"/>
        <v>18342.8733997155</v>
      </c>
      <c r="K17" s="9">
        <f t="shared" ca="1" si="7"/>
        <v>19836.055931721188</v>
      </c>
      <c r="L17" s="17">
        <f t="shared" ca="1" si="5"/>
        <v>223814.3297908419</v>
      </c>
      <c r="M17" s="17"/>
      <c r="N17" s="17"/>
      <c r="O17" s="9"/>
      <c r="P17" s="14"/>
      <c r="Q17" s="11">
        <f t="shared" ca="1" si="6"/>
        <v>223814.3297908419</v>
      </c>
      <c r="R17" s="17">
        <f t="shared" ca="1" si="4"/>
        <v>223814.3297908419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0.89957931973485206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3604.256817953104</v>
      </c>
      <c r="D2" s="9">
        <f ca="1">Q4/parameters!$B$3</f>
        <v>5709.6105464425882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9313.8673643956918</v>
      </c>
      <c r="M2" s="17"/>
      <c r="N2" s="17">
        <f ca="1">Q2-(L2+O2+P2)</f>
        <v>0</v>
      </c>
      <c r="O2" s="11" cm="1">
        <f t="array" aca="1" ref="O2" ca="1">INDIRECT("'data'!$F$" &amp; $A$1)</f>
        <v>853.45</v>
      </c>
      <c r="P2" s="13">
        <f ca="1">IF(-(L2-Q2+O2)&lt;0, -(L2-Q2+O2), 0)</f>
        <v>-3577.3173643956916</v>
      </c>
      <c r="Q2" s="17" cm="1">
        <f t="array" aca="1" ref="Q2" ca="1">INDIRECT("'data'!$D$" &amp; $A$1)</f>
        <v>6590</v>
      </c>
      <c r="R2" s="17">
        <f ca="1">SUM(L2:P2)</f>
        <v>6590.0000000000009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3500.4179104477612</v>
      </c>
      <c r="G3" s="14">
        <f ca="1">Q3-O3-P3-F3</f>
        <v>805.94708955223859</v>
      </c>
      <c r="H3" s="14"/>
      <c r="I3" s="14"/>
      <c r="J3" s="14"/>
      <c r="K3" s="13"/>
      <c r="L3" s="16">
        <f t="shared" ca="1" si="0"/>
        <v>4306.3649999999998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-724.81499999999994</v>
      </c>
      <c r="Q3" s="16" cm="1">
        <f t="array" aca="1" ref="Q3" ca="1">INDIRECT("'data'!$G$" &amp; $A$1)*parameters!$B$13</f>
        <v>3581.5499999999997</v>
      </c>
      <c r="R3" s="16">
        <f t="shared" ref="R3:R10" ca="1" si="2">SUM(L3:P3)</f>
        <v>3581.5499999999997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5940.4400000000005</v>
      </c>
      <c r="H4" s="14"/>
      <c r="I4" s="14"/>
      <c r="J4" s="14"/>
      <c r="K4" s="13"/>
      <c r="L4" s="16">
        <f t="shared" ca="1" si="0"/>
        <v>5940.4400000000005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-266.8</v>
      </c>
      <c r="Q4" s="16" cm="1">
        <f t="array" aca="1" ref="Q4" ca="1">INDIRECT("'data'!$J$" &amp; $A$1)*parameters!$B$14</f>
        <v>5673.64</v>
      </c>
      <c r="R4" s="16">
        <f t="shared" ca="1" si="2"/>
        <v>5673.64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875.1044776119403</v>
      </c>
      <c r="G5" s="14">
        <f ca="1">Q7/parameters!$B$7-(G3+G4)</f>
        <v>5807.2388247633298</v>
      </c>
      <c r="H5" s="14"/>
      <c r="I5" s="14"/>
      <c r="J5" s="14"/>
      <c r="K5" s="13"/>
      <c r="L5" s="16">
        <f t="shared" ca="1" si="0"/>
        <v>6682.3433023752705</v>
      </c>
      <c r="M5" s="16"/>
      <c r="N5" s="16"/>
      <c r="O5" s="11" cm="1">
        <f t="array" aca="1" ref="O5" ca="1">INDIRECT("'data'!$M$" &amp; $A$1)*parameters!$B$15</f>
        <v>541.93999999999994</v>
      </c>
      <c r="P5" s="13" cm="1">
        <f t="array" aca="1" ref="P5" ca="1">-INDIRECT("'data'!$N$" &amp; $A$1)*parameters!$B$15</f>
        <v>-1526.84</v>
      </c>
      <c r="Q5" s="16">
        <f ca="1">SUM(L5:P5)</f>
        <v>5697.4433023752699</v>
      </c>
      <c r="R5" s="16">
        <f t="shared" ca="1" si="2"/>
        <v>5697.4433023752699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4104.24</v>
      </c>
      <c r="I6" s="14"/>
      <c r="J6" s="14"/>
      <c r="K6" s="13"/>
      <c r="L6" s="16">
        <f t="shared" ca="1" si="0"/>
        <v>4104.24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4104.24</v>
      </c>
      <c r="R6" s="16">
        <f t="shared" ca="1" si="2"/>
        <v>4104.24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12013.82</v>
      </c>
      <c r="I7" s="14"/>
      <c r="J7" s="14"/>
      <c r="K7" s="13"/>
      <c r="L7" s="16">
        <f t="shared" ca="1" si="0"/>
        <v>12013.82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12013.82</v>
      </c>
      <c r="R7" s="16">
        <f t="shared" ca="1" si="2"/>
        <v>12013.82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7711.0775961165291</v>
      </c>
      <c r="J8" s="14">
        <f ca="1">Q10/J18</f>
        <v>7385.8224038834724</v>
      </c>
      <c r="K8" s="13"/>
      <c r="L8" s="16">
        <f t="shared" ca="1" si="0"/>
        <v>15096.900000000001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2317.6999999999998</v>
      </c>
      <c r="P8" s="13" cm="1">
        <f t="array" aca="1" ref="P8" ca="1">-INDIRECT("'data'!$S$" &amp; $A$1)*parameters!$B$15</f>
        <v>-1296.54</v>
      </c>
      <c r="Q8" s="16">
        <f ca="1">SUM(Q6:Q7)</f>
        <v>16118.06</v>
      </c>
      <c r="R8" s="16">
        <f t="shared" ca="1" si="2"/>
        <v>16118.060000000001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8147.7199999999993</v>
      </c>
      <c r="L9" s="16">
        <f t="shared" ca="1" si="0"/>
        <v>8147.7199999999993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633.08000000000004</v>
      </c>
      <c r="P9" s="13" cm="1">
        <f t="array" aca="1" ref="P9" ca="1">-INDIRECT("'data'!$V$" &amp; $A$1)*parameters!$B$15</f>
        <v>-1638.56</v>
      </c>
      <c r="Q9" s="16" cm="1">
        <f t="array" aca="1" ref="Q9" ca="1">INDIRECT("'data'!$T$" &amp; $A$1)*parameters!$B$15</f>
        <v>7142.24</v>
      </c>
      <c r="R9" s="16">
        <f t="shared" ca="1" si="2"/>
        <v>7142.24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10336.638520625889</v>
      </c>
      <c r="L10" s="16">
        <f t="shared" ca="1" si="0"/>
        <v>10336.638520625889</v>
      </c>
      <c r="M10" s="16"/>
      <c r="N10" s="16">
        <f t="shared" ca="1" si="3"/>
        <v>0</v>
      </c>
      <c r="O10" s="11" cm="1">
        <f t="array" aca="1" ref="O10" ca="1">INDIRECT("'data'!$X$" &amp; $A$1)*parameters!$B$15</f>
        <v>1021.16</v>
      </c>
      <c r="P10" s="13" cm="1">
        <f t="array" aca="1" ref="P10" ca="1">-INDIRECT("'data'!$Y$" &amp; $A$1)*parameters!$B$15</f>
        <v>-4516.82</v>
      </c>
      <c r="Q10" s="16" cm="1">
        <f t="array" aca="1" ref="Q10" ca="1">INDIRECT("'data'!$W$" &amp; $A$1)*parameters!$B$15</f>
        <v>6840.9785206258885</v>
      </c>
      <c r="R10" s="16">
        <f t="shared" ca="1" si="2"/>
        <v>6840.9785206258894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16019.165927738264</v>
      </c>
      <c r="N11" s="19"/>
      <c r="O11" s="21" cm="1">
        <f t="array" aca="1" ref="O11" ca="1">INDIRECT("'data'!$Z$" &amp; $A$1)*parameters!$B$15</f>
        <v>8730.82</v>
      </c>
      <c r="P11" s="27" cm="1">
        <f t="array" aca="1" ref="P11" ca="1">-INDIRECT("'data'!$AA$" &amp; $A$1)*parameters!$B$15</f>
        <v>-8201.619999999999</v>
      </c>
      <c r="Q11" s="16">
        <f ca="1">K9*parameters!$B$10+K10*parameters!$B$11</f>
        <v>16548.365927738265</v>
      </c>
      <c r="R11" s="16">
        <f t="shared" ref="R11:R17" ca="1" si="4">SUM(L11:P11)</f>
        <v>16548.365927738265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-22.706817953104292</v>
      </c>
      <c r="D12" s="9">
        <f ca="1">-(D17-Q4)</f>
        <v>-35.970546442587874</v>
      </c>
      <c r="E12" s="9">
        <f ca="1">-(E17-Q5)</f>
        <v>-704.17838568683146</v>
      </c>
      <c r="F12" s="9">
        <f ca="1">-(F17-Q6)</f>
        <v>-271.28238805970159</v>
      </c>
      <c r="G12" s="9">
        <f ca="1">-(G17-Q7)</f>
        <v>-539.80591431556968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-1573.9440524577949</v>
      </c>
      <c r="M12" s="17"/>
      <c r="N12" s="17"/>
      <c r="O12" s="10"/>
      <c r="P12" s="12"/>
      <c r="Q12" s="9">
        <f t="shared" ref="Q12:Q17" ca="1" si="6">SUM(L12:P12)</f>
        <v>-1573.9440524577949</v>
      </c>
      <c r="R12" s="17">
        <f t="shared" ca="1" si="4"/>
        <v>-1573.9440524577949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-568.83759611652931</v>
      </c>
      <c r="J13" s="14">
        <f ca="1">-(J17-Q10)</f>
        <v>-544.84388325758391</v>
      </c>
      <c r="K13" s="13">
        <f ca="1">-(K17-Q11)</f>
        <v>-1935.9925928876219</v>
      </c>
      <c r="L13" s="14">
        <f t="shared" ca="1" si="5"/>
        <v>-3049.6740722617351</v>
      </c>
      <c r="M13" s="16">
        <f ca="1">-E15</f>
        <v>-3351.9476158003663</v>
      </c>
      <c r="N13" s="16"/>
      <c r="O13" s="11"/>
      <c r="P13" s="13"/>
      <c r="Q13" s="14">
        <f t="shared" ca="1" si="6"/>
        <v>-6401.6216880621014</v>
      </c>
      <c r="R13" s="16">
        <f t="shared" ca="1" si="4"/>
        <v>-6401.6216880621014</v>
      </c>
    </row>
    <row r="14" spans="1:20">
      <c r="A14" s="18" t="s">
        <v>78</v>
      </c>
      <c r="B14" s="11"/>
      <c r="C14" s="14"/>
      <c r="D14" s="14"/>
      <c r="E14" s="14">
        <f ca="1">-(I13+J13)-K13</f>
        <v>3049.6740722617351</v>
      </c>
      <c r="F14" s="14"/>
      <c r="G14" s="14"/>
      <c r="H14" s="14"/>
      <c r="I14" s="14"/>
      <c r="J14" s="14"/>
      <c r="K14" s="13"/>
      <c r="L14" s="14">
        <f t="shared" ca="1" si="5"/>
        <v>3049.6740722617351</v>
      </c>
      <c r="M14" s="16"/>
      <c r="N14" s="16"/>
      <c r="O14" s="11"/>
      <c r="P14" s="13"/>
      <c r="Q14" s="14">
        <f t="shared" ca="1" si="6"/>
        <v>3049.6740722617351</v>
      </c>
      <c r="R14" s="16">
        <f t="shared" ca="1" si="4"/>
        <v>3049.6740722617351</v>
      </c>
    </row>
    <row r="15" spans="1:20">
      <c r="A15" s="18" t="s">
        <v>79</v>
      </c>
      <c r="B15" s="11"/>
      <c r="C15" s="14"/>
      <c r="D15" s="14"/>
      <c r="E15" s="14">
        <f ca="1">E17-E14</f>
        <v>3351.9476158003663</v>
      </c>
      <c r="F15" s="14"/>
      <c r="G15" s="14"/>
      <c r="H15" s="14"/>
      <c r="I15" s="14"/>
      <c r="J15" s="14"/>
      <c r="K15" s="13"/>
      <c r="L15" s="14">
        <f t="shared" ca="1" si="5"/>
        <v>3351.9476158003663</v>
      </c>
      <c r="M15" s="16"/>
      <c r="N15" s="16"/>
      <c r="O15" s="11"/>
      <c r="P15" s="13"/>
      <c r="Q15" s="14">
        <f t="shared" ca="1" si="6"/>
        <v>3351.9476158003663</v>
      </c>
      <c r="R15" s="16">
        <f t="shared" ca="1" si="4"/>
        <v>3351.9476158003663</v>
      </c>
    </row>
    <row r="16" spans="1:20">
      <c r="A16" s="30" t="s">
        <v>89</v>
      </c>
      <c r="B16" s="21">
        <f ca="1">Q2</f>
        <v>6590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6590</v>
      </c>
      <c r="M16" s="19"/>
      <c r="N16" s="19"/>
      <c r="O16" s="21"/>
      <c r="P16" s="27"/>
      <c r="Q16" s="22">
        <f t="shared" ca="1" si="6"/>
        <v>6590</v>
      </c>
      <c r="R16" s="19">
        <f t="shared" ca="1" si="4"/>
        <v>6590</v>
      </c>
    </row>
    <row r="17" spans="1:18">
      <c r="A17" s="29" t="s">
        <v>88</v>
      </c>
      <c r="B17" s="9">
        <f ca="1">B16</f>
        <v>6590</v>
      </c>
      <c r="C17" s="9">
        <f ca="1">SUM(C$2:C$11)</f>
        <v>3604.256817953104</v>
      </c>
      <c r="D17" s="9">
        <f ca="1">SUM(D$2:D$11)</f>
        <v>5709.6105464425882</v>
      </c>
      <c r="E17" s="9">
        <f ca="1">$Q$5/parameters!$B$4</f>
        <v>6401.6216880621014</v>
      </c>
      <c r="F17" s="9">
        <f t="shared" ref="F17:K17" ca="1" si="7">SUM(F$2:F$11)</f>
        <v>4375.5223880597014</v>
      </c>
      <c r="G17" s="9">
        <f t="shared" ca="1" si="7"/>
        <v>12553.625914315569</v>
      </c>
      <c r="H17" s="9">
        <f t="shared" ca="1" si="7"/>
        <v>16118.06</v>
      </c>
      <c r="I17" s="9">
        <f t="shared" ca="1" si="7"/>
        <v>7711.0775961165291</v>
      </c>
      <c r="J17" s="9">
        <f t="shared" ca="1" si="7"/>
        <v>7385.8224038834724</v>
      </c>
      <c r="K17" s="9">
        <f t="shared" ca="1" si="7"/>
        <v>18484.358520625887</v>
      </c>
      <c r="L17" s="17">
        <f t="shared" ca="1" si="5"/>
        <v>88933.955875458938</v>
      </c>
      <c r="M17" s="17"/>
      <c r="N17" s="17"/>
      <c r="O17" s="9"/>
      <c r="P17" s="14"/>
      <c r="Q17" s="11">
        <f t="shared" ca="1" si="6"/>
        <v>88933.955875458938</v>
      </c>
      <c r="R17" s="17">
        <f t="shared" ca="1" si="4"/>
        <v>88933.955875458938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0.92623111503857658</v>
      </c>
      <c r="J18" s="39">
        <f ca="1">I18</f>
        <v>0.92623111503857658</v>
      </c>
      <c r="K18" s="40">
        <f ca="1">1-(-K13)/K17</f>
        <v>0.89526319830210321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173.40720290700662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173.40720290700662</v>
      </c>
      <c r="M2" s="17"/>
      <c r="N2" s="17">
        <f ca="1">Q2-(L2+O2+P2)</f>
        <v>0</v>
      </c>
      <c r="O2" s="11" cm="1">
        <f t="array" aca="1" ref="O2" ca="1">INDIRECT("'data'!$F$" &amp; $A$1)</f>
        <v>1040</v>
      </c>
      <c r="P2" s="13">
        <f ca="1">IF(-(L2-Q2+O2)&lt;0, -(L2-Q2+O2), 0)</f>
        <v>-772.67139639413926</v>
      </c>
      <c r="Q2" s="17" cm="1">
        <f t="array" aca="1" ref="Q2" ca="1">INDIRECT("'data'!$D$" &amp; $A$1)</f>
        <v>440.73580651286733</v>
      </c>
      <c r="R2" s="17">
        <f ca="1">SUM(L2:P2)</f>
        <v>440.73580651286738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182.7097375286925</v>
      </c>
      <c r="H3" s="14"/>
      <c r="I3" s="14"/>
      <c r="J3" s="14"/>
      <c r="K3" s="13"/>
      <c r="L3" s="16">
        <f t="shared" ca="1" si="0"/>
        <v>182.7097375286925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-10.395</v>
      </c>
      <c r="Q3" s="16" cm="1">
        <f t="array" aca="1" ref="Q3" ca="1">INDIRECT("'data'!$G$" &amp; $A$1)*parameters!$B$13</f>
        <v>172.31473752869249</v>
      </c>
      <c r="R3" s="16">
        <f t="shared" ref="R3:R10" ca="1" si="2">SUM(L3:P3)</f>
        <v>172.31473752869249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1731.2087577691129</v>
      </c>
      <c r="H5" s="14"/>
      <c r="I5" s="14"/>
      <c r="J5" s="14"/>
      <c r="K5" s="13"/>
      <c r="L5" s="16">
        <f t="shared" ca="1" si="0"/>
        <v>1731.2087577691129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-735</v>
      </c>
      <c r="Q5" s="16">
        <f ca="1">SUM(L5:P5)</f>
        <v>996.20875776911294</v>
      </c>
      <c r="R5" s="16">
        <f t="shared" ca="1" si="2"/>
        <v>996.20875776911294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1831.62</v>
      </c>
      <c r="I7" s="14"/>
      <c r="J7" s="14"/>
      <c r="K7" s="13"/>
      <c r="L7" s="16">
        <f t="shared" ca="1" si="0"/>
        <v>1831.62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1831.62</v>
      </c>
      <c r="R7" s="16">
        <f t="shared" ca="1" si="2"/>
        <v>1831.62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3525.06</v>
      </c>
      <c r="J8" s="14">
        <f ca="1">Q10/J18</f>
        <v>0</v>
      </c>
      <c r="K8" s="13"/>
      <c r="L8" s="16">
        <f t="shared" ca="1" si="0"/>
        <v>3525.06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-1693.44</v>
      </c>
      <c r="Q8" s="16">
        <f ca="1">SUM(Q6:Q7)</f>
        <v>1831.62</v>
      </c>
      <c r="R8" s="16">
        <f t="shared" ca="1" si="2"/>
        <v>1831.62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3539.7599999999998</v>
      </c>
      <c r="L9" s="16">
        <f t="shared" ca="1" si="0"/>
        <v>3539.7599999999998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169.54</v>
      </c>
      <c r="P9" s="13" cm="1">
        <f t="array" aca="1" ref="P9" ca="1">-INDIRECT("'data'!$V$" &amp; $A$1)*parameters!$B$15</f>
        <v>-310.65999999999997</v>
      </c>
      <c r="Q9" s="16" cm="1">
        <f t="array" aca="1" ref="Q9" ca="1">INDIRECT("'data'!$T$" &amp; $A$1)*parameters!$B$15</f>
        <v>3398.64</v>
      </c>
      <c r="R9" s="16">
        <f t="shared" ca="1" si="2"/>
        <v>3398.64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2051.14</v>
      </c>
      <c r="L10" s="16">
        <f t="shared" ca="1" si="0"/>
        <v>2051.14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-2051.14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5519.6147999999985</v>
      </c>
      <c r="N11" s="19"/>
      <c r="O11" s="21" cm="1">
        <f t="array" aca="1" ref="O11" ca="1">INDIRECT("'data'!$Z$" &amp; $A$1)*parameters!$B$15</f>
        <v>213.64</v>
      </c>
      <c r="P11" s="27" cm="1">
        <f t="array" aca="1" ref="P11" ca="1">-INDIRECT("'data'!$AA$" &amp; $A$1)*parameters!$B$15</f>
        <v>-641.9</v>
      </c>
      <c r="Q11" s="16">
        <f ca="1">K9*parameters!$B$10+K10*parameters!$B$11</f>
        <v>5091.3547999999992</v>
      </c>
      <c r="R11" s="16">
        <f t="shared" ref="R11:R17" ca="1" si="4">SUM(L11:P11)</f>
        <v>5091.3547999999992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-1.0924653783141309</v>
      </c>
      <c r="D12" s="9">
        <f ca="1">-(D17-Q4)</f>
        <v>0</v>
      </c>
      <c r="E12" s="9">
        <f ca="1">-(E17-Q5)</f>
        <v>-123.12692511753085</v>
      </c>
      <c r="F12" s="9">
        <f ca="1">-(F17-Q6)</f>
        <v>0</v>
      </c>
      <c r="G12" s="9">
        <f ca="1">-(G17-Q7)</f>
        <v>-82.29849529780563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-206.51788579365061</v>
      </c>
      <c r="M12" s="17"/>
      <c r="N12" s="17"/>
      <c r="O12" s="10"/>
      <c r="P12" s="12"/>
      <c r="Q12" s="9">
        <f t="shared" ref="Q12:Q17" ca="1" si="6">SUM(L12:P12)</f>
        <v>-206.51788579365061</v>
      </c>
      <c r="R12" s="17">
        <f t="shared" ca="1" si="4"/>
        <v>-206.51788579365061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-126.42000000000007</v>
      </c>
      <c r="J13" s="14">
        <f ca="1">-(J17-Q10)</f>
        <v>0</v>
      </c>
      <c r="K13" s="13">
        <f ca="1">-(K17-Q11)</f>
        <v>-499.54520000000048</v>
      </c>
      <c r="L13" s="14">
        <f t="shared" ca="1" si="5"/>
        <v>-625.96520000000055</v>
      </c>
      <c r="M13" s="16">
        <f ca="1">-E15</f>
        <v>-493.37048288664323</v>
      </c>
      <c r="N13" s="16"/>
      <c r="O13" s="11"/>
      <c r="P13" s="13"/>
      <c r="Q13" s="14">
        <f t="shared" ca="1" si="6"/>
        <v>-1119.3356828866438</v>
      </c>
      <c r="R13" s="16">
        <f t="shared" ca="1" si="4"/>
        <v>-1119.3356828866438</v>
      </c>
    </row>
    <row r="14" spans="1:20">
      <c r="A14" s="18" t="s">
        <v>78</v>
      </c>
      <c r="B14" s="11"/>
      <c r="C14" s="14"/>
      <c r="D14" s="14"/>
      <c r="E14" s="14">
        <f ca="1">-(I13+J13)-K13</f>
        <v>625.96520000000055</v>
      </c>
      <c r="F14" s="14"/>
      <c r="G14" s="14"/>
      <c r="H14" s="14"/>
      <c r="I14" s="14"/>
      <c r="J14" s="14"/>
      <c r="K14" s="13"/>
      <c r="L14" s="14">
        <f t="shared" ca="1" si="5"/>
        <v>625.96520000000055</v>
      </c>
      <c r="M14" s="16"/>
      <c r="N14" s="16"/>
      <c r="O14" s="11"/>
      <c r="P14" s="13"/>
      <c r="Q14" s="14">
        <f t="shared" ca="1" si="6"/>
        <v>625.96520000000055</v>
      </c>
      <c r="R14" s="16">
        <f t="shared" ca="1" si="4"/>
        <v>625.96520000000055</v>
      </c>
    </row>
    <row r="15" spans="1:20">
      <c r="A15" s="18" t="s">
        <v>79</v>
      </c>
      <c r="B15" s="11"/>
      <c r="C15" s="14"/>
      <c r="D15" s="14"/>
      <c r="E15" s="14">
        <f ca="1">E17-E14</f>
        <v>493.37048288664323</v>
      </c>
      <c r="F15" s="14"/>
      <c r="G15" s="14"/>
      <c r="H15" s="14"/>
      <c r="I15" s="14"/>
      <c r="J15" s="14"/>
      <c r="K15" s="13"/>
      <c r="L15" s="14">
        <f t="shared" ca="1" si="5"/>
        <v>493.37048288664323</v>
      </c>
      <c r="M15" s="16"/>
      <c r="N15" s="16"/>
      <c r="O15" s="11"/>
      <c r="P15" s="13"/>
      <c r="Q15" s="14">
        <f t="shared" ca="1" si="6"/>
        <v>493.37048288664323</v>
      </c>
      <c r="R15" s="16">
        <f t="shared" ca="1" si="4"/>
        <v>493.37048288664323</v>
      </c>
    </row>
    <row r="16" spans="1:20">
      <c r="A16" s="30" t="s">
        <v>89</v>
      </c>
      <c r="B16" s="21">
        <f ca="1">Q2</f>
        <v>440.73580651286733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440.73580651286733</v>
      </c>
      <c r="M16" s="19"/>
      <c r="N16" s="19"/>
      <c r="O16" s="21"/>
      <c r="P16" s="27"/>
      <c r="Q16" s="22">
        <f t="shared" ca="1" si="6"/>
        <v>440.73580651286733</v>
      </c>
      <c r="R16" s="19">
        <f t="shared" ca="1" si="4"/>
        <v>440.73580651286733</v>
      </c>
    </row>
    <row r="17" spans="1:18">
      <c r="A17" s="29" t="s">
        <v>88</v>
      </c>
      <c r="B17" s="9">
        <f ca="1">B16</f>
        <v>440.73580651286733</v>
      </c>
      <c r="C17" s="9">
        <f ca="1">SUM(C$2:C$11)</f>
        <v>173.40720290700662</v>
      </c>
      <c r="D17" s="9">
        <f ca="1">SUM(D$2:D$11)</f>
        <v>0</v>
      </c>
      <c r="E17" s="9">
        <f ca="1">$Q$5/parameters!$B$4</f>
        <v>1119.3356828866438</v>
      </c>
      <c r="F17" s="9">
        <f t="shared" ref="F17:K17" ca="1" si="7">SUM(F$2:F$11)</f>
        <v>0</v>
      </c>
      <c r="G17" s="9">
        <f t="shared" ca="1" si="7"/>
        <v>1913.9184952978055</v>
      </c>
      <c r="H17" s="9">
        <f t="shared" ca="1" si="7"/>
        <v>1831.62</v>
      </c>
      <c r="I17" s="9">
        <f t="shared" ca="1" si="7"/>
        <v>3525.06</v>
      </c>
      <c r="J17" s="9">
        <f t="shared" ca="1" si="7"/>
        <v>0</v>
      </c>
      <c r="K17" s="9">
        <f t="shared" ca="1" si="7"/>
        <v>5590.9</v>
      </c>
      <c r="L17" s="17">
        <f t="shared" ca="1" si="5"/>
        <v>14594.977187604323</v>
      </c>
      <c r="M17" s="17"/>
      <c r="N17" s="17"/>
      <c r="O17" s="9"/>
      <c r="P17" s="14"/>
      <c r="Q17" s="11">
        <f t="shared" ca="1" si="6"/>
        <v>14594.977187604323</v>
      </c>
      <c r="R17" s="17">
        <f t="shared" ca="1" si="4"/>
        <v>14594.977187604323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0.96413678065054209</v>
      </c>
      <c r="J18" s="39">
        <f ca="1">I18</f>
        <v>0.96413678065054209</v>
      </c>
      <c r="K18" s="40">
        <f ca="1">1-(-K13)/K17</f>
        <v>0.91065030674846614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12375.249069135554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12375.249069135554</v>
      </c>
      <c r="M2" s="17"/>
      <c r="N2" s="17">
        <f ca="1">Q2-(L2+O2+P2)</f>
        <v>0</v>
      </c>
      <c r="O2" s="11" cm="1">
        <f t="array" aca="1" ref="O2" ca="1">INDIRECT("'data'!$F$" &amp; $A$1)</f>
        <v>49.4</v>
      </c>
      <c r="P2" s="13">
        <f ca="1">IF(-(L2-Q2+O2)&lt;0, -(L2-Q2+O2), 0)</f>
        <v>-12424.649069135554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10232.119402985076</v>
      </c>
      <c r="G3" s="14">
        <f ca="1">Q3-O3-P3-F3</f>
        <v>2131.3155970149237</v>
      </c>
      <c r="H3" s="14"/>
      <c r="I3" s="14"/>
      <c r="J3" s="14"/>
      <c r="K3" s="13"/>
      <c r="L3" s="16">
        <f t="shared" ca="1" si="0"/>
        <v>12363.434999999999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107.72999999999999</v>
      </c>
      <c r="P3" s="13" cm="1">
        <f t="array" aca="1" ref="P3" ca="1">-INDIRECT("'data'!$I$" &amp; $A$1)*parameters!$B$13</f>
        <v>-173.88</v>
      </c>
      <c r="Q3" s="16" cm="1">
        <f t="array" aca="1" ref="Q3" ca="1">INDIRECT("'data'!$G$" &amp; $A$1)*parameters!$B$13</f>
        <v>12297.285</v>
      </c>
      <c r="R3" s="16">
        <f t="shared" ref="R3:R10" ca="1" si="2">SUM(L3:P3)</f>
        <v>12297.285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184.92000000000002</v>
      </c>
      <c r="H4" s="14"/>
      <c r="I4" s="14"/>
      <c r="J4" s="14"/>
      <c r="K4" s="13"/>
      <c r="L4" s="16">
        <f t="shared" ca="1" si="0"/>
        <v>184.92000000000002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6.44</v>
      </c>
      <c r="P4" s="13" cm="1">
        <f t="array" aca="1" ref="P4" ca="1">-INDIRECT("'data'!$L$" &amp; $A$1)*parameters!$B$14</f>
        <v>-191.36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2558.0298507462689</v>
      </c>
      <c r="G5" s="14">
        <f ca="1">Q7/parameters!$B$7-(G3+G4)</f>
        <v>5476.6588648450561</v>
      </c>
      <c r="H5" s="14"/>
      <c r="I5" s="14"/>
      <c r="J5" s="14"/>
      <c r="K5" s="13"/>
      <c r="L5" s="16">
        <f t="shared" ca="1" si="0"/>
        <v>8034.6887155913246</v>
      </c>
      <c r="M5" s="16"/>
      <c r="N5" s="16"/>
      <c r="O5" s="11" cm="1">
        <f t="array" aca="1" ref="O5" ca="1">INDIRECT("'data'!$M$" &amp; $A$1)*parameters!$B$15</f>
        <v>5997.5999999999995</v>
      </c>
      <c r="P5" s="13" cm="1">
        <f t="array" aca="1" ref="P5" ca="1">-INDIRECT("'data'!$N$" &amp; $A$1)*parameters!$B$15</f>
        <v>-3252.62</v>
      </c>
      <c r="Q5" s="16">
        <f ca="1">SUM(L5:P5)</f>
        <v>10779.668715591324</v>
      </c>
      <c r="R5" s="16">
        <f t="shared" ca="1" si="2"/>
        <v>10779.668715591324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11997.16</v>
      </c>
      <c r="I6" s="14"/>
      <c r="J6" s="14"/>
      <c r="K6" s="13"/>
      <c r="L6" s="16">
        <f t="shared" ca="1" si="0"/>
        <v>11997.16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11997.16</v>
      </c>
      <c r="R6" s="16">
        <f t="shared" ca="1" si="2"/>
        <v>11997.16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7457.8</v>
      </c>
      <c r="I7" s="14"/>
      <c r="J7" s="14"/>
      <c r="K7" s="13"/>
      <c r="L7" s="16">
        <f t="shared" ca="1" si="0"/>
        <v>7457.8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7457.8</v>
      </c>
      <c r="R7" s="16">
        <f t="shared" ca="1" si="2"/>
        <v>7457.8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5844.3575783502483</v>
      </c>
      <c r="J8" s="14">
        <f ca="1">Q10/J18</f>
        <v>12173.922421649751</v>
      </c>
      <c r="K8" s="13"/>
      <c r="L8" s="16">
        <f t="shared" ca="1" si="0"/>
        <v>18018.28</v>
      </c>
      <c r="M8" s="16"/>
      <c r="N8" s="16">
        <f t="shared" ca="1" si="3"/>
        <v>0</v>
      </c>
      <c r="O8" s="11" cm="1">
        <f t="array" aca="1" ref="O8" ca="1">INDIRECT("'data'!$R$" &amp; $A$1)*parameters!$B$15</f>
        <v>2967.44</v>
      </c>
      <c r="P8" s="13" cm="1">
        <f t="array" aca="1" ref="P8" ca="1">-INDIRECT("'data'!$S$" &amp; $A$1)*parameters!$B$15</f>
        <v>-1530.76</v>
      </c>
      <c r="Q8" s="16">
        <f ca="1">SUM(Q6:Q7)</f>
        <v>19454.96</v>
      </c>
      <c r="R8" s="16">
        <f t="shared" ca="1" si="2"/>
        <v>19454.96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6394.5</v>
      </c>
      <c r="L9" s="16">
        <f t="shared" ca="1" si="0"/>
        <v>6394.5</v>
      </c>
      <c r="M9" s="16"/>
      <c r="N9" s="16">
        <f t="shared" ca="1" si="3"/>
        <v>0</v>
      </c>
      <c r="O9" s="11" cm="1">
        <f t="array" aca="1" ref="O9" ca="1">INDIRECT("'data'!$U$" &amp; $A$1)*parameters!$B$15</f>
        <v>2806.72</v>
      </c>
      <c r="P9" s="13" cm="1">
        <f t="array" aca="1" ref="P9" ca="1">-INDIRECT("'data'!$V$" &amp; $A$1)*parameters!$B$15</f>
        <v>-3893.54</v>
      </c>
      <c r="Q9" s="16" cm="1">
        <f t="array" aca="1" ref="Q9" ca="1">INDIRECT("'data'!$T$" &amp; $A$1)*parameters!$B$15</f>
        <v>5307.68</v>
      </c>
      <c r="R9" s="16">
        <f t="shared" ca="1" si="2"/>
        <v>5307.6799999999994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9719.2914935988611</v>
      </c>
      <c r="L10" s="16">
        <f t="shared" ca="1" si="0"/>
        <v>9719.2914935988611</v>
      </c>
      <c r="M10" s="16"/>
      <c r="N10" s="16">
        <f t="shared" ca="1" si="3"/>
        <v>0</v>
      </c>
      <c r="O10" s="11" cm="1">
        <f t="array" aca="1" ref="O10" ca="1">INDIRECT("'data'!$X$" &amp; $A$1)*parameters!$B$15</f>
        <v>11134.76</v>
      </c>
      <c r="P10" s="13" cm="1">
        <f t="array" aca="1" ref="P10" ca="1">-INDIRECT("'data'!$Y$" &amp; $A$1)*parameters!$B$15</f>
        <v>-9798.0399999999991</v>
      </c>
      <c r="Q10" s="16" cm="1">
        <f t="array" aca="1" ref="Q10" ca="1">INDIRECT("'data'!$W$" &amp; $A$1)*parameters!$B$15</f>
        <v>11056.011493598862</v>
      </c>
      <c r="R10" s="16">
        <f t="shared" ca="1" si="2"/>
        <v>11056.011493598862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16111.860684495021</v>
      </c>
      <c r="N11" s="19"/>
      <c r="O11" s="21" cm="1">
        <f t="array" aca="1" ref="O11" ca="1">INDIRECT("'data'!$Z$" &amp; $A$1)*parameters!$B$15</f>
        <v>11352.32</v>
      </c>
      <c r="P11" s="27" cm="1">
        <f t="array" aca="1" ref="P11" ca="1">-INDIRECT("'data'!$AA$" &amp; $A$1)*parameters!$B$15</f>
        <v>-13094.76</v>
      </c>
      <c r="Q11" s="16">
        <f ca="1">K9*parameters!$B$10+K10*parameters!$B$11</f>
        <v>14369.42068449502</v>
      </c>
      <c r="R11" s="16">
        <f t="shared" ref="R11:R17" ca="1" si="4">SUM(L11:P11)</f>
        <v>14369.420684495019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-77.964069135554382</v>
      </c>
      <c r="D12" s="9">
        <f ca="1">-(D17-Q4)</f>
        <v>0</v>
      </c>
      <c r="E12" s="9">
        <f ca="1">-(E17-Q5)</f>
        <v>-1332.3186052978035</v>
      </c>
      <c r="F12" s="9">
        <f ca="1">-(F17-Q6)</f>
        <v>-792.98925373134443</v>
      </c>
      <c r="G12" s="9">
        <f ca="1">-(G17-Q7)</f>
        <v>-335.09446185997967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-2538.366390024682</v>
      </c>
      <c r="M12" s="17"/>
      <c r="N12" s="17"/>
      <c r="O12" s="10"/>
      <c r="P12" s="12"/>
      <c r="Q12" s="9">
        <f t="shared" ref="Q12:Q17" ca="1" si="6">SUM(L12:P12)</f>
        <v>-2538.366390024682</v>
      </c>
      <c r="R12" s="17">
        <f t="shared" ca="1" si="4"/>
        <v>-2538.366390024682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-536.67757835024804</v>
      </c>
      <c r="J13" s="14">
        <f ca="1">-(J17-Q10)</f>
        <v>-1117.9109280508892</v>
      </c>
      <c r="K13" s="13">
        <f ca="1">-(K17-Q11)</f>
        <v>-1744.3708091038407</v>
      </c>
      <c r="L13" s="14">
        <f t="shared" ca="1" si="5"/>
        <v>-3398.9593155049779</v>
      </c>
      <c r="M13" s="16">
        <f ca="1">-E15</f>
        <v>-8713.0280053841489</v>
      </c>
      <c r="N13" s="16"/>
      <c r="O13" s="11"/>
      <c r="P13" s="13"/>
      <c r="Q13" s="14">
        <f t="shared" ca="1" si="6"/>
        <v>-12111.987320889126</v>
      </c>
      <c r="R13" s="16">
        <f t="shared" ca="1" si="4"/>
        <v>-12111.987320889126</v>
      </c>
    </row>
    <row r="14" spans="1:20">
      <c r="A14" s="18" t="s">
        <v>78</v>
      </c>
      <c r="B14" s="11"/>
      <c r="C14" s="14"/>
      <c r="D14" s="14"/>
      <c r="E14" s="14">
        <f ca="1">-(I13+J13)-K13</f>
        <v>3398.9593155049779</v>
      </c>
      <c r="F14" s="14"/>
      <c r="G14" s="14"/>
      <c r="H14" s="14"/>
      <c r="I14" s="14"/>
      <c r="J14" s="14"/>
      <c r="K14" s="13"/>
      <c r="L14" s="14">
        <f t="shared" ca="1" si="5"/>
        <v>3398.9593155049779</v>
      </c>
      <c r="M14" s="16"/>
      <c r="N14" s="16"/>
      <c r="O14" s="11"/>
      <c r="P14" s="13"/>
      <c r="Q14" s="14">
        <f t="shared" ca="1" si="6"/>
        <v>3398.9593155049779</v>
      </c>
      <c r="R14" s="16">
        <f t="shared" ca="1" si="4"/>
        <v>3398.9593155049779</v>
      </c>
    </row>
    <row r="15" spans="1:20">
      <c r="A15" s="18" t="s">
        <v>79</v>
      </c>
      <c r="B15" s="11"/>
      <c r="C15" s="14"/>
      <c r="D15" s="14"/>
      <c r="E15" s="14">
        <f ca="1">E17-E14</f>
        <v>8713.0280053841489</v>
      </c>
      <c r="F15" s="14"/>
      <c r="G15" s="14"/>
      <c r="H15" s="14"/>
      <c r="I15" s="14"/>
      <c r="J15" s="14"/>
      <c r="K15" s="13"/>
      <c r="L15" s="14">
        <f t="shared" ca="1" si="5"/>
        <v>8713.0280053841489</v>
      </c>
      <c r="M15" s="16"/>
      <c r="N15" s="16"/>
      <c r="O15" s="11"/>
      <c r="P15" s="13"/>
      <c r="Q15" s="14">
        <f t="shared" ca="1" si="6"/>
        <v>8713.0280053841489</v>
      </c>
      <c r="R15" s="16">
        <f t="shared" ca="1" si="4"/>
        <v>8713.0280053841489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12375.249069135554</v>
      </c>
      <c r="D17" s="9">
        <f ca="1">SUM(D$2:D$11)</f>
        <v>0</v>
      </c>
      <c r="E17" s="9">
        <f ca="1">$Q$5/parameters!$B$4</f>
        <v>12111.987320889128</v>
      </c>
      <c r="F17" s="9">
        <f t="shared" ref="F17:K17" ca="1" si="7">SUM(F$2:F$11)</f>
        <v>12790.149253731344</v>
      </c>
      <c r="G17" s="9">
        <f t="shared" ca="1" si="7"/>
        <v>7792.8944618599799</v>
      </c>
      <c r="H17" s="9">
        <f t="shared" ca="1" si="7"/>
        <v>19454.96</v>
      </c>
      <c r="I17" s="9">
        <f t="shared" ca="1" si="7"/>
        <v>5844.3575783502483</v>
      </c>
      <c r="J17" s="9">
        <f t="shared" ca="1" si="7"/>
        <v>12173.922421649751</v>
      </c>
      <c r="K17" s="9">
        <f t="shared" ca="1" si="7"/>
        <v>16113.791493598861</v>
      </c>
      <c r="L17" s="17">
        <f t="shared" ca="1" si="5"/>
        <v>98657.311599214867</v>
      </c>
      <c r="M17" s="17"/>
      <c r="N17" s="17"/>
      <c r="O17" s="9"/>
      <c r="P17" s="14"/>
      <c r="Q17" s="11">
        <f t="shared" ca="1" si="6"/>
        <v>98657.311599214867</v>
      </c>
      <c r="R17" s="17">
        <f t="shared" ca="1" si="4"/>
        <v>98657.311599214867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0.90817167307861035</v>
      </c>
      <c r="J18" s="39">
        <f ca="1">I18</f>
        <v>0.90817167307861035</v>
      </c>
      <c r="K18" s="40">
        <f ca="1">1-(-K13)/K17</f>
        <v>0.89174671834392394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3263.8019522994864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3263.8019522994864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-3263.8019522994864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3009.7910447761196</v>
      </c>
      <c r="G3" s="14">
        <f ca="1">Q3-O3-P3-F3</f>
        <v>979.05395522387971</v>
      </c>
      <c r="H3" s="14"/>
      <c r="I3" s="14"/>
      <c r="J3" s="14"/>
      <c r="K3" s="13"/>
      <c r="L3" s="16">
        <f t="shared" ca="1" si="0"/>
        <v>3988.8449999999993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-749.38499999999999</v>
      </c>
      <c r="Q3" s="16" cm="1">
        <f t="array" aca="1" ref="Q3" ca="1">INDIRECT("'data'!$G$" &amp; $A$1)*parameters!$B$13</f>
        <v>3243.24</v>
      </c>
      <c r="R3" s="16">
        <f t="shared" ref="R3:R10" ca="1" si="2">SUM(L3:P3)</f>
        <v>3243.24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533.6</v>
      </c>
      <c r="H4" s="14"/>
      <c r="I4" s="14"/>
      <c r="J4" s="14"/>
      <c r="K4" s="13"/>
      <c r="L4" s="16">
        <f t="shared" ca="1" si="0"/>
        <v>533.6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-535.44000000000005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752.44776119402991</v>
      </c>
      <c r="G5" s="14">
        <f ca="1">Q7/parameters!$B$7-(G3+G4)</f>
        <v>13632.800590230665</v>
      </c>
      <c r="H5" s="14"/>
      <c r="I5" s="14"/>
      <c r="J5" s="14"/>
      <c r="K5" s="13"/>
      <c r="L5" s="16">
        <f t="shared" ca="1" si="0"/>
        <v>14385.248351424694</v>
      </c>
      <c r="M5" s="16"/>
      <c r="N5" s="16"/>
      <c r="O5" s="11" cm="1">
        <f t="array" aca="1" ref="O5" ca="1">INDIRECT("'data'!$M$" &amp; $A$1)*parameters!$B$15</f>
        <v>134.26</v>
      </c>
      <c r="P5" s="13" cm="1">
        <f t="array" aca="1" ref="P5" ca="1">-INDIRECT("'data'!$N$" &amp; $A$1)*parameters!$B$15</f>
        <v>-7288.26</v>
      </c>
      <c r="Q5" s="16">
        <f ca="1">SUM(L5:P5)</f>
        <v>7231.2483514246942</v>
      </c>
      <c r="R5" s="16">
        <f t="shared" ca="1" si="2"/>
        <v>7231.2483514246942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3528.98</v>
      </c>
      <c r="I6" s="14"/>
      <c r="J6" s="14"/>
      <c r="K6" s="13"/>
      <c r="L6" s="16">
        <f t="shared" ca="1" si="0"/>
        <v>3528.98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3528.98</v>
      </c>
      <c r="R6" s="16">
        <f t="shared" ca="1" si="2"/>
        <v>3528.98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14494.199999999999</v>
      </c>
      <c r="I7" s="14"/>
      <c r="J7" s="14"/>
      <c r="K7" s="13"/>
      <c r="L7" s="16">
        <f t="shared" ca="1" si="0"/>
        <v>14494.199999999999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14494.199999999999</v>
      </c>
      <c r="R7" s="16">
        <f t="shared" ca="1" si="2"/>
        <v>14494.199999999999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13379.341693149121</v>
      </c>
      <c r="J8" s="14">
        <f ca="1">Q10/J18</f>
        <v>6101.0983068508767</v>
      </c>
      <c r="K8" s="13"/>
      <c r="L8" s="16">
        <f t="shared" ca="1" si="0"/>
        <v>19480.439999999999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112.7</v>
      </c>
      <c r="P8" s="13" cm="1">
        <f t="array" aca="1" ref="P8" ca="1">-INDIRECT("'data'!$S$" &amp; $A$1)*parameters!$B$15</f>
        <v>-1569.96</v>
      </c>
      <c r="Q8" s="16">
        <f ca="1">SUM(Q6:Q7)</f>
        <v>18023.18</v>
      </c>
      <c r="R8" s="16">
        <f t="shared" ca="1" si="2"/>
        <v>18023.18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12614.56</v>
      </c>
      <c r="L9" s="16">
        <f t="shared" ca="1" si="0"/>
        <v>12614.56</v>
      </c>
      <c r="M9" s="16"/>
      <c r="N9" s="16">
        <f t="shared" ca="1" si="3"/>
        <v>0</v>
      </c>
      <c r="O9" s="11" cm="1">
        <f t="array" aca="1" ref="O9" ca="1">INDIRECT("'data'!$U$" &amp; $A$1)*parameters!$B$15</f>
        <v>3472.14</v>
      </c>
      <c r="P9" s="13" cm="1">
        <f t="array" aca="1" ref="P9" ca="1">-INDIRECT("'data'!$V$" &amp; $A$1)*parameters!$B$15</f>
        <v>-3675.98</v>
      </c>
      <c r="Q9" s="16" cm="1">
        <f t="array" aca="1" ref="Q9" ca="1">INDIRECT("'data'!$T$" &amp; $A$1)*parameters!$B$15</f>
        <v>12410.72</v>
      </c>
      <c r="R9" s="16">
        <f t="shared" ca="1" si="2"/>
        <v>12410.72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11185.618236130867</v>
      </c>
      <c r="L10" s="16">
        <f t="shared" ca="1" si="0"/>
        <v>11185.618236130867</v>
      </c>
      <c r="M10" s="16"/>
      <c r="N10" s="16">
        <f t="shared" ca="1" si="3"/>
        <v>0</v>
      </c>
      <c r="O10" s="11" cm="1">
        <f t="array" aca="1" ref="O10" ca="1">INDIRECT("'data'!$X$" &amp; $A$1)*parameters!$B$15</f>
        <v>2380.42</v>
      </c>
      <c r="P10" s="13" cm="1">
        <f t="array" aca="1" ref="P10" ca="1">-INDIRECT("'data'!$Y$" &amp; $A$1)*parameters!$B$15</f>
        <v>-7906.6399999999994</v>
      </c>
      <c r="Q10" s="16" cm="1">
        <f t="array" aca="1" ref="Q10" ca="1">INDIRECT("'data'!$W$" &amp; $A$1)*parameters!$B$15</f>
        <v>5659.3982361308672</v>
      </c>
      <c r="R10" s="16">
        <f t="shared" ca="1" si="2"/>
        <v>5659.3982361308681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22387.738083072545</v>
      </c>
      <c r="N11" s="19"/>
      <c r="O11" s="21" cm="1">
        <f t="array" aca="1" ref="O11" ca="1">INDIRECT("'data'!$Z$" &amp; $A$1)*parameters!$B$15</f>
        <v>6914.88</v>
      </c>
      <c r="P11" s="27" cm="1">
        <f t="array" aca="1" ref="P11" ca="1">-INDIRECT("'data'!$AA$" &amp; $A$1)*parameters!$B$15</f>
        <v>-7825.3</v>
      </c>
      <c r="Q11" s="16">
        <f ca="1">K9*parameters!$B$10+K10*parameters!$B$11</f>
        <v>21477.318083072547</v>
      </c>
      <c r="R11" s="16">
        <f t="shared" ref="R11:R17" ca="1" si="4">SUM(L11:P11)</f>
        <v>21477.318083072547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-20.56195229948662</v>
      </c>
      <c r="D12" s="9">
        <f ca="1">-(D17-Q4)</f>
        <v>0</v>
      </c>
      <c r="E12" s="9">
        <f ca="1">-(E17-Q5)</f>
        <v>-893.74979624350181</v>
      </c>
      <c r="F12" s="9">
        <f ca="1">-(F17-Q6)</f>
        <v>-233.25880597014975</v>
      </c>
      <c r="G12" s="9">
        <f ca="1">-(G17-Q7)</f>
        <v>-651.25454545454522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-1798.8250999676834</v>
      </c>
      <c r="M12" s="17"/>
      <c r="N12" s="17"/>
      <c r="O12" s="10"/>
      <c r="P12" s="12"/>
      <c r="Q12" s="9">
        <f t="shared" ref="Q12:Q17" ca="1" si="6">SUM(L12:P12)</f>
        <v>-1798.8250999676834</v>
      </c>
      <c r="R12" s="17">
        <f t="shared" ca="1" si="4"/>
        <v>-1798.8250999676834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-968.62169314912171</v>
      </c>
      <c r="J13" s="14">
        <f ca="1">-(J17-Q10)</f>
        <v>-441.70007072000953</v>
      </c>
      <c r="K13" s="13">
        <f ca="1">-(K17-Q11)</f>
        <v>-2322.8601530583182</v>
      </c>
      <c r="L13" s="14">
        <f t="shared" ca="1" si="5"/>
        <v>-3733.1819169274495</v>
      </c>
      <c r="M13" s="16">
        <f ca="1">-E15</f>
        <v>-4391.8162307407465</v>
      </c>
      <c r="N13" s="16"/>
      <c r="O13" s="11"/>
      <c r="P13" s="13"/>
      <c r="Q13" s="14">
        <f t="shared" ca="1" si="6"/>
        <v>-8124.998147668196</v>
      </c>
      <c r="R13" s="16">
        <f t="shared" ca="1" si="4"/>
        <v>-8124.998147668196</v>
      </c>
    </row>
    <row r="14" spans="1:20">
      <c r="A14" s="18" t="s">
        <v>78</v>
      </c>
      <c r="B14" s="11"/>
      <c r="C14" s="14"/>
      <c r="D14" s="14"/>
      <c r="E14" s="14">
        <f ca="1">-(I13+J13)-K13</f>
        <v>3733.1819169274495</v>
      </c>
      <c r="F14" s="14"/>
      <c r="G14" s="14"/>
      <c r="H14" s="14"/>
      <c r="I14" s="14"/>
      <c r="J14" s="14"/>
      <c r="K14" s="13"/>
      <c r="L14" s="14">
        <f t="shared" ca="1" si="5"/>
        <v>3733.1819169274495</v>
      </c>
      <c r="M14" s="16"/>
      <c r="N14" s="16"/>
      <c r="O14" s="11"/>
      <c r="P14" s="13"/>
      <c r="Q14" s="14">
        <f t="shared" ca="1" si="6"/>
        <v>3733.1819169274495</v>
      </c>
      <c r="R14" s="16">
        <f t="shared" ca="1" si="4"/>
        <v>3733.1819169274495</v>
      </c>
    </row>
    <row r="15" spans="1:20">
      <c r="A15" s="18" t="s">
        <v>79</v>
      </c>
      <c r="B15" s="11"/>
      <c r="C15" s="14"/>
      <c r="D15" s="14"/>
      <c r="E15" s="14">
        <f ca="1">E17-E14</f>
        <v>4391.8162307407465</v>
      </c>
      <c r="F15" s="14"/>
      <c r="G15" s="14"/>
      <c r="H15" s="14"/>
      <c r="I15" s="14"/>
      <c r="J15" s="14"/>
      <c r="K15" s="13"/>
      <c r="L15" s="14">
        <f t="shared" ca="1" si="5"/>
        <v>4391.8162307407465</v>
      </c>
      <c r="M15" s="16"/>
      <c r="N15" s="16"/>
      <c r="O15" s="11"/>
      <c r="P15" s="13"/>
      <c r="Q15" s="14">
        <f t="shared" ca="1" si="6"/>
        <v>4391.8162307407465</v>
      </c>
      <c r="R15" s="16">
        <f t="shared" ca="1" si="4"/>
        <v>4391.8162307407465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3263.8019522994864</v>
      </c>
      <c r="D17" s="9">
        <f ca="1">SUM(D$2:D$11)</f>
        <v>0</v>
      </c>
      <c r="E17" s="9">
        <f ca="1">$Q$5/parameters!$B$4</f>
        <v>8124.998147668196</v>
      </c>
      <c r="F17" s="9">
        <f t="shared" ref="F17:K17" ca="1" si="7">SUM(F$2:F$11)</f>
        <v>3762.2388059701498</v>
      </c>
      <c r="G17" s="9">
        <f t="shared" ca="1" si="7"/>
        <v>15145.454545454544</v>
      </c>
      <c r="H17" s="9">
        <f t="shared" ca="1" si="7"/>
        <v>18023.18</v>
      </c>
      <c r="I17" s="9">
        <f t="shared" ca="1" si="7"/>
        <v>13379.341693149121</v>
      </c>
      <c r="J17" s="9">
        <f t="shared" ca="1" si="7"/>
        <v>6101.0983068508767</v>
      </c>
      <c r="K17" s="9">
        <f t="shared" ca="1" si="7"/>
        <v>23800.178236130865</v>
      </c>
      <c r="L17" s="17">
        <f t="shared" ca="1" si="5"/>
        <v>91600.291687523248</v>
      </c>
      <c r="M17" s="17"/>
      <c r="N17" s="17"/>
      <c r="O17" s="9"/>
      <c r="P17" s="14"/>
      <c r="Q17" s="11">
        <f t="shared" ca="1" si="6"/>
        <v>91600.291687523248</v>
      </c>
      <c r="R17" s="17">
        <f t="shared" ca="1" si="4"/>
        <v>91600.291687523248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0.9276031874090559</v>
      </c>
      <c r="J18" s="39">
        <f ca="1">I18</f>
        <v>0.9276031874090559</v>
      </c>
      <c r="K18" s="40">
        <f ca="1">1-(-K13)/K17</f>
        <v>0.90240156481130873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7897.9822884170262</v>
      </c>
      <c r="D2" s="9">
        <f ca="1">Q4/parameters!$B$3</f>
        <v>412.92140485055847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8310.9036932675845</v>
      </c>
      <c r="M2" s="17"/>
      <c r="N2" s="17">
        <f ca="1">Q2-(L2+O2+P2)</f>
        <v>0</v>
      </c>
      <c r="O2" s="11" cm="1">
        <f t="array" aca="1" ref="O2" ca="1">INDIRECT("'data'!$F$" &amp; $A$1)</f>
        <v>17864.600000000002</v>
      </c>
      <c r="P2" s="13">
        <f ca="1">IF(-(L2-Q2+O2)&lt;0, -(L2-Q2+O2), 0)</f>
        <v>-4834.5036932675866</v>
      </c>
      <c r="Q2" s="17" cm="1">
        <f t="array" aca="1" ref="Q2" ca="1">INDIRECT("'data'!$D$" &amp; $A$1)</f>
        <v>21341</v>
      </c>
      <c r="R2" s="17">
        <f ca="1">SUM(L2:P2)</f>
        <v>21341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7545.7910447761196</v>
      </c>
      <c r="G3" s="14">
        <f ca="1">Q3-O3-P3-F3</f>
        <v>250.45895522388037</v>
      </c>
      <c r="H3" s="14"/>
      <c r="I3" s="14"/>
      <c r="J3" s="14"/>
      <c r="K3" s="13"/>
      <c r="L3" s="16">
        <f t="shared" ca="1" si="0"/>
        <v>7796.25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95.444999999999993</v>
      </c>
      <c r="P3" s="13" cm="1">
        <f t="array" aca="1" ref="P3" ca="1">-INDIRECT("'data'!$I$" &amp; $A$1)*parameters!$B$13</f>
        <v>-43.47</v>
      </c>
      <c r="Q3" s="16" cm="1">
        <f t="array" aca="1" ref="Q3" ca="1">INDIRECT("'data'!$G$" &amp; $A$1)*parameters!$B$13</f>
        <v>7848.2249999999995</v>
      </c>
      <c r="R3" s="16">
        <f t="shared" ref="R3:R10" ca="1" si="2">SUM(L3:P3)</f>
        <v>7848.2249999999995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379.96</v>
      </c>
      <c r="H4" s="14"/>
      <c r="I4" s="14"/>
      <c r="J4" s="14"/>
      <c r="K4" s="13"/>
      <c r="L4" s="16">
        <f t="shared" ca="1" si="0"/>
        <v>379.96</v>
      </c>
      <c r="M4" s="16"/>
      <c r="N4" s="16">
        <f t="shared" ca="1" si="1"/>
        <v>0</v>
      </c>
      <c r="O4" s="11" cm="1">
        <f t="array" aca="1" ref="O4" ca="1">INDIRECT("'data'!$K$" &amp; $A$1)*parameters!$B$14</f>
        <v>590.64</v>
      </c>
      <c r="P4" s="13" cm="1">
        <f t="array" aca="1" ref="P4" ca="1">-INDIRECT("'data'!$L$" &amp; $A$1)*parameters!$B$14</f>
        <v>-560.28</v>
      </c>
      <c r="Q4" s="16" cm="1">
        <f t="array" aca="1" ref="Q4" ca="1">INDIRECT("'data'!$J$" &amp; $A$1)*parameters!$B$14</f>
        <v>410.32</v>
      </c>
      <c r="R4" s="16">
        <f t="shared" ca="1" si="2"/>
        <v>410.31999999999994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1886.4477611940301</v>
      </c>
      <c r="G5" s="14">
        <f ca="1">Q7/parameters!$B$7-(G3+G4)</f>
        <v>5894.72211060684</v>
      </c>
      <c r="H5" s="14"/>
      <c r="I5" s="14"/>
      <c r="J5" s="14"/>
      <c r="K5" s="13"/>
      <c r="L5" s="16">
        <f t="shared" ca="1" si="0"/>
        <v>7781.1698718008702</v>
      </c>
      <c r="M5" s="16"/>
      <c r="N5" s="16"/>
      <c r="O5" s="11" cm="1">
        <f t="array" aca="1" ref="O5" ca="1">INDIRECT("'data'!$M$" &amp; $A$1)*parameters!$B$15</f>
        <v>3856.2999999999997</v>
      </c>
      <c r="P5" s="13" cm="1">
        <f t="array" aca="1" ref="P5" ca="1">-INDIRECT("'data'!$N$" &amp; $A$1)*parameters!$B$15</f>
        <v>-1467.06</v>
      </c>
      <c r="Q5" s="16">
        <f ca="1">SUM(L5:P5)</f>
        <v>10170.40987180087</v>
      </c>
      <c r="R5" s="16">
        <f t="shared" ca="1" si="2"/>
        <v>10170.40987180087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8847.44</v>
      </c>
      <c r="I6" s="14"/>
      <c r="J6" s="14"/>
      <c r="K6" s="13"/>
      <c r="L6" s="16">
        <f t="shared" ca="1" si="0"/>
        <v>8847.44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8847.44</v>
      </c>
      <c r="R6" s="16">
        <f t="shared" ca="1" si="2"/>
        <v>8847.44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6244.5599999999995</v>
      </c>
      <c r="I7" s="14"/>
      <c r="J7" s="14"/>
      <c r="K7" s="13"/>
      <c r="L7" s="16">
        <f t="shared" ca="1" si="0"/>
        <v>6244.5599999999995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6244.5599999999995</v>
      </c>
      <c r="R7" s="16">
        <f t="shared" ca="1" si="2"/>
        <v>6244.5599999999995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3770.52753237958</v>
      </c>
      <c r="J8" s="14">
        <f ca="1">Q10/J18</f>
        <v>11813.43246762042</v>
      </c>
      <c r="K8" s="13"/>
      <c r="L8" s="16">
        <f t="shared" ca="1" si="0"/>
        <v>15583.96</v>
      </c>
      <c r="M8" s="16"/>
      <c r="N8" s="16">
        <f t="shared" ca="1" si="3"/>
        <v>0</v>
      </c>
      <c r="O8" s="11" cm="1">
        <f t="array" aca="1" ref="O8" ca="1">INDIRECT("'data'!$R$" &amp; $A$1)*parameters!$B$15</f>
        <v>381.21999999999997</v>
      </c>
      <c r="P8" s="13" cm="1">
        <f t="array" aca="1" ref="P8" ca="1">-INDIRECT("'data'!$S$" &amp; $A$1)*parameters!$B$15</f>
        <v>-873.18</v>
      </c>
      <c r="Q8" s="16">
        <f ca="1">SUM(Q6:Q7)</f>
        <v>15092</v>
      </c>
      <c r="R8" s="16">
        <f t="shared" ca="1" si="2"/>
        <v>15091.999999999998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4512.8999999999996</v>
      </c>
      <c r="L9" s="16">
        <f t="shared" ca="1" si="0"/>
        <v>4512.8999999999996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1868.86</v>
      </c>
      <c r="P9" s="13" cm="1">
        <f t="array" aca="1" ref="P9" ca="1">-INDIRECT("'data'!$V$" &amp; $A$1)*parameters!$B$15</f>
        <v>-3099.74</v>
      </c>
      <c r="Q9" s="16" cm="1">
        <f t="array" aca="1" ref="Q9" ca="1">INDIRECT("'data'!$T$" &amp; $A$1)*parameters!$B$15</f>
        <v>3282.02</v>
      </c>
      <c r="R9" s="16">
        <f t="shared" ca="1" si="2"/>
        <v>3282.0199999999995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12736.810469416785</v>
      </c>
      <c r="L10" s="16">
        <f t="shared" ca="1" si="0"/>
        <v>12736.810469416785</v>
      </c>
      <c r="M10" s="16"/>
      <c r="N10" s="16">
        <f t="shared" ca="1" si="3"/>
        <v>0</v>
      </c>
      <c r="O10" s="11" cm="1">
        <f t="array" aca="1" ref="O10" ca="1">INDIRECT("'data'!$X$" &amp; $A$1)*parameters!$B$15</f>
        <v>2572.5</v>
      </c>
      <c r="P10" s="13" cm="1">
        <f t="array" aca="1" ref="P10" ca="1">-INDIRECT("'data'!$Y$" &amp; $A$1)*parameters!$B$15</f>
        <v>-5026.42</v>
      </c>
      <c r="Q10" s="16" cm="1">
        <f t="array" aca="1" ref="Q10" ca="1">INDIRECT("'data'!$W$" &amp; $A$1)*parameters!$B$15</f>
        <v>10282.890469416785</v>
      </c>
      <c r="R10" s="16">
        <f t="shared" ca="1" si="2"/>
        <v>10282.890469416785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19287.283003698434</v>
      </c>
      <c r="N11" s="19"/>
      <c r="O11" s="21" cm="1">
        <f t="array" aca="1" ref="O11" ca="1">INDIRECT("'data'!$Z$" &amp; $A$1)*parameters!$B$15</f>
        <v>8005.62</v>
      </c>
      <c r="P11" s="27" cm="1">
        <f t="array" aca="1" ref="P11" ca="1">-INDIRECT("'data'!$AA$" &amp; $A$1)*parameters!$B$15</f>
        <v>-12097.119999999999</v>
      </c>
      <c r="Q11" s="16">
        <f ca="1">K9*parameters!$B$10+K10*parameters!$B$11</f>
        <v>15195.783003698434</v>
      </c>
      <c r="R11" s="16">
        <f t="shared" ref="R11:R17" ca="1" si="4">SUM(L11:P11)</f>
        <v>15195.783003698434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-49.757288417026757</v>
      </c>
      <c r="D12" s="9">
        <f ca="1">-(D17-Q4)</f>
        <v>-2.601404850558481</v>
      </c>
      <c r="E12" s="9">
        <f ca="1">-(E17-Q5)</f>
        <v>-1257.0169504472979</v>
      </c>
      <c r="F12" s="9">
        <f ca="1">-(F17-Q6)</f>
        <v>-584.79880597014926</v>
      </c>
      <c r="G12" s="9">
        <f ca="1">-(G17-Q7)</f>
        <v>-280.58106583072095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-2174.7555155157534</v>
      </c>
      <c r="M12" s="17"/>
      <c r="N12" s="17"/>
      <c r="O12" s="10"/>
      <c r="P12" s="12"/>
      <c r="Q12" s="9">
        <f t="shared" ref="Q12:Q17" ca="1" si="6">SUM(L12:P12)</f>
        <v>-2174.7555155157534</v>
      </c>
      <c r="R12" s="17">
        <f t="shared" ca="1" si="4"/>
        <v>-2174.7555155157534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-488.50753237957997</v>
      </c>
      <c r="J13" s="14">
        <f ca="1">-(J17-Q10)</f>
        <v>-1530.5419982036346</v>
      </c>
      <c r="K13" s="13">
        <f ca="1">-(K17-Q11)</f>
        <v>-2053.9274657183523</v>
      </c>
      <c r="L13" s="14">
        <f t="shared" ca="1" si="5"/>
        <v>-4072.9769963015669</v>
      </c>
      <c r="M13" s="16">
        <f ca="1">-E15</f>
        <v>-7354.4498259466009</v>
      </c>
      <c r="N13" s="16"/>
      <c r="O13" s="11"/>
      <c r="P13" s="13"/>
      <c r="Q13" s="14">
        <f t="shared" ca="1" si="6"/>
        <v>-11427.426822248168</v>
      </c>
      <c r="R13" s="16">
        <f t="shared" ca="1" si="4"/>
        <v>-11427.426822248168</v>
      </c>
    </row>
    <row r="14" spans="1:20">
      <c r="A14" s="18" t="s">
        <v>78</v>
      </c>
      <c r="B14" s="11"/>
      <c r="C14" s="14"/>
      <c r="D14" s="14"/>
      <c r="E14" s="14">
        <f ca="1">-(I13+J13)-K13</f>
        <v>4072.9769963015669</v>
      </c>
      <c r="F14" s="14"/>
      <c r="G14" s="14"/>
      <c r="H14" s="14"/>
      <c r="I14" s="14"/>
      <c r="J14" s="14"/>
      <c r="K14" s="13"/>
      <c r="L14" s="14">
        <f t="shared" ca="1" si="5"/>
        <v>4072.9769963015669</v>
      </c>
      <c r="M14" s="16"/>
      <c r="N14" s="16"/>
      <c r="O14" s="11"/>
      <c r="P14" s="13"/>
      <c r="Q14" s="14">
        <f t="shared" ca="1" si="6"/>
        <v>4072.9769963015669</v>
      </c>
      <c r="R14" s="16">
        <f t="shared" ca="1" si="4"/>
        <v>4072.9769963015669</v>
      </c>
    </row>
    <row r="15" spans="1:20">
      <c r="A15" s="18" t="s">
        <v>79</v>
      </c>
      <c r="B15" s="11"/>
      <c r="C15" s="14"/>
      <c r="D15" s="14"/>
      <c r="E15" s="14">
        <f ca="1">E17-E14</f>
        <v>7354.4498259466009</v>
      </c>
      <c r="F15" s="14"/>
      <c r="G15" s="14"/>
      <c r="H15" s="14"/>
      <c r="I15" s="14"/>
      <c r="J15" s="14"/>
      <c r="K15" s="13"/>
      <c r="L15" s="14">
        <f t="shared" ca="1" si="5"/>
        <v>7354.4498259466009</v>
      </c>
      <c r="M15" s="16"/>
      <c r="N15" s="16"/>
      <c r="O15" s="11"/>
      <c r="P15" s="13"/>
      <c r="Q15" s="14">
        <f t="shared" ca="1" si="6"/>
        <v>7354.4498259466009</v>
      </c>
      <c r="R15" s="16">
        <f t="shared" ca="1" si="4"/>
        <v>7354.4498259466009</v>
      </c>
    </row>
    <row r="16" spans="1:20">
      <c r="A16" s="30" t="s">
        <v>89</v>
      </c>
      <c r="B16" s="21">
        <f ca="1">Q2</f>
        <v>21341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21341</v>
      </c>
      <c r="M16" s="19"/>
      <c r="N16" s="19"/>
      <c r="O16" s="21"/>
      <c r="P16" s="27"/>
      <c r="Q16" s="22">
        <f t="shared" ca="1" si="6"/>
        <v>21341</v>
      </c>
      <c r="R16" s="19">
        <f t="shared" ca="1" si="4"/>
        <v>21341</v>
      </c>
    </row>
    <row r="17" spans="1:18">
      <c r="A17" s="29" t="s">
        <v>88</v>
      </c>
      <c r="B17" s="9">
        <f ca="1">B16</f>
        <v>21341</v>
      </c>
      <c r="C17" s="9">
        <f ca="1">SUM(C$2:C$11)</f>
        <v>7897.9822884170262</v>
      </c>
      <c r="D17" s="9">
        <f ca="1">SUM(D$2:D$11)</f>
        <v>412.92140485055847</v>
      </c>
      <c r="E17" s="9">
        <f ca="1">$Q$5/parameters!$B$4</f>
        <v>11427.426822248168</v>
      </c>
      <c r="F17" s="9">
        <f t="shared" ref="F17:K17" ca="1" si="7">SUM(F$2:F$11)</f>
        <v>9432.2388059701498</v>
      </c>
      <c r="G17" s="9">
        <f t="shared" ca="1" si="7"/>
        <v>6525.1410658307204</v>
      </c>
      <c r="H17" s="9">
        <f t="shared" ca="1" si="7"/>
        <v>15092</v>
      </c>
      <c r="I17" s="9">
        <f t="shared" ca="1" si="7"/>
        <v>3770.52753237958</v>
      </c>
      <c r="J17" s="9">
        <f t="shared" ca="1" si="7"/>
        <v>11813.43246762042</v>
      </c>
      <c r="K17" s="9">
        <f t="shared" ca="1" si="7"/>
        <v>17249.710469416787</v>
      </c>
      <c r="L17" s="17">
        <f t="shared" ca="1" si="5"/>
        <v>104962.38085673339</v>
      </c>
      <c r="M17" s="17"/>
      <c r="N17" s="17"/>
      <c r="O17" s="9"/>
      <c r="P17" s="14"/>
      <c r="Q17" s="11">
        <f t="shared" ca="1" si="6"/>
        <v>104962.38085673339</v>
      </c>
      <c r="R17" s="17">
        <f t="shared" ca="1" si="4"/>
        <v>104962.38085673339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0.87044053433253066</v>
      </c>
      <c r="J18" s="39">
        <f ca="1">I18</f>
        <v>0.87044053433253066</v>
      </c>
      <c r="K18" s="40">
        <f ca="1">1-(-K13)/K17</f>
        <v>0.88092974259713497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1110.9992955620407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1110.9992955620407</v>
      </c>
      <c r="M2" s="17"/>
      <c r="N2" s="17">
        <f ca="1">Q2-(L2+O2+P2)</f>
        <v>0</v>
      </c>
      <c r="O2" s="11" cm="1">
        <f t="array" aca="1" ref="O2" ca="1">INDIRECT("'data'!$F$" &amp; $A$1)</f>
        <v>458.90000000000003</v>
      </c>
      <c r="P2" s="13">
        <f ca="1">IF(-(L2-Q2+O2)&lt;0, -(L2-Q2+O2), 0)</f>
        <v>-1519.8992955620408</v>
      </c>
      <c r="Q2" s="17" cm="1">
        <f t="array" aca="1" ref="Q2" ca="1">INDIRECT("'data'!$D$" &amp; $A$1)</f>
        <v>50</v>
      </c>
      <c r="R2" s="17">
        <f ca="1">SUM(L2:P2)</f>
        <v>50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38"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-16.064999999999998</v>
      </c>
      <c r="O3" s="11" cm="1">
        <f t="array" aca="1" ref="O3" ca="1">INDIRECT("'data'!$H$" &amp; $A$1)*parameters!$B$13</f>
        <v>32.129999999999995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1357.92</v>
      </c>
      <c r="H4" s="14"/>
      <c r="I4" s="14"/>
      <c r="J4" s="14"/>
      <c r="K4" s="13"/>
      <c r="L4" s="16">
        <f t="shared" ca="1" si="0"/>
        <v>1357.92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-253.92000000000002</v>
      </c>
      <c r="Q4" s="16" cm="1">
        <f t="array" aca="1" ref="Q4" ca="1">INDIRECT("'data'!$J$" &amp; $A$1)*parameters!$B$14</f>
        <v>1104</v>
      </c>
      <c r="R4" s="16">
        <f t="shared" ca="1" si="2"/>
        <v>1104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2491.4216927899683</v>
      </c>
      <c r="H5" s="14"/>
      <c r="I5" s="14"/>
      <c r="J5" s="14"/>
      <c r="K5" s="13"/>
      <c r="L5" s="16">
        <f t="shared" ca="1" si="0"/>
        <v>2491.4216927899683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-1041.74</v>
      </c>
      <c r="Q5" s="16">
        <f ca="1">SUM(L5:P5)</f>
        <v>1449.6816927899683</v>
      </c>
      <c r="R5" s="16">
        <f t="shared" ca="1" si="2"/>
        <v>1449.6816927899683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3683.8199999999997</v>
      </c>
      <c r="I7" s="14"/>
      <c r="J7" s="14"/>
      <c r="K7" s="13"/>
      <c r="L7" s="16">
        <f t="shared" ca="1" si="0"/>
        <v>3683.8199999999997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3683.8199999999997</v>
      </c>
      <c r="R7" s="16">
        <f t="shared" ca="1" si="2"/>
        <v>3683.8199999999997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2894.9584690410038</v>
      </c>
      <c r="J8" s="14">
        <f ca="1">Q10/J18</f>
        <v>2642.0415309589966</v>
      </c>
      <c r="K8" s="13"/>
      <c r="L8" s="16">
        <f t="shared" ca="1" si="0"/>
        <v>5537</v>
      </c>
      <c r="M8" s="16"/>
      <c r="N8" s="16">
        <f t="shared" ca="1" si="3"/>
        <v>0</v>
      </c>
      <c r="O8" s="11" cm="1">
        <f t="array" aca="1" ref="O8" ca="1">INDIRECT("'data'!$R$" &amp; $A$1)*parameters!$B$15</f>
        <v>31.36</v>
      </c>
      <c r="P8" s="13" cm="1">
        <f t="array" aca="1" ref="P8" ca="1">-INDIRECT("'data'!$S$" &amp; $A$1)*parameters!$B$15</f>
        <v>-1884.54</v>
      </c>
      <c r="Q8" s="16">
        <f ca="1">SUM(Q6:Q7)</f>
        <v>3683.8199999999997</v>
      </c>
      <c r="R8" s="16">
        <f t="shared" ca="1" si="2"/>
        <v>3683.8199999999997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2942.9400000000005</v>
      </c>
      <c r="L9" s="16">
        <f t="shared" ca="1" si="0"/>
        <v>2942.9400000000005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286.15999999999997</v>
      </c>
      <c r="P9" s="13" cm="1">
        <f t="array" aca="1" ref="P9" ca="1">-INDIRECT("'data'!$V$" &amp; $A$1)*parameters!$B$15</f>
        <v>-627.20000000000005</v>
      </c>
      <c r="Q9" s="16" cm="1">
        <f t="array" aca="1" ref="Q9" ca="1">INDIRECT("'data'!$T$" &amp; $A$1)*parameters!$B$15</f>
        <v>2601.9</v>
      </c>
      <c r="R9" s="16">
        <f t="shared" ca="1" si="2"/>
        <v>2601.9000000000005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2902.8060028449499</v>
      </c>
      <c r="L10" s="16">
        <f t="shared" ca="1" si="0"/>
        <v>2902.8060028449499</v>
      </c>
      <c r="M10" s="16"/>
      <c r="N10" s="16">
        <f t="shared" ca="1" si="3"/>
        <v>0</v>
      </c>
      <c r="O10" s="11" cm="1">
        <f t="array" aca="1" ref="O10" ca="1">INDIRECT("'data'!$X$" &amp; $A$1)*parameters!$B$15</f>
        <v>1179.92</v>
      </c>
      <c r="P10" s="13" cm="1">
        <f t="array" aca="1" ref="P10" ca="1">-INDIRECT("'data'!$Y$" &amp; $A$1)*parameters!$B$15</f>
        <v>-1708.1399999999999</v>
      </c>
      <c r="Q10" s="16" cm="1">
        <f t="array" aca="1" ref="Q10" ca="1">INDIRECT("'data'!$W$" &amp; $A$1)*parameters!$B$15</f>
        <v>2374.5860028449501</v>
      </c>
      <c r="R10" s="16">
        <f t="shared" ca="1" si="2"/>
        <v>2374.5860028449501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6415.2567624466574</v>
      </c>
      <c r="N11" s="19"/>
      <c r="O11" s="21" cm="1">
        <f t="array" aca="1" ref="O11" ca="1">INDIRECT("'data'!$Z$" &amp; $A$1)*parameters!$B$15</f>
        <v>1206.3799999999999</v>
      </c>
      <c r="P11" s="27" cm="1">
        <f t="array" aca="1" ref="P11" ca="1">-INDIRECT("'data'!$AA$" &amp; $A$1)*parameters!$B$15</f>
        <v>-2358.86</v>
      </c>
      <c r="Q11" s="16">
        <f ca="1">K9*parameters!$B$10+K10*parameters!$B$11</f>
        <v>5262.7767624466569</v>
      </c>
      <c r="R11" s="16">
        <f t="shared" ref="R11:R17" ca="1" si="4">SUM(L11:P11)</f>
        <v>5262.7767624466578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-6.9992955620407429</v>
      </c>
      <c r="E12" s="9">
        <f ca="1">-(E17-Q5)</f>
        <v>-179.17414180550168</v>
      </c>
      <c r="F12" s="9">
        <f ca="1">-(F17-Q6)</f>
        <v>0</v>
      </c>
      <c r="G12" s="9">
        <f ca="1">-(G17-Q7)</f>
        <v>-165.52169278996871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-351.69513015751113</v>
      </c>
      <c r="M12" s="17"/>
      <c r="N12" s="17"/>
      <c r="O12" s="10"/>
      <c r="P12" s="12"/>
      <c r="Q12" s="9">
        <f t="shared" ref="Q12:Q17" ca="1" si="6">SUM(L12:P12)</f>
        <v>-351.69513015751113</v>
      </c>
      <c r="R12" s="17">
        <f t="shared" ca="1" si="4"/>
        <v>-351.69513015751113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-293.05846904100372</v>
      </c>
      <c r="J13" s="14">
        <f ca="1">-(J17-Q10)</f>
        <v>-267.4555281140465</v>
      </c>
      <c r="K13" s="13">
        <f ca="1">-(K17-Q11)</f>
        <v>-582.96924039829355</v>
      </c>
      <c r="L13" s="14">
        <f t="shared" ca="1" si="5"/>
        <v>-1143.4832375533438</v>
      </c>
      <c r="M13" s="16">
        <f ca="1">-E15</f>
        <v>-485.37259704212624</v>
      </c>
      <c r="N13" s="16"/>
      <c r="O13" s="11"/>
      <c r="P13" s="13"/>
      <c r="Q13" s="14">
        <f t="shared" ca="1" si="6"/>
        <v>-1628.85583459547</v>
      </c>
      <c r="R13" s="16">
        <f t="shared" ca="1" si="4"/>
        <v>-1628.85583459547</v>
      </c>
    </row>
    <row r="14" spans="1:19">
      <c r="A14" s="18" t="s">
        <v>78</v>
      </c>
      <c r="B14" s="11"/>
      <c r="C14" s="14"/>
      <c r="D14" s="14"/>
      <c r="E14" s="14">
        <f ca="1">-(I13+J13)-K13</f>
        <v>1143.4832375533438</v>
      </c>
      <c r="F14" s="14"/>
      <c r="G14" s="14"/>
      <c r="H14" s="14"/>
      <c r="I14" s="14"/>
      <c r="J14" s="14"/>
      <c r="K14" s="13"/>
      <c r="L14" s="14">
        <f t="shared" ca="1" si="5"/>
        <v>1143.4832375533438</v>
      </c>
      <c r="M14" s="16"/>
      <c r="N14" s="16"/>
      <c r="O14" s="11"/>
      <c r="P14" s="13"/>
      <c r="Q14" s="14">
        <f t="shared" ca="1" si="6"/>
        <v>1143.4832375533438</v>
      </c>
      <c r="R14" s="16">
        <f t="shared" ca="1" si="4"/>
        <v>1143.4832375533438</v>
      </c>
    </row>
    <row r="15" spans="1:19">
      <c r="A15" s="18" t="s">
        <v>79</v>
      </c>
      <c r="B15" s="11"/>
      <c r="C15" s="14"/>
      <c r="D15" s="14"/>
      <c r="E15" s="14">
        <f ca="1">E17-E14</f>
        <v>485.37259704212624</v>
      </c>
      <c r="F15" s="14"/>
      <c r="G15" s="14"/>
      <c r="H15" s="14"/>
      <c r="I15" s="14"/>
      <c r="J15" s="14"/>
      <c r="K15" s="13"/>
      <c r="L15" s="14">
        <f t="shared" ca="1" si="5"/>
        <v>485.37259704212624</v>
      </c>
      <c r="M15" s="16"/>
      <c r="N15" s="16"/>
      <c r="O15" s="11"/>
      <c r="P15" s="13"/>
      <c r="Q15" s="14">
        <f t="shared" ca="1" si="6"/>
        <v>485.37259704212624</v>
      </c>
      <c r="R15" s="16">
        <f t="shared" ca="1" si="4"/>
        <v>485.37259704212624</v>
      </c>
    </row>
    <row r="16" spans="1:19">
      <c r="A16" s="30" t="s">
        <v>89</v>
      </c>
      <c r="B16" s="21">
        <f ca="1">Q2</f>
        <v>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</v>
      </c>
      <c r="M16" s="19"/>
      <c r="N16" s="19"/>
      <c r="O16" s="21"/>
      <c r="P16" s="27"/>
      <c r="Q16" s="22">
        <f t="shared" ca="1" si="6"/>
        <v>50</v>
      </c>
      <c r="R16" s="19">
        <f t="shared" ca="1" si="4"/>
        <v>50</v>
      </c>
    </row>
    <row r="17" spans="1:18">
      <c r="A17" s="29" t="s">
        <v>88</v>
      </c>
      <c r="B17" s="9">
        <f ca="1">B16</f>
        <v>50</v>
      </c>
      <c r="C17" s="9">
        <f ca="1">SUM(C$2:C$11)</f>
        <v>0</v>
      </c>
      <c r="D17" s="9">
        <f ca="1">SUM(D$2:D$11)</f>
        <v>1110.9992955620407</v>
      </c>
      <c r="E17" s="9">
        <f ca="1">$Q$5/parameters!$B$4</f>
        <v>1628.85583459547</v>
      </c>
      <c r="F17" s="9">
        <f t="shared" ref="F17:K17" ca="1" si="7">SUM(F$2:F$11)</f>
        <v>0</v>
      </c>
      <c r="G17" s="9">
        <f t="shared" ca="1" si="7"/>
        <v>3849.3416927899684</v>
      </c>
      <c r="H17" s="9">
        <f t="shared" ca="1" si="7"/>
        <v>3683.8199999999997</v>
      </c>
      <c r="I17" s="9">
        <f t="shared" ca="1" si="7"/>
        <v>2894.9584690410038</v>
      </c>
      <c r="J17" s="9">
        <f t="shared" ca="1" si="7"/>
        <v>2642.0415309589966</v>
      </c>
      <c r="K17" s="9">
        <f t="shared" ca="1" si="7"/>
        <v>5845.7460028449505</v>
      </c>
      <c r="L17" s="17">
        <f t="shared" ca="1" si="5"/>
        <v>21705.76282579243</v>
      </c>
      <c r="M17" s="17"/>
      <c r="N17" s="17"/>
      <c r="O17" s="9"/>
      <c r="P17" s="14"/>
      <c r="Q17" s="11">
        <f t="shared" ca="1" si="6"/>
        <v>21705.76282579243</v>
      </c>
      <c r="R17" s="17">
        <f t="shared" ca="1" si="4"/>
        <v>21705.76282579243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0.89876937020858771</v>
      </c>
      <c r="J18" s="39">
        <f ca="1">I18</f>
        <v>0.89876937020858771</v>
      </c>
      <c r="K18" s="40">
        <f ca="1">1-(-K13)/K17</f>
        <v>0.90027462019140414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5071.6363087450936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5071.6363087450936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-5071.6363087450936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4819.3432835820904</v>
      </c>
      <c r="G3" s="14">
        <f ca="1">Q3-O3-P3-F3</f>
        <v>411.23171641790941</v>
      </c>
      <c r="H3" s="14"/>
      <c r="I3" s="14"/>
      <c r="J3" s="14"/>
      <c r="K3" s="13"/>
      <c r="L3" s="16">
        <f t="shared" ca="1" si="0"/>
        <v>5230.5749999999998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17.954999999999998</v>
      </c>
      <c r="P3" s="13" cm="1">
        <f t="array" aca="1" ref="P3" ca="1">-INDIRECT("'data'!$I$" &amp; $A$1)*parameters!$B$13</f>
        <v>-208.845</v>
      </c>
      <c r="Q3" s="16" cm="1">
        <f t="array" aca="1" ref="Q3" ca="1">INDIRECT("'data'!$G$" &amp; $A$1)*parameters!$B$13</f>
        <v>5039.6849999999995</v>
      </c>
      <c r="R3" s="16">
        <f t="shared" ref="R3:R10" ca="1" si="2">SUM(L3:P3)</f>
        <v>5039.6849999999995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1204.8358208955226</v>
      </c>
      <c r="G5" s="14">
        <f ca="1">Q7/parameters!$B$7-(G3+G4)</f>
        <v>3931.6940934044524</v>
      </c>
      <c r="H5" s="14"/>
      <c r="I5" s="14"/>
      <c r="J5" s="14"/>
      <c r="K5" s="13"/>
      <c r="L5" s="16">
        <f t="shared" ca="1" si="0"/>
        <v>5136.5299142999747</v>
      </c>
      <c r="M5" s="16"/>
      <c r="N5" s="16"/>
      <c r="O5" s="11" cm="1">
        <f t="array" aca="1" ref="O5" ca="1">INDIRECT("'data'!$M$" &amp; $A$1)*parameters!$B$15</f>
        <v>1165.22</v>
      </c>
      <c r="P5" s="13" cm="1">
        <f t="array" aca="1" ref="P5" ca="1">-INDIRECT("'data'!$N$" &amp; $A$1)*parameters!$B$15</f>
        <v>-280.27999999999997</v>
      </c>
      <c r="Q5" s="16">
        <f ca="1">SUM(L5:P5)</f>
        <v>6021.4699142999752</v>
      </c>
      <c r="R5" s="16">
        <f t="shared" ca="1" si="2"/>
        <v>6021.4699142999752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5650.68</v>
      </c>
      <c r="I6" s="14"/>
      <c r="J6" s="14"/>
      <c r="K6" s="13"/>
      <c r="L6" s="16">
        <f t="shared" ca="1" si="0"/>
        <v>5650.68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5650.68</v>
      </c>
      <c r="R6" s="16">
        <f t="shared" ca="1" si="2"/>
        <v>5650.68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4156.18</v>
      </c>
      <c r="I7" s="14"/>
      <c r="J7" s="14"/>
      <c r="K7" s="13"/>
      <c r="L7" s="16">
        <f t="shared" ca="1" si="0"/>
        <v>4156.18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4156.18</v>
      </c>
      <c r="R7" s="16">
        <f t="shared" ca="1" si="2"/>
        <v>4156.18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5981.1822756139745</v>
      </c>
      <c r="J8" s="14">
        <f ca="1">Q10/J18</f>
        <v>3438.5777243860271</v>
      </c>
      <c r="K8" s="13"/>
      <c r="L8" s="16">
        <f t="shared" ca="1" si="0"/>
        <v>9419.760000000002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946.68</v>
      </c>
      <c r="P8" s="13" cm="1">
        <f t="array" aca="1" ref="P8" ca="1">-INDIRECT("'data'!$S$" &amp; $A$1)*parameters!$B$15</f>
        <v>-559.58000000000004</v>
      </c>
      <c r="Q8" s="16">
        <f ca="1">SUM(Q6:Q7)</f>
        <v>9806.86</v>
      </c>
      <c r="R8" s="16">
        <f t="shared" ca="1" si="2"/>
        <v>9806.8600000000024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4231.6400000000003</v>
      </c>
      <c r="L9" s="16">
        <f t="shared" ca="1" si="0"/>
        <v>4231.6400000000003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2014.8799999999999</v>
      </c>
      <c r="P9" s="13" cm="1">
        <f t="array" aca="1" ref="P9" ca="1">-INDIRECT("'data'!$V$" &amp; $A$1)*parameters!$B$15</f>
        <v>-1385.72</v>
      </c>
      <c r="Q9" s="16" cm="1">
        <f t="array" aca="1" ref="Q9" ca="1">INDIRECT("'data'!$T$" &amp; $A$1)*parameters!$B$15</f>
        <v>4860.8</v>
      </c>
      <c r="R9" s="16">
        <f t="shared" ca="1" si="2"/>
        <v>4860.8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5910.8706970128023</v>
      </c>
      <c r="L10" s="16">
        <f t="shared" ca="1" si="0"/>
        <v>5910.8706970128023</v>
      </c>
      <c r="M10" s="16"/>
      <c r="N10" s="16">
        <f t="shared" ca="1" si="3"/>
        <v>0</v>
      </c>
      <c r="O10" s="11" cm="1">
        <f t="array" aca="1" ref="O10" ca="1">INDIRECT("'data'!$X$" &amp; $A$1)*parameters!$B$15</f>
        <v>700.69999999999993</v>
      </c>
      <c r="P10" s="13" cm="1">
        <f t="array" aca="1" ref="P10" ca="1">-INDIRECT("'data'!$Y$" &amp; $A$1)*parameters!$B$15</f>
        <v>-3817.1</v>
      </c>
      <c r="Q10" s="16" cm="1">
        <f t="array" aca="1" ref="Q10" ca="1">INDIRECT("'data'!$W$" &amp; $A$1)*parameters!$B$15</f>
        <v>2794.4706970128022</v>
      </c>
      <c r="R10" s="16">
        <f t="shared" ca="1" si="2"/>
        <v>2794.4706970128022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8361.370399431009</v>
      </c>
      <c r="N11" s="19"/>
      <c r="O11" s="21" cm="1">
        <f t="array" aca="1" ref="O11" ca="1">INDIRECT("'data'!$Z$" &amp; $A$1)*parameters!$B$15</f>
        <v>6164.2</v>
      </c>
      <c r="P11" s="27" cm="1">
        <f t="array" aca="1" ref="P11" ca="1">-INDIRECT("'data'!$AA$" &amp; $A$1)*parameters!$B$15</f>
        <v>-5464.48</v>
      </c>
      <c r="Q11" s="16">
        <f ca="1">K9*parameters!$B$10+K10*parameters!$B$11</f>
        <v>9061.0903994310102</v>
      </c>
      <c r="R11" s="16">
        <f t="shared" ref="R11:R17" ca="1" si="4">SUM(L11:P11)</f>
        <v>9061.0903994310102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-31.951308745094138</v>
      </c>
      <c r="D12" s="9">
        <f ca="1">-(D17-Q4)</f>
        <v>0</v>
      </c>
      <c r="E12" s="9">
        <f ca="1">-(E17-Q5)</f>
        <v>-744.22661862134555</v>
      </c>
      <c r="F12" s="9">
        <f ca="1">-(F17-Q6)</f>
        <v>-373.49910447761249</v>
      </c>
      <c r="G12" s="9">
        <f ca="1">-(G17-Q7)</f>
        <v>-186.74580982236148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-1336.4228416664137</v>
      </c>
      <c r="M12" s="17"/>
      <c r="N12" s="17"/>
      <c r="O12" s="10"/>
      <c r="P12" s="12"/>
      <c r="Q12" s="9">
        <f t="shared" ref="Q12:Q17" ca="1" si="6">SUM(L12:P12)</f>
        <v>-1336.4228416664137</v>
      </c>
      <c r="R12" s="17">
        <f t="shared" ca="1" si="4"/>
        <v>-1336.4228416664137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-1120.3822756139743</v>
      </c>
      <c r="J13" s="14">
        <f ca="1">-(J17-Q10)</f>
        <v>-644.10702737322481</v>
      </c>
      <c r="K13" s="13">
        <f ca="1">-(K17-Q11)</f>
        <v>-1081.4202975817934</v>
      </c>
      <c r="L13" s="14">
        <f t="shared" ca="1" si="5"/>
        <v>-2845.9096005689926</v>
      </c>
      <c r="M13" s="16">
        <f ca="1">-E15</f>
        <v>-3919.7869323523282</v>
      </c>
      <c r="N13" s="16"/>
      <c r="O13" s="11"/>
      <c r="P13" s="13"/>
      <c r="Q13" s="14">
        <f t="shared" ca="1" si="6"/>
        <v>-6765.6965329213208</v>
      </c>
      <c r="R13" s="16">
        <f t="shared" ca="1" si="4"/>
        <v>-6765.6965329213208</v>
      </c>
    </row>
    <row r="14" spans="1:20">
      <c r="A14" s="18" t="s">
        <v>78</v>
      </c>
      <c r="B14" s="11"/>
      <c r="C14" s="14"/>
      <c r="D14" s="14"/>
      <c r="E14" s="14">
        <f ca="1">-(I13+J13)-K13</f>
        <v>2845.9096005689926</v>
      </c>
      <c r="F14" s="14"/>
      <c r="G14" s="14"/>
      <c r="H14" s="14"/>
      <c r="I14" s="14"/>
      <c r="J14" s="14"/>
      <c r="K14" s="13"/>
      <c r="L14" s="14">
        <f t="shared" ca="1" si="5"/>
        <v>2845.9096005689926</v>
      </c>
      <c r="M14" s="16"/>
      <c r="N14" s="16"/>
      <c r="O14" s="11"/>
      <c r="P14" s="13"/>
      <c r="Q14" s="14">
        <f t="shared" ca="1" si="6"/>
        <v>2845.9096005689926</v>
      </c>
      <c r="R14" s="16">
        <f t="shared" ca="1" si="4"/>
        <v>2845.9096005689926</v>
      </c>
    </row>
    <row r="15" spans="1:20">
      <c r="A15" s="18" t="s">
        <v>79</v>
      </c>
      <c r="B15" s="11"/>
      <c r="C15" s="14"/>
      <c r="D15" s="14"/>
      <c r="E15" s="14">
        <f ca="1">E17-E14</f>
        <v>3919.7869323523282</v>
      </c>
      <c r="F15" s="14"/>
      <c r="G15" s="14"/>
      <c r="H15" s="14"/>
      <c r="I15" s="14"/>
      <c r="J15" s="14"/>
      <c r="K15" s="13"/>
      <c r="L15" s="14">
        <f t="shared" ca="1" si="5"/>
        <v>3919.7869323523282</v>
      </c>
      <c r="M15" s="16"/>
      <c r="N15" s="16"/>
      <c r="O15" s="11"/>
      <c r="P15" s="13"/>
      <c r="Q15" s="14">
        <f t="shared" ca="1" si="6"/>
        <v>3919.7869323523282</v>
      </c>
      <c r="R15" s="16">
        <f t="shared" ca="1" si="4"/>
        <v>3919.7869323523282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5071.6363087450936</v>
      </c>
      <c r="D17" s="9">
        <f ca="1">SUM(D$2:D$11)</f>
        <v>0</v>
      </c>
      <c r="E17" s="9">
        <f ca="1">$Q$5/parameters!$B$4</f>
        <v>6765.6965329213208</v>
      </c>
      <c r="F17" s="9">
        <f t="shared" ref="F17:K17" ca="1" si="7">SUM(F$2:F$11)</f>
        <v>6024.1791044776128</v>
      </c>
      <c r="G17" s="9">
        <f t="shared" ca="1" si="7"/>
        <v>4342.9258098223618</v>
      </c>
      <c r="H17" s="9">
        <f t="shared" ca="1" si="7"/>
        <v>9806.86</v>
      </c>
      <c r="I17" s="9">
        <f t="shared" ca="1" si="7"/>
        <v>5981.1822756139745</v>
      </c>
      <c r="J17" s="9">
        <f t="shared" ca="1" si="7"/>
        <v>3438.5777243860271</v>
      </c>
      <c r="K17" s="9">
        <f t="shared" ca="1" si="7"/>
        <v>10142.510697012804</v>
      </c>
      <c r="L17" s="17">
        <f t="shared" ca="1" si="5"/>
        <v>51573.568452979198</v>
      </c>
      <c r="M17" s="17"/>
      <c r="N17" s="17"/>
      <c r="O17" s="9"/>
      <c r="P17" s="14"/>
      <c r="Q17" s="11">
        <f t="shared" ca="1" si="6"/>
        <v>51573.568452979198</v>
      </c>
      <c r="R17" s="17">
        <f t="shared" ca="1" si="4"/>
        <v>51573.568452979198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0.81268213808131007</v>
      </c>
      <c r="J18" s="39">
        <f ca="1">I18</f>
        <v>0.81268213808131007</v>
      </c>
      <c r="K18" s="40">
        <f ca="1">1-(-K13)/K17</f>
        <v>0.89337745555444215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929.24854543704089</v>
      </c>
      <c r="D2" s="9">
        <f ca="1">Q4/parameters!$B$3</f>
        <v>2870.0815135352723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3799.3300589723131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-3088.6851107465986</v>
      </c>
      <c r="Q2" s="17" cm="1">
        <f t="array" aca="1" ref="Q2" ca="1">INDIRECT("'data'!$D$" &amp; $A$1)</f>
        <v>710.6449482257143</v>
      </c>
      <c r="R2" s="17">
        <f ca="1">SUM(L2:P2)</f>
        <v>710.64494822571442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910</v>
      </c>
      <c r="G3" s="14">
        <f ca="1">Q3-O3-P3-F3</f>
        <v>13.394279600787513</v>
      </c>
      <c r="H3" s="14"/>
      <c r="I3" s="14"/>
      <c r="J3" s="14"/>
      <c r="K3" s="13"/>
      <c r="L3" s="16">
        <f t="shared" ca="1" si="0"/>
        <v>923.39427960078751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923.39427960078751</v>
      </c>
      <c r="R3" s="16">
        <f t="shared" ref="R3:R10" ca="1" si="2">SUM(L3:P3)</f>
        <v>923.39427960078751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1197.8391777145252</v>
      </c>
      <c r="H4" s="14"/>
      <c r="I4" s="14"/>
      <c r="J4" s="14"/>
      <c r="K4" s="13"/>
      <c r="L4" s="16">
        <f t="shared" ca="1" si="0"/>
        <v>1197.8391777145252</v>
      </c>
      <c r="M4" s="16"/>
      <c r="N4" s="16">
        <f t="shared" ca="1" si="1"/>
        <v>1770.0808222854748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-115.92</v>
      </c>
      <c r="Q4" s="16" cm="1">
        <f t="array" aca="1" ref="Q4" ca="1">INDIRECT("'data'!$J$" &amp; $A$1)*parameters!$B$14</f>
        <v>2852</v>
      </c>
      <c r="R4" s="16">
        <f t="shared" ca="1" si="2"/>
        <v>2852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Q6/parameters!$B$5*33%</f>
        <v>448.20895522388059</v>
      </c>
      <c r="G5" s="38">
        <f ca="1">E14*parameters!$B$4-O5-P5-F5</f>
        <v>3652.925372360758</v>
      </c>
      <c r="H5" s="14"/>
      <c r="I5" s="14"/>
      <c r="J5" s="14"/>
      <c r="K5" s="13"/>
      <c r="L5" s="16">
        <f t="shared" ca="1" si="0"/>
        <v>4101.1343275846384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-2229.5</v>
      </c>
      <c r="Q5" s="16">
        <f ca="1">SUM(L5:P5)</f>
        <v>1871.6343275846384</v>
      </c>
      <c r="R5" s="16">
        <f t="shared" ca="1" si="2"/>
        <v>1871.6343275846384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1274</v>
      </c>
      <c r="I6" s="14"/>
      <c r="J6" s="14"/>
      <c r="K6" s="13"/>
      <c r="L6" s="16">
        <f t="shared" ca="1" si="0"/>
        <v>1274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1274</v>
      </c>
      <c r="R6" s="16">
        <f t="shared" ca="1" si="2"/>
        <v>1274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4655</v>
      </c>
      <c r="I7" s="14"/>
      <c r="J7" s="14"/>
      <c r="K7" s="13"/>
      <c r="L7" s="16">
        <f t="shared" ca="1" si="0"/>
        <v>4655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4655</v>
      </c>
      <c r="R7" s="16">
        <f t="shared" ca="1" si="2"/>
        <v>4655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5249.5351527650664</v>
      </c>
      <c r="J8" s="14">
        <f ca="1">Q10/J18</f>
        <v>2469.9248472349341</v>
      </c>
      <c r="K8" s="13"/>
      <c r="L8" s="16">
        <f t="shared" ca="1" si="0"/>
        <v>7719.4600000000009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45.08</v>
      </c>
      <c r="P8" s="13" cm="1">
        <f t="array" aca="1" ref="P8" ca="1">-INDIRECT("'data'!$S$" &amp; $A$1)*parameters!$B$15</f>
        <v>-1835.54</v>
      </c>
      <c r="Q8" s="16">
        <f ca="1">SUM(Q6:Q7)</f>
        <v>5929</v>
      </c>
      <c r="R8" s="16">
        <f t="shared" ca="1" si="2"/>
        <v>5929.0000000000009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4416.8599999999997</v>
      </c>
      <c r="L9" s="16">
        <f t="shared" ca="1" si="0"/>
        <v>4416.8599999999997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-177.38</v>
      </c>
      <c r="Q9" s="16" cm="1">
        <f t="array" aca="1" ref="Q9" ca="1">INDIRECT("'data'!$T$" &amp; $A$1)*parameters!$B$15</f>
        <v>4239.4799999999996</v>
      </c>
      <c r="R9" s="16">
        <f t="shared" ca="1" si="2"/>
        <v>4239.4799999999996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2518.9903271692747</v>
      </c>
      <c r="L10" s="16">
        <f t="shared" ca="1" si="0"/>
        <v>2518.9903271692747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-524.29999999999995</v>
      </c>
      <c r="Q10" s="16" cm="1">
        <f t="array" aca="1" ref="Q10" ca="1">INDIRECT("'data'!$W$" &amp; $A$1)*parameters!$B$15</f>
        <v>1994.6903271692745</v>
      </c>
      <c r="R10" s="16">
        <f t="shared" ca="1" si="2"/>
        <v>1994.6903271692747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6591.6000813655755</v>
      </c>
      <c r="N11" s="19"/>
      <c r="O11" s="21" cm="1">
        <f t="array" aca="1" ref="O11" ca="1">INDIRECT("'data'!$Z$" &amp; $A$1)*parameters!$B$15</f>
        <v>171.5</v>
      </c>
      <c r="P11" s="27" cm="1">
        <f t="array" aca="1" ref="P11" ca="1">-INDIRECT("'data'!$AA$" &amp; $A$1)*parameters!$B$15</f>
        <v>-444.92</v>
      </c>
      <c r="Q11" s="16">
        <f ca="1">K9*parameters!$B$10+K10*parameters!$B$11</f>
        <v>6318.1800813655755</v>
      </c>
      <c r="R11" s="16">
        <f t="shared" ref="R11:R17" ca="1" si="4">SUM(L11:P11)</f>
        <v>6318.1800813655755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-5.8542658362533757</v>
      </c>
      <c r="D12" s="9">
        <f ca="1">-(D17-Q4)</f>
        <v>-18.081513535272279</v>
      </c>
      <c r="E12" s="9">
        <f ca="1">-(E17-Q5)</f>
        <v>-231.32559104978691</v>
      </c>
      <c r="F12" s="9">
        <f ca="1">-(F17-Q6)</f>
        <v>-84.208955223880594</v>
      </c>
      <c r="G12" s="9">
        <f ca="1">-(G17-Q7)</f>
        <v>-209.15882967607104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-548.62915532126419</v>
      </c>
      <c r="M12" s="17"/>
      <c r="N12" s="17"/>
      <c r="O12" s="10"/>
      <c r="P12" s="12"/>
      <c r="Q12" s="9">
        <f t="shared" ref="Q12:Q17" ca="1" si="6">SUM(L12:P12)</f>
        <v>-548.62915532126419</v>
      </c>
      <c r="R12" s="17">
        <f t="shared" ca="1" si="4"/>
        <v>-548.62915532126419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-1010.0551527650669</v>
      </c>
      <c r="J13" s="14">
        <f ca="1">-(J17-Q10)</f>
        <v>-475.23452006565958</v>
      </c>
      <c r="K13" s="13">
        <f ca="1">-(K17-Q11)</f>
        <v>-617.67024580369889</v>
      </c>
      <c r="L13" s="14">
        <f t="shared" ca="1" si="5"/>
        <v>-2102.9599186344253</v>
      </c>
      <c r="M13" s="16">
        <f ca="1">-E15</f>
        <v>0</v>
      </c>
      <c r="N13" s="16"/>
      <c r="O13" s="11"/>
      <c r="P13" s="13"/>
      <c r="Q13" s="14">
        <f t="shared" ca="1" si="6"/>
        <v>-2102.9599186344253</v>
      </c>
      <c r="R13" s="16">
        <f t="shared" ca="1" si="4"/>
        <v>-2102.9599186344253</v>
      </c>
    </row>
    <row r="14" spans="1:19">
      <c r="A14" s="18" t="s">
        <v>78</v>
      </c>
      <c r="B14" s="11"/>
      <c r="C14" s="14"/>
      <c r="D14" s="14"/>
      <c r="E14" s="14">
        <f ca="1">-(I13+J13)-K13</f>
        <v>2102.9599186344253</v>
      </c>
      <c r="F14" s="14"/>
      <c r="G14" s="14"/>
      <c r="H14" s="14"/>
      <c r="I14" s="14"/>
      <c r="J14" s="14"/>
      <c r="K14" s="13"/>
      <c r="L14" s="14">
        <f t="shared" ca="1" si="5"/>
        <v>2102.9599186344253</v>
      </c>
      <c r="M14" s="16"/>
      <c r="N14" s="16"/>
      <c r="O14" s="11"/>
      <c r="P14" s="13"/>
      <c r="Q14" s="14">
        <f t="shared" ca="1" si="6"/>
        <v>2102.9599186344253</v>
      </c>
      <c r="R14" s="16">
        <f t="shared" ca="1" si="4"/>
        <v>2102.9599186344253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710.6449482257143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710.6449482257143</v>
      </c>
      <c r="M16" s="19"/>
      <c r="N16" s="19"/>
      <c r="O16" s="21"/>
      <c r="P16" s="27"/>
      <c r="Q16" s="22">
        <f t="shared" ca="1" si="6"/>
        <v>710.6449482257143</v>
      </c>
      <c r="R16" s="19">
        <f t="shared" ca="1" si="4"/>
        <v>710.6449482257143</v>
      </c>
    </row>
    <row r="17" spans="1:18">
      <c r="A17" s="29" t="s">
        <v>88</v>
      </c>
      <c r="B17" s="9">
        <f ca="1">B16</f>
        <v>710.6449482257143</v>
      </c>
      <c r="C17" s="9">
        <f ca="1">SUM(C$2:C$11)</f>
        <v>929.24854543704089</v>
      </c>
      <c r="D17" s="9">
        <f ca="1">SUM(D$2:D$11)</f>
        <v>2870.0815135352723</v>
      </c>
      <c r="E17" s="9">
        <f ca="1">$Q$5/parameters!$B$4</f>
        <v>2102.9599186344253</v>
      </c>
      <c r="F17" s="9">
        <f t="shared" ref="F17:K17" ca="1" si="7">SUM(F$2:F$11)</f>
        <v>1358.2089552238806</v>
      </c>
      <c r="G17" s="9">
        <f t="shared" ca="1" si="7"/>
        <v>4864.158829676071</v>
      </c>
      <c r="H17" s="9">
        <f t="shared" ca="1" si="7"/>
        <v>5929</v>
      </c>
      <c r="I17" s="9">
        <f t="shared" ca="1" si="7"/>
        <v>5249.5351527650664</v>
      </c>
      <c r="J17" s="9">
        <f t="shared" ca="1" si="7"/>
        <v>2469.9248472349341</v>
      </c>
      <c r="K17" s="9">
        <f t="shared" ca="1" si="7"/>
        <v>6935.8503271692744</v>
      </c>
      <c r="L17" s="17">
        <f t="shared" ca="1" si="5"/>
        <v>33419.613037901683</v>
      </c>
      <c r="M17" s="17"/>
      <c r="N17" s="17"/>
      <c r="O17" s="9"/>
      <c r="P17" s="14"/>
      <c r="Q17" s="11">
        <f t="shared" ca="1" si="6"/>
        <v>33419.613037901683</v>
      </c>
      <c r="R17" s="17">
        <f t="shared" ca="1" si="4"/>
        <v>33419.613037901683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0.80759150603400676</v>
      </c>
      <c r="J18" s="39">
        <f ca="1">I18</f>
        <v>0.80759150603400676</v>
      </c>
      <c r="K18" s="40">
        <f ca="1">1-(-K13)/K17</f>
        <v>0.91094527467178077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3315.4070645063903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3315.4070645063903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-3315.4070645063903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24.57</v>
      </c>
      <c r="H3" s="14"/>
      <c r="I3" s="14"/>
      <c r="J3" s="14"/>
      <c r="K3" s="13"/>
      <c r="L3" s="16">
        <f t="shared" ca="1" si="0"/>
        <v>24.57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-24.57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3352.48</v>
      </c>
      <c r="H4" s="14"/>
      <c r="I4" s="14"/>
      <c r="J4" s="14"/>
      <c r="K4" s="13"/>
      <c r="L4" s="16">
        <f t="shared" ca="1" si="0"/>
        <v>3352.48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-57.96</v>
      </c>
      <c r="Q4" s="16" cm="1">
        <f t="array" aca="1" ref="Q4" ca="1">INDIRECT("'data'!$J$" &amp; $A$1)*parameters!$B$14</f>
        <v>3294.52</v>
      </c>
      <c r="R4" s="16">
        <f t="shared" ca="1" si="2"/>
        <v>3294.52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692.45888192267512</v>
      </c>
      <c r="H5" s="14"/>
      <c r="I5" s="14"/>
      <c r="J5" s="14"/>
      <c r="K5" s="13"/>
      <c r="L5" s="16">
        <f t="shared" ca="1" si="0"/>
        <v>692.45888192267512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692.45888192267512</v>
      </c>
      <c r="R5" s="16">
        <f t="shared" ca="1" si="2"/>
        <v>692.45888192267512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3894.52</v>
      </c>
      <c r="I7" s="14"/>
      <c r="J7" s="14"/>
      <c r="K7" s="13"/>
      <c r="L7" s="16">
        <f t="shared" ca="1" si="0"/>
        <v>3894.52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3894.52</v>
      </c>
      <c r="R7" s="16">
        <f t="shared" ca="1" si="2"/>
        <v>3894.52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2230</v>
      </c>
      <c r="J8" s="14">
        <f ca="1">Q10/J18</f>
        <v>1502.1489189925373</v>
      </c>
      <c r="K8" s="13"/>
      <c r="L8" s="16">
        <f t="shared" ca="1" si="0"/>
        <v>3732.1489189925373</v>
      </c>
      <c r="M8" s="16"/>
      <c r="N8" s="16">
        <f t="shared" ca="1" si="3"/>
        <v>942.45108100746256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-780.08</v>
      </c>
      <c r="Q8" s="16">
        <f ca="1">SUM(Q6:Q7)</f>
        <v>3894.52</v>
      </c>
      <c r="R8" s="16">
        <f t="shared" ca="1" si="2"/>
        <v>3894.5200000000004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2887.08</v>
      </c>
      <c r="L9" s="16">
        <f t="shared" ca="1" si="0"/>
        <v>2887.08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-701.68</v>
      </c>
      <c r="Q9" s="16" cm="1">
        <f t="array" aca="1" ref="Q9" ca="1">INDIRECT("'data'!$T$" &amp; $A$1)*parameters!$B$15</f>
        <v>2185.4</v>
      </c>
      <c r="R9" s="16">
        <f t="shared" ca="1" si="2"/>
        <v>2185.4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3238.0659406126865</v>
      </c>
      <c r="L10" s="16">
        <f t="shared" ca="1" si="0"/>
        <v>3238.0659406126865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-1765.96</v>
      </c>
      <c r="Q10" s="16" cm="1">
        <f t="array" aca="1" ref="Q10" ca="1">INDIRECT("'data'!$W$" &amp; $A$1)*parameters!$B$15</f>
        <v>1472.1059406126865</v>
      </c>
      <c r="R10" s="16">
        <f t="shared" ca="1" si="2"/>
        <v>1472.1059406126865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7654.59190892691</v>
      </c>
      <c r="N11" s="19"/>
      <c r="O11" s="21" cm="1">
        <f t="array" aca="1" ref="O11" ca="1">INDIRECT("'data'!$Z$" &amp; $A$1)*parameters!$B$15</f>
        <v>33.32</v>
      </c>
      <c r="P11" s="27" cm="1">
        <f t="array" aca="1" ref="P11" ca="1">-INDIRECT("'data'!$AA$" &amp; $A$1)*parameters!$B$15</f>
        <v>-2189.3200000000002</v>
      </c>
      <c r="Q11" s="16">
        <f ca="1">K9*parameters!$B$10+K10*parameters!$B$11</f>
        <v>5498.59190892691</v>
      </c>
      <c r="R11" s="16">
        <f t="shared" ref="R11:R17" ca="1" si="4">SUM(L11:P11)</f>
        <v>5498.59190892691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-20.887064506390288</v>
      </c>
      <c r="E12" s="9">
        <f ca="1">-(E17-Q5)</f>
        <v>-85.584805630892447</v>
      </c>
      <c r="F12" s="9">
        <f ca="1">-(F17-Q6)</f>
        <v>0</v>
      </c>
      <c r="G12" s="9">
        <f ca="1">-(G17-Q7)</f>
        <v>-174.98888192267532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-281.46075205995805</v>
      </c>
      <c r="M12" s="17"/>
      <c r="N12" s="17"/>
      <c r="O12" s="10"/>
      <c r="P12" s="12"/>
      <c r="Q12" s="9">
        <f t="shared" ref="Q12:Q17" ca="1" si="6">SUM(L12:P12)</f>
        <v>-281.46075205995805</v>
      </c>
      <c r="R12" s="17">
        <f t="shared" ca="1" si="4"/>
        <v>-281.46075205995805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-44.599999999999909</v>
      </c>
      <c r="J13" s="14">
        <f ca="1">-(J17-Q10)</f>
        <v>-30.042978379850865</v>
      </c>
      <c r="K13" s="13">
        <f ca="1">-(K17-Q11)</f>
        <v>-626.55403168577686</v>
      </c>
      <c r="L13" s="14">
        <f t="shared" ca="1" si="5"/>
        <v>-701.19701006562764</v>
      </c>
      <c r="M13" s="16">
        <f ca="1">-E15</f>
        <v>-76.846677487939928</v>
      </c>
      <c r="N13" s="16"/>
      <c r="O13" s="11"/>
      <c r="P13" s="13"/>
      <c r="Q13" s="14">
        <f t="shared" ca="1" si="6"/>
        <v>-778.04368755356757</v>
      </c>
      <c r="R13" s="16">
        <f t="shared" ca="1" si="4"/>
        <v>-778.04368755356757</v>
      </c>
    </row>
    <row r="14" spans="1:22">
      <c r="A14" s="18" t="s">
        <v>78</v>
      </c>
      <c r="B14" s="11"/>
      <c r="C14" s="14"/>
      <c r="D14" s="14"/>
      <c r="E14" s="14">
        <f ca="1">-(I13+J13)-K13</f>
        <v>701.19701006562764</v>
      </c>
      <c r="F14" s="14"/>
      <c r="G14" s="14"/>
      <c r="H14" s="14"/>
      <c r="I14" s="14"/>
      <c r="J14" s="14"/>
      <c r="K14" s="13"/>
      <c r="L14" s="14">
        <f t="shared" ca="1" si="5"/>
        <v>701.19701006562764</v>
      </c>
      <c r="M14" s="16"/>
      <c r="N14" s="16"/>
      <c r="O14" s="11"/>
      <c r="P14" s="13"/>
      <c r="Q14" s="14">
        <f t="shared" ca="1" si="6"/>
        <v>701.19701006562764</v>
      </c>
      <c r="R14" s="16">
        <f t="shared" ca="1" si="4"/>
        <v>701.19701006562764</v>
      </c>
    </row>
    <row r="15" spans="1:22">
      <c r="A15" s="18" t="s">
        <v>79</v>
      </c>
      <c r="B15" s="11"/>
      <c r="C15" s="14"/>
      <c r="D15" s="14"/>
      <c r="E15" s="14">
        <f ca="1">E17-E14</f>
        <v>76.846677487939928</v>
      </c>
      <c r="F15" s="14"/>
      <c r="G15" s="14"/>
      <c r="H15" s="14"/>
      <c r="I15" s="14"/>
      <c r="J15" s="14"/>
      <c r="K15" s="13"/>
      <c r="L15" s="14">
        <f t="shared" ca="1" si="5"/>
        <v>76.846677487939928</v>
      </c>
      <c r="M15" s="16"/>
      <c r="N15" s="16"/>
      <c r="O15" s="11"/>
      <c r="P15" s="13"/>
      <c r="Q15" s="14">
        <f t="shared" ca="1" si="6"/>
        <v>76.846677487939928</v>
      </c>
      <c r="R15" s="16">
        <f t="shared" ca="1" si="4"/>
        <v>76.846677487939928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3315.4070645063903</v>
      </c>
      <c r="E17" s="9">
        <f ca="1">$Q$5/parameters!$B$4</f>
        <v>778.04368755356757</v>
      </c>
      <c r="F17" s="9">
        <f t="shared" ref="F17:K17" ca="1" si="7">SUM(F$2:F$11)</f>
        <v>0</v>
      </c>
      <c r="G17" s="9">
        <f t="shared" ca="1" si="7"/>
        <v>4069.5088819226753</v>
      </c>
      <c r="H17" s="9">
        <f t="shared" ca="1" si="7"/>
        <v>3894.52</v>
      </c>
      <c r="I17" s="9">
        <f t="shared" ca="1" si="7"/>
        <v>2230</v>
      </c>
      <c r="J17" s="9">
        <f t="shared" ca="1" si="7"/>
        <v>1502.1489189925373</v>
      </c>
      <c r="K17" s="9">
        <f t="shared" ca="1" si="7"/>
        <v>6125.1459406126869</v>
      </c>
      <c r="L17" s="17">
        <f t="shared" ca="1" si="5"/>
        <v>21914.774493587858</v>
      </c>
      <c r="M17" s="17"/>
      <c r="N17" s="17"/>
      <c r="O17" s="9"/>
      <c r="P17" s="14"/>
      <c r="Q17" s="11">
        <f t="shared" ca="1" si="6"/>
        <v>21914.774493587858</v>
      </c>
      <c r="R17" s="17">
        <f t="shared" ca="1" si="4"/>
        <v>21914.774493587858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0.89770790153236679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5275.148435141391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5275.148435141391</v>
      </c>
      <c r="M2" s="17"/>
      <c r="N2" s="17">
        <f ca="1">Q2-(L2+O2+P2)</f>
        <v>0</v>
      </c>
      <c r="O2" s="11" cm="1">
        <f t="array" aca="1" ref="O2" ca="1">INDIRECT("'data'!$F$" &amp; $A$1)</f>
        <v>1.3</v>
      </c>
      <c r="P2" s="13">
        <f ca="1">IF(-(L2-Q2+O2)&lt;0, -(L2-Q2+O2), 0)</f>
        <v>-4607.0104351413911</v>
      </c>
      <c r="Q2" s="17" cm="1">
        <f t="array" aca="1" ref="Q2" ca="1">INDIRECT("'data'!$D$" &amp; $A$1)</f>
        <v>669.43799999999999</v>
      </c>
      <c r="R2" s="17">
        <f ca="1">SUM(L2:P2)</f>
        <v>669.4380000000001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5218.6462686567165</v>
      </c>
      <c r="G3" s="14">
        <f ca="1">Q3-O3-P3-F3</f>
        <v>55.398731343283544</v>
      </c>
      <c r="H3" s="14"/>
      <c r="I3" s="14"/>
      <c r="J3" s="14"/>
      <c r="K3" s="13"/>
      <c r="L3" s="16">
        <f t="shared" ca="1" si="0"/>
        <v>5274.0450000000001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-37.799999999999997</v>
      </c>
      <c r="Q3" s="16" cm="1">
        <f t="array" aca="1" ref="Q3" ca="1">INDIRECT("'data'!$G$" &amp; $A$1)*parameters!$B$13</f>
        <v>5241.915</v>
      </c>
      <c r="R3" s="16">
        <f t="shared" ref="R3:R10" ca="1" si="2">SUM(L3:P3)</f>
        <v>5241.915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1.84</v>
      </c>
      <c r="H4" s="14"/>
      <c r="I4" s="14"/>
      <c r="J4" s="14"/>
      <c r="K4" s="13"/>
      <c r="L4" s="16">
        <f t="shared" ca="1" si="0"/>
        <v>1.84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Q6/parameters!$B$5*23%</f>
        <v>1558.8164179104479</v>
      </c>
      <c r="G5" s="14">
        <f ca="1">Q7/parameters!$B$7-(G3+G4)</f>
        <v>601.21476917918244</v>
      </c>
      <c r="H5" s="14"/>
      <c r="I5" s="14"/>
      <c r="J5" s="14"/>
      <c r="K5" s="13"/>
      <c r="L5" s="16">
        <f t="shared" ca="1" si="0"/>
        <v>2160.0311870896303</v>
      </c>
      <c r="M5" s="16"/>
      <c r="N5" s="16"/>
      <c r="O5" s="11" cm="1">
        <f t="array" aca="1" ref="O5" ca="1">INDIRECT("'data'!$M$" &amp; $A$1)*parameters!$B$15</f>
        <v>1125.04</v>
      </c>
      <c r="P5" s="13" cm="1">
        <f t="array" aca="1" ref="P5" ca="1">-INDIRECT("'data'!$N$" &amp; $A$1)*parameters!$B$15</f>
        <v>-1076.04</v>
      </c>
      <c r="Q5" s="16">
        <f ca="1">SUM(L5:P5)</f>
        <v>2209.0311870896303</v>
      </c>
      <c r="R5" s="16">
        <f t="shared" ca="1" si="2"/>
        <v>2209.0311870896303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6357.26</v>
      </c>
      <c r="I6" s="14"/>
      <c r="J6" s="14"/>
      <c r="K6" s="13"/>
      <c r="L6" s="16">
        <f t="shared" ca="1" si="0"/>
        <v>6357.26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6357.26</v>
      </c>
      <c r="R6" s="16">
        <f t="shared" ca="1" si="2"/>
        <v>6357.26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630.14</v>
      </c>
      <c r="I7" s="14"/>
      <c r="J7" s="14"/>
      <c r="K7" s="13"/>
      <c r="L7" s="16">
        <f t="shared" ca="1" si="0"/>
        <v>630.14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630.14</v>
      </c>
      <c r="R7" s="16">
        <f t="shared" ca="1" si="2"/>
        <v>630.14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1771.9416305845803</v>
      </c>
      <c r="J8" s="14">
        <f ca="1">Q10/J18</f>
        <v>5047.8783694154208</v>
      </c>
      <c r="K8" s="13"/>
      <c r="L8" s="16">
        <f t="shared" ca="1" si="0"/>
        <v>6819.8200000000015</v>
      </c>
      <c r="M8" s="16"/>
      <c r="N8" s="16">
        <f t="shared" ca="1" si="3"/>
        <v>0</v>
      </c>
      <c r="O8" s="11" cm="1">
        <f t="array" aca="1" ref="O8" ca="1">INDIRECT("'data'!$R$" &amp; $A$1)*parameters!$B$15</f>
        <v>299.88</v>
      </c>
      <c r="P8" s="13" cm="1">
        <f t="array" aca="1" ref="P8" ca="1">-INDIRECT("'data'!$S$" &amp; $A$1)*parameters!$B$15</f>
        <v>-132.30000000000001</v>
      </c>
      <c r="Q8" s="16">
        <f ca="1">SUM(Q6:Q7)</f>
        <v>6987.4000000000005</v>
      </c>
      <c r="R8" s="16">
        <f t="shared" ca="1" si="2"/>
        <v>6987.4000000000015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1666</v>
      </c>
      <c r="L9" s="16">
        <f t="shared" ca="1" si="0"/>
        <v>1666</v>
      </c>
      <c r="M9" s="16"/>
      <c r="N9" s="16">
        <f t="shared" ca="1" si="3"/>
        <v>0</v>
      </c>
      <c r="O9" s="11" cm="1">
        <f t="array" aca="1" ref="O9" ca="1">INDIRECT("'data'!$U$" &amp; $A$1)*parameters!$B$15</f>
        <v>1229.9000000000001</v>
      </c>
      <c r="P9" s="13" cm="1">
        <f t="array" aca="1" ref="P9" ca="1">-INDIRECT("'data'!$V$" &amp; $A$1)*parameters!$B$15</f>
        <v>-1276.94</v>
      </c>
      <c r="Q9" s="16" cm="1">
        <f t="array" aca="1" ref="Q9" ca="1">INDIRECT("'data'!$T$" &amp; $A$1)*parameters!$B$15</f>
        <v>1618.96</v>
      </c>
      <c r="R9" s="16">
        <f t="shared" ca="1" si="2"/>
        <v>1618.96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2600.1267994310097</v>
      </c>
      <c r="L10" s="16">
        <f t="shared" ca="1" si="0"/>
        <v>2600.1267994310097</v>
      </c>
      <c r="M10" s="16"/>
      <c r="N10" s="16">
        <f t="shared" ca="1" si="3"/>
        <v>0</v>
      </c>
      <c r="O10" s="11" cm="1">
        <f t="array" aca="1" ref="O10" ca="1">INDIRECT("'data'!$X$" &amp; $A$1)*parameters!$B$15</f>
        <v>3915.1</v>
      </c>
      <c r="P10" s="13" cm="1">
        <f t="array" aca="1" ref="P10" ca="1">-INDIRECT("'data'!$Y$" &amp; $A$1)*parameters!$B$15</f>
        <v>-1903.1599999999999</v>
      </c>
      <c r="Q10" s="16" cm="1">
        <f t="array" aca="1" ref="Q10" ca="1">INDIRECT("'data'!$W$" &amp; $A$1)*parameters!$B$15</f>
        <v>4612.0667994310097</v>
      </c>
      <c r="R10" s="16">
        <f t="shared" ca="1" si="2"/>
        <v>4612.0667994310097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3763.9290475106682</v>
      </c>
      <c r="N11" s="19"/>
      <c r="O11" s="21" cm="1">
        <f t="array" aca="1" ref="O11" ca="1">INDIRECT("'data'!$Z$" &amp; $A$1)*parameters!$B$15</f>
        <v>3438.82</v>
      </c>
      <c r="P11" s="27" cm="1">
        <f t="array" aca="1" ref="P11" ca="1">-INDIRECT("'data'!$AA$" &amp; $A$1)*parameters!$B$15</f>
        <v>-3400.6</v>
      </c>
      <c r="Q11" s="16">
        <f ca="1">K9*parameters!$B$10+K10*parameters!$B$11</f>
        <v>3802.1490475106684</v>
      </c>
      <c r="R11" s="16">
        <f t="shared" ref="R11:R17" ca="1" si="4">SUM(L11:P11)</f>
        <v>3802.149047510668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-33.233435141391055</v>
      </c>
      <c r="D12" s="9">
        <f ca="1">-(D17-Q4)</f>
        <v>0</v>
      </c>
      <c r="E12" s="9">
        <f ca="1">-(E17-Q5)</f>
        <v>-273.02632649422412</v>
      </c>
      <c r="F12" s="9">
        <f ca="1">-(F17-Q6)</f>
        <v>-420.20268656716416</v>
      </c>
      <c r="G12" s="9">
        <f ca="1">-(G17-Q7)</f>
        <v>-28.313500522466029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-754.77594872524537</v>
      </c>
      <c r="M12" s="17"/>
      <c r="N12" s="17"/>
      <c r="O12" s="10"/>
      <c r="P12" s="12"/>
      <c r="Q12" s="9">
        <f t="shared" ref="Q12:Q17" ca="1" si="6">SUM(L12:P12)</f>
        <v>-754.77594872524537</v>
      </c>
      <c r="R12" s="17">
        <f t="shared" ca="1" si="4"/>
        <v>-754.77594872524537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-152.98163058458022</v>
      </c>
      <c r="J13" s="14">
        <f ca="1">-(J17-Q10)</f>
        <v>-435.81156998441111</v>
      </c>
      <c r="K13" s="13">
        <f ca="1">-(K17-Q11)</f>
        <v>-463.97775192034078</v>
      </c>
      <c r="L13" s="14">
        <f t="shared" ca="1" si="5"/>
        <v>-1052.7709524893321</v>
      </c>
      <c r="M13" s="16">
        <f ca="1">-E15</f>
        <v>-1429.2865610945223</v>
      </c>
      <c r="N13" s="16"/>
      <c r="O13" s="11"/>
      <c r="P13" s="13"/>
      <c r="Q13" s="14">
        <f t="shared" ca="1" si="6"/>
        <v>-2482.0575135838544</v>
      </c>
      <c r="R13" s="16">
        <f t="shared" ca="1" si="4"/>
        <v>-2482.0575135838544</v>
      </c>
    </row>
    <row r="14" spans="1:20">
      <c r="A14" s="18" t="s">
        <v>78</v>
      </c>
      <c r="B14" s="11"/>
      <c r="C14" s="14"/>
      <c r="D14" s="14"/>
      <c r="E14" s="14">
        <f ca="1">-(I13+J13)-K13</f>
        <v>1052.7709524893321</v>
      </c>
      <c r="F14" s="14"/>
      <c r="G14" s="14"/>
      <c r="H14" s="14"/>
      <c r="I14" s="14"/>
      <c r="J14" s="14"/>
      <c r="K14" s="13"/>
      <c r="L14" s="14">
        <f t="shared" ca="1" si="5"/>
        <v>1052.7709524893321</v>
      </c>
      <c r="M14" s="16"/>
      <c r="N14" s="16"/>
      <c r="O14" s="11"/>
      <c r="P14" s="13"/>
      <c r="Q14" s="14">
        <f t="shared" ca="1" si="6"/>
        <v>1052.7709524893321</v>
      </c>
      <c r="R14" s="16">
        <f t="shared" ca="1" si="4"/>
        <v>1052.7709524893321</v>
      </c>
    </row>
    <row r="15" spans="1:20">
      <c r="A15" s="18" t="s">
        <v>79</v>
      </c>
      <c r="B15" s="11"/>
      <c r="C15" s="14"/>
      <c r="D15" s="14"/>
      <c r="E15" s="14">
        <f ca="1">E17-E14</f>
        <v>1429.2865610945223</v>
      </c>
      <c r="F15" s="14"/>
      <c r="G15" s="14"/>
      <c r="H15" s="14"/>
      <c r="I15" s="14"/>
      <c r="J15" s="14"/>
      <c r="K15" s="13"/>
      <c r="L15" s="14">
        <f t="shared" ca="1" si="5"/>
        <v>1429.2865610945223</v>
      </c>
      <c r="M15" s="16"/>
      <c r="N15" s="16"/>
      <c r="O15" s="11"/>
      <c r="P15" s="13"/>
      <c r="Q15" s="14">
        <f t="shared" ca="1" si="6"/>
        <v>1429.2865610945223</v>
      </c>
      <c r="R15" s="16">
        <f t="shared" ca="1" si="4"/>
        <v>1429.2865610945223</v>
      </c>
    </row>
    <row r="16" spans="1:20">
      <c r="A16" s="30" t="s">
        <v>89</v>
      </c>
      <c r="B16" s="21">
        <f ca="1">Q2</f>
        <v>669.43799999999999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669.43799999999999</v>
      </c>
      <c r="M16" s="19"/>
      <c r="N16" s="19"/>
      <c r="O16" s="21"/>
      <c r="P16" s="27"/>
      <c r="Q16" s="22">
        <f t="shared" ca="1" si="6"/>
        <v>669.43799999999999</v>
      </c>
      <c r="R16" s="19">
        <f t="shared" ca="1" si="4"/>
        <v>669.43799999999999</v>
      </c>
    </row>
    <row r="17" spans="1:18">
      <c r="A17" s="29" t="s">
        <v>88</v>
      </c>
      <c r="B17" s="9">
        <f ca="1">B16</f>
        <v>669.43799999999999</v>
      </c>
      <c r="C17" s="9">
        <f ca="1">SUM(C$2:C$11)</f>
        <v>5275.148435141391</v>
      </c>
      <c r="D17" s="9">
        <f ca="1">SUM(D$2:D$11)</f>
        <v>0</v>
      </c>
      <c r="E17" s="9">
        <f ca="1">$Q$5/parameters!$B$4</f>
        <v>2482.0575135838544</v>
      </c>
      <c r="F17" s="9">
        <f t="shared" ref="F17:K17" ca="1" si="7">SUM(F$2:F$11)</f>
        <v>6777.4626865671644</v>
      </c>
      <c r="G17" s="9">
        <f t="shared" ca="1" si="7"/>
        <v>658.45350052246602</v>
      </c>
      <c r="H17" s="9">
        <f t="shared" ca="1" si="7"/>
        <v>6987.4000000000005</v>
      </c>
      <c r="I17" s="9">
        <f t="shared" ca="1" si="7"/>
        <v>1771.9416305845803</v>
      </c>
      <c r="J17" s="9">
        <f t="shared" ca="1" si="7"/>
        <v>5047.8783694154208</v>
      </c>
      <c r="K17" s="9">
        <f t="shared" ca="1" si="7"/>
        <v>4266.1267994310092</v>
      </c>
      <c r="L17" s="17">
        <f t="shared" ca="1" si="5"/>
        <v>33935.90693524589</v>
      </c>
      <c r="M17" s="17"/>
      <c r="N17" s="17"/>
      <c r="O17" s="9"/>
      <c r="P17" s="14"/>
      <c r="Q17" s="11">
        <f t="shared" ca="1" si="6"/>
        <v>33935.90693524589</v>
      </c>
      <c r="R17" s="17">
        <f t="shared" ca="1" si="4"/>
        <v>33935.90693524589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0.93800000000000006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0.91366440748157707</v>
      </c>
      <c r="J18" s="39">
        <f ca="1">I18</f>
        <v>0.91366440748157707</v>
      </c>
      <c r="K18" s="40">
        <f ca="1">1-(-K13)/K17</f>
        <v>0.89124145302426938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7147.6501962362881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7147.6501962362881</v>
      </c>
      <c r="M2" s="17"/>
      <c r="N2" s="17">
        <f ca="1">Q2-(L2+O2+P2)</f>
        <v>0</v>
      </c>
      <c r="O2" s="11" cm="1">
        <f t="array" aca="1" ref="O2" ca="1">INDIRECT("'data'!$F$" &amp; $A$1)</f>
        <v>27.95</v>
      </c>
      <c r="P2" s="13">
        <f ca="1">IF(-(L2-Q2+O2)&lt;0, -(L2-Q2+O2), 0)</f>
        <v>-7175.600196236288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6830.3283582089553</v>
      </c>
      <c r="G3" s="14">
        <f ca="1">Q3-O3-P3-F3</f>
        <v>582.25164179104468</v>
      </c>
      <c r="H3" s="14"/>
      <c r="I3" s="14"/>
      <c r="J3" s="14"/>
      <c r="K3" s="13"/>
      <c r="L3" s="16">
        <f t="shared" ca="1" si="0"/>
        <v>7412.58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211.67999999999998</v>
      </c>
      <c r="P3" s="13" cm="1">
        <f t="array" aca="1" ref="P3" ca="1">-INDIRECT("'data'!$I$" &amp; $A$1)*parameters!$B$13</f>
        <v>-521.64</v>
      </c>
      <c r="Q3" s="16" cm="1">
        <f t="array" aca="1" ref="Q3" ca="1">INDIRECT("'data'!$G$" &amp; $A$1)*parameters!$B$13</f>
        <v>7102.62</v>
      </c>
      <c r="R3" s="16">
        <f t="shared" ref="R3:R10" ca="1" si="2">SUM(L3:P3)</f>
        <v>7102.62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67.16</v>
      </c>
      <c r="H4" s="14"/>
      <c r="I4" s="14"/>
      <c r="J4" s="14"/>
      <c r="K4" s="13"/>
      <c r="L4" s="16">
        <f t="shared" ca="1" si="0"/>
        <v>67.16</v>
      </c>
      <c r="M4" s="16"/>
      <c r="N4" s="16">
        <f t="shared" ca="1" si="1"/>
        <v>0</v>
      </c>
      <c r="O4" s="11" cm="1">
        <f t="array" aca="1" ref="O4" ca="1">INDIRECT("'data'!$K$" &amp; $A$1)*parameters!$B$14</f>
        <v>11.040000000000001</v>
      </c>
      <c r="P4" s="13" cm="1">
        <f t="array" aca="1" ref="P4" ca="1">-INDIRECT("'data'!$L$" &amp; $A$1)*parameters!$B$14</f>
        <v>-78.2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1707.582089552239</v>
      </c>
      <c r="G5" s="14">
        <f ca="1">Q7/parameters!$B$7-(G3+G4)</f>
        <v>2891.6959862131357</v>
      </c>
      <c r="H5" s="14"/>
      <c r="I5" s="14"/>
      <c r="J5" s="14"/>
      <c r="K5" s="13"/>
      <c r="L5" s="16">
        <f t="shared" ca="1" si="0"/>
        <v>4599.2780757653745</v>
      </c>
      <c r="M5" s="16"/>
      <c r="N5" s="16"/>
      <c r="O5" s="11" cm="1">
        <f t="array" aca="1" ref="O5" ca="1">INDIRECT("'data'!$M$" &amp; $A$1)*parameters!$B$15</f>
        <v>2934.12</v>
      </c>
      <c r="P5" s="13" cm="1">
        <f t="array" aca="1" ref="P5" ca="1">-INDIRECT("'data'!$N$" &amp; $A$1)*parameters!$B$15</f>
        <v>-4399.22</v>
      </c>
      <c r="Q5" s="16">
        <f ca="1">SUM(L5:P5)</f>
        <v>3134.1780757653742</v>
      </c>
      <c r="R5" s="16">
        <f t="shared" ca="1" si="2"/>
        <v>3134.1780757653742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8008.5599999999995</v>
      </c>
      <c r="I6" s="14"/>
      <c r="J6" s="14"/>
      <c r="K6" s="13"/>
      <c r="L6" s="16">
        <f t="shared" ca="1" si="0"/>
        <v>8008.5599999999995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8008.5599999999995</v>
      </c>
      <c r="R6" s="16">
        <f t="shared" ca="1" si="2"/>
        <v>8008.5599999999995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3388.84</v>
      </c>
      <c r="I7" s="14"/>
      <c r="J7" s="14"/>
      <c r="K7" s="13"/>
      <c r="L7" s="16">
        <f t="shared" ca="1" si="0"/>
        <v>3388.84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3388.84</v>
      </c>
      <c r="R7" s="16">
        <f t="shared" ca="1" si="2"/>
        <v>3388.84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1351.0122508927222</v>
      </c>
      <c r="J8" s="14">
        <f ca="1">Q10/J18</f>
        <v>11980.907749107279</v>
      </c>
      <c r="K8" s="13"/>
      <c r="L8" s="16">
        <f t="shared" ca="1" si="0"/>
        <v>13331.92</v>
      </c>
      <c r="M8" s="16"/>
      <c r="N8" s="16">
        <f t="shared" ca="1" si="3"/>
        <v>0</v>
      </c>
      <c r="O8" s="11" cm="1">
        <f t="array" aca="1" ref="O8" ca="1">INDIRECT("'data'!$R$" &amp; $A$1)*parameters!$B$15</f>
        <v>839.86</v>
      </c>
      <c r="P8" s="13" cm="1">
        <f t="array" aca="1" ref="P8" ca="1">-INDIRECT("'data'!$S$" &amp; $A$1)*parameters!$B$15</f>
        <v>-2774.38</v>
      </c>
      <c r="Q8" s="16">
        <f ca="1">SUM(Q6:Q7)</f>
        <v>11397.4</v>
      </c>
      <c r="R8" s="16">
        <f t="shared" ca="1" si="2"/>
        <v>11397.400000000001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1290.6600000000001</v>
      </c>
      <c r="L9" s="16">
        <f t="shared" ca="1" si="0"/>
        <v>1290.6600000000001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2219.6999999999998</v>
      </c>
      <c r="P9" s="13" cm="1">
        <f t="array" aca="1" ref="P9" ca="1">-INDIRECT("'data'!$V$" &amp; $A$1)*parameters!$B$15</f>
        <v>-2275.56</v>
      </c>
      <c r="Q9" s="16" cm="1">
        <f t="array" aca="1" ref="Q9" ca="1">INDIRECT("'data'!$T$" &amp; $A$1)*parameters!$B$15</f>
        <v>1234.8</v>
      </c>
      <c r="R9" s="16">
        <f t="shared" ca="1" si="2"/>
        <v>1234.7999999999997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3384.7262304409669</v>
      </c>
      <c r="L10" s="16">
        <f t="shared" ca="1" si="0"/>
        <v>3384.7262304409669</v>
      </c>
      <c r="M10" s="16"/>
      <c r="N10" s="16">
        <f t="shared" ca="1" si="3"/>
        <v>0</v>
      </c>
      <c r="O10" s="11" cm="1">
        <f t="array" aca="1" ref="O10" ca="1">INDIRECT("'data'!$X$" &amp; $A$1)*parameters!$B$15</f>
        <v>16102.38</v>
      </c>
      <c r="P10" s="13" cm="1">
        <f t="array" aca="1" ref="P10" ca="1">-INDIRECT("'data'!$Y$" &amp; $A$1)*parameters!$B$15</f>
        <v>-8536.7800000000007</v>
      </c>
      <c r="Q10" s="16" cm="1">
        <f t="array" aca="1" ref="Q10" ca="1">INDIRECT("'data'!$W$" &amp; $A$1)*parameters!$B$15</f>
        <v>10950.326230440965</v>
      </c>
      <c r="R10" s="16">
        <f t="shared" ca="1" si="2"/>
        <v>10950.326230440964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4411.2249581792321</v>
      </c>
      <c r="N11" s="19"/>
      <c r="O11" s="21" cm="1">
        <f t="array" aca="1" ref="O11" ca="1">INDIRECT("'data'!$Z$" &amp; $A$1)*parameters!$B$15</f>
        <v>7021.7</v>
      </c>
      <c r="P11" s="27" cm="1">
        <f t="array" aca="1" ref="P11" ca="1">-INDIRECT("'data'!$AA$" &amp; $A$1)*parameters!$B$15</f>
        <v>-7308.84</v>
      </c>
      <c r="Q11" s="16">
        <f ca="1">K9*parameters!$B$10+K10*parameters!$B$11</f>
        <v>4124.0849581792318</v>
      </c>
      <c r="R11" s="16">
        <f t="shared" ref="R11:R17" ca="1" si="4">SUM(L11:P11)</f>
        <v>4124.0849581792318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-45.030196236288248</v>
      </c>
      <c r="D12" s="9">
        <f ca="1">-(D17-Q4)</f>
        <v>0</v>
      </c>
      <c r="E12" s="9">
        <f ca="1">-(E17-Q5)</f>
        <v>-387.3703239710012</v>
      </c>
      <c r="F12" s="9">
        <f ca="1">-(F17-Q6)</f>
        <v>-529.35044776119503</v>
      </c>
      <c r="G12" s="9">
        <f ca="1">-(G17-Q7)</f>
        <v>-152.2676280041801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-1114.0185959726646</v>
      </c>
      <c r="M12" s="17"/>
      <c r="N12" s="17"/>
      <c r="O12" s="10"/>
      <c r="P12" s="12"/>
      <c r="Q12" s="9">
        <f t="shared" ref="Q12:Q17" ca="1" si="6">SUM(L12:P12)</f>
        <v>-1114.0185959726646</v>
      </c>
      <c r="R12" s="17">
        <f t="shared" ca="1" si="4"/>
        <v>-1114.0185959726646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-116.2122508927223</v>
      </c>
      <c r="J13" s="14">
        <f ca="1">-(J17-Q10)</f>
        <v>-1030.5815186663131</v>
      </c>
      <c r="K13" s="13">
        <f ca="1">-(K17-Q11)</f>
        <v>-551.30127226173499</v>
      </c>
      <c r="L13" s="14">
        <f t="shared" ca="1" si="5"/>
        <v>-1698.0950418207703</v>
      </c>
      <c r="M13" s="16">
        <f ca="1">-E15</f>
        <v>-1823.453357915605</v>
      </c>
      <c r="N13" s="16"/>
      <c r="O13" s="11"/>
      <c r="P13" s="13"/>
      <c r="Q13" s="14">
        <f t="shared" ca="1" si="6"/>
        <v>-3521.5483997363754</v>
      </c>
      <c r="R13" s="16">
        <f t="shared" ca="1" si="4"/>
        <v>-3521.5483997363754</v>
      </c>
    </row>
    <row r="14" spans="1:20">
      <c r="A14" s="18" t="s">
        <v>78</v>
      </c>
      <c r="B14" s="11"/>
      <c r="C14" s="14"/>
      <c r="D14" s="14"/>
      <c r="E14" s="14">
        <f ca="1">-(I13+J13)-K13</f>
        <v>1698.0950418207703</v>
      </c>
      <c r="F14" s="14"/>
      <c r="G14" s="14"/>
      <c r="H14" s="14"/>
      <c r="I14" s="14"/>
      <c r="J14" s="14"/>
      <c r="K14" s="13"/>
      <c r="L14" s="14">
        <f t="shared" ca="1" si="5"/>
        <v>1698.0950418207703</v>
      </c>
      <c r="M14" s="16"/>
      <c r="N14" s="16"/>
      <c r="O14" s="11"/>
      <c r="P14" s="13"/>
      <c r="Q14" s="14">
        <f t="shared" ca="1" si="6"/>
        <v>1698.0950418207703</v>
      </c>
      <c r="R14" s="16">
        <f t="shared" ca="1" si="4"/>
        <v>1698.0950418207703</v>
      </c>
    </row>
    <row r="15" spans="1:20">
      <c r="A15" s="18" t="s">
        <v>79</v>
      </c>
      <c r="B15" s="11"/>
      <c r="C15" s="14"/>
      <c r="D15" s="14"/>
      <c r="E15" s="14">
        <f ca="1">E17-E14</f>
        <v>1823.453357915605</v>
      </c>
      <c r="F15" s="14"/>
      <c r="G15" s="14"/>
      <c r="H15" s="14"/>
      <c r="I15" s="14"/>
      <c r="J15" s="14"/>
      <c r="K15" s="13"/>
      <c r="L15" s="14">
        <f t="shared" ca="1" si="5"/>
        <v>1823.453357915605</v>
      </c>
      <c r="M15" s="16"/>
      <c r="N15" s="16"/>
      <c r="O15" s="11"/>
      <c r="P15" s="13"/>
      <c r="Q15" s="14">
        <f t="shared" ca="1" si="6"/>
        <v>1823.453357915605</v>
      </c>
      <c r="R15" s="16">
        <f t="shared" ca="1" si="4"/>
        <v>1823.453357915605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7147.6501962362881</v>
      </c>
      <c r="D17" s="9">
        <f ca="1">SUM(D$2:D$11)</f>
        <v>0</v>
      </c>
      <c r="E17" s="9">
        <f ca="1">$Q$5/parameters!$B$4</f>
        <v>3521.5483997363754</v>
      </c>
      <c r="F17" s="9">
        <f t="shared" ref="F17:K17" ca="1" si="7">SUM(F$2:F$11)</f>
        <v>8537.9104477611945</v>
      </c>
      <c r="G17" s="9">
        <f t="shared" ca="1" si="7"/>
        <v>3541.1076280041802</v>
      </c>
      <c r="H17" s="9">
        <f t="shared" ca="1" si="7"/>
        <v>11397.4</v>
      </c>
      <c r="I17" s="9">
        <f t="shared" ca="1" si="7"/>
        <v>1351.0122508927222</v>
      </c>
      <c r="J17" s="9">
        <f t="shared" ca="1" si="7"/>
        <v>11980.907749107279</v>
      </c>
      <c r="K17" s="9">
        <f t="shared" ca="1" si="7"/>
        <v>4675.3862304409668</v>
      </c>
      <c r="L17" s="17">
        <f t="shared" ca="1" si="5"/>
        <v>52152.922902179009</v>
      </c>
      <c r="M17" s="17"/>
      <c r="N17" s="17"/>
      <c r="O17" s="9"/>
      <c r="P17" s="14"/>
      <c r="Q17" s="11">
        <f t="shared" ca="1" si="6"/>
        <v>52152.922902179009</v>
      </c>
      <c r="R17" s="17">
        <f t="shared" ca="1" si="4"/>
        <v>52152.922902179009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0.91398134930609887</v>
      </c>
      <c r="J18" s="39">
        <f ca="1">I18</f>
        <v>0.91398134930609887</v>
      </c>
      <c r="K18" s="40">
        <f ca="1">1-(-K13)/K17</f>
        <v>0.88208433590528457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10171.802354835463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10171.802354835463</v>
      </c>
      <c r="M2" s="17"/>
      <c r="N2" s="17">
        <f ca="1">Q2-(L2+O2+P2)</f>
        <v>0</v>
      </c>
      <c r="O2" s="11" cm="1">
        <f t="array" aca="1" ref="O2" ca="1">INDIRECT("'data'!$F$" &amp; $A$1)</f>
        <v>3.25</v>
      </c>
      <c r="P2" s="13">
        <f ca="1">IF(-(L2-Q2+O2)&lt;0, -(L2-Q2+O2), 0)</f>
        <v>-10175.052354835463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9831.8865671641815</v>
      </c>
      <c r="G3" s="14">
        <f ca="1">Q3-O3-P3-F3</f>
        <v>348.59843283581722</v>
      </c>
      <c r="H3" s="14"/>
      <c r="I3" s="14"/>
      <c r="J3" s="14"/>
      <c r="K3" s="13"/>
      <c r="L3" s="16">
        <f t="shared" ca="1" si="0"/>
        <v>10180.484999999999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-77.489999999999995</v>
      </c>
      <c r="Q3" s="16" cm="1">
        <f t="array" aca="1" ref="Q3" ca="1">INDIRECT("'data'!$G$" &amp; $A$1)*parameters!$B$13</f>
        <v>10107.719999999999</v>
      </c>
      <c r="R3" s="16">
        <f t="shared" ref="R3:R10" ca="1" si="2">SUM(L3:P3)</f>
        <v>10107.719999999999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Q6/parameters!$B$5*16%</f>
        <v>1872.740298507463</v>
      </c>
      <c r="G5" s="14">
        <f ca="1">Q7/parameters!$B$7-(G3+G4)</f>
        <v>2380.5547124097416</v>
      </c>
      <c r="H5" s="14"/>
      <c r="I5" s="14"/>
      <c r="J5" s="14"/>
      <c r="K5" s="13"/>
      <c r="L5" s="16">
        <f t="shared" ca="1" si="0"/>
        <v>4253.2950109172043</v>
      </c>
      <c r="M5" s="16"/>
      <c r="N5" s="16"/>
      <c r="O5" s="11" cm="1">
        <f t="array" aca="1" ref="O5" ca="1">INDIRECT("'data'!$M$" &amp; $A$1)*parameters!$B$15</f>
        <v>7277.48</v>
      </c>
      <c r="P5" s="13" cm="1">
        <f t="array" aca="1" ref="P5" ca="1">-INDIRECT("'data'!$N$" &amp; $A$1)*parameters!$B$15</f>
        <v>-157.78</v>
      </c>
      <c r="Q5" s="16">
        <f ca="1">SUM(L5:P5)</f>
        <v>11372.995010917204</v>
      </c>
      <c r="R5" s="16">
        <f t="shared" ca="1" si="2"/>
        <v>11372.995010917204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10978.94</v>
      </c>
      <c r="I6" s="14"/>
      <c r="J6" s="14"/>
      <c r="K6" s="13"/>
      <c r="L6" s="16">
        <f t="shared" ca="1" si="0"/>
        <v>10978.94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10978.94</v>
      </c>
      <c r="R6" s="16">
        <f t="shared" ca="1" si="2"/>
        <v>10978.94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2612.6799999999998</v>
      </c>
      <c r="I7" s="14"/>
      <c r="J7" s="14"/>
      <c r="K7" s="13"/>
      <c r="L7" s="16">
        <f t="shared" ca="1" si="0"/>
        <v>2612.6799999999998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2612.6799999999998</v>
      </c>
      <c r="R7" s="16">
        <f t="shared" ca="1" si="2"/>
        <v>2612.6799999999998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5214.6031487826704</v>
      </c>
      <c r="J8" s="14">
        <f ca="1">Q10/J18</f>
        <v>6791.3768512173283</v>
      </c>
      <c r="K8" s="13"/>
      <c r="L8" s="16">
        <f t="shared" ca="1" si="0"/>
        <v>12005.98</v>
      </c>
      <c r="M8" s="16"/>
      <c r="N8" s="16">
        <f t="shared" ca="1" si="3"/>
        <v>0</v>
      </c>
      <c r="O8" s="11" cm="1">
        <f t="array" aca="1" ref="O8" ca="1">INDIRECT("'data'!$R$" &amp; $A$1)*parameters!$B$15</f>
        <v>2623.46</v>
      </c>
      <c r="P8" s="13" cm="1">
        <f t="array" aca="1" ref="P8" ca="1">-INDIRECT("'data'!$S$" &amp; $A$1)*parameters!$B$15</f>
        <v>-1037.82</v>
      </c>
      <c r="Q8" s="16">
        <f ca="1">SUM(Q6:Q7)</f>
        <v>13591.62</v>
      </c>
      <c r="R8" s="16">
        <f t="shared" ca="1" si="2"/>
        <v>13591.619999999999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4334.54</v>
      </c>
      <c r="L9" s="16">
        <f t="shared" ca="1" si="0"/>
        <v>4334.54</v>
      </c>
      <c r="M9" s="16"/>
      <c r="N9" s="16">
        <f t="shared" ca="1" si="3"/>
        <v>0</v>
      </c>
      <c r="O9" s="11" cm="1">
        <f t="array" aca="1" ref="O9" ca="1">INDIRECT("'data'!$U$" &amp; $A$1)*parameters!$B$15</f>
        <v>2397.08</v>
      </c>
      <c r="P9" s="13" cm="1">
        <f t="array" aca="1" ref="P9" ca="1">-INDIRECT("'data'!$V$" &amp; $A$1)*parameters!$B$15</f>
        <v>-2227.54</v>
      </c>
      <c r="Q9" s="16" cm="1">
        <f t="array" aca="1" ref="Q9" ca="1">INDIRECT("'data'!$T$" &amp; $A$1)*parameters!$B$15</f>
        <v>4504.08</v>
      </c>
      <c r="R9" s="16">
        <f t="shared" ca="1" si="2"/>
        <v>4504.08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7576.1081650071119</v>
      </c>
      <c r="L10" s="16">
        <f t="shared" ca="1" si="0"/>
        <v>7576.1081650071119</v>
      </c>
      <c r="M10" s="16"/>
      <c r="N10" s="16">
        <f t="shared" ca="1" si="3"/>
        <v>0</v>
      </c>
      <c r="O10" s="11" cm="1">
        <f t="array" aca="1" ref="O10" ca="1">INDIRECT("'data'!$X$" &amp; $A$1)*parameters!$B$15</f>
        <v>2486.2599999999998</v>
      </c>
      <c r="P10" s="13" cm="1">
        <f t="array" aca="1" ref="P10" ca="1">-INDIRECT("'data'!$Y$" &amp; $A$1)*parameters!$B$15</f>
        <v>-4196.3599999999997</v>
      </c>
      <c r="Q10" s="16" cm="1">
        <f t="array" aca="1" ref="Q10" ca="1">INDIRECT("'data'!$W$" &amp; $A$1)*parameters!$B$15</f>
        <v>5866.0081650071124</v>
      </c>
      <c r="R10" s="16">
        <f t="shared" ca="1" si="2"/>
        <v>5866.0081650071124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15540.880621906117</v>
      </c>
      <c r="N11" s="19"/>
      <c r="O11" s="21" cm="1">
        <f t="array" aca="1" ref="O11" ca="1">INDIRECT("'data'!$Z$" &amp; $A$1)*parameters!$B$15</f>
        <v>6329.82</v>
      </c>
      <c r="P11" s="27" cm="1">
        <f t="array" aca="1" ref="P11" ca="1">-INDIRECT("'data'!$AA$" &amp; $A$1)*parameters!$B$15</f>
        <v>-11280.78</v>
      </c>
      <c r="Q11" s="16">
        <f ca="1">K9*parameters!$B$10+K10*parameters!$B$11</f>
        <v>10589.920621906116</v>
      </c>
      <c r="R11" s="16">
        <f t="shared" ref="R11:R17" ca="1" si="4">SUM(L11:P11)</f>
        <v>10589.920621906114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-64.082354835463775</v>
      </c>
      <c r="D12" s="9">
        <f ca="1">-(D17-Q4)</f>
        <v>0</v>
      </c>
      <c r="E12" s="9">
        <f ca="1">-(E17-Q5)</f>
        <v>-1405.651068765048</v>
      </c>
      <c r="F12" s="9">
        <f ca="1">-(F17-Q6)</f>
        <v>-725.68686567164332</v>
      </c>
      <c r="G12" s="9">
        <f ca="1">-(G17-Q7)</f>
        <v>-117.39314524555903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-2312.8134345177141</v>
      </c>
      <c r="M12" s="17"/>
      <c r="N12" s="17"/>
      <c r="O12" s="10"/>
      <c r="P12" s="12"/>
      <c r="Q12" s="9">
        <f t="shared" ref="Q12:Q17" ca="1" si="6">SUM(L12:P12)</f>
        <v>-2312.8134345177141</v>
      </c>
      <c r="R12" s="17">
        <f t="shared" ca="1" si="4"/>
        <v>-2312.8134345177141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-710.52314878267043</v>
      </c>
      <c r="J13" s="14">
        <f ca="1">-(J17-Q10)</f>
        <v>-925.36868621021586</v>
      </c>
      <c r="K13" s="13">
        <f ca="1">-(K17-Q11)</f>
        <v>-1320.7275431009948</v>
      </c>
      <c r="L13" s="14">
        <f t="shared" ca="1" si="5"/>
        <v>-2956.6193780938811</v>
      </c>
      <c r="M13" s="16">
        <f ca="1">-E15</f>
        <v>-9822.026701588371</v>
      </c>
      <c r="N13" s="16"/>
      <c r="O13" s="11"/>
      <c r="P13" s="13"/>
      <c r="Q13" s="14">
        <f t="shared" ca="1" si="6"/>
        <v>-12778.646079682252</v>
      </c>
      <c r="R13" s="16">
        <f t="shared" ca="1" si="4"/>
        <v>-12778.646079682252</v>
      </c>
    </row>
    <row r="14" spans="1:20">
      <c r="A14" s="18" t="s">
        <v>78</v>
      </c>
      <c r="B14" s="11"/>
      <c r="C14" s="14"/>
      <c r="D14" s="14"/>
      <c r="E14" s="14">
        <f ca="1">-(I13+J13)-K13</f>
        <v>2956.6193780938811</v>
      </c>
      <c r="F14" s="14"/>
      <c r="G14" s="14"/>
      <c r="H14" s="14"/>
      <c r="I14" s="14"/>
      <c r="J14" s="14"/>
      <c r="K14" s="13"/>
      <c r="L14" s="14">
        <f t="shared" ca="1" si="5"/>
        <v>2956.6193780938811</v>
      </c>
      <c r="M14" s="16"/>
      <c r="N14" s="16"/>
      <c r="O14" s="11"/>
      <c r="P14" s="13"/>
      <c r="Q14" s="14">
        <f t="shared" ca="1" si="6"/>
        <v>2956.6193780938811</v>
      </c>
      <c r="R14" s="16">
        <f t="shared" ca="1" si="4"/>
        <v>2956.6193780938811</v>
      </c>
    </row>
    <row r="15" spans="1:20">
      <c r="A15" s="18" t="s">
        <v>79</v>
      </c>
      <c r="B15" s="11"/>
      <c r="C15" s="14"/>
      <c r="D15" s="14"/>
      <c r="E15" s="14">
        <f ca="1">E17-E14</f>
        <v>9822.026701588371</v>
      </c>
      <c r="F15" s="14"/>
      <c r="G15" s="14"/>
      <c r="H15" s="14"/>
      <c r="I15" s="14"/>
      <c r="J15" s="14"/>
      <c r="K15" s="13"/>
      <c r="L15" s="14">
        <f t="shared" ca="1" si="5"/>
        <v>9822.026701588371</v>
      </c>
      <c r="M15" s="16"/>
      <c r="N15" s="16"/>
      <c r="O15" s="11"/>
      <c r="P15" s="13"/>
      <c r="Q15" s="14">
        <f t="shared" ca="1" si="6"/>
        <v>9822.026701588371</v>
      </c>
      <c r="R15" s="16">
        <f t="shared" ca="1" si="4"/>
        <v>9822.026701588371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10171.802354835463</v>
      </c>
      <c r="D17" s="9">
        <f ca="1">SUM(D$2:D$11)</f>
        <v>0</v>
      </c>
      <c r="E17" s="9">
        <f ca="1">$Q$5/parameters!$B$4</f>
        <v>12778.646079682252</v>
      </c>
      <c r="F17" s="9">
        <f t="shared" ref="F17:K17" ca="1" si="7">SUM(F$2:F$11)</f>
        <v>11704.626865671644</v>
      </c>
      <c r="G17" s="9">
        <f t="shared" ca="1" si="7"/>
        <v>2730.0731452455589</v>
      </c>
      <c r="H17" s="9">
        <f t="shared" ca="1" si="7"/>
        <v>13591.62</v>
      </c>
      <c r="I17" s="9">
        <f t="shared" ca="1" si="7"/>
        <v>5214.6031487826704</v>
      </c>
      <c r="J17" s="9">
        <f t="shared" ca="1" si="7"/>
        <v>6791.3768512173283</v>
      </c>
      <c r="K17" s="9">
        <f t="shared" ca="1" si="7"/>
        <v>11910.648165007111</v>
      </c>
      <c r="L17" s="17">
        <f t="shared" ca="1" si="5"/>
        <v>74893.396610442025</v>
      </c>
      <c r="M17" s="17"/>
      <c r="N17" s="17"/>
      <c r="O17" s="9"/>
      <c r="P17" s="14"/>
      <c r="Q17" s="11">
        <f t="shared" ca="1" si="6"/>
        <v>74893.396610442025</v>
      </c>
      <c r="R17" s="17">
        <f t="shared" ca="1" si="4"/>
        <v>74893.396610442025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0.86374358153246245</v>
      </c>
      <c r="J18" s="39">
        <f ca="1">I18</f>
        <v>0.86374358153246245</v>
      </c>
      <c r="K18" s="40">
        <f ca="1">1-(-K13)/K17</f>
        <v>0.88911371364480174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4771.3412209437047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4771.3412209437047</v>
      </c>
      <c r="M2" s="17"/>
      <c r="N2" s="17">
        <f ca="1">Q2-(L2+O2+P2)</f>
        <v>0</v>
      </c>
      <c r="O2" s="11" cm="1">
        <f t="array" aca="1" ref="O2" ca="1">INDIRECT("'data'!$F$" &amp; $A$1)</f>
        <v>16600.350000000002</v>
      </c>
      <c r="P2" s="13">
        <f ca="1">IF(-(L2-Q2+O2)&lt;0, -(L2-Q2+O2), 0)</f>
        <v>-21371.691220943707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4941.2477611940303</v>
      </c>
      <c r="G3" s="14">
        <f ca="1">Q3-O3-P3-F3</f>
        <v>6.9890100577295016</v>
      </c>
      <c r="H3" s="14"/>
      <c r="I3" s="14"/>
      <c r="J3" s="14"/>
      <c r="K3" s="13"/>
      <c r="L3" s="16">
        <f t="shared" ca="1" si="0"/>
        <v>4948.2367712517598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105.83999999999999</v>
      </c>
      <c r="P3" s="13" cm="1">
        <f t="array" aca="1" ref="P3" ca="1">-INDIRECT("'data'!$I$" &amp; $A$1)*parameters!$B$13</f>
        <v>-312.79499999999996</v>
      </c>
      <c r="Q3" s="16" cm="1">
        <f t="array" aca="1" ref="Q3" ca="1">INDIRECT("'data'!$G$" &amp; $A$1)*parameters!$B$13</f>
        <v>4741.2817712517599</v>
      </c>
      <c r="R3" s="16">
        <f t="shared" ref="R3:R10" ca="1" si="2">SUM(L3:P3)</f>
        <v>4741.2817712517599</v>
      </c>
    </row>
    <row r="4" spans="1:19">
      <c r="A4" s="18" t="s">
        <v>65</v>
      </c>
      <c r="B4" s="11"/>
      <c r="C4" s="14"/>
      <c r="D4" s="14"/>
      <c r="E4" s="14"/>
      <c r="F4" s="14"/>
      <c r="G4" s="49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206.08</v>
      </c>
      <c r="O4" s="11" cm="1">
        <f t="array" aca="1" ref="O4" ca="1">INDIRECT("'data'!$K$" &amp; $A$1)*parameters!$B$14</f>
        <v>20.240000000000002</v>
      </c>
      <c r="P4" s="13" cm="1">
        <f t="array" aca="1" ref="P4" ca="1">-INDIRECT("'data'!$L$" &amp; $A$1)*parameters!$B$14</f>
        <v>-226.32000000000002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108</v>
      </c>
      <c r="B5" s="11"/>
      <c r="C5" s="14"/>
      <c r="D5" s="14"/>
      <c r="E5" s="14"/>
      <c r="F5" s="14">
        <f ca="1">Q6/parameters!$B$5*24%</f>
        <v>1560.3940298507462</v>
      </c>
      <c r="G5" s="14">
        <f ca="1">Q7/parameters!$B$7-(G3+G4)</f>
        <v>146.6160056162517</v>
      </c>
      <c r="H5" s="14"/>
      <c r="I5" s="14"/>
      <c r="J5" s="14"/>
      <c r="K5" s="13"/>
      <c r="L5" s="16">
        <f t="shared" ca="1" si="0"/>
        <v>1707.0100354669978</v>
      </c>
      <c r="M5" s="16"/>
      <c r="N5" s="16"/>
      <c r="O5" s="11" cm="1">
        <f t="array" aca="1" ref="O5" ca="1">INDIRECT("'data'!$M$" &amp; $A$1)*parameters!$B$15</f>
        <v>4632.46</v>
      </c>
      <c r="P5" s="13" cm="1">
        <f t="array" aca="1" ref="P5" ca="1">-INDIRECT("'data'!$N$" &amp; $A$1)*parameters!$B$15</f>
        <v>-2283.4</v>
      </c>
      <c r="Q5" s="16">
        <f ca="1">SUM(L5:P5)</f>
        <v>4056.0700354669975</v>
      </c>
      <c r="R5" s="16">
        <f t="shared" ca="1" si="2"/>
        <v>4056.0700354669975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8"/>
      <c r="H6" s="14">
        <f ca="1">Q6</f>
        <v>6098.54</v>
      </c>
      <c r="I6" s="14"/>
      <c r="J6" s="14"/>
      <c r="K6" s="13"/>
      <c r="L6" s="16">
        <f t="shared" ca="1" si="0"/>
        <v>6098.54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6098.54</v>
      </c>
      <c r="R6" s="16">
        <f t="shared" ca="1" si="2"/>
        <v>6098.54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147</v>
      </c>
      <c r="I7" s="14"/>
      <c r="J7" s="14"/>
      <c r="K7" s="13"/>
      <c r="L7" s="16">
        <f t="shared" ca="1" si="0"/>
        <v>147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147</v>
      </c>
      <c r="R7" s="16">
        <f t="shared" ca="1" si="2"/>
        <v>147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253.85889612917424</v>
      </c>
      <c r="J8" s="14">
        <f ca="1">Q10/J18</f>
        <v>6011.281103870826</v>
      </c>
      <c r="K8" s="13"/>
      <c r="L8" s="16">
        <f t="shared" ca="1" si="0"/>
        <v>6265.14</v>
      </c>
      <c r="M8" s="16"/>
      <c r="N8" s="16">
        <f t="shared" ca="1" si="3"/>
        <v>0</v>
      </c>
      <c r="O8" s="11" cm="1">
        <f t="array" aca="1" ref="O8" ca="1">INDIRECT("'data'!$R$" &amp; $A$1)*parameters!$B$15</f>
        <v>359.65999999999997</v>
      </c>
      <c r="P8" s="13" cm="1">
        <f t="array" aca="1" ref="P8" ca="1">-INDIRECT("'data'!$S$" &amp; $A$1)*parameters!$B$15</f>
        <v>-379.26</v>
      </c>
      <c r="Q8" s="16">
        <f ca="1">SUM(Q6:Q7)</f>
        <v>6245.54</v>
      </c>
      <c r="R8" s="16">
        <f t="shared" ca="1" si="2"/>
        <v>6245.54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2031.5400000000002</v>
      </c>
      <c r="L9" s="16">
        <f t="shared" ca="1" si="0"/>
        <v>2031.5400000000002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1113.28</v>
      </c>
      <c r="P9" s="13" cm="1">
        <f t="array" aca="1" ref="P9" ca="1">-INDIRECT("'data'!$V$" &amp; $A$1)*parameters!$B$15</f>
        <v>-2897.86</v>
      </c>
      <c r="Q9" s="16" cm="1">
        <f t="array" aca="1" ref="Q9" ca="1">INDIRECT("'data'!$T$" &amp; $A$1)*parameters!$B$15</f>
        <v>246.96</v>
      </c>
      <c r="R9" s="16">
        <f t="shared" ca="1" si="2"/>
        <v>246.96000000000004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1870.0978947368417</v>
      </c>
      <c r="L10" s="16">
        <f t="shared" ca="1" si="0"/>
        <v>1870.0978947368417</v>
      </c>
      <c r="M10" s="16"/>
      <c r="N10" s="16">
        <f t="shared" ca="1" si="3"/>
        <v>0</v>
      </c>
      <c r="O10" s="11" cm="1">
        <f t="array" aca="1" ref="O10" ca="1">INDIRECT("'data'!$X$" &amp; $A$1)*parameters!$B$15</f>
        <v>7978.18</v>
      </c>
      <c r="P10" s="13" cm="1">
        <f t="array" aca="1" ref="P10" ca="1">-INDIRECT("'data'!$Y$" &amp; $A$1)*parameters!$B$15</f>
        <v>-4000.36</v>
      </c>
      <c r="Q10" s="16" cm="1">
        <f t="array" aca="1" ref="Q10" ca="1">INDIRECT("'data'!$W$" &amp; $A$1)*parameters!$B$15</f>
        <v>5847.9178947368418</v>
      </c>
      <c r="R10" s="16">
        <f t="shared" ca="1" si="2"/>
        <v>5847.9178947368418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4183.3517894736842</v>
      </c>
      <c r="N11" s="19"/>
      <c r="O11" s="21" cm="1">
        <f t="array" aca="1" ref="O11" ca="1">INDIRECT("'data'!$Z$" &amp; $A$1)*parameters!$B$15</f>
        <v>5069.54</v>
      </c>
      <c r="P11" s="27" cm="1">
        <f t="array" aca="1" ref="P11" ca="1">-INDIRECT("'data'!$AA$" &amp; $A$1)*parameters!$B$15</f>
        <v>-5734.96</v>
      </c>
      <c r="Q11" s="16">
        <f ca="1">K9*parameters!$B$10+K10*parameters!$B$11</f>
        <v>3517.9317894736841</v>
      </c>
      <c r="R11" s="16">
        <f t="shared" ref="R11:R17" ca="1" si="4">SUM(L11:P11)</f>
        <v>3517.9317894736841</v>
      </c>
    </row>
    <row r="12" spans="1:19">
      <c r="A12" s="29" t="s">
        <v>86</v>
      </c>
      <c r="B12" s="10">
        <f ca="1">-(B17-Q2)</f>
        <v>0</v>
      </c>
      <c r="C12" s="9">
        <f ca="1">-(C17-Q3)</f>
        <v>-30.059449691944792</v>
      </c>
      <c r="D12" s="9">
        <f ca="1">-(D17-Q4)</f>
        <v>0</v>
      </c>
      <c r="E12" s="9">
        <f ca="1">-(E17-Q5)</f>
        <v>-501.31202685547169</v>
      </c>
      <c r="F12" s="9">
        <f ca="1">-(F17-Q6)</f>
        <v>-403.10179104477629</v>
      </c>
      <c r="G12" s="9">
        <f ca="1">-(G17-Q7)</f>
        <v>-6.6050156739811996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-941.07828326617391</v>
      </c>
      <c r="M12" s="17"/>
      <c r="N12" s="17"/>
      <c r="O12" s="10"/>
      <c r="P12" s="12"/>
      <c r="Q12" s="9">
        <f t="shared" ref="Q12:Q17" ca="1" si="6">SUM(L12:P12)</f>
        <v>-941.07828326617391</v>
      </c>
      <c r="R12" s="17">
        <f t="shared" ca="1" si="4"/>
        <v>-941.07828326617391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-6.8988961291742328</v>
      </c>
      <c r="J13" s="14">
        <f ca="1">-(J17-Q10)</f>
        <v>-163.36320913398413</v>
      </c>
      <c r="K13" s="13">
        <f ca="1">-(K17-Q11)</f>
        <v>-383.70610526315795</v>
      </c>
      <c r="L13" s="14">
        <f t="shared" ca="1" si="5"/>
        <v>-553.96821052631628</v>
      </c>
      <c r="M13" s="16">
        <f ca="1">-E15</f>
        <v>-4003.4138517961528</v>
      </c>
      <c r="N13" s="16"/>
      <c r="O13" s="11"/>
      <c r="P13" s="13"/>
      <c r="Q13" s="14">
        <f t="shared" ca="1" si="6"/>
        <v>-4557.3820623224692</v>
      </c>
      <c r="R13" s="16">
        <f t="shared" ca="1" si="4"/>
        <v>-4557.3820623224692</v>
      </c>
    </row>
    <row r="14" spans="1:19">
      <c r="A14" s="18" t="s">
        <v>78</v>
      </c>
      <c r="B14" s="11"/>
      <c r="C14" s="14"/>
      <c r="D14" s="14"/>
      <c r="E14" s="14">
        <f ca="1">-(I13+J13)-K13</f>
        <v>553.96821052631628</v>
      </c>
      <c r="F14" s="14"/>
      <c r="G14" s="14"/>
      <c r="H14" s="14"/>
      <c r="I14" s="14"/>
      <c r="J14" s="14"/>
      <c r="K14" s="13"/>
      <c r="L14" s="14">
        <f t="shared" ca="1" si="5"/>
        <v>553.96821052631628</v>
      </c>
      <c r="M14" s="16"/>
      <c r="N14" s="16"/>
      <c r="O14" s="11"/>
      <c r="P14" s="13"/>
      <c r="Q14" s="14">
        <f t="shared" ca="1" si="6"/>
        <v>553.96821052631628</v>
      </c>
      <c r="R14" s="16">
        <f t="shared" ca="1" si="4"/>
        <v>553.96821052631628</v>
      </c>
    </row>
    <row r="15" spans="1:19">
      <c r="A15" s="18" t="s">
        <v>79</v>
      </c>
      <c r="B15" s="11"/>
      <c r="C15" s="14"/>
      <c r="D15" s="14"/>
      <c r="E15" s="14">
        <f ca="1">E17-E14</f>
        <v>4003.4138517961528</v>
      </c>
      <c r="F15" s="14"/>
      <c r="G15" s="14"/>
      <c r="H15" s="14"/>
      <c r="I15" s="14"/>
      <c r="J15" s="14"/>
      <c r="K15" s="13"/>
      <c r="L15" s="14">
        <f t="shared" ca="1" si="5"/>
        <v>4003.4138517961528</v>
      </c>
      <c r="M15" s="16"/>
      <c r="N15" s="16"/>
      <c r="O15" s="11"/>
      <c r="P15" s="13"/>
      <c r="Q15" s="14">
        <f t="shared" ca="1" si="6"/>
        <v>4003.4138517961528</v>
      </c>
      <c r="R15" s="16">
        <f t="shared" ca="1" si="4"/>
        <v>4003.4138517961528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4771.3412209437047</v>
      </c>
      <c r="D17" s="9">
        <f ca="1">SUM(D$2:D$11)</f>
        <v>0</v>
      </c>
      <c r="E17" s="9">
        <f ca="1">$Q$5/parameters!$B$4</f>
        <v>4557.3820623224692</v>
      </c>
      <c r="F17" s="9">
        <f t="shared" ref="F17:K17" ca="1" si="7">SUM(F$2:F$11)</f>
        <v>6501.6417910447763</v>
      </c>
      <c r="G17" s="9">
        <f t="shared" ca="1" si="7"/>
        <v>153.6050156739812</v>
      </c>
      <c r="H17" s="9">
        <f t="shared" ca="1" si="7"/>
        <v>6245.54</v>
      </c>
      <c r="I17" s="9">
        <f t="shared" ca="1" si="7"/>
        <v>253.85889612917424</v>
      </c>
      <c r="J17" s="9">
        <f t="shared" ca="1" si="7"/>
        <v>6011.281103870826</v>
      </c>
      <c r="K17" s="9">
        <f t="shared" ca="1" si="7"/>
        <v>3901.6378947368421</v>
      </c>
      <c r="L17" s="17">
        <f t="shared" ca="1" si="5"/>
        <v>32396.287984721777</v>
      </c>
      <c r="M17" s="17"/>
      <c r="N17" s="17"/>
      <c r="O17" s="9"/>
      <c r="P17" s="14"/>
      <c r="Q17" s="11">
        <f t="shared" ca="1" si="6"/>
        <v>32396.287984721777</v>
      </c>
      <c r="R17" s="17">
        <f t="shared" ca="1" si="4"/>
        <v>32396.287984721777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0.97282389455572282</v>
      </c>
      <c r="J18" s="39">
        <f ca="1">I18</f>
        <v>0.97282389455572282</v>
      </c>
      <c r="K18" s="40">
        <f ca="1">1-(-K13)/K17</f>
        <v>0.90165512135793979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6117.7266780718519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6117.7266780718519</v>
      </c>
      <c r="M2" s="17"/>
      <c r="N2" s="17">
        <f ca="1">Q2-(L2+O2+P2)</f>
        <v>3586.7233219281188</v>
      </c>
      <c r="O2" s="11" cm="1">
        <f t="array" aca="1" ref="O2" ca="1">INDIRECT("'data'!$F$" &amp; $A$1)</f>
        <v>161295.55000000002</v>
      </c>
      <c r="P2" s="13">
        <f ca="1">IF(-(L2-Q2+O2)&lt;0, -(L2-Q2+O2), 0)</f>
        <v>0</v>
      </c>
      <c r="Q2" s="17" cm="1">
        <f t="array" aca="1" ref="Q2" ca="1">INDIRECT("'data'!$D$" &amp; $A$1)</f>
        <v>171000</v>
      </c>
      <c r="R2" s="17">
        <f ca="1">SUM(L2:P2)</f>
        <v>171000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5384.3582089552237</v>
      </c>
      <c r="G3" s="14">
        <f ca="1">Q3-O3-P3-F3</f>
        <v>816.7317910447764</v>
      </c>
      <c r="H3" s="14"/>
      <c r="I3" s="14"/>
      <c r="J3" s="14"/>
      <c r="K3" s="13"/>
      <c r="L3" s="16">
        <f t="shared" ca="1" si="0"/>
        <v>6201.09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63.314999999999998</v>
      </c>
      <c r="P3" s="13" cm="1">
        <f t="array" aca="1" ref="P3" ca="1">-INDIRECT("'data'!$I$" &amp; $A$1)*parameters!$B$13</f>
        <v>-185.22</v>
      </c>
      <c r="Q3" s="16" cm="1">
        <f t="array" aca="1" ref="Q3" ca="1">INDIRECT("'data'!$G$" &amp; $A$1)*parameters!$B$13</f>
        <v>6079.1849999999995</v>
      </c>
      <c r="R3" s="16">
        <f t="shared" ref="R3:R10" ca="1" si="2">SUM(L3:P3)</f>
        <v>6079.1849999999995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1.84</v>
      </c>
      <c r="H4" s="14"/>
      <c r="I4" s="14"/>
      <c r="J4" s="14"/>
      <c r="K4" s="13"/>
      <c r="L4" s="16">
        <f t="shared" ca="1" si="0"/>
        <v>1.84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1346.0895522388062</v>
      </c>
      <c r="G5" s="14">
        <f ca="1">Q7/parameters!$B$7-(G3+G4)</f>
        <v>655.01232598761646</v>
      </c>
      <c r="H5" s="14"/>
      <c r="I5" s="14"/>
      <c r="J5" s="14"/>
      <c r="K5" s="13"/>
      <c r="L5" s="16">
        <f t="shared" ca="1" si="0"/>
        <v>2001.1018782264227</v>
      </c>
      <c r="M5" s="16"/>
      <c r="N5" s="16"/>
      <c r="O5" s="11" cm="1">
        <f t="array" aca="1" ref="O5" ca="1">INDIRECT("'data'!$M$" &amp; $A$1)*parameters!$B$15</f>
        <v>1327.8999999999999</v>
      </c>
      <c r="P5" s="13" cm="1">
        <f t="array" aca="1" ref="P5" ca="1">-INDIRECT("'data'!$N$" &amp; $A$1)*parameters!$B$15</f>
        <v>-24.5</v>
      </c>
      <c r="Q5" s="16">
        <f ca="1">SUM(L5:P5)</f>
        <v>3304.5018782264224</v>
      </c>
      <c r="R5" s="16">
        <f t="shared" ca="1" si="2"/>
        <v>3304.5018782264224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6313.16</v>
      </c>
      <c r="I6" s="14"/>
      <c r="J6" s="14"/>
      <c r="K6" s="13"/>
      <c r="L6" s="16">
        <f t="shared" ca="1" si="0"/>
        <v>6313.16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6313.16</v>
      </c>
      <c r="R6" s="16">
        <f t="shared" ca="1" si="2"/>
        <v>6313.16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1410.22</v>
      </c>
      <c r="I7" s="14"/>
      <c r="J7" s="14"/>
      <c r="K7" s="13"/>
      <c r="L7" s="16">
        <f t="shared" ca="1" si="0"/>
        <v>1410.22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1410.22</v>
      </c>
      <c r="R7" s="16">
        <f t="shared" ca="1" si="2"/>
        <v>1410.22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3407.5452679441664</v>
      </c>
      <c r="J8" s="14">
        <f ca="1">Q10/J18</f>
        <v>4326.6147320558357</v>
      </c>
      <c r="K8" s="13"/>
      <c r="L8" s="16">
        <f t="shared" ca="1" si="0"/>
        <v>7734.1600000000017</v>
      </c>
      <c r="M8" s="16"/>
      <c r="N8" s="16">
        <f t="shared" ca="1" si="3"/>
        <v>0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-11.76</v>
      </c>
      <c r="Q8" s="16">
        <f ca="1">SUM(Q6:Q7)</f>
        <v>7723.38</v>
      </c>
      <c r="R8" s="16">
        <f t="shared" ca="1" si="2"/>
        <v>7723.380000000001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2828.2799999999997</v>
      </c>
      <c r="L9" s="16">
        <f t="shared" ca="1" si="0"/>
        <v>2828.2799999999997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165.62</v>
      </c>
      <c r="P9" s="13" cm="1">
        <f t="array" aca="1" ref="P9" ca="1">-INDIRECT("'data'!$V$" &amp; $A$1)*parameters!$B$15</f>
        <v>-720.3</v>
      </c>
      <c r="Q9" s="16" cm="1">
        <f t="array" aca="1" ref="Q9" ca="1">INDIRECT("'data'!$T$" &amp; $A$1)*parameters!$B$15</f>
        <v>2273.6</v>
      </c>
      <c r="R9" s="16">
        <f t="shared" ca="1" si="2"/>
        <v>2273.5999999999995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2985.8062873399717</v>
      </c>
      <c r="L10" s="16">
        <f t="shared" ca="1" si="0"/>
        <v>2985.8062873399717</v>
      </c>
      <c r="M10" s="16"/>
      <c r="N10" s="16">
        <f t="shared" ca="1" si="3"/>
        <v>0</v>
      </c>
      <c r="O10" s="11" cm="1">
        <f t="array" aca="1" ref="O10" ca="1">INDIRECT("'data'!$X$" &amp; $A$1)*parameters!$B$15</f>
        <v>919.24</v>
      </c>
      <c r="P10" s="13" cm="1">
        <f t="array" aca="1" ref="P10" ca="1">-INDIRECT("'data'!$Y$" &amp; $A$1)*parameters!$B$15</f>
        <v>-1018.22</v>
      </c>
      <c r="Q10" s="16" cm="1">
        <f t="array" aca="1" ref="Q10" ca="1">INDIRECT("'data'!$W$" &amp; $A$1)*parameters!$B$15</f>
        <v>2886.8262873399717</v>
      </c>
      <c r="R10" s="16">
        <f t="shared" ca="1" si="2"/>
        <v>2886.8262873399717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8275.1566071123743</v>
      </c>
      <c r="N11" s="19"/>
      <c r="O11" s="21" cm="1">
        <f t="array" aca="1" ref="O11" ca="1">INDIRECT("'data'!$Z$" &amp; $A$1)*parameters!$B$15</f>
        <v>665.42</v>
      </c>
      <c r="P11" s="27" cm="1">
        <f t="array" aca="1" ref="P11" ca="1">-INDIRECT("'data'!$AA$" &amp; $A$1)*parameters!$B$15</f>
        <v>-3714.2</v>
      </c>
      <c r="Q11" s="16">
        <f ca="1">K9*parameters!$B$10+K10*parameters!$B$11</f>
        <v>5226.3766071123755</v>
      </c>
      <c r="R11" s="16">
        <f t="shared" ref="R11:R17" ca="1" si="4">SUM(L11:P11)</f>
        <v>5226.3766071123746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-38.541678071852402</v>
      </c>
      <c r="D12" s="9">
        <f ca="1">-(D17-Q4)</f>
        <v>0</v>
      </c>
      <c r="E12" s="9">
        <f ca="1">-(E17-Q5)</f>
        <v>-408.4215804549508</v>
      </c>
      <c r="F12" s="9">
        <f ca="1">-(F17-Q6)</f>
        <v>-417.28776119403028</v>
      </c>
      <c r="G12" s="9">
        <f ca="1">-(G17-Q7)</f>
        <v>-63.364117032392869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-927.61513675322635</v>
      </c>
      <c r="M12" s="17"/>
      <c r="N12" s="17"/>
      <c r="O12" s="10"/>
      <c r="P12" s="12"/>
      <c r="Q12" s="9">
        <f t="shared" ref="Q12:Q17" ca="1" si="6">SUM(L12:P12)</f>
        <v>-927.61513675322635</v>
      </c>
      <c r="R12" s="17">
        <f t="shared" ca="1" si="4"/>
        <v>-927.61513675322635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-1133.9452679441665</v>
      </c>
      <c r="J13" s="14">
        <f ca="1">-(J17-Q10)</f>
        <v>-1439.788444715864</v>
      </c>
      <c r="K13" s="13">
        <f ca="1">-(K17-Q11)</f>
        <v>-587.70968022759553</v>
      </c>
      <c r="L13" s="14">
        <f t="shared" ca="1" si="5"/>
        <v>-3161.443392887626</v>
      </c>
      <c r="M13" s="16">
        <f ca="1">-E15</f>
        <v>-551.48006579374714</v>
      </c>
      <c r="N13" s="16"/>
      <c r="O13" s="11"/>
      <c r="P13" s="13"/>
      <c r="Q13" s="14">
        <f t="shared" ca="1" si="6"/>
        <v>-3712.9234586813732</v>
      </c>
      <c r="R13" s="16">
        <f t="shared" ca="1" si="4"/>
        <v>-3712.9234586813732</v>
      </c>
    </row>
    <row r="14" spans="1:19">
      <c r="A14" s="18" t="s">
        <v>78</v>
      </c>
      <c r="B14" s="11"/>
      <c r="C14" s="14"/>
      <c r="D14" s="14"/>
      <c r="E14" s="14">
        <f ca="1">-(I13+J13)-K13</f>
        <v>3161.443392887626</v>
      </c>
      <c r="F14" s="14"/>
      <c r="G14" s="14"/>
      <c r="H14" s="14"/>
      <c r="I14" s="14"/>
      <c r="J14" s="14"/>
      <c r="K14" s="13"/>
      <c r="L14" s="14">
        <f t="shared" ca="1" si="5"/>
        <v>3161.443392887626</v>
      </c>
      <c r="M14" s="16"/>
      <c r="N14" s="16"/>
      <c r="O14" s="11"/>
      <c r="P14" s="13"/>
      <c r="Q14" s="14">
        <f t="shared" ca="1" si="6"/>
        <v>3161.443392887626</v>
      </c>
      <c r="R14" s="16">
        <f t="shared" ca="1" si="4"/>
        <v>3161.443392887626</v>
      </c>
    </row>
    <row r="15" spans="1:19">
      <c r="A15" s="18" t="s">
        <v>79</v>
      </c>
      <c r="B15" s="11"/>
      <c r="C15" s="14"/>
      <c r="D15" s="14"/>
      <c r="E15" s="14">
        <f ca="1">E17-E14</f>
        <v>551.48006579374714</v>
      </c>
      <c r="F15" s="14"/>
      <c r="G15" s="14"/>
      <c r="H15" s="14"/>
      <c r="I15" s="14"/>
      <c r="J15" s="14"/>
      <c r="K15" s="13"/>
      <c r="L15" s="14">
        <f t="shared" ca="1" si="5"/>
        <v>551.48006579374714</v>
      </c>
      <c r="M15" s="16"/>
      <c r="N15" s="16"/>
      <c r="O15" s="11"/>
      <c r="P15" s="13"/>
      <c r="Q15" s="14">
        <f t="shared" ca="1" si="6"/>
        <v>551.48006579374714</v>
      </c>
      <c r="R15" s="16">
        <f t="shared" ca="1" si="4"/>
        <v>551.48006579374714</v>
      </c>
    </row>
    <row r="16" spans="1:19">
      <c r="A16" s="30" t="s">
        <v>89</v>
      </c>
      <c r="B16" s="21">
        <f ca="1">Q2</f>
        <v>171000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171000</v>
      </c>
      <c r="M16" s="19"/>
      <c r="N16" s="19"/>
      <c r="O16" s="21"/>
      <c r="P16" s="27"/>
      <c r="Q16" s="22">
        <f t="shared" ca="1" si="6"/>
        <v>171000</v>
      </c>
      <c r="R16" s="19">
        <f t="shared" ca="1" si="4"/>
        <v>171000</v>
      </c>
    </row>
    <row r="17" spans="1:18">
      <c r="A17" s="29" t="s">
        <v>88</v>
      </c>
      <c r="B17" s="9">
        <f ca="1">B16</f>
        <v>171000</v>
      </c>
      <c r="C17" s="9">
        <f ca="1">SUM(C$2:C$11)</f>
        <v>6117.7266780718519</v>
      </c>
      <c r="D17" s="9">
        <f ca="1">SUM(D$2:D$11)</f>
        <v>0</v>
      </c>
      <c r="E17" s="9">
        <f ca="1">$Q$5/parameters!$B$4</f>
        <v>3712.9234586813732</v>
      </c>
      <c r="F17" s="9">
        <f t="shared" ref="F17:K17" ca="1" si="7">SUM(F$2:F$11)</f>
        <v>6730.4477611940301</v>
      </c>
      <c r="G17" s="9">
        <f t="shared" ca="1" si="7"/>
        <v>1473.5841170323929</v>
      </c>
      <c r="H17" s="9">
        <f t="shared" ca="1" si="7"/>
        <v>7723.38</v>
      </c>
      <c r="I17" s="9">
        <f t="shared" ca="1" si="7"/>
        <v>3407.5452679441664</v>
      </c>
      <c r="J17" s="9">
        <f t="shared" ca="1" si="7"/>
        <v>4326.6147320558357</v>
      </c>
      <c r="K17" s="9">
        <f t="shared" ca="1" si="7"/>
        <v>5814.086287339971</v>
      </c>
      <c r="L17" s="17">
        <f t="shared" ca="1" si="5"/>
        <v>210306.30830231964</v>
      </c>
      <c r="M17" s="17"/>
      <c r="N17" s="17"/>
      <c r="O17" s="9"/>
      <c r="P17" s="14"/>
      <c r="Q17" s="11">
        <f t="shared" ca="1" si="6"/>
        <v>210306.30830231964</v>
      </c>
      <c r="R17" s="17">
        <f t="shared" ca="1" si="4"/>
        <v>210306.30830231964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0.66722517860245589</v>
      </c>
      <c r="J18" s="39">
        <f ca="1">I18</f>
        <v>0.66722517860245589</v>
      </c>
      <c r="K18" s="40">
        <f ca="1">1-(-K13)/K17</f>
        <v>0.89891624389763203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5857.1550769850055</v>
      </c>
      <c r="D2" s="9">
        <f ca="1">Q4/parameters!$B$3</f>
        <v>1623.9106370131831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7481.0657139981886</v>
      </c>
      <c r="M2" s="17"/>
      <c r="N2" s="17">
        <f ca="1">Q2-(L2+O2+P2)</f>
        <v>1614.28428600181</v>
      </c>
      <c r="O2" s="11" cm="1">
        <f t="array" aca="1" ref="O2" ca="1">INDIRECT("'data'!$F$" &amp; $A$1)</f>
        <v>17004.650000000001</v>
      </c>
      <c r="P2" s="13">
        <f ca="1">IF(-(L2-Q2+O2)&lt;0, -(L2-Q2+O2), 0)</f>
        <v>0</v>
      </c>
      <c r="Q2" s="17" cm="1">
        <f t="array" aca="1" ref="Q2" ca="1">INDIRECT("'data'!$D$" &amp; $A$1)</f>
        <v>26100</v>
      </c>
      <c r="R2" s="17">
        <f ca="1">SUM(L2:P2)</f>
        <v>26100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4324.5373134328356</v>
      </c>
      <c r="G3" s="14">
        <f ca="1">Q3-O3-P3-F3</f>
        <v>989.19768656716496</v>
      </c>
      <c r="H3" s="14"/>
      <c r="I3" s="14"/>
      <c r="J3" s="14"/>
      <c r="K3" s="13"/>
      <c r="L3" s="16">
        <f t="shared" ca="1" si="0"/>
        <v>5313.7350000000006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506.52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5820.2550000000001</v>
      </c>
      <c r="R3" s="16">
        <f t="shared" ref="R3:R10" ca="1" si="2">SUM(L3:P3)</f>
        <v>5820.255000000001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1664.28</v>
      </c>
      <c r="H4" s="14"/>
      <c r="I4" s="14"/>
      <c r="J4" s="14"/>
      <c r="K4" s="13"/>
      <c r="L4" s="16">
        <f t="shared" ca="1" si="0"/>
        <v>1664.28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-51.52</v>
      </c>
      <c r="Q4" s="16" cm="1">
        <f t="array" aca="1" ref="Q4" ca="1">INDIRECT("'data'!$J$" &amp; $A$1)*parameters!$B$14</f>
        <v>1613.68</v>
      </c>
      <c r="R4" s="16">
        <f t="shared" ca="1" si="2"/>
        <v>1613.68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1081.1343283582089</v>
      </c>
      <c r="G5" s="14">
        <f ca="1">Q7/parameters!$B$7-(G3+G4)</f>
        <v>1999.7302549166388</v>
      </c>
      <c r="H5" s="14"/>
      <c r="I5" s="14"/>
      <c r="J5" s="14"/>
      <c r="K5" s="13"/>
      <c r="L5" s="16">
        <f t="shared" ca="1" si="0"/>
        <v>3080.864583274848</v>
      </c>
      <c r="M5" s="16"/>
      <c r="N5" s="16"/>
      <c r="O5" s="11" cm="1">
        <f t="array" aca="1" ref="O5" ca="1">INDIRECT("'data'!$M$" &amp; $A$1)*parameters!$B$15</f>
        <v>543.9</v>
      </c>
      <c r="P5" s="13" cm="1">
        <f t="array" aca="1" ref="P5" ca="1">-INDIRECT("'data'!$N$" &amp; $A$1)*parameters!$B$15</f>
        <v>-7.84</v>
      </c>
      <c r="Q5" s="16">
        <f ca="1">SUM(L5:P5)</f>
        <v>3616.9245832748479</v>
      </c>
      <c r="R5" s="16">
        <f t="shared" ca="1" si="2"/>
        <v>3616.9245832748479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5070.5199999999995</v>
      </c>
      <c r="I6" s="14"/>
      <c r="J6" s="14"/>
      <c r="K6" s="13"/>
      <c r="L6" s="16">
        <f t="shared" ca="1" si="0"/>
        <v>5070.5199999999995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5070.5199999999995</v>
      </c>
      <c r="R6" s="16">
        <f t="shared" ca="1" si="2"/>
        <v>5070.5199999999995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4453.12</v>
      </c>
      <c r="I7" s="14"/>
      <c r="J7" s="14"/>
      <c r="K7" s="13"/>
      <c r="L7" s="16">
        <f t="shared" ca="1" si="0"/>
        <v>4453.12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4453.12</v>
      </c>
      <c r="R7" s="16">
        <f t="shared" ca="1" si="2"/>
        <v>4453.12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3821.5319924920191</v>
      </c>
      <c r="J8" s="14">
        <f ca="1">Q10/J18</f>
        <v>5543.3480075079797</v>
      </c>
      <c r="K8" s="13"/>
      <c r="L8" s="16">
        <f t="shared" ca="1" si="0"/>
        <v>9364.8799999999992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294.98</v>
      </c>
      <c r="P8" s="13" cm="1">
        <f t="array" aca="1" ref="P8" ca="1">-INDIRECT("'data'!$S$" &amp; $A$1)*parameters!$B$15</f>
        <v>-136.22</v>
      </c>
      <c r="Q8" s="16">
        <f ca="1">SUM(Q6:Q7)</f>
        <v>9523.64</v>
      </c>
      <c r="R8" s="16">
        <f t="shared" ca="1" si="2"/>
        <v>9523.64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2356.8999999999996</v>
      </c>
      <c r="L9" s="16">
        <f t="shared" ca="1" si="0"/>
        <v>2356.8999999999996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768.31999999999994</v>
      </c>
      <c r="P9" s="13" cm="1">
        <f t="array" aca="1" ref="P9" ca="1">-INDIRECT("'data'!$V$" &amp; $A$1)*parameters!$B$15</f>
        <v>-171.5</v>
      </c>
      <c r="Q9" s="16" cm="1">
        <f t="array" aca="1" ref="Q9" ca="1">INDIRECT("'data'!$T$" &amp; $A$1)*parameters!$B$15</f>
        <v>2953.72</v>
      </c>
      <c r="R9" s="16">
        <f t="shared" ca="1" si="2"/>
        <v>2953.7199999999993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2576.3976955903277</v>
      </c>
      <c r="L10" s="16">
        <f t="shared" ca="1" si="0"/>
        <v>2576.3976955903277</v>
      </c>
      <c r="M10" s="16"/>
      <c r="N10" s="16">
        <f t="shared" ca="1" si="3"/>
        <v>0</v>
      </c>
      <c r="O10" s="11" cm="1">
        <f t="array" aca="1" ref="O10" ca="1">INDIRECT("'data'!$X$" &amp; $A$1)*parameters!$B$15</f>
        <v>2129.54</v>
      </c>
      <c r="P10" s="13" cm="1">
        <f t="array" aca="1" ref="P10" ca="1">-INDIRECT("'data'!$Y$" &amp; $A$1)*parameters!$B$15</f>
        <v>-421.4</v>
      </c>
      <c r="Q10" s="16" cm="1">
        <f t="array" aca="1" ref="Q10" ca="1">INDIRECT("'data'!$W$" &amp; $A$1)*parameters!$B$15</f>
        <v>4284.5376955903275</v>
      </c>
      <c r="R10" s="16">
        <f t="shared" ca="1" si="2"/>
        <v>4284.5376955903284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4834.9480182076804</v>
      </c>
      <c r="N11" s="19"/>
      <c r="O11" s="21" cm="1">
        <f t="array" aca="1" ref="O11" ca="1">INDIRECT("'data'!$Z$" &amp; $A$1)*parameters!$B$15</f>
        <v>1208.3399999999999</v>
      </c>
      <c r="P11" s="27" cm="1">
        <f t="array" aca="1" ref="P11" ca="1">-INDIRECT("'data'!$AA$" &amp; $A$1)*parameters!$B$15</f>
        <v>-1612.1</v>
      </c>
      <c r="Q11" s="16">
        <f ca="1">K9*parameters!$B$10+K10*parameters!$B$11</f>
        <v>4431.1880182076811</v>
      </c>
      <c r="R11" s="16">
        <f t="shared" ref="R11:R17" ca="1" si="4">SUM(L11:P11)</f>
        <v>4431.1880182076802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-36.900076985005398</v>
      </c>
      <c r="D12" s="9">
        <f ca="1">-(D17-Q4)</f>
        <v>-10.230637013183014</v>
      </c>
      <c r="E12" s="9">
        <f ca="1">-(E17-Q5)</f>
        <v>-447.03562265194751</v>
      </c>
      <c r="F12" s="9">
        <f ca="1">-(F17-Q6)</f>
        <v>-335.15164179104522</v>
      </c>
      <c r="G12" s="9">
        <f ca="1">-(G17-Q7)</f>
        <v>-200.08794148380366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-1029.4059199249848</v>
      </c>
      <c r="M12" s="17"/>
      <c r="N12" s="17"/>
      <c r="O12" s="10"/>
      <c r="P12" s="12"/>
      <c r="Q12" s="9">
        <f t="shared" ref="Q12:Q17" ca="1" si="6">SUM(L12:P12)</f>
        <v>-1029.4059199249848</v>
      </c>
      <c r="R12" s="17">
        <f t="shared" ca="1" si="4"/>
        <v>-1029.4059199249848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-867.81199249201927</v>
      </c>
      <c r="J13" s="14">
        <f ca="1">-(J17-Q10)</f>
        <v>-1258.8103119176521</v>
      </c>
      <c r="K13" s="13">
        <f ca="1">-(K17-Q11)</f>
        <v>-502.10967738264571</v>
      </c>
      <c r="L13" s="14">
        <f t="shared" ca="1" si="5"/>
        <v>-2628.7319817923171</v>
      </c>
      <c r="M13" s="16">
        <f ca="1">-E15</f>
        <v>-1435.2282241344783</v>
      </c>
      <c r="N13" s="16"/>
      <c r="O13" s="11"/>
      <c r="P13" s="13"/>
      <c r="Q13" s="14">
        <f t="shared" ca="1" si="6"/>
        <v>-4063.9602059267954</v>
      </c>
      <c r="R13" s="16">
        <f t="shared" ca="1" si="4"/>
        <v>-4063.9602059267954</v>
      </c>
    </row>
    <row r="14" spans="1:20">
      <c r="A14" s="18" t="s">
        <v>78</v>
      </c>
      <c r="B14" s="11"/>
      <c r="C14" s="14"/>
      <c r="D14" s="14"/>
      <c r="E14" s="14">
        <f ca="1">-(I13+J13)-K13</f>
        <v>2628.7319817923171</v>
      </c>
      <c r="F14" s="14"/>
      <c r="G14" s="14"/>
      <c r="H14" s="14"/>
      <c r="I14" s="14"/>
      <c r="J14" s="14"/>
      <c r="K14" s="13"/>
      <c r="L14" s="14">
        <f t="shared" ca="1" si="5"/>
        <v>2628.7319817923171</v>
      </c>
      <c r="M14" s="16"/>
      <c r="N14" s="16"/>
      <c r="O14" s="11"/>
      <c r="P14" s="13"/>
      <c r="Q14" s="14">
        <f t="shared" ca="1" si="6"/>
        <v>2628.7319817923171</v>
      </c>
      <c r="R14" s="16">
        <f t="shared" ca="1" si="4"/>
        <v>2628.7319817923171</v>
      </c>
    </row>
    <row r="15" spans="1:20">
      <c r="A15" s="18" t="s">
        <v>79</v>
      </c>
      <c r="B15" s="11"/>
      <c r="C15" s="14"/>
      <c r="D15" s="14"/>
      <c r="E15" s="14">
        <f ca="1">E17-E14</f>
        <v>1435.2282241344783</v>
      </c>
      <c r="F15" s="14"/>
      <c r="G15" s="14"/>
      <c r="H15" s="14"/>
      <c r="I15" s="14"/>
      <c r="J15" s="14"/>
      <c r="K15" s="13"/>
      <c r="L15" s="14">
        <f t="shared" ca="1" si="5"/>
        <v>1435.2282241344783</v>
      </c>
      <c r="M15" s="16"/>
      <c r="N15" s="16"/>
      <c r="O15" s="11"/>
      <c r="P15" s="13"/>
      <c r="Q15" s="14">
        <f t="shared" ca="1" si="6"/>
        <v>1435.2282241344783</v>
      </c>
      <c r="R15" s="16">
        <f t="shared" ca="1" si="4"/>
        <v>1435.2282241344783</v>
      </c>
    </row>
    <row r="16" spans="1:20">
      <c r="A16" s="30" t="s">
        <v>89</v>
      </c>
      <c r="B16" s="21">
        <f ca="1">Q2</f>
        <v>26100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26100</v>
      </c>
      <c r="M16" s="19"/>
      <c r="N16" s="19"/>
      <c r="O16" s="21"/>
      <c r="P16" s="27"/>
      <c r="Q16" s="22">
        <f t="shared" ca="1" si="6"/>
        <v>26100</v>
      </c>
      <c r="R16" s="19">
        <f t="shared" ca="1" si="4"/>
        <v>26100</v>
      </c>
    </row>
    <row r="17" spans="1:18">
      <c r="A17" s="29" t="s">
        <v>88</v>
      </c>
      <c r="B17" s="9">
        <f ca="1">B16</f>
        <v>26100</v>
      </c>
      <c r="C17" s="9">
        <f ca="1">SUM(C$2:C$11)</f>
        <v>5857.1550769850055</v>
      </c>
      <c r="D17" s="9">
        <f ca="1">SUM(D$2:D$11)</f>
        <v>1623.9106370131831</v>
      </c>
      <c r="E17" s="9">
        <f ca="1">$Q$5/parameters!$B$4</f>
        <v>4063.9602059267954</v>
      </c>
      <c r="F17" s="9">
        <f t="shared" ref="F17:K17" ca="1" si="7">SUM(F$2:F$11)</f>
        <v>5405.6716417910447</v>
      </c>
      <c r="G17" s="9">
        <f t="shared" ca="1" si="7"/>
        <v>4653.2079414838036</v>
      </c>
      <c r="H17" s="9">
        <f t="shared" ca="1" si="7"/>
        <v>9523.64</v>
      </c>
      <c r="I17" s="9">
        <f t="shared" ca="1" si="7"/>
        <v>3821.5319924920191</v>
      </c>
      <c r="J17" s="9">
        <f t="shared" ca="1" si="7"/>
        <v>5543.3480075079797</v>
      </c>
      <c r="K17" s="9">
        <f t="shared" ca="1" si="7"/>
        <v>4933.2976955903268</v>
      </c>
      <c r="L17" s="17">
        <f t="shared" ca="1" si="5"/>
        <v>71525.723198790161</v>
      </c>
      <c r="M17" s="17"/>
      <c r="N17" s="17"/>
      <c r="O17" s="9"/>
      <c r="P17" s="14"/>
      <c r="Q17" s="11">
        <f t="shared" ca="1" si="6"/>
        <v>71525.723198790161</v>
      </c>
      <c r="R17" s="17">
        <f t="shared" ca="1" si="4"/>
        <v>71525.723198790161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0.77291515701112334</v>
      </c>
      <c r="J18" s="39">
        <f ca="1">I18</f>
        <v>0.77291515701112334</v>
      </c>
      <c r="K18" s="40">
        <f ca="1">1-(-K13)/K17</f>
        <v>0.89822027609818456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1182.2884170272719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1182.2884170272719</v>
      </c>
      <c r="M2" s="17"/>
      <c r="N2" s="17">
        <f ca="1">Q2-(L2+O2+P2)</f>
        <v>0</v>
      </c>
      <c r="O2" s="11" cm="1">
        <f t="array" aca="1" ref="O2" ca="1">INDIRECT("'data'!$F$" &amp; $A$1)</f>
        <v>133.25</v>
      </c>
      <c r="P2" s="13">
        <f ca="1">IF(-(L2-Q2+O2)&lt;0, -(L2-Q2+O2), 0)</f>
        <v>-935.53841702727186</v>
      </c>
      <c r="Q2" s="17" cm="1">
        <f t="array" aca="1" ref="Q2" ca="1">INDIRECT("'data'!$D$" &amp; $A$1)</f>
        <v>380</v>
      </c>
      <c r="R2" s="17">
        <f ca="1">SUM(L2:P2)</f>
        <v>380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309.01499999999999</v>
      </c>
      <c r="H3" s="14"/>
      <c r="I3" s="14"/>
      <c r="J3" s="14"/>
      <c r="K3" s="13"/>
      <c r="L3" s="16">
        <f t="shared" ca="1" si="0"/>
        <v>309.01499999999999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-311.84999999999997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990.84000000000015</v>
      </c>
      <c r="H4" s="14"/>
      <c r="I4" s="14"/>
      <c r="J4" s="14"/>
      <c r="K4" s="13"/>
      <c r="L4" s="16">
        <f t="shared" ca="1" si="0"/>
        <v>990.84000000000015</v>
      </c>
      <c r="M4" s="16"/>
      <c r="N4" s="16">
        <f t="shared" ca="1" si="1"/>
        <v>0</v>
      </c>
      <c r="O4" s="11" cm="1">
        <f t="array" aca="1" ref="O4" ca="1">INDIRECT("'data'!$K$" &amp; $A$1)*parameters!$B$14</f>
        <v>184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1174.8400000000001</v>
      </c>
      <c r="R4" s="16">
        <f t="shared" ca="1" si="2"/>
        <v>1174.8400000000001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4674.3560762800425</v>
      </c>
      <c r="H5" s="14"/>
      <c r="I5" s="14"/>
      <c r="J5" s="14"/>
      <c r="K5" s="13"/>
      <c r="L5" s="16">
        <f t="shared" ca="1" si="0"/>
        <v>4674.3560762800425</v>
      </c>
      <c r="M5" s="16"/>
      <c r="N5" s="16"/>
      <c r="O5" s="11" cm="1">
        <f t="array" aca="1" ref="O5" ca="1">INDIRECT("'data'!$M$" &amp; $A$1)*parameters!$B$15</f>
        <v>27.439999999999998</v>
      </c>
      <c r="P5" s="13" cm="1">
        <f t="array" aca="1" ref="P5" ca="1">-INDIRECT("'data'!$N$" &amp; $A$1)*parameters!$B$15</f>
        <v>-2882.18</v>
      </c>
      <c r="Q5" s="16">
        <f ca="1">SUM(L5:P5)</f>
        <v>1819.6160762800423</v>
      </c>
      <c r="R5" s="16">
        <f t="shared" ca="1" si="2"/>
        <v>1819.6160762800423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5717.32</v>
      </c>
      <c r="I7" s="14"/>
      <c r="J7" s="14"/>
      <c r="K7" s="13"/>
      <c r="L7" s="16">
        <f t="shared" ca="1" si="0"/>
        <v>5717.32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5717.32</v>
      </c>
      <c r="R7" s="16">
        <f t="shared" ca="1" si="2"/>
        <v>5717.32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3573.7963507899117</v>
      </c>
      <c r="J8" s="14">
        <f ca="1">Q10/J18</f>
        <v>2231.7236492100883</v>
      </c>
      <c r="K8" s="13"/>
      <c r="L8" s="16">
        <f t="shared" ca="1" si="0"/>
        <v>5805.52</v>
      </c>
      <c r="M8" s="16"/>
      <c r="N8" s="16">
        <f t="shared" ca="1" si="3"/>
        <v>0</v>
      </c>
      <c r="O8" s="11" cm="1">
        <f t="array" aca="1" ref="O8" ca="1">INDIRECT("'data'!$R$" &amp; $A$1)*parameters!$B$15</f>
        <v>311.64</v>
      </c>
      <c r="P8" s="13" cm="1">
        <f t="array" aca="1" ref="P8" ca="1">-INDIRECT("'data'!$S$" &amp; $A$1)*parameters!$B$15</f>
        <v>-399.84</v>
      </c>
      <c r="Q8" s="16">
        <f ca="1">SUM(Q6:Q7)</f>
        <v>5717.32</v>
      </c>
      <c r="R8" s="16">
        <f t="shared" ca="1" si="2"/>
        <v>5717.3200000000006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3608.3599999999997</v>
      </c>
      <c r="L9" s="16">
        <f t="shared" ca="1" si="0"/>
        <v>3608.3599999999997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543.9</v>
      </c>
      <c r="P9" s="13" cm="1">
        <f t="array" aca="1" ref="P9" ca="1">-INDIRECT("'data'!$V$" &amp; $A$1)*parameters!$B$15</f>
        <v>-736.96</v>
      </c>
      <c r="Q9" s="16" cm="1">
        <f t="array" aca="1" ref="Q9" ca="1">INDIRECT("'data'!$T$" &amp; $A$1)*parameters!$B$15</f>
        <v>3415.2999999999997</v>
      </c>
      <c r="R9" s="16">
        <f t="shared" ca="1" si="2"/>
        <v>3415.2999999999993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3318.5476529160737</v>
      </c>
      <c r="L10" s="16">
        <f t="shared" ca="1" si="0"/>
        <v>3318.5476529160737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1349.46</v>
      </c>
      <c r="P10" s="13" cm="1">
        <f t="array" aca="1" ref="P10" ca="1">-INDIRECT("'data'!$Y$" &amp; $A$1)*parameters!$B$15</f>
        <v>-2535.2599999999998</v>
      </c>
      <c r="Q10" s="16" cm="1">
        <f t="array" aca="1" ref="Q10" ca="1">INDIRECT("'data'!$W$" &amp; $A$1)*parameters!$B$15</f>
        <v>2132.747652916074</v>
      </c>
      <c r="R10" s="16">
        <f t="shared" ca="1" si="2"/>
        <v>2132.7476529160745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6709.3493815078227</v>
      </c>
      <c r="N11" s="19"/>
      <c r="O11" s="21" cm="1">
        <f t="array" aca="1" ref="O11" ca="1">INDIRECT("'data'!$Z$" &amp; $A$1)*parameters!$B$15</f>
        <v>1454.32</v>
      </c>
      <c r="P11" s="27" cm="1">
        <f t="array" aca="1" ref="P11" ca="1">-INDIRECT("'data'!$AA$" &amp; $A$1)*parameters!$B$15</f>
        <v>-1917.86</v>
      </c>
      <c r="Q11" s="16">
        <f ca="1">K9*parameters!$B$10+K10*parameters!$B$11</f>
        <v>6245.8093815078228</v>
      </c>
      <c r="R11" s="16">
        <f t="shared" ref="R11:R17" ca="1" si="4">SUM(L11:P11)</f>
        <v>6245.8093815078228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-7.4484170272717165</v>
      </c>
      <c r="E12" s="9">
        <f ca="1">-(E17-Q5)</f>
        <v>-224.89636897843206</v>
      </c>
      <c r="F12" s="9">
        <f ca="1">-(F17-Q6)</f>
        <v>0</v>
      </c>
      <c r="G12" s="9">
        <f ca="1">-(G17-Q7)</f>
        <v>-256.8910762800424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-489.23586228574618</v>
      </c>
      <c r="M12" s="17"/>
      <c r="N12" s="17"/>
      <c r="O12" s="10"/>
      <c r="P12" s="12"/>
      <c r="Q12" s="9">
        <f t="shared" ref="Q12:Q17" ca="1" si="6">SUM(L12:P12)</f>
        <v>-489.23586228574618</v>
      </c>
      <c r="R12" s="17">
        <f t="shared" ca="1" si="4"/>
        <v>-489.23586228574618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-158.49635078991196</v>
      </c>
      <c r="J13" s="14">
        <f ca="1">-(J17-Q10)</f>
        <v>-98.975996294014294</v>
      </c>
      <c r="K13" s="13">
        <f ca="1">-(K17-Q11)</f>
        <v>-681.09827140825109</v>
      </c>
      <c r="L13" s="14">
        <f t="shared" ca="1" si="5"/>
        <v>-938.57061849217735</v>
      </c>
      <c r="M13" s="16">
        <f ca="1">-E15</f>
        <v>-1105.941826766297</v>
      </c>
      <c r="N13" s="16"/>
      <c r="O13" s="11"/>
      <c r="P13" s="13"/>
      <c r="Q13" s="14">
        <f t="shared" ca="1" si="6"/>
        <v>-2044.5124452584744</v>
      </c>
      <c r="R13" s="16">
        <f t="shared" ca="1" si="4"/>
        <v>-2044.5124452584744</v>
      </c>
    </row>
    <row r="14" spans="1:19">
      <c r="A14" s="18" t="s">
        <v>78</v>
      </c>
      <c r="B14" s="11"/>
      <c r="C14" s="14"/>
      <c r="D14" s="14"/>
      <c r="E14" s="14">
        <f ca="1">-(I13+J13)-K13</f>
        <v>938.57061849217735</v>
      </c>
      <c r="F14" s="14"/>
      <c r="G14" s="14"/>
      <c r="H14" s="14"/>
      <c r="I14" s="14"/>
      <c r="J14" s="14"/>
      <c r="K14" s="13"/>
      <c r="L14" s="14">
        <f t="shared" ca="1" si="5"/>
        <v>938.57061849217735</v>
      </c>
      <c r="M14" s="16"/>
      <c r="N14" s="16"/>
      <c r="O14" s="11"/>
      <c r="P14" s="13"/>
      <c r="Q14" s="14">
        <f t="shared" ca="1" si="6"/>
        <v>938.57061849217735</v>
      </c>
      <c r="R14" s="16">
        <f t="shared" ca="1" si="4"/>
        <v>938.57061849217735</v>
      </c>
    </row>
    <row r="15" spans="1:19">
      <c r="A15" s="18" t="s">
        <v>79</v>
      </c>
      <c r="B15" s="11"/>
      <c r="C15" s="14"/>
      <c r="D15" s="14"/>
      <c r="E15" s="14">
        <f ca="1">E17-E14</f>
        <v>1105.941826766297</v>
      </c>
      <c r="F15" s="14"/>
      <c r="G15" s="14"/>
      <c r="H15" s="14"/>
      <c r="I15" s="14"/>
      <c r="J15" s="14"/>
      <c r="K15" s="13"/>
      <c r="L15" s="14">
        <f t="shared" ca="1" si="5"/>
        <v>1105.941826766297</v>
      </c>
      <c r="M15" s="16"/>
      <c r="N15" s="16"/>
      <c r="O15" s="11"/>
      <c r="P15" s="13"/>
      <c r="Q15" s="14">
        <f t="shared" ca="1" si="6"/>
        <v>1105.941826766297</v>
      </c>
      <c r="R15" s="16">
        <f t="shared" ca="1" si="4"/>
        <v>1105.941826766297</v>
      </c>
    </row>
    <row r="16" spans="1:19">
      <c r="A16" s="30" t="s">
        <v>89</v>
      </c>
      <c r="B16" s="21">
        <f ca="1">Q2</f>
        <v>380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380</v>
      </c>
      <c r="M16" s="19"/>
      <c r="N16" s="19"/>
      <c r="O16" s="21"/>
      <c r="P16" s="27"/>
      <c r="Q16" s="22">
        <f t="shared" ca="1" si="6"/>
        <v>380</v>
      </c>
      <c r="R16" s="19">
        <f t="shared" ca="1" si="4"/>
        <v>380</v>
      </c>
    </row>
    <row r="17" spans="1:18">
      <c r="A17" s="29" t="s">
        <v>88</v>
      </c>
      <c r="B17" s="9">
        <f ca="1">B16</f>
        <v>380</v>
      </c>
      <c r="C17" s="9">
        <f ca="1">SUM(C$2:C$11)</f>
        <v>0</v>
      </c>
      <c r="D17" s="9">
        <f ca="1">SUM(D$2:D$11)</f>
        <v>1182.2884170272719</v>
      </c>
      <c r="E17" s="9">
        <f ca="1">$Q$5/parameters!$B$4</f>
        <v>2044.5124452584744</v>
      </c>
      <c r="F17" s="9">
        <f t="shared" ref="F17:K17" ca="1" si="7">SUM(F$2:F$11)</f>
        <v>0</v>
      </c>
      <c r="G17" s="9">
        <f t="shared" ca="1" si="7"/>
        <v>5974.2110762800421</v>
      </c>
      <c r="H17" s="9">
        <f t="shared" ca="1" si="7"/>
        <v>5717.32</v>
      </c>
      <c r="I17" s="9">
        <f t="shared" ca="1" si="7"/>
        <v>3573.7963507899117</v>
      </c>
      <c r="J17" s="9">
        <f t="shared" ca="1" si="7"/>
        <v>2231.7236492100883</v>
      </c>
      <c r="K17" s="9">
        <f t="shared" ca="1" si="7"/>
        <v>6926.9076529160739</v>
      </c>
      <c r="L17" s="17">
        <f t="shared" ca="1" si="5"/>
        <v>28030.759591481863</v>
      </c>
      <c r="M17" s="17"/>
      <c r="N17" s="17"/>
      <c r="O17" s="9"/>
      <c r="P17" s="14"/>
      <c r="Q17" s="11">
        <f t="shared" ca="1" si="6"/>
        <v>28030.759591481863</v>
      </c>
      <c r="R17" s="17">
        <f t="shared" ca="1" si="4"/>
        <v>28030.759591481863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0.95565042458144556</v>
      </c>
      <c r="J18" s="39">
        <f ca="1">I18</f>
        <v>0.95565042458144556</v>
      </c>
      <c r="K18" s="40">
        <f ca="1">1-(-K13)/K17</f>
        <v>0.90167354531981903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132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132</v>
      </c>
      <c r="R2" s="17">
        <f ca="1">SUM(L2:P2)</f>
        <v>132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433.755</v>
      </c>
      <c r="H3" s="14"/>
      <c r="I3" s="14"/>
      <c r="J3" s="14"/>
      <c r="K3" s="13"/>
      <c r="L3" s="16">
        <f t="shared" ca="1" si="0"/>
        <v>433.755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94.5</v>
      </c>
      <c r="P3" s="13" cm="1">
        <f t="array" aca="1" ref="P3" ca="1">-INDIRECT("'data'!$I$" &amp; $A$1)*parameters!$B$13</f>
        <v>-528.255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4598.3453134796246</v>
      </c>
      <c r="H5" s="14"/>
      <c r="I5" s="14"/>
      <c r="J5" s="14"/>
      <c r="K5" s="13"/>
      <c r="L5" s="16">
        <f t="shared" ca="1" si="0"/>
        <v>4598.3453134796246</v>
      </c>
      <c r="M5" s="16"/>
      <c r="N5" s="16"/>
      <c r="O5" s="11" cm="1">
        <f t="array" aca="1" ref="O5" ca="1">INDIRECT("'data'!$M$" &amp; $A$1)*parameters!$B$15</f>
        <v>241.07999999999998</v>
      </c>
      <c r="P5" s="13" cm="1">
        <f t="array" aca="1" ref="P5" ca="1">-INDIRECT("'data'!$N$" &amp; $A$1)*parameters!$B$15</f>
        <v>-1345.54</v>
      </c>
      <c r="Q5" s="16">
        <f ca="1">SUM(L5:P5)</f>
        <v>3493.8853134796245</v>
      </c>
      <c r="R5" s="16">
        <f t="shared" ca="1" si="2"/>
        <v>3493.8853134796245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4815.72</v>
      </c>
      <c r="I7" s="14"/>
      <c r="J7" s="14"/>
      <c r="K7" s="13"/>
      <c r="L7" s="16">
        <f t="shared" ca="1" si="0"/>
        <v>4815.72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4815.72</v>
      </c>
      <c r="R7" s="16">
        <f t="shared" ca="1" si="2"/>
        <v>4815.72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4444.5532722892931</v>
      </c>
      <c r="J8" s="14">
        <f ca="1">Q10/J18</f>
        <v>4200.0267277107077</v>
      </c>
      <c r="K8" s="13"/>
      <c r="L8" s="16">
        <f t="shared" ca="1" si="0"/>
        <v>8644.5800000000017</v>
      </c>
      <c r="M8" s="16"/>
      <c r="N8" s="16">
        <f t="shared" ca="1" si="3"/>
        <v>0</v>
      </c>
      <c r="O8" s="11" cm="1">
        <f t="array" aca="1" ref="O8" ca="1">INDIRECT("'data'!$R$" &amp; $A$1)*parameters!$B$15</f>
        <v>17.64</v>
      </c>
      <c r="P8" s="13" cm="1">
        <f t="array" aca="1" ref="P8" ca="1">-INDIRECT("'data'!$S$" &amp; $A$1)*parameters!$B$15</f>
        <v>-3846.5</v>
      </c>
      <c r="Q8" s="16">
        <f ca="1">SUM(Q6:Q7)</f>
        <v>4815.72</v>
      </c>
      <c r="R8" s="16">
        <f t="shared" ca="1" si="2"/>
        <v>4815.7200000000012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4732.42</v>
      </c>
      <c r="L9" s="16">
        <f t="shared" ca="1" si="0"/>
        <v>4732.42</v>
      </c>
      <c r="M9" s="16"/>
      <c r="N9" s="16">
        <f t="shared" ca="1" si="3"/>
        <v>0</v>
      </c>
      <c r="O9" s="11" cm="1">
        <f t="array" aca="1" ref="O9" ca="1">INDIRECT("'data'!$U$" &amp; $A$1)*parameters!$B$15</f>
        <v>556.64</v>
      </c>
      <c r="P9" s="13" cm="1">
        <f t="array" aca="1" ref="P9" ca="1">-INDIRECT("'data'!$V$" &amp; $A$1)*parameters!$B$15</f>
        <v>-1131.9000000000001</v>
      </c>
      <c r="Q9" s="16" cm="1">
        <f t="array" aca="1" ref="Q9" ca="1">INDIRECT("'data'!$T$" &amp; $A$1)*parameters!$B$15</f>
        <v>4157.16</v>
      </c>
      <c r="R9" s="16">
        <f t="shared" ca="1" si="2"/>
        <v>4157.16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7071.3050071123762</v>
      </c>
      <c r="L10" s="16">
        <f t="shared" ca="1" si="0"/>
        <v>7071.3050071123762</v>
      </c>
      <c r="M10" s="16"/>
      <c r="N10" s="16">
        <f t="shared" ca="1" si="3"/>
        <v>0</v>
      </c>
      <c r="O10" s="11" cm="1">
        <f t="array" aca="1" ref="O10" ca="1">INDIRECT("'data'!$X$" &amp; $A$1)*parameters!$B$15</f>
        <v>1372.98</v>
      </c>
      <c r="P10" s="13" cm="1">
        <f t="array" aca="1" ref="P10" ca="1">-INDIRECT("'data'!$Y$" &amp; $A$1)*parameters!$B$15</f>
        <v>-4515.84</v>
      </c>
      <c r="Q10" s="16" cm="1">
        <f t="array" aca="1" ref="Q10" ca="1">INDIRECT("'data'!$W$" &amp; $A$1)*parameters!$B$15</f>
        <v>3928.4450071123756</v>
      </c>
      <c r="R10" s="16">
        <f t="shared" ca="1" si="2"/>
        <v>3928.4450071123756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9545.8771061166426</v>
      </c>
      <c r="N11" s="19"/>
      <c r="O11" s="21" cm="1">
        <f t="array" aca="1" ref="O11" ca="1">INDIRECT("'data'!$Z$" &amp; $A$1)*parameters!$B$15</f>
        <v>2695.98</v>
      </c>
      <c r="P11" s="27" cm="1">
        <f t="array" aca="1" ref="P11" ca="1">-INDIRECT("'data'!$AA$" &amp; $A$1)*parameters!$B$15</f>
        <v>-1712.06</v>
      </c>
      <c r="Q11" s="16">
        <f ca="1">K9*parameters!$B$10+K10*parameters!$B$11</f>
        <v>10529.797106116643</v>
      </c>
      <c r="R11" s="16">
        <f t="shared" ref="R11:R17" ca="1" si="4">SUM(L11:P11)</f>
        <v>10529.797106116643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-431.82852189073992</v>
      </c>
      <c r="F12" s="9">
        <f ca="1">-(F17-Q6)</f>
        <v>0</v>
      </c>
      <c r="G12" s="9">
        <f ca="1">-(G17-Q7)</f>
        <v>-216.38031347962442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-648.20883537036434</v>
      </c>
      <c r="M12" s="17"/>
      <c r="N12" s="17"/>
      <c r="O12" s="10"/>
      <c r="P12" s="12"/>
      <c r="Q12" s="9">
        <f t="shared" ref="Q12:Q17" ca="1" si="6">SUM(L12:P12)</f>
        <v>-648.20883537036434</v>
      </c>
      <c r="R12" s="17">
        <f t="shared" ca="1" si="4"/>
        <v>-648.20883537036434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-287.39327228929324</v>
      </c>
      <c r="J13" s="14">
        <f ca="1">-(J17-Q10)</f>
        <v>-271.58172059833214</v>
      </c>
      <c r="K13" s="13">
        <f ca="1">-(K17-Q11)</f>
        <v>-1273.9279009957336</v>
      </c>
      <c r="L13" s="14">
        <f t="shared" ca="1" si="5"/>
        <v>-1832.902893883359</v>
      </c>
      <c r="M13" s="16">
        <f ca="1">-E15</f>
        <v>-2092.8109414870055</v>
      </c>
      <c r="N13" s="16"/>
      <c r="O13" s="11"/>
      <c r="P13" s="13"/>
      <c r="Q13" s="14">
        <f t="shared" ca="1" si="6"/>
        <v>-3925.7138353703644</v>
      </c>
      <c r="R13" s="16">
        <f t="shared" ca="1" si="4"/>
        <v>-3925.7138353703644</v>
      </c>
    </row>
    <row r="14" spans="1:20">
      <c r="A14" s="18" t="s">
        <v>78</v>
      </c>
      <c r="B14" s="11"/>
      <c r="C14" s="14"/>
      <c r="D14" s="14"/>
      <c r="E14" s="14">
        <f ca="1">-(I13+J13)-K13</f>
        <v>1832.902893883359</v>
      </c>
      <c r="F14" s="14"/>
      <c r="G14" s="14"/>
      <c r="H14" s="14"/>
      <c r="I14" s="14"/>
      <c r="J14" s="14"/>
      <c r="K14" s="13"/>
      <c r="L14" s="14">
        <f t="shared" ca="1" si="5"/>
        <v>1832.902893883359</v>
      </c>
      <c r="M14" s="16"/>
      <c r="N14" s="16"/>
      <c r="O14" s="11"/>
      <c r="P14" s="13"/>
      <c r="Q14" s="14">
        <f t="shared" ca="1" si="6"/>
        <v>1832.902893883359</v>
      </c>
      <c r="R14" s="16">
        <f t="shared" ca="1" si="4"/>
        <v>1832.902893883359</v>
      </c>
    </row>
    <row r="15" spans="1:20">
      <c r="A15" s="18" t="s">
        <v>79</v>
      </c>
      <c r="B15" s="11"/>
      <c r="C15" s="14"/>
      <c r="D15" s="14"/>
      <c r="E15" s="14">
        <f ca="1">E17-E14</f>
        <v>2092.8109414870055</v>
      </c>
      <c r="F15" s="14"/>
      <c r="G15" s="14"/>
      <c r="H15" s="14"/>
      <c r="I15" s="14"/>
      <c r="J15" s="14"/>
      <c r="K15" s="13"/>
      <c r="L15" s="14">
        <f t="shared" ca="1" si="5"/>
        <v>2092.8109414870055</v>
      </c>
      <c r="M15" s="16"/>
      <c r="N15" s="16"/>
      <c r="O15" s="11"/>
      <c r="P15" s="13"/>
      <c r="Q15" s="14">
        <f t="shared" ca="1" si="6"/>
        <v>2092.8109414870055</v>
      </c>
      <c r="R15" s="16">
        <f t="shared" ca="1" si="4"/>
        <v>2092.8109414870055</v>
      </c>
    </row>
    <row r="16" spans="1:20">
      <c r="A16" s="30" t="s">
        <v>89</v>
      </c>
      <c r="B16" s="21">
        <f ca="1">Q2</f>
        <v>132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132</v>
      </c>
      <c r="M16" s="19"/>
      <c r="N16" s="19"/>
      <c r="O16" s="21"/>
      <c r="P16" s="27"/>
      <c r="Q16" s="22">
        <f t="shared" ca="1" si="6"/>
        <v>132</v>
      </c>
      <c r="R16" s="19">
        <f t="shared" ca="1" si="4"/>
        <v>132</v>
      </c>
    </row>
    <row r="17" spans="1:18">
      <c r="A17" s="29" t="s">
        <v>88</v>
      </c>
      <c r="B17" s="9">
        <f ca="1">B16</f>
        <v>132</v>
      </c>
      <c r="C17" s="9">
        <f ca="1">SUM(C$2:C$11)</f>
        <v>0</v>
      </c>
      <c r="D17" s="9">
        <f ca="1">SUM(D$2:D$11)</f>
        <v>0</v>
      </c>
      <c r="E17" s="9">
        <f ca="1">$Q$5/parameters!$B$4</f>
        <v>3925.7138353703644</v>
      </c>
      <c r="F17" s="9">
        <f t="shared" ref="F17:K17" ca="1" si="7">SUM(F$2:F$11)</f>
        <v>0</v>
      </c>
      <c r="G17" s="9">
        <f t="shared" ca="1" si="7"/>
        <v>5032.1003134796247</v>
      </c>
      <c r="H17" s="9">
        <f t="shared" ca="1" si="7"/>
        <v>4815.72</v>
      </c>
      <c r="I17" s="9">
        <f t="shared" ca="1" si="7"/>
        <v>4444.5532722892931</v>
      </c>
      <c r="J17" s="9">
        <f t="shared" ca="1" si="7"/>
        <v>4200.0267277107077</v>
      </c>
      <c r="K17" s="9">
        <f t="shared" ca="1" si="7"/>
        <v>11803.725007112376</v>
      </c>
      <c r="L17" s="17">
        <f t="shared" ca="1" si="5"/>
        <v>34353.839155962371</v>
      </c>
      <c r="M17" s="17"/>
      <c r="N17" s="17"/>
      <c r="O17" s="9"/>
      <c r="P17" s="14"/>
      <c r="Q17" s="11">
        <f t="shared" ca="1" si="6"/>
        <v>34353.839155962371</v>
      </c>
      <c r="R17" s="17">
        <f t="shared" ca="1" si="4"/>
        <v>34353.839155962371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0.93533809706340565</v>
      </c>
      <c r="J18" s="39">
        <f ca="1">I18</f>
        <v>0.93533809706340565</v>
      </c>
      <c r="K18" s="40">
        <f ca="1">1-(-K13)/K17</f>
        <v>0.89207407829069862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3401.69568280165</v>
      </c>
      <c r="D2" s="9">
        <f ca="1">Q4/parameters!$B$3</f>
        <v>114.80326054141088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3516.498943343061</v>
      </c>
      <c r="M2" s="17"/>
      <c r="N2" s="17">
        <f ca="1">Q2-(L2+O2+P2)</f>
        <v>0</v>
      </c>
      <c r="O2" s="11" cm="1">
        <f t="array" aca="1" ref="O2" ca="1">INDIRECT("'data'!$F$" &amp; $A$1)</f>
        <v>11965.85</v>
      </c>
      <c r="P2" s="13">
        <f ca="1">IF(-(L2-Q2+O2)&lt;0, -(L2-Q2+O2), 0)</f>
        <v>-482.34894334306045</v>
      </c>
      <c r="Q2" s="17" cm="1">
        <f t="array" aca="1" ref="Q2" ca="1">INDIRECT("'data'!$D$" &amp; $A$1)</f>
        <v>15000</v>
      </c>
      <c r="R2" s="17">
        <f ca="1">SUM(L2:P2)</f>
        <v>15000.000000000002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2996.4179104477612</v>
      </c>
      <c r="G3" s="14">
        <f ca="1">Q3-O3-P3-F3</f>
        <v>286.5120895522391</v>
      </c>
      <c r="H3" s="14"/>
      <c r="I3" s="14"/>
      <c r="J3" s="14"/>
      <c r="K3" s="13"/>
      <c r="L3" s="16">
        <f t="shared" ca="1" si="0"/>
        <v>3282.9300000000003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137.97</v>
      </c>
      <c r="P3" s="13" cm="1">
        <f t="array" aca="1" ref="P3" ca="1">-INDIRECT("'data'!$I$" &amp; $A$1)*parameters!$B$13</f>
        <v>-40.634999999999998</v>
      </c>
      <c r="Q3" s="16" cm="1">
        <f t="array" aca="1" ref="Q3" ca="1">INDIRECT("'data'!$G$" &amp; $A$1)*parameters!$B$13</f>
        <v>3380.2649999999999</v>
      </c>
      <c r="R3" s="16">
        <f t="shared" ref="R3:R10" ca="1" si="2">SUM(L3:P3)</f>
        <v>3380.2649999999999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106.72</v>
      </c>
      <c r="H4" s="14"/>
      <c r="I4" s="14"/>
      <c r="J4" s="14"/>
      <c r="K4" s="13"/>
      <c r="L4" s="16">
        <f t="shared" ca="1" si="0"/>
        <v>106.72</v>
      </c>
      <c r="M4" s="16"/>
      <c r="N4" s="16">
        <f t="shared" ca="1" si="1"/>
        <v>0</v>
      </c>
      <c r="O4" s="11" cm="1">
        <f t="array" aca="1" ref="O4" ca="1">INDIRECT("'data'!$K$" &amp; $A$1)*parameters!$B$14</f>
        <v>7.36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114.08</v>
      </c>
      <c r="R4" s="16">
        <f t="shared" ca="1" si="2"/>
        <v>114.08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749.1044776119403</v>
      </c>
      <c r="G5" s="14">
        <f ca="1">Q7/parameters!$B$7-(G3+G4)</f>
        <v>1532.9748069994851</v>
      </c>
      <c r="H5" s="14"/>
      <c r="I5" s="14"/>
      <c r="J5" s="14"/>
      <c r="K5" s="13"/>
      <c r="L5" s="16">
        <f t="shared" ca="1" si="0"/>
        <v>2282.0792846114255</v>
      </c>
      <c r="M5" s="16"/>
      <c r="N5" s="16"/>
      <c r="O5" s="11" cm="1">
        <f t="array" aca="1" ref="O5" ca="1">INDIRECT("'data'!$M$" &amp; $A$1)*parameters!$B$15</f>
        <v>833</v>
      </c>
      <c r="P5" s="13" cm="1">
        <f t="array" aca="1" ref="P5" ca="1">-INDIRECT("'data'!$N$" &amp; $A$1)*parameters!$B$15</f>
        <v>-274.39999999999998</v>
      </c>
      <c r="Q5" s="16">
        <f ca="1">SUM(L5:P5)</f>
        <v>2840.6792846114254</v>
      </c>
      <c r="R5" s="16">
        <f t="shared" ca="1" si="2"/>
        <v>2840.6792846114254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3513.2999999999997</v>
      </c>
      <c r="I6" s="14"/>
      <c r="J6" s="14"/>
      <c r="K6" s="13"/>
      <c r="L6" s="16">
        <f t="shared" ca="1" si="0"/>
        <v>3513.2999999999997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3513.2999999999997</v>
      </c>
      <c r="R6" s="16">
        <f t="shared" ca="1" si="2"/>
        <v>3513.2999999999997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1843.3799999999999</v>
      </c>
      <c r="I7" s="14"/>
      <c r="J7" s="14"/>
      <c r="K7" s="13"/>
      <c r="L7" s="16">
        <f t="shared" ca="1" si="0"/>
        <v>1843.3799999999999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1843.3799999999999</v>
      </c>
      <c r="R7" s="16">
        <f t="shared" ca="1" si="2"/>
        <v>1843.3799999999999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763.15597448148219</v>
      </c>
      <c r="J8" s="14">
        <f ca="1">Q10/J18</f>
        <v>4585.684025518517</v>
      </c>
      <c r="K8" s="13"/>
      <c r="L8" s="16">
        <f t="shared" ca="1" si="0"/>
        <v>5348.8399999999992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114.66</v>
      </c>
      <c r="P8" s="13" cm="1">
        <f t="array" aca="1" ref="P8" ca="1">-INDIRECT("'data'!$S$" &amp; $A$1)*parameters!$B$15</f>
        <v>-106.82</v>
      </c>
      <c r="Q8" s="16">
        <f ca="1">SUM(Q6:Q7)</f>
        <v>5356.6799999999994</v>
      </c>
      <c r="R8" s="16">
        <f t="shared" ca="1" si="2"/>
        <v>5356.6799999999994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920.21999999999991</v>
      </c>
      <c r="L9" s="16">
        <f t="shared" ca="1" si="0"/>
        <v>920.21999999999991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785.96</v>
      </c>
      <c r="P9" s="13" cm="1">
        <f t="array" aca="1" ref="P9" ca="1">-INDIRECT("'data'!$V$" &amp; $A$1)*parameters!$B$15</f>
        <v>-958.43999999999994</v>
      </c>
      <c r="Q9" s="16" cm="1">
        <f t="array" aca="1" ref="Q9" ca="1">INDIRECT("'data'!$T$" &amp; $A$1)*parameters!$B$15</f>
        <v>747.74</v>
      </c>
      <c r="R9" s="16">
        <f t="shared" ca="1" si="2"/>
        <v>747.7399999999999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3952.0918634423897</v>
      </c>
      <c r="L10" s="16">
        <f t="shared" ca="1" si="0"/>
        <v>3952.0918634423897</v>
      </c>
      <c r="M10" s="16"/>
      <c r="N10" s="16">
        <f t="shared" ca="1" si="3"/>
        <v>0</v>
      </c>
      <c r="O10" s="11" cm="1">
        <f t="array" aca="1" ref="O10" ca="1">INDIRECT("'data'!$X$" &amp; $A$1)*parameters!$B$15</f>
        <v>2712.64</v>
      </c>
      <c r="P10" s="13" cm="1">
        <f t="array" aca="1" ref="P10" ca="1">-INDIRECT("'data'!$Y$" &amp; $A$1)*parameters!$B$15</f>
        <v>-2171.6799999999998</v>
      </c>
      <c r="Q10" s="16" cm="1">
        <f t="array" aca="1" ref="Q10" ca="1">INDIRECT("'data'!$W$" &amp; $A$1)*parameters!$B$15</f>
        <v>4493.0518634423897</v>
      </c>
      <c r="R10" s="16">
        <f t="shared" ca="1" si="2"/>
        <v>4493.0518634423897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4571.5258025604553</v>
      </c>
      <c r="N11" s="19"/>
      <c r="O11" s="21" cm="1">
        <f t="array" aca="1" ref="O11" ca="1">INDIRECT("'data'!$Z$" &amp; $A$1)*parameters!$B$15</f>
        <v>2934.12</v>
      </c>
      <c r="P11" s="27" cm="1">
        <f t="array" aca="1" ref="P11" ca="1">-INDIRECT("'data'!$AA$" &amp; $A$1)*parameters!$B$15</f>
        <v>-3241.84</v>
      </c>
      <c r="Q11" s="16">
        <f ca="1">K9*parameters!$B$10+K10*parameters!$B$11</f>
        <v>4263.805802560455</v>
      </c>
      <c r="R11" s="16">
        <f t="shared" ref="R11:R17" ca="1" si="4">SUM(L11:P11)</f>
        <v>4263.805802560455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-21.430682801650164</v>
      </c>
      <c r="D12" s="9">
        <f ca="1">-(D17-Q4)</f>
        <v>-0.72326054141088036</v>
      </c>
      <c r="E12" s="9">
        <f ca="1">-(E17-Q5)</f>
        <v>-351.09519248006382</v>
      </c>
      <c r="F12" s="9">
        <f ca="1">-(F17-Q6)</f>
        <v>-232.22238805970164</v>
      </c>
      <c r="G12" s="9">
        <f ca="1">-(G17-Q7)</f>
        <v>-82.826896551724303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-688.29842043455074</v>
      </c>
      <c r="M12" s="17"/>
      <c r="N12" s="17"/>
      <c r="O12" s="10"/>
      <c r="P12" s="12"/>
      <c r="Q12" s="9">
        <f t="shared" ref="Q12:Q17" ca="1" si="6">SUM(L12:P12)</f>
        <v>-688.29842043455074</v>
      </c>
      <c r="R12" s="17">
        <f t="shared" ca="1" si="4"/>
        <v>-688.29842043455074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-15.415974481482181</v>
      </c>
      <c r="J13" s="14">
        <f ca="1">-(J17-Q10)</f>
        <v>-92.632162076127315</v>
      </c>
      <c r="K13" s="13">
        <f ca="1">-(K17-Q11)</f>
        <v>-608.5060608819349</v>
      </c>
      <c r="L13" s="14">
        <f t="shared" ca="1" si="5"/>
        <v>-716.5541974395444</v>
      </c>
      <c r="M13" s="16">
        <f ca="1">-E15</f>
        <v>-2475.220279651945</v>
      </c>
      <c r="N13" s="16"/>
      <c r="O13" s="11"/>
      <c r="P13" s="13"/>
      <c r="Q13" s="14">
        <f t="shared" ca="1" si="6"/>
        <v>-3191.7744770914896</v>
      </c>
      <c r="R13" s="16">
        <f t="shared" ca="1" si="4"/>
        <v>-3191.7744770914896</v>
      </c>
    </row>
    <row r="14" spans="1:20">
      <c r="A14" s="18" t="s">
        <v>78</v>
      </c>
      <c r="B14" s="11"/>
      <c r="C14" s="14"/>
      <c r="D14" s="14"/>
      <c r="E14" s="14">
        <f ca="1">-(I13+J13)-K13</f>
        <v>716.5541974395444</v>
      </c>
      <c r="F14" s="14"/>
      <c r="G14" s="14"/>
      <c r="H14" s="14"/>
      <c r="I14" s="14"/>
      <c r="J14" s="14"/>
      <c r="K14" s="13"/>
      <c r="L14" s="14">
        <f t="shared" ca="1" si="5"/>
        <v>716.5541974395444</v>
      </c>
      <c r="M14" s="16"/>
      <c r="N14" s="16"/>
      <c r="O14" s="11"/>
      <c r="P14" s="13"/>
      <c r="Q14" s="14">
        <f t="shared" ca="1" si="6"/>
        <v>716.5541974395444</v>
      </c>
      <c r="R14" s="16">
        <f t="shared" ca="1" si="4"/>
        <v>716.5541974395444</v>
      </c>
    </row>
    <row r="15" spans="1:20">
      <c r="A15" s="18" t="s">
        <v>79</v>
      </c>
      <c r="B15" s="11"/>
      <c r="C15" s="14"/>
      <c r="D15" s="14"/>
      <c r="E15" s="14">
        <f ca="1">E17-E14</f>
        <v>2475.220279651945</v>
      </c>
      <c r="F15" s="14"/>
      <c r="G15" s="14"/>
      <c r="H15" s="14"/>
      <c r="I15" s="14"/>
      <c r="J15" s="14"/>
      <c r="K15" s="13"/>
      <c r="L15" s="14">
        <f t="shared" ca="1" si="5"/>
        <v>2475.220279651945</v>
      </c>
      <c r="M15" s="16"/>
      <c r="N15" s="16"/>
      <c r="O15" s="11"/>
      <c r="P15" s="13"/>
      <c r="Q15" s="14">
        <f t="shared" ca="1" si="6"/>
        <v>2475.220279651945</v>
      </c>
      <c r="R15" s="16">
        <f t="shared" ca="1" si="4"/>
        <v>2475.220279651945</v>
      </c>
    </row>
    <row r="16" spans="1:20">
      <c r="A16" s="30" t="s">
        <v>89</v>
      </c>
      <c r="B16" s="21">
        <f ca="1">Q2</f>
        <v>15000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15000</v>
      </c>
      <c r="M16" s="19"/>
      <c r="N16" s="19"/>
      <c r="O16" s="21"/>
      <c r="P16" s="27"/>
      <c r="Q16" s="22">
        <f t="shared" ca="1" si="6"/>
        <v>15000</v>
      </c>
      <c r="R16" s="19">
        <f t="shared" ca="1" si="4"/>
        <v>15000</v>
      </c>
    </row>
    <row r="17" spans="1:18">
      <c r="A17" s="29" t="s">
        <v>88</v>
      </c>
      <c r="B17" s="9">
        <f ca="1">B16</f>
        <v>15000</v>
      </c>
      <c r="C17" s="9">
        <f ca="1">SUM(C$2:C$11)</f>
        <v>3401.69568280165</v>
      </c>
      <c r="D17" s="9">
        <f ca="1">SUM(D$2:D$11)</f>
        <v>114.80326054141088</v>
      </c>
      <c r="E17" s="9">
        <f ca="1">$Q$5/parameters!$B$4</f>
        <v>3191.7744770914892</v>
      </c>
      <c r="F17" s="9">
        <f t="shared" ref="F17:K17" ca="1" si="7">SUM(F$2:F$11)</f>
        <v>3745.5223880597014</v>
      </c>
      <c r="G17" s="9">
        <f t="shared" ca="1" si="7"/>
        <v>1926.2068965517242</v>
      </c>
      <c r="H17" s="9">
        <f t="shared" ca="1" si="7"/>
        <v>5356.6799999999994</v>
      </c>
      <c r="I17" s="9">
        <f t="shared" ca="1" si="7"/>
        <v>763.15597448148219</v>
      </c>
      <c r="J17" s="9">
        <f t="shared" ca="1" si="7"/>
        <v>4585.684025518517</v>
      </c>
      <c r="K17" s="9">
        <f t="shared" ca="1" si="7"/>
        <v>4872.3118634423899</v>
      </c>
      <c r="L17" s="17">
        <f t="shared" ca="1" si="5"/>
        <v>42957.834568488361</v>
      </c>
      <c r="M17" s="17"/>
      <c r="N17" s="17"/>
      <c r="O17" s="9"/>
      <c r="P17" s="14"/>
      <c r="Q17" s="11">
        <f t="shared" ca="1" si="6"/>
        <v>42957.834568488361</v>
      </c>
      <c r="R17" s="17">
        <f t="shared" ca="1" si="4"/>
        <v>42957.834568488361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0.97979970674807815</v>
      </c>
      <c r="J18" s="39">
        <f ca="1">I18</f>
        <v>0.97979970674807815</v>
      </c>
      <c r="K18" s="40">
        <f ca="1">1-(-K13)/K17</f>
        <v>0.87510937765547447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2024-08-12T09:15:47Z</dcterms:modified>
</cp:coreProperties>
</file>