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363136D0-8725-9746-BE1D-F4246A513E9B}" xr6:coauthVersionLast="47" xr6:coauthVersionMax="47" xr10:uidLastSave="{00000000-0000-0000-0000-000000000000}"/>
  <bookViews>
    <workbookView xWindow="0" yWindow="500" windowWidth="38400" windowHeight="21100" firstSheet="7" activeTab="23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5" l="1"/>
  <c r="J18" i="35" s="1"/>
  <c r="I18" i="27"/>
  <c r="J18" i="27"/>
  <c r="I18" i="15"/>
  <c r="J18" i="15"/>
  <c r="I18" i="21"/>
  <c r="J18" i="21"/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P5" i="37" a="1"/>
  <c r="O5" i="17" a="1"/>
  <c r="O11" i="24" a="1"/>
  <c r="P3" i="14" a="1"/>
  <c r="P4" i="38" a="1"/>
  <c r="O8" i="16" a="1"/>
  <c r="Q4" i="18" a="1"/>
  <c r="Q2" i="21" a="1"/>
  <c r="O10" i="36" a="1"/>
  <c r="Q2" i="26" a="1"/>
  <c r="P10" i="20" a="1"/>
  <c r="Q10" i="40" a="1"/>
  <c r="O4" i="34" a="1"/>
  <c r="P9" i="32" a="1"/>
  <c r="O9" i="17" a="1"/>
  <c r="O8" i="18" a="1"/>
  <c r="O11" i="32" a="1"/>
  <c r="Q7" i="11" a="1"/>
  <c r="P10" i="42" a="1"/>
  <c r="P9" i="42" a="1"/>
  <c r="Q9" i="21" a="1"/>
  <c r="P10" i="29" a="1"/>
  <c r="Q9" i="22" a="1"/>
  <c r="O8" i="43" a="1"/>
  <c r="Q7" i="39" a="1"/>
  <c r="O5" i="18" a="1"/>
  <c r="O8" i="14" a="1"/>
  <c r="O3" i="41" a="1"/>
  <c r="Q7" i="30" a="1"/>
  <c r="Q6" i="21" a="1"/>
  <c r="O3" i="16" a="1"/>
  <c r="O8" i="27" a="1"/>
  <c r="P4" i="23" a="1"/>
  <c r="Q9" i="32" a="1"/>
  <c r="Q3" i="33" a="1"/>
  <c r="Q3" i="32" a="1"/>
  <c r="Q7" i="26" a="1"/>
  <c r="P9" i="24" a="1"/>
  <c r="Q4" i="21" a="1"/>
  <c r="P10" i="31" a="1"/>
  <c r="Q9" i="40" a="1"/>
  <c r="O10" i="24" a="1"/>
  <c r="O9" i="21" a="1"/>
  <c r="O9" i="31" a="1"/>
  <c r="Q3" i="15" a="1"/>
  <c r="O2" i="39" a="1"/>
  <c r="O5" i="14" a="1"/>
  <c r="Q9" i="34" a="1"/>
  <c r="P11" i="22" a="1"/>
  <c r="O9" i="18" a="1"/>
  <c r="O10" i="33" a="1"/>
  <c r="Q7" i="33" a="1"/>
  <c r="O5" i="40" a="1"/>
  <c r="Q7" i="35" a="1"/>
  <c r="O10" i="43" a="1"/>
  <c r="Q6" i="40" a="1"/>
  <c r="O8" i="22" a="1"/>
  <c r="O5" i="36" a="1"/>
  <c r="P5" i="14" a="1"/>
  <c r="Q9" i="33" a="1"/>
  <c r="P10" i="16" a="1"/>
  <c r="P9" i="16" a="1"/>
  <c r="P10" i="21" a="1"/>
  <c r="O2" i="35" a="1"/>
  <c r="Q3" i="20" a="1"/>
  <c r="O10" i="22" a="1"/>
  <c r="Q9" i="15" a="1"/>
  <c r="P11" i="19" a="1"/>
  <c r="Q4" i="11" a="1"/>
  <c r="Q4" i="43" a="1"/>
  <c r="P3" i="24" a="1"/>
  <c r="O10" i="29" a="1"/>
  <c r="O2" i="18" a="1"/>
  <c r="Q9" i="28" a="1"/>
  <c r="P9" i="28" a="1"/>
  <c r="Q7" i="14" a="1"/>
  <c r="O2" i="21" a="1"/>
  <c r="O8" i="34" a="1"/>
  <c r="Q6" i="41" a="1"/>
  <c r="Q2" i="33" a="1"/>
  <c r="P3" i="17" a="1"/>
  <c r="Q3" i="42" a="1"/>
  <c r="P9" i="35" a="1"/>
  <c r="O4" i="24" a="1"/>
  <c r="P5" i="27" a="1"/>
  <c r="P4" i="34" a="1"/>
  <c r="O2" i="23" a="1"/>
  <c r="O3" i="31" a="1"/>
  <c r="O5" i="31" a="1"/>
  <c r="P3" i="30" a="1"/>
  <c r="Q3" i="36" a="1"/>
  <c r="Q9" i="37" a="1"/>
  <c r="Q10" i="27" a="1"/>
  <c r="O4" i="32" a="1"/>
  <c r="P4" i="24" a="1"/>
  <c r="P10" i="28" a="1"/>
  <c r="P4" i="43" a="1"/>
  <c r="P11" i="26" a="1"/>
  <c r="O8" i="30" a="1"/>
  <c r="P8" i="43" a="1"/>
  <c r="P5" i="38" a="1"/>
  <c r="P3" i="40" a="1"/>
  <c r="P9" i="11" a="1"/>
  <c r="O9" i="41" a="1"/>
  <c r="O8" i="36" a="1"/>
  <c r="Q7" i="38" a="1"/>
  <c r="Q4" i="19" a="1"/>
  <c r="P9" i="36" a="1"/>
  <c r="Q6" i="18" a="1"/>
  <c r="Q2" i="37" a="1"/>
  <c r="O3" i="19" a="1"/>
  <c r="Q2" i="24" a="1"/>
  <c r="P5" i="41" a="1"/>
  <c r="Q2" i="16" a="1"/>
  <c r="P11" i="11" a="1"/>
  <c r="O8" i="26" a="1"/>
  <c r="P11" i="41" a="1"/>
  <c r="P9" i="43" a="1"/>
  <c r="P8" i="39" a="1"/>
  <c r="Q9" i="26" a="1"/>
  <c r="O2" i="43" a="1"/>
  <c r="P5" i="42" a="1"/>
  <c r="Q9" i="11" a="1"/>
  <c r="O11" i="17" a="1"/>
  <c r="P3" i="37" a="1"/>
  <c r="P4" i="40" a="1"/>
  <c r="Q6" i="15" a="1"/>
  <c r="Q6" i="26" a="1"/>
  <c r="Q10" i="33" a="1"/>
  <c r="O9" i="24" a="1"/>
  <c r="O4" i="11" a="1"/>
  <c r="Q3" i="35" a="1"/>
  <c r="P4" i="20" a="1"/>
  <c r="P11" i="15" a="1"/>
  <c r="Q9" i="16" a="1"/>
  <c r="P5" i="35" a="1"/>
  <c r="Q9" i="24" a="1"/>
  <c r="O2" i="34" a="1"/>
  <c r="Q2" i="42" a="1"/>
  <c r="Q10" i="31" a="1"/>
  <c r="Q3" i="11" a="1"/>
  <c r="P8" i="33" a="1"/>
  <c r="Q6" i="14" a="1"/>
  <c r="O10" i="15" a="1"/>
  <c r="P11" i="16" a="1"/>
  <c r="O5" i="37" a="1"/>
  <c r="O11" i="33" a="1"/>
  <c r="P3" i="41" a="1"/>
  <c r="O10" i="32" a="1"/>
  <c r="O9" i="33" a="1"/>
  <c r="Q7" i="15" a="1"/>
  <c r="O8" i="39" a="1"/>
  <c r="O9" i="20" a="1"/>
  <c r="O8" i="29" a="1"/>
  <c r="P3" i="33" a="1"/>
  <c r="Q9" i="30" a="1"/>
  <c r="Q9" i="42" a="1"/>
  <c r="Q4" i="41" a="1"/>
  <c r="Q6" i="43" a="1"/>
  <c r="P10" i="30" a="1"/>
  <c r="O8" i="41" a="1"/>
  <c r="P8" i="42" a="1"/>
  <c r="P9" i="34" a="1"/>
  <c r="O9" i="40" a="1"/>
  <c r="O8" i="20" a="1"/>
  <c r="O4" i="36" a="1"/>
  <c r="O5" i="43" a="1"/>
  <c r="O5" i="39" a="1"/>
  <c r="Q3" i="23" a="1"/>
  <c r="O11" i="22" a="1"/>
  <c r="O2" i="38" a="1"/>
  <c r="P9" i="40" a="1"/>
  <c r="P4" i="42" a="1"/>
  <c r="O3" i="11" a="1"/>
  <c r="O3" i="42" a="1"/>
  <c r="P5" i="23" a="1"/>
  <c r="P5" i="28" a="1"/>
  <c r="P5" i="33" a="1"/>
  <c r="P9" i="20" a="1"/>
  <c r="P9" i="21" a="1"/>
  <c r="O9" i="32" a="1"/>
  <c r="Q9" i="36" a="1"/>
  <c r="Q9" i="18" a="1"/>
  <c r="Q4" i="37" a="1"/>
  <c r="O9" i="36" a="1"/>
  <c r="Q10" i="18" a="1"/>
  <c r="O2" i="40" a="1"/>
  <c r="O11" i="30" a="1"/>
  <c r="O11" i="36" a="1"/>
  <c r="O9" i="14" a="1"/>
  <c r="Q6" i="28" a="1"/>
  <c r="P11" i="31" a="1"/>
  <c r="P10" i="18" a="1"/>
  <c r="Q2" i="41" a="1"/>
  <c r="Q7" i="43" a="1"/>
  <c r="Q7" i="27" a="1"/>
  <c r="Q10" i="17" a="1"/>
  <c r="O9" i="29" a="1"/>
  <c r="P5" i="22" a="1"/>
  <c r="O4" i="28" a="1"/>
  <c r="O4" i="39" a="1"/>
  <c r="O2" i="17" a="1"/>
  <c r="P4" i="36" a="1"/>
  <c r="P5" i="30" a="1"/>
  <c r="Q3" i="43" a="1"/>
  <c r="O11" i="23" a="1"/>
  <c r="P5" i="36" a="1"/>
  <c r="P5" i="40" a="1"/>
  <c r="O9" i="22" a="1"/>
  <c r="P5" i="43" a="1"/>
  <c r="Q3" i="22" a="1"/>
  <c r="Q3" i="40" a="1"/>
  <c r="Q4" i="26" a="1"/>
  <c r="P3" i="32" a="1"/>
  <c r="O11" i="39" a="1"/>
  <c r="O9" i="15" a="1"/>
  <c r="P4" i="37" a="1"/>
  <c r="Q3" i="14" a="1"/>
  <c r="O5" i="20" a="1"/>
  <c r="Q2" i="34" a="1"/>
  <c r="O5" i="11" a="1"/>
  <c r="Q2" i="31" a="1"/>
  <c r="P4" i="35" a="1"/>
  <c r="O3" i="20" a="1"/>
  <c r="Q7" i="40" a="1"/>
  <c r="O2" i="24" a="1"/>
  <c r="P10" i="33" a="1"/>
  <c r="P11" i="27" a="1"/>
  <c r="O11" i="38" a="1"/>
  <c r="P8" i="38" a="1"/>
  <c r="Q7" i="41" a="1"/>
  <c r="O3" i="43" a="1"/>
  <c r="O3" i="21" a="1"/>
  <c r="P11" i="23" a="1"/>
  <c r="P3" i="36" a="1"/>
  <c r="O3" i="22" a="1"/>
  <c r="O3" i="39" a="1"/>
  <c r="P8" i="21" a="1"/>
  <c r="Q9" i="29" a="1"/>
  <c r="Q7" i="17" a="1"/>
  <c r="P3" i="38" a="1"/>
  <c r="P11" i="34" a="1"/>
  <c r="O2" i="29" a="1"/>
  <c r="O5" i="32" a="1"/>
  <c r="P4" i="41" a="1"/>
  <c r="O5" i="27" a="1"/>
  <c r="P11" i="43" a="1"/>
  <c r="O11" i="28" a="1"/>
  <c r="Q3" i="26" a="1"/>
  <c r="O10" i="17" a="1"/>
  <c r="P8" i="18" a="1"/>
  <c r="Q4" i="33" a="1"/>
  <c r="P10" i="36" a="1"/>
  <c r="Q9" i="41" a="1"/>
  <c r="P3" i="19" a="1"/>
  <c r="P5" i="11" a="1"/>
  <c r="O2" i="20" a="1"/>
  <c r="Q10" i="22" a="1"/>
  <c r="Q6" i="33" a="1"/>
  <c r="Q3" i="17" a="1"/>
  <c r="P8" i="22" a="1"/>
  <c r="P9" i="41" a="1"/>
  <c r="O5" i="24" a="1"/>
  <c r="P3" i="16" a="1"/>
  <c r="O4" i="29" a="1"/>
  <c r="O3" i="14" a="1"/>
  <c r="O3" i="38" a="1"/>
  <c r="P8" i="15" a="1"/>
  <c r="O8" i="15" a="1"/>
  <c r="Q3" i="29" a="1"/>
  <c r="Q10" i="41" a="1"/>
  <c r="Q10" i="35" a="1"/>
  <c r="O9" i="42" a="1"/>
  <c r="Q3" i="37" a="1"/>
  <c r="Q10" i="36" a="1"/>
  <c r="O2" i="11" a="1"/>
  <c r="P11" i="39" a="1"/>
  <c r="O2" i="28" a="1"/>
  <c r="O11" i="26" a="1"/>
  <c r="O8" i="37" a="1"/>
  <c r="P8" i="41" a="1"/>
  <c r="P4" i="21" a="1"/>
  <c r="O5" i="29" a="1"/>
  <c r="O4" i="30" a="1"/>
  <c r="O10" i="18" a="1"/>
  <c r="Q9" i="20" a="1"/>
  <c r="O4" i="26" a="1"/>
  <c r="Q4" i="20" a="1"/>
  <c r="O8" i="23" a="1"/>
  <c r="O8" i="32" a="1"/>
  <c r="Q4" i="27" a="1"/>
  <c r="O9" i="11" a="1"/>
  <c r="Q6" i="32" a="1"/>
  <c r="Q3" i="21" a="1"/>
  <c r="P10" i="17" a="1"/>
  <c r="Q2" i="15" a="1"/>
  <c r="P5" i="21" a="1"/>
  <c r="Q4" i="39" a="1"/>
  <c r="O9" i="43" a="1"/>
  <c r="Q4" i="23" a="1"/>
  <c r="O11" i="34" a="1"/>
  <c r="O5" i="34" a="1"/>
  <c r="P8" i="29" a="1"/>
  <c r="Q7" i="28" a="1"/>
  <c r="O10" i="20" a="1"/>
  <c r="Q10" i="32" a="1"/>
  <c r="O3" i="27" a="1"/>
  <c r="O10" i="37" a="1"/>
  <c r="O3" i="17" a="1"/>
  <c r="O3" i="29" a="1"/>
  <c r="P9" i="26" a="1"/>
  <c r="Q6" i="29" a="1"/>
  <c r="O8" i="38" a="1"/>
  <c r="O10" i="28" a="1"/>
  <c r="P8" i="24" a="1"/>
  <c r="P3" i="23" a="1"/>
  <c r="P4" i="33" a="1"/>
  <c r="P11" i="33" a="1"/>
  <c r="Q4" i="38" a="1"/>
  <c r="Q4" i="31" a="1"/>
  <c r="O2" i="33" a="1"/>
  <c r="Q2" i="35" a="1"/>
  <c r="P5" i="19" a="1"/>
  <c r="Q7" i="16" a="1"/>
  <c r="Q2" i="40" a="1"/>
  <c r="P8" i="36" a="1"/>
  <c r="Q3" i="39" a="1"/>
  <c r="P4" i="15" a="1"/>
  <c r="O5" i="42" a="1"/>
  <c r="P9" i="19" a="1"/>
  <c r="O11" i="43" a="1"/>
  <c r="O4" i="31" a="1"/>
  <c r="P10" i="37" a="1"/>
  <c r="O10" i="39" a="1"/>
  <c r="O11" i="14" a="1"/>
  <c r="O5" i="21" a="1"/>
  <c r="P9" i="18" a="1"/>
  <c r="O2" i="26" a="1"/>
  <c r="P9" i="29" a="1"/>
  <c r="O10" i="41" a="1"/>
  <c r="O10" i="26" a="1"/>
  <c r="Q10" i="21" a="1"/>
  <c r="Q10" i="30" a="1"/>
  <c r="P3" i="21" a="1"/>
  <c r="P5" i="32" a="1"/>
  <c r="O5" i="30" a="1"/>
  <c r="Q10" i="20" a="1"/>
  <c r="O8" i="28" a="1"/>
  <c r="O3" i="15" a="1"/>
  <c r="P8" i="27" a="1"/>
  <c r="Q10" i="19" a="1"/>
  <c r="P10" i="26" a="1"/>
  <c r="O2" i="37" a="1"/>
  <c r="Q10" i="37" a="1"/>
  <c r="Q10" i="29" a="1"/>
  <c r="O8" i="21" a="1"/>
  <c r="P11" i="18" a="1"/>
  <c r="P11" i="28" a="1"/>
  <c r="O3" i="37" a="1"/>
  <c r="Q9" i="17" a="1"/>
  <c r="O11" i="35" a="1"/>
  <c r="P11" i="42" a="1"/>
  <c r="O3" i="33" a="1"/>
  <c r="O5" i="38" a="1"/>
  <c r="Q4" i="36" a="1"/>
  <c r="Q4" i="42" a="1"/>
  <c r="O10" i="27" a="1"/>
  <c r="O11" i="41" a="1"/>
  <c r="O2" i="16" a="1"/>
  <c r="Q7" i="21" a="1"/>
  <c r="P4" i="30" a="1"/>
  <c r="O5" i="35" a="1"/>
  <c r="P8" i="34" a="1"/>
  <c r="O4" i="21" a="1"/>
  <c r="P11" i="29" a="1"/>
  <c r="Q6" i="38" a="1"/>
  <c r="P3" i="15" a="1"/>
  <c r="O2" i="42" a="1"/>
  <c r="Q10" i="14" a="1"/>
  <c r="O5" i="15" a="1"/>
  <c r="Q10" i="38" a="1"/>
  <c r="P4" i="31" a="1"/>
  <c r="P9" i="37" a="1"/>
  <c r="Q2" i="43" a="1"/>
  <c r="P11" i="32" a="1"/>
  <c r="P5" i="31" a="1"/>
  <c r="Q9" i="27" a="1"/>
  <c r="P8" i="23" a="1"/>
  <c r="P9" i="38" a="1"/>
  <c r="P4" i="18" a="1"/>
  <c r="O10" i="11" a="1"/>
  <c r="P4" i="29" a="1"/>
  <c r="O10" i="14" a="1"/>
  <c r="Q4" i="34" a="1"/>
  <c r="O10" i="42" a="1"/>
  <c r="P8" i="19" a="1"/>
  <c r="Q3" i="30" a="1"/>
  <c r="O3" i="26" a="1"/>
  <c r="Q4" i="40" a="1"/>
  <c r="Q4" i="28" a="1"/>
  <c r="Q2" i="30" a="1"/>
  <c r="P3" i="20" a="1"/>
  <c r="P4" i="16" a="1"/>
  <c r="Q10" i="15" a="1"/>
  <c r="P4" i="19" a="1"/>
  <c r="O9" i="34" a="1"/>
  <c r="P5" i="29" a="1"/>
  <c r="Q2" i="22" a="1"/>
  <c r="P3" i="31" a="1"/>
  <c r="O2" i="19" a="1"/>
  <c r="P11" i="37" a="1"/>
  <c r="P8" i="31" a="1"/>
  <c r="Q6" i="17" a="1"/>
  <c r="O11" i="37" a="1"/>
  <c r="O8" i="24" a="1"/>
  <c r="Q10" i="43" a="1"/>
  <c r="O11" i="29" a="1"/>
  <c r="O4" i="14" a="1"/>
  <c r="O5" i="16" a="1"/>
  <c r="P11" i="38" a="1"/>
  <c r="Q4" i="32" a="1"/>
  <c r="Q6" i="37" a="1"/>
  <c r="P8" i="30" a="1"/>
  <c r="Q4" i="29" a="1"/>
  <c r="Q7" i="31" a="1"/>
  <c r="Q4" i="22" a="1"/>
  <c r="Q10" i="23" a="1"/>
  <c r="Q6" i="16" a="1"/>
  <c r="O8" i="35" a="1"/>
  <c r="P10" i="35" a="1"/>
  <c r="O11" i="19" a="1"/>
  <c r="O4" i="16" a="1"/>
  <c r="Q3" i="19" a="1"/>
  <c r="Q3" i="24" a="1"/>
  <c r="Q3" i="27" a="1"/>
  <c r="O8" i="19" a="1"/>
  <c r="O3" i="23" a="1"/>
  <c r="O5" i="26" a="1"/>
  <c r="O5" i="28" a="1"/>
  <c r="Q4" i="16" a="1"/>
  <c r="Q2" i="20" a="1"/>
  <c r="Q4" i="30" a="1"/>
  <c r="O8" i="33" a="1"/>
  <c r="Q2" i="11" a="1"/>
  <c r="O4" i="19" a="1"/>
  <c r="Q9" i="23" a="1"/>
  <c r="P11" i="20" a="1"/>
  <c r="P3" i="34" a="1"/>
  <c r="P3" i="39" a="1"/>
  <c r="Q3" i="16" a="1"/>
  <c r="P3" i="29" a="1"/>
  <c r="Q9" i="14" a="1"/>
  <c r="Q10" i="39" a="1"/>
  <c r="Q10" i="34" a="1"/>
  <c r="O4" i="38" a="1"/>
  <c r="Q2" i="17" a="1"/>
  <c r="O2" i="31" a="1"/>
  <c r="O2" i="30" a="1"/>
  <c r="P4" i="32" a="1"/>
  <c r="P8" i="14" a="1"/>
  <c r="Q6" i="42" a="1"/>
  <c r="O3" i="18" a="1"/>
  <c r="Q9" i="19" a="1"/>
  <c r="Q3" i="38" a="1"/>
  <c r="Q2" i="27" a="1"/>
  <c r="O10" i="16" a="1"/>
  <c r="Q2" i="23" a="1"/>
  <c r="P8" i="40" a="1"/>
  <c r="P5" i="24" a="1"/>
  <c r="P10" i="27" a="1"/>
  <c r="P9" i="23" a="1"/>
  <c r="Q2" i="36" a="1"/>
  <c r="Q2" i="38" a="1"/>
  <c r="P8" i="11" a="1"/>
  <c r="O2" i="14" a="1"/>
  <c r="P9" i="33" a="1"/>
  <c r="Q4" i="35" a="1"/>
  <c r="O9" i="38" a="1"/>
  <c r="P3" i="26" a="1"/>
  <c r="Q7" i="24" a="1"/>
  <c r="O2" i="22" a="1"/>
  <c r="O11" i="42" a="1"/>
  <c r="O8" i="40" a="1"/>
  <c r="P3" i="11" a="1"/>
  <c r="O4" i="35" a="1"/>
  <c r="P4" i="11" a="1"/>
  <c r="P9" i="17" a="1"/>
  <c r="O10" i="38" a="1"/>
  <c r="P8" i="17" a="1"/>
  <c r="Q9" i="43" a="1"/>
  <c r="Q10" i="11" a="1"/>
  <c r="O8" i="17" a="1"/>
  <c r="Q7" i="32" a="1"/>
  <c r="Q6" i="23" a="1"/>
  <c r="O9" i="30" a="1"/>
  <c r="P8" i="35" a="1"/>
  <c r="P9" i="15" a="1"/>
  <c r="O3" i="34" a="1"/>
  <c r="P4" i="14" a="1"/>
  <c r="P11" i="36" a="1"/>
  <c r="O4" i="41" a="1"/>
  <c r="P10" i="39" a="1"/>
  <c r="P8" i="16" a="1"/>
  <c r="P5" i="20" a="1"/>
  <c r="Q6" i="35" a="1"/>
  <c r="O4" i="18" a="1"/>
  <c r="O10" i="23" a="1"/>
  <c r="O2" i="27" a="1"/>
  <c r="O8" i="11" a="1"/>
  <c r="P10" i="15" a="1"/>
  <c r="Q7" i="18" a="1"/>
  <c r="P11" i="35" a="1"/>
  <c r="O4" i="15" a="1"/>
  <c r="O2" i="15" a="1"/>
  <c r="P10" i="24" a="1"/>
  <c r="O5" i="19" a="1"/>
  <c r="O4" i="23" a="1"/>
  <c r="Q2" i="29" a="1"/>
  <c r="Q7" i="36" a="1"/>
  <c r="O2" i="36" a="1"/>
  <c r="O4" i="37" a="1"/>
  <c r="P10" i="38" a="1"/>
  <c r="Q9" i="39" a="1"/>
  <c r="P5" i="34" a="1"/>
  <c r="O9" i="35" a="1"/>
  <c r="P4" i="28" a="1"/>
  <c r="O3" i="35" a="1"/>
  <c r="P10" i="32" a="1"/>
  <c r="P3" i="22" a="1"/>
  <c r="Q7" i="34" a="1"/>
  <c r="Q9" i="31" a="1"/>
  <c r="O9" i="28" a="1"/>
  <c r="Q9" i="35" a="1"/>
  <c r="O3" i="40" a="1"/>
  <c r="O9" i="26" a="1"/>
  <c r="Q10" i="28" a="1"/>
  <c r="O11" i="15" a="1"/>
  <c r="P3" i="42" a="1"/>
  <c r="Q6" i="24" a="1"/>
  <c r="O4" i="43" a="1"/>
  <c r="O4" i="33" a="1"/>
  <c r="O11" i="31" a="1"/>
  <c r="O3" i="28" a="1"/>
  <c r="Q10" i="24" a="1"/>
  <c r="O11" i="18" a="1"/>
  <c r="P11" i="30" a="1"/>
  <c r="O11" i="20" a="1"/>
  <c r="P10" i="11" a="1"/>
  <c r="Q10" i="16" a="1"/>
  <c r="P3" i="27" a="1"/>
  <c r="O9" i="23" a="1"/>
  <c r="Q7" i="37" a="1"/>
  <c r="Q7" i="42" a="1"/>
  <c r="P11" i="40" a="1"/>
  <c r="O11" i="11" a="1"/>
  <c r="O11" i="16" a="1"/>
  <c r="P4" i="22" a="1"/>
  <c r="O9" i="16" a="1"/>
  <c r="O10" i="21" a="1"/>
  <c r="P11" i="17" a="1"/>
  <c r="P5" i="26" a="1"/>
  <c r="Q10" i="42" a="1"/>
  <c r="O11" i="27" a="1"/>
  <c r="Q7" i="23" a="1"/>
  <c r="O3" i="36" a="1"/>
  <c r="O10" i="31" a="1"/>
  <c r="Q6" i="11" a="1"/>
  <c r="Q4" i="24" a="1"/>
  <c r="P10" i="23" a="1"/>
  <c r="O10" i="30" a="1"/>
  <c r="Q7" i="19" a="1"/>
  <c r="P11" i="14" a="1"/>
  <c r="O11" i="40" a="1"/>
  <c r="P9" i="31" a="1"/>
  <c r="Q2" i="28" a="1"/>
  <c r="P10" i="34" a="1"/>
  <c r="Q6" i="30" a="1"/>
  <c r="Q2" i="14" a="1"/>
  <c r="O4" i="17" a="1"/>
  <c r="Q2" i="39" a="1"/>
  <c r="P11" i="21" a="1"/>
  <c r="O5" i="23" a="1"/>
  <c r="O2" i="41" a="1"/>
  <c r="O5" i="41" a="1"/>
  <c r="Q6" i="31" a="1"/>
  <c r="O4" i="40" a="1"/>
  <c r="Q2" i="18" a="1"/>
  <c r="O5" i="22" a="1"/>
  <c r="Q6" i="39" a="1"/>
  <c r="P9" i="39" a="1"/>
  <c r="Q6" i="19" a="1"/>
  <c r="Q4" i="15" a="1"/>
  <c r="Q10" i="26" a="1"/>
  <c r="P5" i="39" a="1"/>
  <c r="P9" i="22" a="1"/>
  <c r="O9" i="27" a="1"/>
  <c r="P4" i="17" a="1"/>
  <c r="O9" i="37" a="1"/>
  <c r="P3" i="28" a="1"/>
  <c r="P3" i="18" a="1"/>
  <c r="O10" i="35" a="1"/>
  <c r="O10" i="40" a="1"/>
  <c r="P9" i="14" a="1"/>
  <c r="P3" i="43" a="1"/>
  <c r="Q6" i="36" a="1"/>
  <c r="P10" i="19" a="1"/>
  <c r="O5" i="33" a="1"/>
  <c r="O3" i="30" a="1"/>
  <c r="Q9" i="38" a="1"/>
  <c r="O4" i="22" a="1"/>
  <c r="P8" i="28" a="1"/>
  <c r="O3" i="32" a="1"/>
  <c r="Q6" i="34" a="1"/>
  <c r="P8" i="32" a="1"/>
  <c r="O2" i="32" a="1"/>
  <c r="P10" i="14" a="1"/>
  <c r="O8" i="31" a="1"/>
  <c r="O3" i="24" a="1"/>
  <c r="Q3" i="41" a="1"/>
  <c r="P4" i="26" a="1"/>
  <c r="O10" i="34" a="1"/>
  <c r="P3" i="35" a="1"/>
  <c r="O11" i="21" a="1"/>
  <c r="P9" i="30" a="1"/>
  <c r="P10" i="22" a="1"/>
  <c r="Q6" i="27" a="1"/>
  <c r="O9" i="39" a="1"/>
  <c r="P4" i="39" a="1"/>
  <c r="P5" i="15" a="1"/>
  <c r="P10" i="40" a="1"/>
  <c r="O9" i="19" a="1"/>
  <c r="Q3" i="28" a="1"/>
  <c r="Q3" i="34" a="1"/>
  <c r="O4" i="27" a="1"/>
  <c r="O4" i="20" a="1"/>
  <c r="P11" i="24" a="1"/>
  <c r="P5" i="18" a="1"/>
  <c r="Q2" i="32" a="1"/>
  <c r="P9" i="27" a="1"/>
  <c r="P8" i="26" a="1"/>
  <c r="Q7" i="29" a="1"/>
  <c r="P10" i="41" a="1"/>
  <c r="P10" i="43" a="1"/>
  <c r="O8" i="42" a="1"/>
  <c r="Q3" i="31" a="1"/>
  <c r="Q6" i="22" a="1"/>
  <c r="P4" i="27" a="1"/>
  <c r="Q4" i="14" a="1"/>
  <c r="P5" i="16" a="1"/>
  <c r="O10" i="19" a="1"/>
  <c r="Q3" i="18" a="1"/>
  <c r="Q2" i="19" a="1"/>
  <c r="O4" i="42" a="1"/>
  <c r="Q7" i="20" a="1"/>
  <c r="P5" i="17" a="1"/>
  <c r="P8" i="37" a="1"/>
  <c r="Q4" i="17" a="1"/>
  <c r="P8" i="20" a="1"/>
  <c r="Q7" i="22" a="1"/>
  <c r="Q6" i="19" l="1"/>
  <c r="F5" i="19" s="1"/>
  <c r="Q6" i="35"/>
  <c r="F5" i="35" s="1"/>
  <c r="Q6" i="26"/>
  <c r="Q6" i="43"/>
  <c r="Q6" i="34"/>
  <c r="Q6" i="15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F5" i="39" s="1"/>
  <c r="Q6" i="30"/>
  <c r="Q6" i="21"/>
  <c r="F5" i="21" s="1"/>
  <c r="Q6" i="38"/>
  <c r="Q6" i="29"/>
  <c r="Q6" i="11"/>
  <c r="F5" i="11" s="1"/>
  <c r="Q6" i="37"/>
  <c r="Q6" i="28"/>
  <c r="Q6" i="17"/>
  <c r="F5" i="17" s="1"/>
  <c r="Q6" i="36"/>
  <c r="F5" i="36" s="1"/>
  <c r="Q6" i="27"/>
  <c r="F5" i="27" s="1"/>
  <c r="Q6" i="20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O11" i="34"/>
  <c r="Q9" i="33"/>
  <c r="Q2" i="18"/>
  <c r="B16" i="18" s="1"/>
  <c r="B17" i="18" s="1"/>
  <c r="B12" i="18" s="1"/>
  <c r="B18" i="18" s="1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K9" i="35" l="1"/>
  <c r="I8" i="35"/>
  <c r="I17" i="35" s="1"/>
  <c r="I13" i="35" s="1"/>
  <c r="G3" i="35"/>
  <c r="C2" i="35"/>
  <c r="C17" i="35" s="1"/>
  <c r="C12" i="35" s="1"/>
  <c r="C18" i="35" s="1"/>
  <c r="H7" i="35"/>
  <c r="K10" i="35"/>
  <c r="J8" i="35"/>
  <c r="J17" i="35" s="1"/>
  <c r="J13" i="35" s="1"/>
  <c r="D2" i="35"/>
  <c r="D17" i="35" s="1"/>
  <c r="D12" i="35" s="1"/>
  <c r="D18" i="35" s="1"/>
  <c r="G4" i="35"/>
  <c r="G5" i="35" s="1"/>
  <c r="F3" i="35"/>
  <c r="F17" i="35" s="1"/>
  <c r="F12" i="35" s="1"/>
  <c r="F18" i="35" s="1"/>
  <c r="H6" i="35"/>
  <c r="F3" i="39"/>
  <c r="G3" i="39" s="1"/>
  <c r="G5" i="39" s="1"/>
  <c r="F5" i="34"/>
  <c r="F3" i="34" s="1"/>
  <c r="G3" i="34" s="1"/>
  <c r="F5" i="18"/>
  <c r="F3" i="18" s="1"/>
  <c r="G3" i="18" s="1"/>
  <c r="F5" i="20"/>
  <c r="F3" i="20" s="1"/>
  <c r="G3" i="20" s="1"/>
  <c r="K10" i="18"/>
  <c r="D2" i="18"/>
  <c r="D17" i="18" s="1"/>
  <c r="D12" i="18" s="1"/>
  <c r="D18" i="18" s="1"/>
  <c r="C2" i="18"/>
  <c r="C17" i="18" s="1"/>
  <c r="C12" i="18" s="1"/>
  <c r="C18" i="18" s="1"/>
  <c r="K9" i="18"/>
  <c r="H7" i="18"/>
  <c r="H6" i="18"/>
  <c r="K9" i="15"/>
  <c r="H7" i="15"/>
  <c r="G4" i="15"/>
  <c r="D2" i="15"/>
  <c r="D17" i="15" s="1"/>
  <c r="D12" i="15" s="1"/>
  <c r="D18" i="15" s="1"/>
  <c r="C2" i="15"/>
  <c r="C17" i="15" s="1"/>
  <c r="C12" i="15" s="1"/>
  <c r="C18" i="15" s="1"/>
  <c r="K10" i="15"/>
  <c r="F5" i="15"/>
  <c r="F3" i="15" s="1"/>
  <c r="F17" i="15" s="1"/>
  <c r="F12" i="15" s="1"/>
  <c r="F18" i="15" s="1"/>
  <c r="H6" i="15"/>
  <c r="G4" i="19"/>
  <c r="G4" i="24"/>
  <c r="F5" i="24"/>
  <c r="F3" i="24" s="1"/>
  <c r="G3" i="24" s="1"/>
  <c r="F5" i="26"/>
  <c r="F5" i="37"/>
  <c r="F5" i="40"/>
  <c r="F5" i="28"/>
  <c r="F5" i="41"/>
  <c r="F5" i="42"/>
  <c r="F5" i="30"/>
  <c r="F5" i="43"/>
  <c r="F5" i="22"/>
  <c r="F5" i="31"/>
  <c r="F5" i="32"/>
  <c r="F5" i="23"/>
  <c r="F5" i="29"/>
  <c r="F5" i="33"/>
  <c r="F5" i="38"/>
  <c r="Q8" i="17"/>
  <c r="Q8" i="23"/>
  <c r="Q8" i="32"/>
  <c r="Q8" i="15"/>
  <c r="Q8" i="18"/>
  <c r="I18" i="18" s="1"/>
  <c r="Q8" i="14"/>
  <c r="Q8" i="36"/>
  <c r="Q8" i="39"/>
  <c r="Q8" i="34"/>
  <c r="I18" i="34" s="1"/>
  <c r="J18" i="34" s="1"/>
  <c r="Q8" i="26"/>
  <c r="Q8" i="16"/>
  <c r="Q8" i="37"/>
  <c r="Q8" i="27"/>
  <c r="Q8" i="40"/>
  <c r="Q8" i="41"/>
  <c r="I18" i="41" s="1"/>
  <c r="J18" i="41" s="1"/>
  <c r="Q8" i="11"/>
  <c r="Q8" i="29"/>
  <c r="Q8" i="42"/>
  <c r="Q8" i="21"/>
  <c r="Q8" i="30"/>
  <c r="Q8" i="43"/>
  <c r="I18" i="43" s="1"/>
  <c r="J18" i="43" s="1"/>
  <c r="Q8" i="28"/>
  <c r="Q8" i="22"/>
  <c r="Q8" i="31"/>
  <c r="Q8" i="20"/>
  <c r="Q8" i="35"/>
  <c r="Q8" i="24"/>
  <c r="Q8" i="33"/>
  <c r="Q8" i="38"/>
  <c r="H17" i="35" l="1"/>
  <c r="H12" i="35"/>
  <c r="H18" i="35" s="1"/>
  <c r="G17" i="35"/>
  <c r="G12" i="35" s="1"/>
  <c r="G18" i="35" s="1"/>
  <c r="K17" i="35"/>
  <c r="F17" i="18"/>
  <c r="F12" i="18" s="1"/>
  <c r="F18" i="18" s="1"/>
  <c r="K17" i="18"/>
  <c r="J18" i="18"/>
  <c r="J8" i="18" s="1"/>
  <c r="J17" i="18" s="1"/>
  <c r="J13" i="18" s="1"/>
  <c r="I8" i="18"/>
  <c r="I17" i="18" s="1"/>
  <c r="I13" i="18" s="1"/>
  <c r="H17" i="18"/>
  <c r="H12" i="18" s="1"/>
  <c r="H18" i="18" s="1"/>
  <c r="G3" i="15"/>
  <c r="G5" i="15" s="1"/>
  <c r="J8" i="15"/>
  <c r="J17" i="15" s="1"/>
  <c r="J13" i="15" s="1"/>
  <c r="I8" i="15"/>
  <c r="I17" i="15" s="1"/>
  <c r="I13" i="15" s="1"/>
  <c r="H17" i="15"/>
  <c r="H12" i="15" s="1"/>
  <c r="H18" i="15" s="1"/>
  <c r="K17" i="15"/>
  <c r="G5" i="24"/>
  <c r="I18" i="24"/>
  <c r="I18" i="14"/>
  <c r="J18" i="14" s="1"/>
  <c r="L2" i="35"/>
  <c r="P2" i="35" s="1"/>
  <c r="G17" i="15" l="1"/>
  <c r="G12" i="15" s="1"/>
  <c r="G18" i="1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2" i="35" l="1"/>
  <c r="E18" i="35" s="1"/>
  <c r="E15" i="35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G4" i="41"/>
  <c r="L4" i="41" s="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D17" i="39" l="1"/>
  <c r="D12" i="39" s="1"/>
  <c r="D17" i="38"/>
  <c r="D12" i="38" s="1"/>
  <c r="D17" i="40"/>
  <c r="D17" i="41"/>
  <c r="D12" i="41" s="1"/>
  <c r="D17" i="36"/>
  <c r="D12" i="36" s="1"/>
  <c r="D17" i="42"/>
  <c r="D17" i="43"/>
  <c r="N4" i="41"/>
  <c r="R4" i="41" s="1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C2" i="34" l="1"/>
  <c r="C17" i="34" s="1"/>
  <c r="D2" i="34" l="1"/>
  <c r="L2" i="34" l="1"/>
  <c r="P2" i="34" s="1"/>
  <c r="D17" i="34"/>
  <c r="K10" i="34" l="1"/>
  <c r="L10" i="34" l="1"/>
  <c r="N10" i="34" s="1"/>
  <c r="C12" i="34"/>
  <c r="C18" i="34" s="1"/>
  <c r="D12" i="34"/>
  <c r="D18" i="34" l="1"/>
  <c r="R10" i="34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L4" i="24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L4" i="19"/>
  <c r="N4" i="19" s="1"/>
  <c r="D2" i="19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R4" i="19"/>
  <c r="C12" i="19"/>
  <c r="C18" i="19" s="1"/>
  <c r="L2" i="19"/>
  <c r="L2" i="18"/>
  <c r="P2" i="18" s="1"/>
  <c r="C12" i="17"/>
  <c r="C18" i="17" s="1"/>
  <c r="L2" i="17"/>
  <c r="P2" i="17" s="1"/>
  <c r="D18" i="21" l="1"/>
  <c r="D18" i="23"/>
  <c r="D18" i="17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L4" i="16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I18" i="20"/>
  <c r="N2" i="20"/>
  <c r="R2" i="20" s="1"/>
  <c r="B16" i="20"/>
  <c r="K9" i="34"/>
  <c r="Q11" i="34" s="1"/>
  <c r="G4" i="29"/>
  <c r="L4" i="29" s="1"/>
  <c r="F3" i="16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H6" i="34"/>
  <c r="L6" i="34" s="1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B16" i="34"/>
  <c r="K9" i="38"/>
  <c r="Q11" i="38" s="1"/>
  <c r="K9" i="28"/>
  <c r="Q11" i="28" s="1"/>
  <c r="B16" i="30"/>
  <c r="H7" i="34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L10" i="18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L7" i="18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H6" i="19"/>
  <c r="K9" i="21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F17" i="17" l="1"/>
  <c r="F12" i="17" s="1"/>
  <c r="F18" i="17" s="1"/>
  <c r="G3" i="17"/>
  <c r="F17" i="16"/>
  <c r="F12" i="16" s="1"/>
  <c r="F18" i="16" s="1"/>
  <c r="G3" i="16"/>
  <c r="F17" i="11"/>
  <c r="F12" i="11" s="1"/>
  <c r="F18" i="11" s="1"/>
  <c r="G3" i="11"/>
  <c r="F17" i="22"/>
  <c r="F12" i="22" s="1"/>
  <c r="F18" i="22" s="1"/>
  <c r="G3" i="22"/>
  <c r="Q11" i="15"/>
  <c r="K13" i="15" s="1"/>
  <c r="Q11" i="11"/>
  <c r="Q11" i="17"/>
  <c r="Q11" i="18"/>
  <c r="K13" i="18" s="1"/>
  <c r="Q11" i="22"/>
  <c r="Q11" i="16"/>
  <c r="Q11" i="21"/>
  <c r="Q11" i="14"/>
  <c r="Q11" i="37"/>
  <c r="L9" i="20"/>
  <c r="M11" i="20"/>
  <c r="K17" i="20"/>
  <c r="B17" i="20"/>
  <c r="L16" i="20"/>
  <c r="I8" i="20"/>
  <c r="J18" i="20"/>
  <c r="J8" i="20" s="1"/>
  <c r="J17" i="20" s="1"/>
  <c r="J13" i="20" s="1"/>
  <c r="L7" i="20"/>
  <c r="H17" i="20"/>
  <c r="H12" i="20" s="1"/>
  <c r="H18" i="20" s="1"/>
  <c r="Q11" i="19"/>
  <c r="K17" i="34"/>
  <c r="K13" i="34" s="1"/>
  <c r="K18" i="34" s="1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I18" i="19" s="1"/>
  <c r="J18" i="19" s="1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4"/>
  <c r="F12" i="34" s="1"/>
  <c r="F18" i="34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B17" i="34"/>
  <c r="B12" i="34" s="1"/>
  <c r="B18" i="34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8" l="1"/>
  <c r="E14" i="18"/>
  <c r="G5" i="18" s="1"/>
  <c r="G4" i="18" s="1"/>
  <c r="K18" i="15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R11" i="34"/>
  <c r="R11" i="20"/>
  <c r="L3" i="15"/>
  <c r="K13" i="19"/>
  <c r="K18" i="19" s="1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I18" i="31"/>
  <c r="J18" i="31" s="1"/>
  <c r="J8" i="31" s="1"/>
  <c r="J17" i="31" s="1"/>
  <c r="J13" i="31" s="1"/>
  <c r="R2" i="42"/>
  <c r="I18" i="17"/>
  <c r="I8" i="17" s="1"/>
  <c r="I17" i="17" s="1"/>
  <c r="I8" i="19"/>
  <c r="I17" i="19" s="1"/>
  <c r="I13" i="19" s="1"/>
  <c r="J8" i="2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I18" i="29"/>
  <c r="J18" i="29" s="1"/>
  <c r="J8" i="29" s="1"/>
  <c r="J17" i="29" s="1"/>
  <c r="J13" i="29" s="1"/>
  <c r="I18" i="39"/>
  <c r="I18" i="30"/>
  <c r="I18" i="38"/>
  <c r="I18" i="36"/>
  <c r="I18" i="28"/>
  <c r="I18" i="32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H17" i="34"/>
  <c r="H12" i="34" s="1"/>
  <c r="H18" i="34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32"/>
  <c r="H12" i="32" s="1"/>
  <c r="H18" i="32" s="1"/>
  <c r="H17" i="27"/>
  <c r="H12" i="27" s="1"/>
  <c r="H18" i="27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I8" i="34"/>
  <c r="L3" i="34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J8" i="43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21"/>
  <c r="K18" i="21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G17" i="18" l="1"/>
  <c r="G12" i="18" s="1"/>
  <c r="G18" i="18" s="1"/>
  <c r="R11" i="32"/>
  <c r="R11" i="30"/>
  <c r="R11" i="40"/>
  <c r="R11" i="26"/>
  <c r="R11" i="11"/>
  <c r="R11" i="41"/>
  <c r="R11" i="29"/>
  <c r="R11" i="21"/>
  <c r="R11" i="42"/>
  <c r="R11" i="38"/>
  <c r="R11" i="14"/>
  <c r="R11" i="39"/>
  <c r="R11" i="31"/>
  <c r="R11" i="24"/>
  <c r="R11" i="15"/>
  <c r="R11" i="22"/>
  <c r="R11" i="16"/>
  <c r="R11" i="18"/>
  <c r="R11" i="23"/>
  <c r="R11" i="36"/>
  <c r="R11" i="17"/>
  <c r="R11" i="33"/>
  <c r="R11" i="37"/>
  <c r="R11" i="28"/>
  <c r="R11" i="27"/>
  <c r="R11" i="19"/>
  <c r="Q5" i="28"/>
  <c r="E17" i="28" s="1"/>
  <c r="E12" i="28" s="1"/>
  <c r="E18" i="28" s="1"/>
  <c r="Q5" i="30"/>
  <c r="E17" i="30" s="1"/>
  <c r="E12" i="30" s="1"/>
  <c r="E18" i="30" s="1"/>
  <c r="Q5" i="22"/>
  <c r="Q5" i="40"/>
  <c r="Q5" i="31"/>
  <c r="G5" i="16"/>
  <c r="G17" i="16" s="1"/>
  <c r="L3" i="18"/>
  <c r="R5" i="23"/>
  <c r="Q5" i="23"/>
  <c r="E17" i="23" s="1"/>
  <c r="E12" i="23" s="1"/>
  <c r="E18" i="23" s="1"/>
  <c r="E14" i="20"/>
  <c r="G5" i="20" s="1"/>
  <c r="G4" i="20" s="1"/>
  <c r="L13" i="20"/>
  <c r="L8" i="15"/>
  <c r="N8" i="15" s="1"/>
  <c r="R8" i="15" s="1"/>
  <c r="J18" i="17"/>
  <c r="J8" i="17" s="1"/>
  <c r="L8" i="17" s="1"/>
  <c r="N8" i="17" s="1"/>
  <c r="R8" i="17" s="1"/>
  <c r="J8" i="34"/>
  <c r="J17" i="34" s="1"/>
  <c r="J13" i="34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30"/>
  <c r="L3" i="16"/>
  <c r="R5" i="28"/>
  <c r="H17" i="37"/>
  <c r="H12" i="37" s="1"/>
  <c r="H18" i="37" s="1"/>
  <c r="L3" i="40"/>
  <c r="L3" i="30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G5" i="41"/>
  <c r="L5" i="41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I17" i="34"/>
  <c r="I13" i="34" s="1"/>
  <c r="R16" i="15"/>
  <c r="Q16" i="15"/>
  <c r="J17" i="22"/>
  <c r="J13" i="22" s="1"/>
  <c r="L3" i="21"/>
  <c r="G17" i="22"/>
  <c r="G12" i="22" s="1"/>
  <c r="G18" i="22" s="1"/>
  <c r="G12" i="11"/>
  <c r="G18" i="11" s="1"/>
  <c r="R2" i="15"/>
  <c r="N3" i="17"/>
  <c r="R3" i="17" s="1"/>
  <c r="R5" i="22"/>
  <c r="G5" i="21"/>
  <c r="L5" i="21" s="1"/>
  <c r="I13" i="17"/>
  <c r="N3" i="15"/>
  <c r="R3" i="15" s="1"/>
  <c r="G5" i="14"/>
  <c r="L5" i="14" s="1"/>
  <c r="L3" i="14"/>
  <c r="Q5" i="29" l="1"/>
  <c r="L4" i="20"/>
  <c r="Q5" i="38"/>
  <c r="Q5" i="27"/>
  <c r="Q5" i="41"/>
  <c r="Q5" i="14"/>
  <c r="Q5" i="26"/>
  <c r="N3" i="18"/>
  <c r="R3" i="18" s="1"/>
  <c r="Q5" i="32"/>
  <c r="L5" i="16"/>
  <c r="Q5" i="43"/>
  <c r="N3" i="23"/>
  <c r="R3" i="23" s="1"/>
  <c r="Q5" i="21"/>
  <c r="Q5" i="17"/>
  <c r="E17" i="17" s="1"/>
  <c r="E12" i="17" s="1"/>
  <c r="E18" i="17" s="1"/>
  <c r="Q5" i="36"/>
  <c r="Q5" i="42"/>
  <c r="G12" i="16"/>
  <c r="G18" i="16" s="1"/>
  <c r="L5" i="33"/>
  <c r="H17" i="33"/>
  <c r="H12" i="33" s="1"/>
  <c r="H18" i="33" s="1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41"/>
  <c r="G12" i="41" s="1"/>
  <c r="G18" i="41" s="1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26"/>
  <c r="G17" i="36"/>
  <c r="G12" i="36" s="1"/>
  <c r="G18" i="36" s="1"/>
  <c r="R5" i="42"/>
  <c r="E14" i="33"/>
  <c r="R5" i="32"/>
  <c r="R5" i="41"/>
  <c r="R5" i="38"/>
  <c r="L8" i="43"/>
  <c r="N8" i="43" s="1"/>
  <c r="R8" i="43" s="1"/>
  <c r="G5" i="37"/>
  <c r="L5" i="37" s="1"/>
  <c r="R5" i="36"/>
  <c r="E14" i="26"/>
  <c r="R5" i="27"/>
  <c r="R5" i="43"/>
  <c r="E14" i="31"/>
  <c r="L12" i="28"/>
  <c r="K13" i="43"/>
  <c r="K18" i="43" s="1"/>
  <c r="L12" i="30"/>
  <c r="R16" i="23"/>
  <c r="Q16" i="23"/>
  <c r="B12" i="23"/>
  <c r="B18" i="23" s="1"/>
  <c r="E14" i="34"/>
  <c r="G5" i="34" s="1"/>
  <c r="G4" i="34" s="1"/>
  <c r="L13" i="34"/>
  <c r="N8" i="41"/>
  <c r="I13" i="41"/>
  <c r="E14" i="16"/>
  <c r="L13" i="16"/>
  <c r="L13" i="21"/>
  <c r="E14" i="21"/>
  <c r="G17" i="21"/>
  <c r="G12" i="21" s="1"/>
  <c r="G18" i="21" s="1"/>
  <c r="G17" i="14"/>
  <c r="E14" i="11"/>
  <c r="E17" i="22"/>
  <c r="L17" i="22" s="1"/>
  <c r="L13" i="19"/>
  <c r="E14" i="19"/>
  <c r="E14" i="22"/>
  <c r="L13" i="22"/>
  <c r="L13" i="18"/>
  <c r="R5" i="21"/>
  <c r="N3" i="14"/>
  <c r="R3" i="14" s="1"/>
  <c r="R5" i="14"/>
  <c r="R5" i="29" l="1"/>
  <c r="L5" i="34"/>
  <c r="R5" i="16"/>
  <c r="R11" i="43"/>
  <c r="Q5" i="16"/>
  <c r="E17" i="16" s="1"/>
  <c r="L17" i="16" s="1"/>
  <c r="Q5" i="37"/>
  <c r="N4" i="20"/>
  <c r="R4" i="20" s="1"/>
  <c r="Q5" i="33"/>
  <c r="E17" i="33" s="1"/>
  <c r="E12" i="33" s="1"/>
  <c r="E18" i="33" s="1"/>
  <c r="G12" i="14"/>
  <c r="G18" i="14" s="1"/>
  <c r="R5" i="33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40"/>
  <c r="R17" i="40" s="1"/>
  <c r="E17" i="36"/>
  <c r="E12" i="36" s="1"/>
  <c r="E18" i="36" s="1"/>
  <c r="E17" i="41"/>
  <c r="E12" i="41" s="1"/>
  <c r="E18" i="41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L12" i="23"/>
  <c r="L14" i="34"/>
  <c r="Q14" i="34" s="1"/>
  <c r="E14" i="41"/>
  <c r="L13" i="41"/>
  <c r="R17" i="22"/>
  <c r="Q17" i="22"/>
  <c r="E12" i="22"/>
  <c r="E18" i="22" s="1"/>
  <c r="E17" i="21"/>
  <c r="L17" i="21" s="1"/>
  <c r="L14" i="18"/>
  <c r="L14" i="22"/>
  <c r="L14" i="19"/>
  <c r="E15" i="22"/>
  <c r="L14" i="17"/>
  <c r="E15" i="17"/>
  <c r="E17" i="14"/>
  <c r="Q5" i="34" l="1"/>
  <c r="E17" i="34" s="1"/>
  <c r="E12" i="34" s="1"/>
  <c r="E18" i="34" s="1"/>
  <c r="R5" i="34"/>
  <c r="L4" i="34"/>
  <c r="N4" i="34" s="1"/>
  <c r="R4" i="34" s="1"/>
  <c r="G17" i="34"/>
  <c r="G12" i="34" s="1"/>
  <c r="G18" i="34" s="1"/>
  <c r="L5" i="18"/>
  <c r="Q5" i="20"/>
  <c r="E17" i="20" s="1"/>
  <c r="L5" i="39"/>
  <c r="L4" i="18"/>
  <c r="R12" i="40"/>
  <c r="L12" i="41"/>
  <c r="R12" i="41" s="1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E15" i="26"/>
  <c r="L17" i="43"/>
  <c r="R17" i="43" s="1"/>
  <c r="L17" i="32"/>
  <c r="R17" i="32" s="1"/>
  <c r="E15" i="27"/>
  <c r="L17" i="29"/>
  <c r="R17" i="29" s="1"/>
  <c r="L12" i="43"/>
  <c r="R12" i="43" s="1"/>
  <c r="E15" i="36"/>
  <c r="L17" i="41"/>
  <c r="R17" i="41" s="1"/>
  <c r="L17" i="36"/>
  <c r="Q17" i="36" s="1"/>
  <c r="L17" i="38"/>
  <c r="R17" i="38" s="1"/>
  <c r="L17" i="33"/>
  <c r="Q17" i="33" s="1"/>
  <c r="Q17" i="40"/>
  <c r="E15" i="42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40"/>
  <c r="L14" i="23"/>
  <c r="E15" i="23"/>
  <c r="L15" i="31"/>
  <c r="R15" i="31" s="1"/>
  <c r="L14" i="43"/>
  <c r="Q14" i="43" s="1"/>
  <c r="L12" i="42"/>
  <c r="L12" i="32"/>
  <c r="L12" i="36"/>
  <c r="L15" i="29"/>
  <c r="M13" i="29"/>
  <c r="L12" i="38"/>
  <c r="R12" i="23"/>
  <c r="Q12" i="23"/>
  <c r="R14" i="34"/>
  <c r="L14" i="41"/>
  <c r="E15" i="41"/>
  <c r="R17" i="16"/>
  <c r="Q17" i="16"/>
  <c r="R17" i="21"/>
  <c r="Q17" i="21"/>
  <c r="R14" i="19"/>
  <c r="Q14" i="19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2" i="14"/>
  <c r="E15" i="34" l="1"/>
  <c r="M13" i="34" s="1"/>
  <c r="L17" i="34"/>
  <c r="Q17" i="34" s="1"/>
  <c r="L12" i="34"/>
  <c r="Q12" i="34" s="1"/>
  <c r="Q13" i="31"/>
  <c r="N4" i="18"/>
  <c r="R4" i="18" s="1"/>
  <c r="N3" i="20"/>
  <c r="R3" i="20" s="1"/>
  <c r="Q5" i="39"/>
  <c r="E17" i="39" s="1"/>
  <c r="R5" i="39"/>
  <c r="L4" i="39"/>
  <c r="G17" i="39"/>
  <c r="G12" i="39" s="1"/>
  <c r="G18" i="39" s="1"/>
  <c r="L5" i="24"/>
  <c r="G17" i="24"/>
  <c r="G12" i="24" s="1"/>
  <c r="G18" i="24" s="1"/>
  <c r="L3" i="24"/>
  <c r="Q12" i="41"/>
  <c r="L12" i="27"/>
  <c r="Q12" i="27" s="1"/>
  <c r="E18" i="27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4" i="37"/>
  <c r="Q14" i="37" s="1"/>
  <c r="L15" i="43"/>
  <c r="Q15" i="43" s="1"/>
  <c r="L15" i="26"/>
  <c r="R15" i="26" s="1"/>
  <c r="R17" i="36"/>
  <c r="Q17" i="32"/>
  <c r="Q17" i="41"/>
  <c r="Q17" i="29"/>
  <c r="M13" i="36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3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L15" i="41"/>
  <c r="M13" i="41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L15" i="34" l="1"/>
  <c r="Q15" i="34" s="1"/>
  <c r="R17" i="34"/>
  <c r="R12" i="34"/>
  <c r="Q13" i="16"/>
  <c r="R13" i="33"/>
  <c r="R13" i="32"/>
  <c r="Q13" i="27"/>
  <c r="Q13" i="26"/>
  <c r="R13" i="36"/>
  <c r="Q13" i="21"/>
  <c r="R13" i="34"/>
  <c r="R13" i="43"/>
  <c r="N3" i="24"/>
  <c r="R3" i="24" s="1"/>
  <c r="R5" i="24"/>
  <c r="N4" i="39"/>
  <c r="R4" i="39" s="1"/>
  <c r="L17" i="39"/>
  <c r="E12" i="39"/>
  <c r="E15" i="39"/>
  <c r="Q5" i="24"/>
  <c r="E17" i="24" s="1"/>
  <c r="E12" i="24" s="1"/>
  <c r="R12" i="27"/>
  <c r="Q12" i="14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M13" i="37"/>
  <c r="Q15" i="26"/>
  <c r="R15" i="43"/>
  <c r="R15" i="32"/>
  <c r="Q13" i="34"/>
  <c r="Q12" i="29"/>
  <c r="Q13" i="36"/>
  <c r="R15" i="27"/>
  <c r="R17" i="37"/>
  <c r="L15" i="37"/>
  <c r="R15" i="37" s="1"/>
  <c r="Q13" i="33"/>
  <c r="Q13" i="42"/>
  <c r="R13" i="42"/>
  <c r="R15" i="42"/>
  <c r="Q15" i="42"/>
  <c r="R13" i="23"/>
  <c r="Q13" i="23"/>
  <c r="R15" i="23"/>
  <c r="Q15" i="23"/>
  <c r="R13" i="40"/>
  <c r="Q13" i="40"/>
  <c r="Q13" i="38"/>
  <c r="R13" i="38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3" i="41"/>
  <c r="Q13" i="41"/>
  <c r="R15" i="41"/>
  <c r="Q15" i="41"/>
  <c r="R12" i="21"/>
  <c r="Q12" i="21"/>
  <c r="R12" i="16"/>
  <c r="Q12" i="16"/>
  <c r="R13" i="21"/>
  <c r="R13" i="16"/>
  <c r="R15" i="34" l="1"/>
  <c r="Q13" i="37"/>
  <c r="M13" i="39"/>
  <c r="L15" i="39"/>
  <c r="L12" i="39"/>
  <c r="E18" i="39"/>
  <c r="Q17" i="39"/>
  <c r="R17" i="39"/>
  <c r="E15" i="24"/>
  <c r="L17" i="24"/>
  <c r="Q17" i="24" s="1"/>
  <c r="E18" i="24"/>
  <c r="L12" i="24"/>
  <c r="R15" i="20"/>
  <c r="Q15" i="20"/>
  <c r="Q13" i="20"/>
  <c r="R13" i="20"/>
  <c r="Q12" i="20"/>
  <c r="R12" i="20"/>
  <c r="R13" i="37"/>
  <c r="Q15" i="37"/>
  <c r="L2" i="14"/>
  <c r="P2" i="14" s="1"/>
  <c r="L15" i="24" l="1"/>
  <c r="Q15" i="24" s="1"/>
  <c r="R12" i="39"/>
  <c r="Q12" i="39"/>
  <c r="Q15" i="39"/>
  <c r="R15" i="39"/>
  <c r="Q13" i="39"/>
  <c r="R13" i="39"/>
  <c r="M13" i="24"/>
  <c r="R17" i="24"/>
  <c r="R12" i="24"/>
  <c r="Q12" i="24"/>
  <c r="N2" i="14"/>
  <c r="L3" i="11"/>
  <c r="C12" i="11"/>
  <c r="C18" i="11" s="1"/>
  <c r="Q13" i="24" l="1"/>
  <c r="R15" i="24"/>
  <c r="R13" i="24"/>
  <c r="R2" i="14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L12" i="15"/>
  <c r="H12" i="11"/>
  <c r="H18" i="11" s="1"/>
  <c r="L5" i="11"/>
  <c r="R13" i="15" l="1"/>
  <c r="Q5" i="1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J8" i="14"/>
  <c r="J17" i="14" s="1"/>
  <c r="I8" i="14"/>
  <c r="I17" i="14" s="1"/>
  <c r="Q13" i="11" l="1"/>
  <c r="R13" i="1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G5" i="19" l="1"/>
  <c r="L5" i="19" s="1"/>
  <c r="F17" i="19"/>
  <c r="F12" i="19" s="1"/>
  <c r="F18" i="19" s="1"/>
  <c r="L3" i="19" l="1"/>
  <c r="Q5" i="19"/>
  <c r="R5" i="19"/>
  <c r="G17" i="19"/>
  <c r="G12" i="19" s="1"/>
  <c r="G18" i="19" s="1"/>
  <c r="N3" i="19" l="1"/>
  <c r="R3" i="19" s="1"/>
  <c r="E17" i="19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l="1"/>
  <c r="R12" i="19"/>
  <c r="Q15" i="19"/>
  <c r="R13" i="19"/>
  <c r="Q5" i="18" l="1"/>
  <c r="E17" i="18" s="1"/>
  <c r="R5" i="18"/>
  <c r="E15" i="18" l="1"/>
  <c r="E12" i="18"/>
  <c r="E18" i="18" s="1"/>
  <c r="L17" i="18"/>
  <c r="R17" i="18" l="1"/>
  <c r="Q17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<sst xmlns="http://schemas.openxmlformats.org/spreadsheetml/2006/main" count="1164" uniqueCount="109">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</sst>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1" applyNumberFormat="1" applyFont="1" applyFill="1" applyBorder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9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342163.40983745956</v>
      </c>
      <c r="D3" s="1">
        <f>VLOOKUP($B3, '[1]Pro of iron ore'!$B$2:$X$31, $A$1, FALSE)*(1-VLOOKUP($B3, '[1]Foundry share'!$B$2:$X$31, $A$1, FALSE))</f>
        <v>211990.87431441795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50.7</v>
      </c>
      <c r="G3" s="1">
        <f>VLOOKUP($B3, '[1]Pro of pig iron'!$B$2:$X$31, $A$1, FALSE)*(1-VLOOKUP($B3, '[1]Foundry share'!$B$2:$X$31, $A$1, FALSE))</f>
        <v>433629.60799033841</v>
      </c>
      <c r="H3" s="1">
        <f>VLOOKUP($B3, '[1]Exp of pig iron'!$B$2:$X$31, $A$1, FALSE)</f>
        <v>689</v>
      </c>
      <c r="I3" s="1">
        <f>VLOOKUP($B3, '[1]Imp of pig iron'!$B$2:$X$31, $A$1, FALSE)</f>
        <v>695</v>
      </c>
      <c r="J3" s="1">
        <f>VLOOKUP($B3, '[1]Pro of DRI'!$B$2:$X$31, $A$1, FALSE)</f>
        <v>600</v>
      </c>
      <c r="K3" s="1">
        <f>VLOOKUP($B3, '[1]Exp of DRI'!$B$2:$X$31, $A$1, FALSE)</f>
        <v>10</v>
      </c>
      <c r="L3" s="1">
        <f>VLOOKUP($B3, '[1]Imp of DRI'!$B$2:$X$31, $A$1, FALSE)</f>
        <v>327</v>
      </c>
      <c r="M3" s="1">
        <f>VLOOKUP($B3, '[1]Exp of scrap'!$B$2:$X$31, $A$1, FALSE)</f>
        <v>0</v>
      </c>
      <c r="N3" s="1">
        <f>VLOOKUP($B3, '[1]Imp of scrap'!$B$2:$X$31, $A$1, FALSE)</f>
        <v>3395</v>
      </c>
      <c r="O3" s="1">
        <f>VLOOKUP($B3, '[1]Pro of BOF steel'!$B$2:$X$31, $A$1, FALSE)</f>
        <v>431229</v>
      </c>
      <c r="P3" s="1">
        <f>VLOOKUP($B3, '[1]Pro of OHF steel'!$B$2:$X$31, $A$1, FALSE)</f>
        <v>0</v>
      </c>
      <c r="Q3" s="1">
        <f>VLOOKUP($B3, '[1]Pro of EAF steel'!$B$2:$X$31, $A$1, FALSE)</f>
        <v>58429</v>
      </c>
      <c r="R3" s="1">
        <f>VLOOKUP($B3, '[1]Exp of ingots and semis'!$B$2:$X$31, $A$1, FALSE)</f>
        <v>6457</v>
      </c>
      <c r="S3" s="1">
        <f>VLOOKUP($B3, '[1]Imp of ingots and semis'!$B$2:$X$31, $A$1, FALSE)</f>
        <v>390</v>
      </c>
      <c r="T3" s="1">
        <f>VLOOKUP($B3, '[1]Pro of hr long'!$B$2:$X$31, $A$1, FALSE)+VLOOKUP($B3, '[1]Pro of seamless tubes'!$B$2:$X$31, $A$1, FALSE)</f>
        <v>289527</v>
      </c>
      <c r="U3" s="1">
        <f>VLOOKUP($B3, '[1]Exp of long'!$B$2:$X$31, $A$1, FALSE)</f>
        <v>23574</v>
      </c>
      <c r="V3" s="1">
        <f>VLOOKUP($B3, '[1]Imp of long'!$B$2:$X$31, $A$1, FALSE)</f>
        <v>1644</v>
      </c>
      <c r="W3" s="1">
        <f>VLOOKUP($B3, '[1]Pro of hr flat'!$B$2:$X$31, $A$1, FALSE)*parameters!$B$8</f>
        <v>173547.09388335704</v>
      </c>
      <c r="X3" s="1">
        <f>VLOOKUP($B3, '[1]Exp of flat'!$B$2:$X$31, $A$1, FALSE)</f>
        <v>28336</v>
      </c>
      <c r="Y3" s="1">
        <f>VLOOKUP($B3, '[1]Imp of flat'!$B$2:$X$31, $A$1, FALSE)</f>
        <v>14293</v>
      </c>
      <c r="Z3" s="1">
        <f>VLOOKUP($B3, '[1]Indirect exp'!$B$2:$X$31, $A$1, FALSE)</f>
        <v>50428</v>
      </c>
      <c r="AA3" s="1">
        <f>VLOOKUP($B3, '[1]Indirect imp'!$B$2:$X$31, $A$1, FALSE)</f>
        <v>7545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167824.24192223119</v>
      </c>
      <c r="D4" s="1">
        <f>VLOOKUP($B4, '[1]Pro of iron ore'!$B$2:$X$31, $A$1, FALSE)*(1-VLOOKUP($B4, '[1]Foundry share'!$B$2:$X$31, $A$1, FALSE))</f>
        <v>107174.88716815754</v>
      </c>
      <c r="E4" s="47">
        <f>VLOOKUP($B4, '[1]Iron content'!$B$2:$X$31, $A$1, FALSE)</f>
        <v>0.63861386138613863</v>
      </c>
      <c r="F4" s="1">
        <f>VLOOKUP($B4, '[1]Exp of usable iron ore'!$B$2:$X$31, $A$1, FALSE)*parameters!$B$12</f>
        <v>60923.200000000004</v>
      </c>
      <c r="G4" s="1">
        <f>VLOOKUP($B4, '[1]Pro of pig iron'!$B$2:$X$31, $A$1, FALSE)*(1-VLOOKUP($B4, '[1]Foundry share'!$B$2:$X$31, $A$1, FALSE))</f>
        <v>30314.707620090947</v>
      </c>
      <c r="H4" s="1">
        <f>VLOOKUP($B4, '[1]Exp of pig iron'!$B$2:$X$31, $A$1, FALSE)</f>
        <v>820</v>
      </c>
      <c r="I4" s="1">
        <f>VLOOKUP($B4, '[1]Imp of pig iron'!$B$2:$X$31, $A$1, FALSE)</f>
        <v>20</v>
      </c>
      <c r="J4" s="1">
        <f>VLOOKUP($B4, '[1]Pro of DRI'!$B$2:$X$31, $A$1, FALSE)</f>
        <v>20110</v>
      </c>
      <c r="K4" s="1">
        <f>VLOOKUP($B4, '[1]Exp of DRI'!$B$2:$X$31, $A$1, FALSE)</f>
        <v>50</v>
      </c>
      <c r="L4" s="1">
        <f>VLOOKUP($B4, '[1]Imp of DRI'!$B$2:$X$31, $A$1, FALSE)</f>
        <v>0</v>
      </c>
      <c r="M4" s="1">
        <f>VLOOKUP($B4, '[1]Exp of scrap'!$B$2:$X$31, $A$1, FALSE)</f>
        <v>0</v>
      </c>
      <c r="N4" s="1">
        <f>VLOOKUP($B4, '[1]Imp of scrap'!$B$2:$X$31, $A$1, FALSE)</f>
        <v>2990</v>
      </c>
      <c r="O4" s="1">
        <f>VLOOKUP($B4, '[1]Pro of BOF steel'!$B$2:$X$31, $A$1, FALSE)</f>
        <v>21811</v>
      </c>
      <c r="P4" s="1">
        <f>VLOOKUP($B4, '[1]Pro of OHF steel'!$B$2:$X$31, $A$1, FALSE)</f>
        <v>1000</v>
      </c>
      <c r="Q4" s="1">
        <f>VLOOKUP($B4, '[1]Pro of EAF steel'!$B$2:$X$31, $A$1, FALSE)</f>
        <v>31300</v>
      </c>
      <c r="R4" s="1">
        <f>VLOOKUP($B4, '[1]Exp of ingots and semis'!$B$2:$X$31, $A$1, FALSE)</f>
        <v>690</v>
      </c>
      <c r="S4" s="1">
        <f>VLOOKUP($B4, '[1]Imp of ingots and semis'!$B$2:$X$31, $A$1, FALSE)</f>
        <v>210</v>
      </c>
      <c r="T4" s="1">
        <f>VLOOKUP($B4, '[1]Pro of hr long'!$B$2:$X$31, $A$1, FALSE)+VLOOKUP($B4, '[1]Pro of seamless tubes'!$B$2:$X$31, $A$1, FALSE)</f>
        <v>24348</v>
      </c>
      <c r="U4" s="1">
        <f>VLOOKUP($B4, '[1]Exp of long'!$B$2:$X$31, $A$1, FALSE)</f>
        <v>550</v>
      </c>
      <c r="V4" s="1">
        <f>VLOOKUP($B4, '[1]Imp of long'!$B$2:$X$31, $A$1, FALSE)</f>
        <v>730</v>
      </c>
      <c r="W4" s="1">
        <f>VLOOKUP($B4, '[1]Pro of hr flat'!$B$2:$X$31, $A$1, FALSE)*parameters!$B$8</f>
        <v>26589.394025604553</v>
      </c>
      <c r="X4" s="1">
        <f>VLOOKUP($B4, '[1]Exp of flat'!$B$2:$X$31, $A$1, FALSE)</f>
        <v>3680</v>
      </c>
      <c r="Y4" s="1">
        <f>VLOOKUP($B4, '[1]Imp of flat'!$B$2:$X$31, $A$1, FALSE)</f>
        <v>5910</v>
      </c>
      <c r="Z4" s="1">
        <f>VLOOKUP($B4, '[1]Indirect exp'!$B$2:$X$31, $A$1, FALSE)</f>
        <v>2590</v>
      </c>
      <c r="AA4" s="1">
        <f>VLOOKUP($B4, '[1]Indirect imp'!$B$2:$X$31, $A$1, FALSE)</f>
        <v>2708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16.900000000000002</v>
      </c>
      <c r="G5" s="1">
        <f>VLOOKUP($B5, '[1]Pro of pig iron'!$B$2:$X$31, $A$1, FALSE)*(1-VLOOKUP($B5, '[1]Foundry share'!$B$2:$X$31, $A$1, FALSE))</f>
        <v>86771</v>
      </c>
      <c r="H5" s="1">
        <f>VLOOKUP($B5, '[1]Exp of pig iron'!$B$2:$X$31, $A$1, FALSE)</f>
        <v>46</v>
      </c>
      <c r="I5" s="1">
        <f>VLOOKUP($B5, '[1]Imp of pig iron'!$B$2:$X$31, $A$1, FALSE)</f>
        <v>1309</v>
      </c>
      <c r="J5" s="1">
        <f>VLOOKUP($B5, '[1]Pro of DRI'!$B$2:$X$31, $A$1, FALSE)</f>
        <v>0</v>
      </c>
      <c r="K5" s="1">
        <f>VLOOKUP($B5, '[1]Exp of DRI'!$B$2:$X$31, $A$1, FALSE)</f>
        <v>1</v>
      </c>
      <c r="L5" s="1">
        <f>VLOOKUP($B5, '[1]Imp of DRI'!$B$2:$X$31, $A$1, FALSE)</f>
        <v>164</v>
      </c>
      <c r="M5" s="1">
        <f>VLOOKUP($B5, '[1]Exp of scrap'!$B$2:$X$31, $A$1, FALSE)</f>
        <v>6449</v>
      </c>
      <c r="N5" s="1">
        <f>VLOOKUP($B5, '[1]Imp of scrap'!$B$2:$X$31, $A$1, FALSE)</f>
        <v>397</v>
      </c>
      <c r="O5" s="1">
        <f>VLOOKUP($B5, '[1]Pro of BOF steel'!$B$2:$X$31, $A$1, FALSE)</f>
        <v>89242</v>
      </c>
      <c r="P5" s="1">
        <f>VLOOKUP($B5, '[1]Pro of OHF steel'!$B$2:$X$31, $A$1, FALSE)</f>
        <v>0</v>
      </c>
      <c r="Q5" s="1">
        <f>VLOOKUP($B5, '[1]Pro of EAF steel'!$B$2:$X$31, $A$1, FALSE)</f>
        <v>30961</v>
      </c>
      <c r="R5" s="1">
        <f>VLOOKUP($B5, '[1]Exp of ingots and semis'!$B$2:$X$31, $A$1, FALSE)</f>
        <v>4831</v>
      </c>
      <c r="S5" s="1">
        <f>VLOOKUP($B5, '[1]Imp of ingots and semis'!$B$2:$X$31, $A$1, FALSE)</f>
        <v>242</v>
      </c>
      <c r="T5" s="1">
        <f>VLOOKUP($B5, '[1]Pro of hr long'!$B$2:$X$31, $A$1, FALSE)+VLOOKUP($B5, '[1]Pro of seamless tubes'!$B$2:$X$31, $A$1, FALSE)</f>
        <v>38463</v>
      </c>
      <c r="U5" s="1">
        <f>VLOOKUP($B5, '[1]Exp of long'!$B$2:$X$31, $A$1, FALSE)</f>
        <v>4087</v>
      </c>
      <c r="V5" s="1">
        <f>VLOOKUP($B5, '[1]Imp of long'!$B$2:$X$31, $A$1, FALSE)</f>
        <v>656</v>
      </c>
      <c r="W5" s="1">
        <f>VLOOKUP($B5, '[1]Pro of hr flat'!$B$2:$X$31, $A$1, FALSE)*parameters!$B$8</f>
        <v>67412.002844950213</v>
      </c>
      <c r="X5" s="1">
        <f>VLOOKUP($B5, '[1]Exp of flat'!$B$2:$X$31, $A$1, FALSE)</f>
        <v>23574</v>
      </c>
      <c r="Y5" s="1">
        <f>VLOOKUP($B5, '[1]Imp of flat'!$B$2:$X$31, $A$1, FALSE)</f>
        <v>3557</v>
      </c>
      <c r="Z5" s="1">
        <f>VLOOKUP($B5, '[1]Indirect exp'!$B$2:$X$31, $A$1, FALSE)</f>
        <v>29129</v>
      </c>
      <c r="AA5" s="1">
        <f>VLOOKUP($B5, '[1]Indirect imp'!$B$2:$X$31, $A$1, FALSE)</f>
        <v>6442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52489</v>
      </c>
      <c r="D6" s="1">
        <f>VLOOKUP($B6, '[1]Pro of iron ore'!$B$2:$X$31, $A$1, FALSE)*(1-VLOOKUP($B6, '[1]Foundry share'!$B$2:$X$31, $A$1, FALSE))</f>
        <v>33068</v>
      </c>
      <c r="E6" s="47">
        <f>VLOOKUP($B6, '[1]Iron content'!$B$2:$X$31, $A$1, FALSE)</f>
        <v>0.629998666387243</v>
      </c>
      <c r="F6" s="1">
        <f>VLOOKUP($B6, '[1]Exp of usable iron ore'!$B$2:$X$31, $A$1, FALSE)*parameters!$B$12</f>
        <v>6043.7</v>
      </c>
      <c r="G6" s="1">
        <f>VLOOKUP($B6, '[1]Pro of pig iron'!$B$2:$X$31, $A$1, FALSE)*(1-VLOOKUP($B6, '[1]Foundry share'!$B$2:$X$31, $A$1, FALSE))</f>
        <v>36337</v>
      </c>
      <c r="H6" s="1">
        <f>VLOOKUP($B6, '[1]Exp of pig iron'!$B$2:$X$31, $A$1, FALSE)</f>
        <v>85</v>
      </c>
      <c r="I6" s="1">
        <f>VLOOKUP($B6, '[1]Imp of pig iron'!$B$2:$X$31, $A$1, FALSE)</f>
        <v>5219</v>
      </c>
      <c r="J6" s="1">
        <f>VLOOKUP($B6, '[1]Pro of DRI'!$B$2:$X$31, $A$1, FALSE)</f>
        <v>250</v>
      </c>
      <c r="K6" s="1">
        <f>VLOOKUP($B6, '[1]Exp of DRI'!$B$2:$X$31, $A$1, FALSE)</f>
        <v>8</v>
      </c>
      <c r="L6" s="1">
        <f>VLOOKUP($B6, '[1]Imp of DRI'!$B$2:$X$31, $A$1, FALSE)</f>
        <v>2531</v>
      </c>
      <c r="M6" s="1">
        <f>VLOOKUP($B6, '[1]Exp of scrap'!$B$2:$X$31, $A$1, FALSE)</f>
        <v>16642</v>
      </c>
      <c r="N6" s="1">
        <f>VLOOKUP($B6, '[1]Imp of scrap'!$B$2:$X$31, $A$1, FALSE)</f>
        <v>3692</v>
      </c>
      <c r="O6" s="1">
        <f>VLOOKUP($B6, '[1]Pro of BOF steel'!$B$2:$X$31, $A$1, FALSE)</f>
        <v>41098</v>
      </c>
      <c r="P6" s="1">
        <f>VLOOKUP($B6, '[1]Pro of OHF steel'!$B$2:$X$31, $A$1, FALSE)</f>
        <v>0</v>
      </c>
      <c r="Q6" s="1">
        <f>VLOOKUP($B6, '[1]Pro of EAF steel'!$B$2:$X$31, $A$1, FALSE)</f>
        <v>57003</v>
      </c>
      <c r="R6" s="1">
        <f>VLOOKUP($B6, '[1]Exp of ingots and semis'!$B$2:$X$31, $A$1, FALSE)</f>
        <v>389</v>
      </c>
      <c r="S6" s="1">
        <f>VLOOKUP($B6, '[1]Imp of ingots and semis'!$B$2:$X$31, $A$1, FALSE)</f>
        <v>6060</v>
      </c>
      <c r="T6" s="1">
        <f>VLOOKUP($B6, '[1]Pro of hr long'!$B$2:$X$31, $A$1, FALSE)+VLOOKUP($B6, '[1]Pro of seamless tubes'!$B$2:$X$31, $A$1, FALSE)</f>
        <v>29870</v>
      </c>
      <c r="U6" s="1">
        <f>VLOOKUP($B6, '[1]Exp of long'!$B$2:$X$31, $A$1, FALSE)</f>
        <v>2515</v>
      </c>
      <c r="V6" s="1">
        <f>VLOOKUP($B6, '[1]Imp of long'!$B$2:$X$31, $A$1, FALSE)</f>
        <v>6455</v>
      </c>
      <c r="W6" s="1">
        <f>VLOOKUP($B6, '[1]Pro of hr flat'!$B$2:$X$31, $A$1, FALSE)*parameters!$B$8</f>
        <v>64321.500711237553</v>
      </c>
      <c r="X6" s="1">
        <f>VLOOKUP($B6, '[1]Exp of flat'!$B$2:$X$31, $A$1, FALSE)</f>
        <v>5477</v>
      </c>
      <c r="Y6" s="1">
        <f>VLOOKUP($B6, '[1]Imp of flat'!$B$2:$X$31, $A$1, FALSE)</f>
        <v>9391</v>
      </c>
      <c r="Z6" s="1">
        <f>VLOOKUP($B6, '[1]Indirect exp'!$B$2:$X$31, $A$1, FALSE)</f>
        <v>20863</v>
      </c>
      <c r="AA6" s="1">
        <f>VLOOKUP($B6, '[1]Indirect imp'!$B$2:$X$31, $A$1, FALSE)</f>
        <v>39656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105000</v>
      </c>
      <c r="D7" s="1">
        <f>VLOOKUP($B7, '[1]Pro of iron ore'!$B$2:$X$31, $A$1, FALSE)*(1-VLOOKUP($B7, '[1]Foundry share'!$B$2:$X$31, $A$1, FALSE))</f>
        <v>60800</v>
      </c>
      <c r="E7" s="47">
        <f>VLOOKUP($B7, '[1]Iron content'!$B$2:$X$31, $A$1, FALSE)</f>
        <v>0.57904761904761903</v>
      </c>
      <c r="F7" s="1">
        <f>VLOOKUP($B7, '[1]Exp of usable iron ore'!$B$2:$X$31, $A$1, FALSE)*parameters!$B$12</f>
        <v>20644.650000000001</v>
      </c>
      <c r="G7" s="1">
        <f>VLOOKUP($B7, '[1]Pro of pig iron'!$B$2:$X$31, $A$1, FALSE)*(1-VLOOKUP($B7, '[1]Foundry share'!$B$2:$X$31, $A$1, FALSE))</f>
        <v>51043</v>
      </c>
      <c r="H7" s="1">
        <f>VLOOKUP($B7, '[1]Exp of pig iron'!$B$2:$X$31, $A$1, FALSE)</f>
        <v>6178</v>
      </c>
      <c r="I7" s="1">
        <f>VLOOKUP($B7, '[1]Imp of pig iron'!$B$2:$X$31, $A$1, FALSE)</f>
        <v>0</v>
      </c>
      <c r="J7" s="1">
        <f>VLOOKUP($B7, '[1]Pro of DRI'!$B$2:$X$31, $A$1, FALSE)</f>
        <v>3410</v>
      </c>
      <c r="K7" s="1">
        <f>VLOOKUP($B7, '[1]Exp of DRI'!$B$2:$X$31, $A$1, FALSE)</f>
        <v>1513</v>
      </c>
      <c r="L7" s="1">
        <f>VLOOKUP($B7, '[1]Imp of DRI'!$B$2:$X$31, $A$1, FALSE)</f>
        <v>0</v>
      </c>
      <c r="M7" s="1">
        <f>VLOOKUP($B7, '[1]Exp of scrap'!$B$2:$X$31, $A$1, FALSE)</f>
        <v>7855</v>
      </c>
      <c r="N7" s="1">
        <f>VLOOKUP($B7, '[1]Imp of scrap'!$B$2:$X$31, $A$1, FALSE)</f>
        <v>95</v>
      </c>
      <c r="O7" s="1">
        <f>VLOOKUP($B7, '[1]Pro of BOF steel'!$B$2:$X$31, $A$1, FALSE)</f>
        <v>41209</v>
      </c>
      <c r="P7" s="1">
        <f>VLOOKUP($B7, '[1]Pro of OHF steel'!$B$2:$X$31, $A$1, FALSE)</f>
        <v>11887</v>
      </c>
      <c r="Q7" s="1">
        <f>VLOOKUP($B7, '[1]Pro of EAF steel'!$B$2:$X$31, $A$1, FALSE)</f>
        <v>19291</v>
      </c>
      <c r="R7" s="1">
        <f>VLOOKUP($B7, '[1]Exp of ingots and semis'!$B$2:$X$31, $A$1, FALSE)</f>
        <v>15120</v>
      </c>
      <c r="S7" s="1">
        <f>VLOOKUP($B7, '[1]Imp of ingots and semis'!$B$2:$X$31, $A$1, FALSE)</f>
        <v>15</v>
      </c>
      <c r="T7" s="1">
        <f>VLOOKUP($B7, '[1]Pro of hr long'!$B$2:$X$31, $A$1, FALSE)+VLOOKUP($B7, '[1]Pro of seamless tubes'!$B$2:$X$31, $A$1, FALSE)</f>
        <v>24200</v>
      </c>
      <c r="U7" s="1">
        <f>VLOOKUP($B7, '[1]Exp of long'!$B$2:$X$31, $A$1, FALSE)</f>
        <v>3609</v>
      </c>
      <c r="V7" s="1">
        <f>VLOOKUP($B7, '[1]Imp of long'!$B$2:$X$31, $A$1, FALSE)</f>
        <v>2392</v>
      </c>
      <c r="W7" s="1">
        <f>VLOOKUP($B7, '[1]Pro of hr flat'!$B$2:$X$31, $A$1, FALSE)*parameters!$B$8</f>
        <v>36700.320056899007</v>
      </c>
      <c r="X7" s="1">
        <f>VLOOKUP($B7, '[1]Exp of flat'!$B$2:$X$31, $A$1, FALSE)</f>
        <v>9344</v>
      </c>
      <c r="Y7" s="1">
        <f>VLOOKUP($B7, '[1]Imp of flat'!$B$2:$X$31, $A$1, FALSE)</f>
        <v>3497</v>
      </c>
      <c r="Z7" s="1">
        <f>VLOOKUP($B7, '[1]Indirect exp'!$B$2:$X$31, $A$1, FALSE)</f>
        <v>2548</v>
      </c>
      <c r="AA7" s="1">
        <f>VLOOKUP($B7, '[1]Indirect imp'!$B$2:$X$31, $A$1, FALSE)</f>
        <v>9771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29437</v>
      </c>
      <c r="H8" s="1">
        <f>VLOOKUP($B8, '[1]Exp of pig iron'!$B$2:$X$31, $A$1, FALSE)</f>
        <v>0</v>
      </c>
      <c r="I8" s="1">
        <f>VLOOKUP($B8, '[1]Imp of pig iron'!$B$2:$X$31, $A$1, FALSE)</f>
        <v>1166</v>
      </c>
      <c r="J8" s="1">
        <f>VLOOKUP($B8, '[1]Pro of DRI'!$B$2:$X$31, $A$1, FALSE)</f>
        <v>0</v>
      </c>
      <c r="K8" s="1">
        <f>VLOOKUP($B8, '[1]Exp of DRI'!$B$2:$X$31, $A$1, FALSE)</f>
        <v>0</v>
      </c>
      <c r="L8" s="1">
        <f>VLOOKUP($B8, '[1]Imp of DRI'!$B$2:$X$31, $A$1, FALSE)</f>
        <v>345</v>
      </c>
      <c r="M8" s="1">
        <f>VLOOKUP($B8, '[1]Exp of scrap'!$B$2:$X$31, $A$1, FALSE)</f>
        <v>214</v>
      </c>
      <c r="N8" s="1">
        <f>VLOOKUP($B8, '[1]Imp of scrap'!$B$2:$X$31, $A$1, FALSE)</f>
        <v>6887</v>
      </c>
      <c r="O8" s="1">
        <f>VLOOKUP($B8, '[1]Pro of BOF steel'!$B$2:$X$31, $A$1, FALSE)</f>
        <v>27561</v>
      </c>
      <c r="P8" s="1">
        <f>VLOOKUP($B8, '[1]Pro of OHF steel'!$B$2:$X$31, $A$1, FALSE)</f>
        <v>0</v>
      </c>
      <c r="Q8" s="1">
        <f>VLOOKUP($B8, '[1]Pro of EAF steel'!$B$2:$X$31, $A$1, FALSE)</f>
        <v>23956</v>
      </c>
      <c r="R8" s="1">
        <f>VLOOKUP($B8, '[1]Exp of ingots and semis'!$B$2:$X$31, $A$1, FALSE)</f>
        <v>274</v>
      </c>
      <c r="S8" s="1">
        <f>VLOOKUP($B8, '[1]Imp of ingots and semis'!$B$2:$X$31, $A$1, FALSE)</f>
        <v>6342</v>
      </c>
      <c r="T8" s="1">
        <f>VLOOKUP($B8, '[1]Pro of hr long'!$B$2:$X$31, $A$1, FALSE)+VLOOKUP($B8, '[1]Pro of seamless tubes'!$B$2:$X$31, $A$1, FALSE)</f>
        <v>20426</v>
      </c>
      <c r="U8" s="1">
        <f>VLOOKUP($B8, '[1]Exp of long'!$B$2:$X$31, $A$1, FALSE)</f>
        <v>3187</v>
      </c>
      <c r="V8" s="1">
        <f>VLOOKUP($B8, '[1]Imp of long'!$B$2:$X$31, $A$1, FALSE)</f>
        <v>5424</v>
      </c>
      <c r="W8" s="1">
        <f>VLOOKUP($B8, '[1]Pro of hr flat'!$B$2:$X$31, $A$1, FALSE)*parameters!$B$8</f>
        <v>32889.899004267427</v>
      </c>
      <c r="X8" s="1">
        <f>VLOOKUP($B8, '[1]Exp of flat'!$B$2:$X$31, $A$1, FALSE)</f>
        <v>13721</v>
      </c>
      <c r="Y8" s="1">
        <f>VLOOKUP($B8, '[1]Imp of flat'!$B$2:$X$31, $A$1, FALSE)</f>
        <v>13537</v>
      </c>
      <c r="Z8" s="1">
        <f>VLOOKUP($B8, '[1]Indirect exp'!$B$2:$X$31, $A$1, FALSE)</f>
        <v>17927</v>
      </c>
      <c r="AA8" s="1">
        <f>VLOOKUP($B8, '[1]Indirect imp'!$B$2:$X$31, $A$1, FALSE)</f>
        <v>4822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421.71100000000001</v>
      </c>
      <c r="D9" s="1">
        <f>VLOOKUP($B9, '[1]Pro of iron ore'!$B$2:$X$31, $A$1, FALSE)*(1-VLOOKUP($B9, '[1]Foundry share'!$B$2:$X$31, $A$1, FALSE))</f>
        <v>44.3</v>
      </c>
      <c r="E9" s="47">
        <f>VLOOKUP($B9, '[1]Iron content'!$B$2:$X$31, $A$1, FALSE)</f>
        <v>0.10504824393956998</v>
      </c>
      <c r="F9" s="1">
        <f>VLOOKUP($B9, '[1]Exp of usable iron ore'!$B$2:$X$31, $A$1, FALSE)*parameters!$B$12</f>
        <v>11.700000000000001</v>
      </c>
      <c r="G9" s="1">
        <f>VLOOKUP($B9, '[1]Pro of pig iron'!$B$2:$X$31, $A$1, FALSE)*(1-VLOOKUP($B9, '[1]Foundry share'!$B$2:$X$31, $A$1, FALSE))</f>
        <v>31150</v>
      </c>
      <c r="H9" s="1">
        <f>VLOOKUP($B9, '[1]Exp of pig iron'!$B$2:$X$31, $A$1, FALSE)</f>
        <v>145</v>
      </c>
      <c r="I9" s="1">
        <f>VLOOKUP($B9, '[1]Imp of pig iron'!$B$2:$X$31, $A$1, FALSE)</f>
        <v>655</v>
      </c>
      <c r="J9" s="1">
        <f>VLOOKUP($B9, '[1]Pro of DRI'!$B$2:$X$31, $A$1, FALSE)</f>
        <v>590</v>
      </c>
      <c r="K9" s="1">
        <f>VLOOKUP($B9, '[1]Exp of DRI'!$B$2:$X$31, $A$1, FALSE)</f>
        <v>147</v>
      </c>
      <c r="L9" s="1">
        <f>VLOOKUP($B9, '[1]Imp of DRI'!$B$2:$X$31, $A$1, FALSE)</f>
        <v>173</v>
      </c>
      <c r="M9" s="1">
        <f>VLOOKUP($B9, '[1]Exp of scrap'!$B$2:$X$31, $A$1, FALSE)</f>
        <v>7770</v>
      </c>
      <c r="N9" s="1">
        <f>VLOOKUP($B9, '[1]Imp of scrap'!$B$2:$X$31, $A$1, FALSE)</f>
        <v>5920</v>
      </c>
      <c r="O9" s="1">
        <f>VLOOKUP($B9, '[1]Pro of BOF steel'!$B$2:$X$31, $A$1, FALSE)</f>
        <v>33535</v>
      </c>
      <c r="P9" s="1">
        <f>VLOOKUP($B9, '[1]Pro of OHF steel'!$B$2:$X$31, $A$1, FALSE)</f>
        <v>0</v>
      </c>
      <c r="Q9" s="1">
        <f>VLOOKUP($B9, '[1]Pro of EAF steel'!$B$2:$X$31, $A$1, FALSE)</f>
        <v>15015</v>
      </c>
      <c r="R9" s="1">
        <f>VLOOKUP($B9, '[1]Exp of ingots and semis'!$B$2:$X$31, $A$1, FALSE)</f>
        <v>2497</v>
      </c>
      <c r="S9" s="1">
        <f>VLOOKUP($B9, '[1]Imp of ingots and semis'!$B$2:$X$31, $A$1, FALSE)</f>
        <v>3095</v>
      </c>
      <c r="T9" s="1">
        <f>VLOOKUP($B9, '[1]Pro of hr long'!$B$2:$X$31, $A$1, FALSE)+VLOOKUP($B9, '[1]Pro of seamless tubes'!$B$2:$X$31, $A$1, FALSE)</f>
        <v>16157</v>
      </c>
      <c r="U9" s="1">
        <f>VLOOKUP($B9, '[1]Exp of long'!$B$2:$X$31, $A$1, FALSE)</f>
        <v>8166</v>
      </c>
      <c r="V9" s="1">
        <f>VLOOKUP($B9, '[1]Imp of long'!$B$2:$X$31, $A$1, FALSE)</f>
        <v>7371</v>
      </c>
      <c r="W9" s="1">
        <f>VLOOKUP($B9, '[1]Pro of hr flat'!$B$2:$X$31, $A$1, FALSE)*parameters!$B$8</f>
        <v>26878.916073968707</v>
      </c>
      <c r="X9" s="1">
        <f>VLOOKUP($B9, '[1]Exp of flat'!$B$2:$X$31, $A$1, FALSE)</f>
        <v>15125</v>
      </c>
      <c r="Y9" s="1">
        <f>VLOOKUP($B9, '[1]Imp of flat'!$B$2:$X$31, $A$1, FALSE)</f>
        <v>14095</v>
      </c>
      <c r="Z9" s="1">
        <f>VLOOKUP($B9, '[1]Indirect exp'!$B$2:$X$31, $A$1, FALSE)</f>
        <v>30095</v>
      </c>
      <c r="AA9" s="1">
        <f>VLOOKUP($B9, '[1]Indirect imp'!$B$2:$X$31, $A$1, FALSE)</f>
        <v>19597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4849</v>
      </c>
      <c r="D10" s="1">
        <f>VLOOKUP($B10, '[1]Pro of iron ore'!$B$2:$X$31, $A$1, FALSE)*(1-VLOOKUP($B10, '[1]Foundry share'!$B$2:$X$31, $A$1, FALSE))</f>
        <v>2600</v>
      </c>
      <c r="E10" s="47">
        <f>VLOOKUP($B10, '[1]Iron content'!$B$2:$X$31, $A$1, FALSE)</f>
        <v>0.53619302949061665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6235</v>
      </c>
      <c r="H10" s="1">
        <f>VLOOKUP($B10, '[1]Exp of pig iron'!$B$2:$X$31, $A$1, FALSE)</f>
        <v>28</v>
      </c>
      <c r="I10" s="1">
        <f>VLOOKUP($B10, '[1]Imp of pig iron'!$B$2:$X$31, $A$1, FALSE)</f>
        <v>724</v>
      </c>
      <c r="J10" s="1">
        <f>VLOOKUP($B10, '[1]Pro of DRI'!$B$2:$X$31, $A$1, FALSE)</f>
        <v>0</v>
      </c>
      <c r="K10" s="1">
        <f>VLOOKUP($B10, '[1]Exp of DRI'!$B$2:$X$31, $A$1, FALSE)</f>
        <v>37</v>
      </c>
      <c r="L10" s="1">
        <f>VLOOKUP($B10, '[1]Imp of DRI'!$B$2:$X$31, $A$1, FALSE)</f>
        <v>126</v>
      </c>
      <c r="M10" s="1">
        <f>VLOOKUP($B10, '[1]Exp of scrap'!$B$2:$X$31, $A$1, FALSE)</f>
        <v>98</v>
      </c>
      <c r="N10" s="1">
        <f>VLOOKUP($B10, '[1]Imp of scrap'!$B$2:$X$31, $A$1, FALSE)</f>
        <v>13500</v>
      </c>
      <c r="O10" s="1">
        <f>VLOOKUP($B10, '[1]Pro of BOF steel'!$B$2:$X$31, $A$1, FALSE)</f>
        <v>6392</v>
      </c>
      <c r="P10" s="1">
        <f>VLOOKUP($B10, '[1]Pro of OHF steel'!$B$2:$X$31, $A$1, FALSE)</f>
        <v>0</v>
      </c>
      <c r="Q10" s="1">
        <f>VLOOKUP($B10, '[1]Pro of EAF steel'!$B$2:$X$31, $A$1, FALSE)</f>
        <v>19362</v>
      </c>
      <c r="R10" s="1">
        <f>VLOOKUP($B10, '[1]Exp of ingots and semis'!$B$2:$X$31, $A$1, FALSE)</f>
        <v>0</v>
      </c>
      <c r="S10" s="1">
        <f>VLOOKUP($B10, '[1]Imp of ingots and semis'!$B$2:$X$31, $A$1, FALSE)</f>
        <v>3571</v>
      </c>
      <c r="T10" s="1">
        <f>VLOOKUP($B10, '[1]Pro of hr long'!$B$2:$X$31, $A$1, FALSE)+VLOOKUP($B10, '[1]Pro of seamless tubes'!$B$2:$X$31, $A$1, FALSE)</f>
        <v>13500</v>
      </c>
      <c r="U10" s="1">
        <f>VLOOKUP($B10, '[1]Exp of long'!$B$2:$X$31, $A$1, FALSE)</f>
        <v>6245</v>
      </c>
      <c r="V10" s="1">
        <f>VLOOKUP($B10, '[1]Imp of long'!$B$2:$X$31, $A$1, FALSE)</f>
        <v>298</v>
      </c>
      <c r="W10" s="1">
        <f>VLOOKUP($B10, '[1]Pro of hr flat'!$B$2:$X$31, $A$1, FALSE)*parameters!$B$8</f>
        <v>13823.004583530899</v>
      </c>
      <c r="X10" s="1">
        <f>VLOOKUP($B10, '[1]Exp of flat'!$B$2:$X$31, $A$1, FALSE)</f>
        <v>134</v>
      </c>
      <c r="Y10" s="1">
        <f>VLOOKUP($B10, '[1]Imp of flat'!$B$2:$X$31, $A$1, FALSE)</f>
        <v>5746</v>
      </c>
      <c r="Z10" s="1">
        <f>VLOOKUP($B10, '[1]Indirect exp'!$B$2:$X$31, $A$1, FALSE)</f>
        <v>5226</v>
      </c>
      <c r="AA10" s="1">
        <f>VLOOKUP($B10, '[1]Indirect imp'!$B$2:$X$31, $A$1, FALSE)</f>
        <v>2981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354674.37800000003</v>
      </c>
      <c r="D11" s="1">
        <f>VLOOKUP($B11, '[1]Pro of iron ore'!$B$2:$X$31, $A$1, FALSE)*(1-VLOOKUP($B11, '[1]Foundry share'!$B$2:$X$31, $A$1, FALSE))</f>
        <v>235504</v>
      </c>
      <c r="E11" s="47">
        <f>VLOOKUP($B11, '[1]Iron content'!$B$2:$X$31, $A$1, FALSE)</f>
        <v>0.66400060057340815</v>
      </c>
      <c r="F11" s="1">
        <f>VLOOKUP($B11, '[1]Exp of usable iron ore'!$B$2:$X$31, $A$1, FALSE)*parameters!$B$12</f>
        <v>175141.2</v>
      </c>
      <c r="G11" s="1">
        <f>VLOOKUP($B11, '[1]Pro of pig iron'!$B$2:$X$31, $A$1, FALSE)*(1-VLOOKUP($B11, '[1]Foundry share'!$B$2:$X$31, $A$1, FALSE))</f>
        <v>35571</v>
      </c>
      <c r="H11" s="1">
        <f>VLOOKUP($B11, '[1]Exp of pig iron'!$B$2:$X$31, $A$1, FALSE)</f>
        <v>5953</v>
      </c>
      <c r="I11" s="1">
        <f>VLOOKUP($B11, '[1]Imp of pig iron'!$B$2:$X$31, $A$1, FALSE)</f>
        <v>0</v>
      </c>
      <c r="J11" s="1">
        <f>VLOOKUP($B11, '[1]Pro of DRI'!$B$2:$X$31, $A$1, FALSE)</f>
        <v>362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85</v>
      </c>
      <c r="N11" s="1">
        <f>VLOOKUP($B11, '[1]Imp of scrap'!$B$2:$X$31, $A$1, FALSE)</f>
        <v>46</v>
      </c>
      <c r="O11" s="1">
        <f>VLOOKUP($B11, '[1]Pro of BOF steel'!$B$2:$X$31, $A$1, FALSE)</f>
        <v>25130</v>
      </c>
      <c r="P11" s="1">
        <f>VLOOKUP($B11, '[1]Pro of OHF steel'!$B$2:$X$31, $A$1, FALSE)</f>
        <v>0</v>
      </c>
      <c r="Q11" s="1">
        <f>VLOOKUP($B11, '[1]Pro of EAF steel'!$B$2:$X$31, $A$1, FALSE)</f>
        <v>8081</v>
      </c>
      <c r="R11" s="1">
        <f>VLOOKUP($B11, '[1]Exp of ingots and semis'!$B$2:$X$31, $A$1, FALSE)</f>
        <v>5099</v>
      </c>
      <c r="S11" s="1">
        <f>VLOOKUP($B11, '[1]Imp of ingots and semis'!$B$2:$X$31, $A$1, FALSE)</f>
        <v>53</v>
      </c>
      <c r="T11" s="1">
        <f>VLOOKUP($B11, '[1]Pro of hr long'!$B$2:$X$31, $A$1, FALSE)+VLOOKUP($B11, '[1]Pro of seamless tubes'!$B$2:$X$31, $A$1, FALSE)</f>
        <v>10650</v>
      </c>
      <c r="U11" s="1">
        <f>VLOOKUP($B11, '[1]Exp of long'!$B$2:$X$31, $A$1, FALSE)</f>
        <v>1950</v>
      </c>
      <c r="V11" s="1">
        <f>VLOOKUP($B11, '[1]Imp of long'!$B$2:$X$31, $A$1, FALSE)</f>
        <v>321</v>
      </c>
      <c r="W11" s="1">
        <f>VLOOKUP($B11, '[1]Pro of hr flat'!$B$2:$X$31, $A$1, FALSE)*parameters!$B$8</f>
        <v>15244.598862019915</v>
      </c>
      <c r="X11" s="1">
        <f>VLOOKUP($B11, '[1]Exp of flat'!$B$2:$X$31, $A$1, FALSE)</f>
        <v>3031</v>
      </c>
      <c r="Y11" s="1">
        <f>VLOOKUP($B11, '[1]Imp of flat'!$B$2:$X$31, $A$1, FALSE)</f>
        <v>1002</v>
      </c>
      <c r="Z11" s="1">
        <f>VLOOKUP($B11, '[1]Indirect exp'!$B$2:$X$31, $A$1, FALSE)</f>
        <v>3449</v>
      </c>
      <c r="AA11" s="1">
        <f>VLOOKUP($B11, '[1]Indirect imp'!$B$2:$X$31, $A$1, FALSE)</f>
        <v>2261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27959.501408016687</v>
      </c>
      <c r="D12" s="1">
        <f>VLOOKUP($B12, '[1]Pro of iron ore'!$B$2:$X$31, $A$1, FALSE)*(1-VLOOKUP($B12, '[1]Foundry share'!$B$2:$X$31, $A$1, FALSE))</f>
        <v>13298.19810388698</v>
      </c>
      <c r="E12" s="47">
        <f>VLOOKUP($B12, '[1]Iron content'!$B$2:$X$31, $A$1, FALSE)</f>
        <v>0.47562357818276602</v>
      </c>
      <c r="F12" s="1">
        <f>VLOOKUP($B12, '[1]Exp of usable iron ore'!$B$2:$X$31, $A$1, FALSE)*parameters!$B$12</f>
        <v>2592.2000000000003</v>
      </c>
      <c r="G12" s="1">
        <f>VLOOKUP($B12, '[1]Pro of pig iron'!$B$2:$X$31, $A$1, FALSE)*(1-VLOOKUP($B12, '[1]Foundry share'!$B$2:$X$31, $A$1, FALSE))</f>
        <v>1877.7055722688417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</f>
        <v>7491</v>
      </c>
      <c r="K12" s="1">
        <f>VLOOKUP($B12, '[1]Exp of DRI'!$B$2:$X$31, $A$1, FALSE)</f>
        <v>0</v>
      </c>
      <c r="L12" s="1">
        <f>VLOOKUP($B12, '[1]Imp of DRI'!$B$2:$X$31, $A$1, FALSE)</f>
        <v>61</v>
      </c>
      <c r="M12" s="1">
        <f>VLOOKUP($B12, '[1]Exp of scrap'!$B$2:$X$31, $A$1, FALSE)</f>
        <v>0</v>
      </c>
      <c r="N12" s="1">
        <f>VLOOKUP($B12, '[1]Imp of scrap'!$B$2:$X$31, $A$1, FALSE)</f>
        <v>42</v>
      </c>
      <c r="O12" s="1">
        <f>VLOOKUP($B12, '[1]Pro of BOF steel'!$B$2:$X$31, $A$1, FALSE)</f>
        <v>1930</v>
      </c>
      <c r="P12" s="1">
        <f>VLOOKUP($B12, '[1]Pro of OHF steel'!$B$2:$X$31, $A$1, FALSE)</f>
        <v>0</v>
      </c>
      <c r="Q12" s="1">
        <f>VLOOKUP($B12, '[1]Pro of EAF steel'!$B$2:$X$31, $A$1, FALSE)</f>
        <v>8120</v>
      </c>
      <c r="R12" s="1">
        <f>VLOOKUP($B12, '[1]Exp of ingots and semis'!$B$2:$X$31, $A$1, FALSE)</f>
        <v>0</v>
      </c>
      <c r="S12" s="1">
        <f>VLOOKUP($B12, '[1]Imp of ingots and semis'!$B$2:$X$31, $A$1, FALSE)</f>
        <v>4154</v>
      </c>
      <c r="T12" s="1">
        <f>VLOOKUP($B12, '[1]Pro of hr long'!$B$2:$X$31, $A$1, FALSE)+VLOOKUP($B12, '[1]Pro of seamless tubes'!$B$2:$X$31, $A$1, FALSE)</f>
        <v>5183</v>
      </c>
      <c r="U12" s="1">
        <f>VLOOKUP($B12, '[1]Exp of long'!$B$2:$X$31, $A$1, FALSE)</f>
        <v>0</v>
      </c>
      <c r="V12" s="1">
        <f>VLOOKUP($B12, '[1]Imp of long'!$B$2:$X$31, $A$1, FALSE)</f>
        <v>1301</v>
      </c>
      <c r="W12" s="1">
        <f>VLOOKUP($B12, '[1]Pro of hr flat'!$B$2:$X$31, $A$1, FALSE)*parameters!$B$8</f>
        <v>3985.3001422475108</v>
      </c>
      <c r="X12" s="1">
        <f>VLOOKUP($B12, '[1]Exp of flat'!$B$2:$X$31, $A$1, FALSE)</f>
        <v>0</v>
      </c>
      <c r="Y12" s="1">
        <f>VLOOKUP($B12, '[1]Imp of flat'!$B$2:$X$31, $A$1, FALSE)</f>
        <v>3061</v>
      </c>
      <c r="Z12" s="1">
        <f>VLOOKUP($B12, '[1]Indirect exp'!$B$2:$X$31, $A$1, FALSE)</f>
        <v>111</v>
      </c>
      <c r="AA12" s="1">
        <f>VLOOKUP($B12, '[1]Indirect imp'!$B$2:$X$31, $A$1, FALSE)</f>
        <v>1694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0.65</v>
      </c>
      <c r="G13" s="1">
        <f>VLOOKUP($B13, '[1]Pro of pig iron'!$B$2:$X$31, $A$1, FALSE)*(1-VLOOKUP($B13, '[1]Foundry share'!$B$2:$X$31, $A$1, FALSE))</f>
        <v>11110</v>
      </c>
      <c r="H13" s="1">
        <f>VLOOKUP($B13, '[1]Exp of pig iron'!$B$2:$X$31, $A$1, FALSE)</f>
        <v>51</v>
      </c>
      <c r="I13" s="1">
        <f>VLOOKUP($B13, '[1]Imp of pig iron'!$B$2:$X$31, $A$1, FALSE)</f>
        <v>2235</v>
      </c>
      <c r="J13" s="1">
        <f>VLOOKUP($B13, '[1]Pro of DRI'!$B$2:$X$31, $A$1, FALSE)</f>
        <v>0</v>
      </c>
      <c r="K13" s="1">
        <f>VLOOKUP($B13, '[1]Exp of DRI'!$B$2:$X$31, $A$1, FALSE)</f>
        <v>0</v>
      </c>
      <c r="L13" s="1">
        <f>VLOOKUP($B13, '[1]Imp of DRI'!$B$2:$X$31, $A$1, FALSE)</f>
        <v>432</v>
      </c>
      <c r="M13" s="1">
        <f>VLOOKUP($B13, '[1]Exp of scrap'!$B$2:$X$31, $A$1, FALSE)</f>
        <v>241</v>
      </c>
      <c r="N13" s="1">
        <f>VLOOKUP($B13, '[1]Imp of scrap'!$B$2:$X$31, $A$1, FALSE)</f>
        <v>5242</v>
      </c>
      <c r="O13" s="1">
        <f>VLOOKUP($B13, '[1]Pro of BOF steel'!$B$2:$X$31, $A$1, FALSE)</f>
        <v>11556</v>
      </c>
      <c r="P13" s="1">
        <f>VLOOKUP($B13, '[1]Pro of OHF steel'!$B$2:$X$31, $A$1, FALSE)</f>
        <v>0</v>
      </c>
      <c r="Q13" s="1">
        <f>VLOOKUP($B13, '[1]Pro of EAF steel'!$B$2:$X$31, $A$1, FALSE)</f>
        <v>19996</v>
      </c>
      <c r="R13" s="1">
        <f>VLOOKUP($B13, '[1]Exp of ingots and semis'!$B$2:$X$31, $A$1, FALSE)</f>
        <v>983</v>
      </c>
      <c r="S13" s="1">
        <f>VLOOKUP($B13, '[1]Imp of ingots and semis'!$B$2:$X$31, $A$1, FALSE)</f>
        <v>5992</v>
      </c>
      <c r="T13" s="1">
        <f>VLOOKUP($B13, '[1]Pro of hr long'!$B$2:$X$31, $A$1, FALSE)+VLOOKUP($B13, '[1]Pro of seamless tubes'!$B$2:$X$31, $A$1, FALSE)</f>
        <v>18168</v>
      </c>
      <c r="U13" s="1">
        <f>VLOOKUP($B13, '[1]Exp of long'!$B$2:$X$31, $A$1, FALSE)</f>
        <v>5903</v>
      </c>
      <c r="V13" s="1">
        <f>VLOOKUP($B13, '[1]Imp of long'!$B$2:$X$31, $A$1, FALSE)</f>
        <v>4204</v>
      </c>
      <c r="W13" s="1">
        <f>VLOOKUP($B13, '[1]Pro of hr flat'!$B$2:$X$31, $A$1, FALSE)*parameters!$B$8</f>
        <v>14341.056899004267</v>
      </c>
      <c r="X13" s="1">
        <f>VLOOKUP($B13, '[1]Exp of flat'!$B$2:$X$31, $A$1, FALSE)</f>
        <v>7075</v>
      </c>
      <c r="Y13" s="1">
        <f>VLOOKUP($B13, '[1]Imp of flat'!$B$2:$X$31, $A$1, FALSE)</f>
        <v>12839</v>
      </c>
      <c r="Z13" s="1">
        <f>VLOOKUP($B13, '[1]Indirect exp'!$B$2:$X$31, $A$1, FALSE)</f>
        <v>13568</v>
      </c>
      <c r="AA13" s="1">
        <f>VLOOKUP($B13, '[1]Indirect imp'!$B$2:$X$31, $A$1, FALSE)</f>
        <v>9259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77900</v>
      </c>
      <c r="D14" s="1">
        <f>VLOOKUP($B14, '[1]Pro of iron ore'!$B$2:$X$31, $A$1, FALSE)*(1-VLOOKUP($B14, '[1]Foundry share'!$B$2:$X$31, $A$1, FALSE))</f>
        <v>42800</v>
      </c>
      <c r="E14" s="47">
        <f>VLOOKUP($B14, '[1]Iron content'!$B$2:$X$31, $A$1, FALSE)</f>
        <v>0.54942233632862647</v>
      </c>
      <c r="F14" s="1">
        <f>VLOOKUP($B14, '[1]Exp of usable iron ore'!$B$2:$X$31, $A$1, FALSE)*parameters!$B$12</f>
        <v>13469.95</v>
      </c>
      <c r="G14" s="1">
        <f>VLOOKUP($B14, '[1]Pro of pig iron'!$B$2:$X$31, $A$1, FALSE)*(1-VLOOKUP($B14, '[1]Foundry share'!$B$2:$X$31, $A$1, FALSE))</f>
        <v>35647</v>
      </c>
      <c r="H14" s="1">
        <f>VLOOKUP($B14, '[1]Exp of pig iron'!$B$2:$X$31, $A$1, FALSE)</f>
        <v>2055</v>
      </c>
      <c r="I14" s="1">
        <f>VLOOKUP($B14, '[1]Imp of pig iron'!$B$2:$X$31, $A$1, FALSE)</f>
        <v>175</v>
      </c>
      <c r="J14" s="1">
        <f>VLOOKUP($B14, '[1]Pro of DRI'!$B$2:$X$31, $A$1, FALSE)</f>
        <v>0</v>
      </c>
      <c r="K14" s="1">
        <f>VLOOKUP($B14, '[1]Exp of DRI'!$B$2:$X$31, $A$1, FALSE)</f>
        <v>0</v>
      </c>
      <c r="L14" s="1">
        <f>VLOOKUP($B14, '[1]Imp of DRI'!$B$2:$X$31, $A$1, FALSE)</f>
        <v>537</v>
      </c>
      <c r="M14" s="1">
        <f>VLOOKUP($B14, '[1]Exp of scrap'!$B$2:$X$31, $A$1, FALSE)</f>
        <v>688</v>
      </c>
      <c r="N14" s="1">
        <f>VLOOKUP($B14, '[1]Imp of scrap'!$B$2:$X$31, $A$1, FALSE)</f>
        <v>21</v>
      </c>
      <c r="O14" s="1">
        <f>VLOOKUP($B14, '[1]Pro of BOF steel'!$B$2:$X$31, $A$1, FALSE)</f>
        <v>22006</v>
      </c>
      <c r="P14" s="1">
        <f>VLOOKUP($B14, '[1]Pro of OHF steel'!$B$2:$X$31, $A$1, FALSE)</f>
        <v>19189</v>
      </c>
      <c r="Q14" s="1">
        <f>VLOOKUP($B14, '[1]Pro of EAF steel'!$B$2:$X$31, $A$1, FALSE)</f>
        <v>1635</v>
      </c>
      <c r="R14" s="1">
        <f>VLOOKUP($B14, '[1]Exp of ingots and semis'!$B$2:$X$31, $A$1, FALSE)</f>
        <v>11827</v>
      </c>
      <c r="S14" s="1">
        <f>VLOOKUP($B14, '[1]Imp of ingots and semis'!$B$2:$X$31, $A$1, FALSE)</f>
        <v>444</v>
      </c>
      <c r="T14" s="1">
        <f>VLOOKUP($B14, '[1]Pro of hr long'!$B$2:$X$31, $A$1, FALSE)+VLOOKUP($B14, '[1]Pro of seamless tubes'!$B$2:$X$31, $A$1, FALSE)</f>
        <v>18030</v>
      </c>
      <c r="U14" s="1">
        <f>VLOOKUP($B14, '[1]Exp of long'!$B$2:$X$31, $A$1, FALSE)</f>
        <v>7387</v>
      </c>
      <c r="V14" s="1">
        <f>VLOOKUP($B14, '[1]Imp of long'!$B$2:$X$31, $A$1, FALSE)</f>
        <v>428</v>
      </c>
      <c r="W14" s="1">
        <f>VLOOKUP($B14, '[1]Pro of hr flat'!$B$2:$X$31, $A$1, FALSE)*parameters!$B$8</f>
        <v>19011.30014224751</v>
      </c>
      <c r="X14" s="1">
        <f>VLOOKUP($B14, '[1]Exp of flat'!$B$2:$X$31, $A$1, FALSE)</f>
        <v>9011</v>
      </c>
      <c r="Y14" s="1">
        <f>VLOOKUP($B14, '[1]Imp of flat'!$B$2:$X$31, $A$1, FALSE)</f>
        <v>1188</v>
      </c>
      <c r="Z14" s="1">
        <f>VLOOKUP($B14, '[1]Indirect exp'!$B$2:$X$31, $A$1, FALSE)</f>
        <v>2249</v>
      </c>
      <c r="AA14" s="1">
        <f>VLOOKUP($B14, '[1]Indirect imp'!$B$2:$X$31, $A$1, FALSE)</f>
        <v>2327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10916.437</v>
      </c>
      <c r="D15" s="1">
        <f>VLOOKUP($B15, '[1]Pro of iron ore'!$B$2:$X$31, $A$1, FALSE)*(1-VLOOKUP($B15, '[1]Foundry share'!$B$2:$X$31, $A$1, FALSE))</f>
        <v>6550</v>
      </c>
      <c r="E15" s="47">
        <f>VLOOKUP($B15, '[1]Iron content'!$B$2:$X$31, $A$1, FALSE)</f>
        <v>0.60001262316633164</v>
      </c>
      <c r="F15" s="1">
        <f>VLOOKUP($B15, '[1]Exp of usable iron ore'!$B$2:$X$31, $A$1, FALSE)*parameters!$B$12</f>
        <v>897.65</v>
      </c>
      <c r="G15" s="1">
        <f>VLOOKUP($B15, '[1]Pro of pig iron'!$B$2:$X$31, $A$1, FALSE)*(1-VLOOKUP($B15, '[1]Foundry share'!$B$2:$X$31, $A$1, FALSE))</f>
        <v>4078</v>
      </c>
      <c r="H15" s="1">
        <f>VLOOKUP($B15, '[1]Exp of pig iron'!$B$2:$X$31, $A$1, FALSE)</f>
        <v>120</v>
      </c>
      <c r="I15" s="1">
        <f>VLOOKUP($B15, '[1]Imp of pig iron'!$B$2:$X$31, $A$1, FALSE)</f>
        <v>340</v>
      </c>
      <c r="J15" s="1">
        <f>VLOOKUP($B15, '[1]Pro of DRI'!$B$2:$X$31, $A$1, FALSE)</f>
        <v>6265</v>
      </c>
      <c r="K15" s="1">
        <f>VLOOKUP($B15, '[1]Exp of DRI'!$B$2:$X$31, $A$1, FALSE)</f>
        <v>120</v>
      </c>
      <c r="L15" s="1">
        <f>VLOOKUP($B15, '[1]Imp of DRI'!$B$2:$X$31, $A$1, FALSE)</f>
        <v>172</v>
      </c>
      <c r="M15" s="1">
        <f>VLOOKUP($B15, '[1]Exp of scrap'!$B$2:$X$31, $A$1, FALSE)</f>
        <v>813</v>
      </c>
      <c r="N15" s="1">
        <f>VLOOKUP($B15, '[1]Imp of scrap'!$B$2:$X$31, $A$1, FALSE)</f>
        <v>1607</v>
      </c>
      <c r="O15" s="1">
        <f>VLOOKUP($B15, '[1]Pro of BOF steel'!$B$2:$X$31, $A$1, FALSE)</f>
        <v>4558</v>
      </c>
      <c r="P15" s="1">
        <f>VLOOKUP($B15, '[1]Pro of OHF steel'!$B$2:$X$31, $A$1, FALSE)</f>
        <v>0</v>
      </c>
      <c r="Q15" s="1">
        <f>VLOOKUP($B15, '[1]Pro of EAF steel'!$B$2:$X$31, $A$1, FALSE)</f>
        <v>13014</v>
      </c>
      <c r="R15" s="1">
        <f>VLOOKUP($B15, '[1]Exp of ingots and semis'!$B$2:$X$31, $A$1, FALSE)</f>
        <v>2671</v>
      </c>
      <c r="S15" s="1">
        <f>VLOOKUP($B15, '[1]Imp of ingots and semis'!$B$2:$X$31, $A$1, FALSE)</f>
        <v>1041</v>
      </c>
      <c r="T15" s="1">
        <f>VLOOKUP($B15, '[1]Pro of hr long'!$B$2:$X$31, $A$1, FALSE)+VLOOKUP($B15, '[1]Pro of seamless tubes'!$B$2:$X$31, $A$1, FALSE)</f>
        <v>7739</v>
      </c>
      <c r="U15" s="1">
        <f>VLOOKUP($B15, '[1]Exp of long'!$B$2:$X$31, $A$1, FALSE)</f>
        <v>1088</v>
      </c>
      <c r="V15" s="1">
        <f>VLOOKUP($B15, '[1]Imp of long'!$B$2:$X$31, $A$1, FALSE)</f>
        <v>1498</v>
      </c>
      <c r="W15" s="1">
        <f>VLOOKUP($B15, '[1]Pro of hr flat'!$B$2:$X$31, $A$1, FALSE)*parameters!$B$8</f>
        <v>7038.8833570412517</v>
      </c>
      <c r="X15" s="1">
        <f>VLOOKUP($B15, '[1]Exp of flat'!$B$2:$X$31, $A$1, FALSE)</f>
        <v>1076</v>
      </c>
      <c r="Y15" s="1">
        <f>VLOOKUP($B15, '[1]Imp of flat'!$B$2:$X$31, $A$1, FALSE)</f>
        <v>3731</v>
      </c>
      <c r="Z15" s="1">
        <f>VLOOKUP($B15, '[1]Indirect exp'!$B$2:$X$31, $A$1, FALSE)</f>
        <v>9209</v>
      </c>
      <c r="AA15" s="1">
        <f>VLOOKUP($B15, '[1]Indirect imp'!$B$2:$X$31, $A$1, FALSE)</f>
        <v>8217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1015.5435305188082</v>
      </c>
      <c r="D16" s="1">
        <f>VLOOKUP($B16, '[1]Pro of iron ore'!$B$2:$X$31, $A$1, FALSE)*(1-VLOOKUP($B16, '[1]Foundry share'!$B$2:$X$31, $A$1, FALSE))</f>
        <v>507.77176525940411</v>
      </c>
      <c r="E16" s="47">
        <f>VLOOKUP($B16, '[1]Iron content'!$B$2:$X$31, $A$1, FALSE)</f>
        <v>0.5</v>
      </c>
      <c r="F16" s="1">
        <f>VLOOKUP($B16, '[1]Exp of usable iron ore'!$B$2:$X$31, $A$1, FALSE)*parameters!$B$12</f>
        <v>780</v>
      </c>
      <c r="G16" s="1">
        <f>VLOOKUP($B16, '[1]Pro of pig iron'!$B$2:$X$31, $A$1, FALSE)*(1-VLOOKUP($B16, '[1]Foundry share'!$B$2:$X$31, $A$1, FALSE))</f>
        <v>162.87018885679001</v>
      </c>
      <c r="H16" s="1">
        <f>VLOOKUP($B16, '[1]Exp of pig iron'!$B$2:$X$31, $A$1, FALSE)</f>
        <v>0</v>
      </c>
      <c r="I16" s="1">
        <f>VLOOKUP($B16, '[1]Imp of pig iron'!$B$2:$X$31, $A$1, FALSE)</f>
        <v>28</v>
      </c>
      <c r="J16" s="1">
        <f>VLOOKUP($B16, '[1]Pro of DRI'!$B$2:$X$31, $A$1, FALSE)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1050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2024</v>
      </c>
      <c r="R16" s="1">
        <f>VLOOKUP($B16, '[1]Exp of ingots and semis'!$B$2:$X$31, $A$1, FALSE)</f>
        <v>1</v>
      </c>
      <c r="S16" s="1">
        <f>VLOOKUP($B16, '[1]Imp of ingots and semis'!$B$2:$X$31, $A$1, FALSE)</f>
        <v>2045</v>
      </c>
      <c r="T16" s="1">
        <f>VLOOKUP($B16, '[1]Pro of hr long'!$B$2:$X$31, $A$1, FALSE)+VLOOKUP($B16, '[1]Pro of seamless tubes'!$B$2:$X$31, $A$1, FALSE)</f>
        <v>3955</v>
      </c>
      <c r="U16" s="1">
        <f>VLOOKUP($B16, '[1]Exp of long'!$B$2:$X$31, $A$1, FALSE)</f>
        <v>0</v>
      </c>
      <c r="V16" s="1">
        <f>VLOOKUP($B16, '[1]Imp of long'!$B$2:$X$31, $A$1, FALSE)</f>
        <v>0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3448.5</v>
      </c>
      <c r="Z16" s="1">
        <f>VLOOKUP($B16, '[1]Indirect exp'!$B$2:$X$31, $A$1, FALSE)</f>
        <v>289</v>
      </c>
      <c r="AA16" s="1">
        <f>VLOOKUP($B16, '[1]Indirect imp'!$B$2:$X$31, $A$1, FALSE)</f>
        <v>825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44.85</v>
      </c>
      <c r="G17" s="1">
        <f>VLOOKUP($B17, '[1]Pro of pig iron'!$B$2:$X$31, $A$1, FALSE)*(1-VLOOKUP($B17, '[1]Foundry share'!$B$2:$X$31, $A$1, FALSE))</f>
        <v>12426</v>
      </c>
      <c r="H17" s="1">
        <f>VLOOKUP($B17, '[1]Exp of pig iron'!$B$2:$X$31, $A$1, FALSE)</f>
        <v>90</v>
      </c>
      <c r="I17" s="1">
        <f>VLOOKUP($B17, '[1]Imp of pig iron'!$B$2:$X$31, $A$1, FALSE)</f>
        <v>192</v>
      </c>
      <c r="J17" s="1">
        <f>VLOOKUP($B17, '[1]Pro of DRI'!$B$2:$X$31, $A$1, FALSE)</f>
        <v>0</v>
      </c>
      <c r="K17" s="1">
        <f>VLOOKUP($B17, '[1]Exp of DRI'!$B$2:$X$31, $A$1, FALSE)</f>
        <v>9</v>
      </c>
      <c r="L17" s="1">
        <f>VLOOKUP($B17, '[1]Imp of DRI'!$B$2:$X$31, $A$1, FALSE)</f>
        <v>134</v>
      </c>
      <c r="M17" s="1">
        <f>VLOOKUP($B17, '[1]Exp of scrap'!$B$2:$X$31, $A$1, FALSE)</f>
        <v>6154</v>
      </c>
      <c r="N17" s="1">
        <f>VLOOKUP($B17, '[1]Imp of scrap'!$B$2:$X$31, $A$1, FALSE)</f>
        <v>3185</v>
      </c>
      <c r="O17" s="1">
        <f>VLOOKUP($B17, '[1]Pro of BOF steel'!$B$2:$X$31, $A$1, FALSE)</f>
        <v>11808</v>
      </c>
      <c r="P17" s="1">
        <f>VLOOKUP($B17, '[1]Pro of OHF steel'!$B$2:$X$31, $A$1, FALSE)</f>
        <v>0</v>
      </c>
      <c r="Q17" s="1">
        <f>VLOOKUP($B17, '[1]Pro of EAF steel'!$B$2:$X$31, $A$1, FALSE)</f>
        <v>7442</v>
      </c>
      <c r="R17" s="1">
        <f>VLOOKUP($B17, '[1]Exp of ingots and semis'!$B$2:$X$31, $A$1, FALSE)</f>
        <v>2650</v>
      </c>
      <c r="S17" s="1">
        <f>VLOOKUP($B17, '[1]Imp of ingots and semis'!$B$2:$X$31, $A$1, FALSE)</f>
        <v>1997</v>
      </c>
      <c r="T17" s="1">
        <f>VLOOKUP($B17, '[1]Pro of hr long'!$B$2:$X$31, $A$1, FALSE)+VLOOKUP($B17, '[1]Pro of seamless tubes'!$B$2:$X$31, $A$1, FALSE)</f>
        <v>5491</v>
      </c>
      <c r="U17" s="1">
        <f>VLOOKUP($B17, '[1]Exp of long'!$B$2:$X$31, $A$1, FALSE)</f>
        <v>2917</v>
      </c>
      <c r="V17" s="1">
        <f>VLOOKUP($B17, '[1]Imp of long'!$B$2:$X$31, $A$1, FALSE)</f>
        <v>4202</v>
      </c>
      <c r="W17" s="1">
        <f>VLOOKUP($B17, '[1]Pro of hr flat'!$B$2:$X$31, $A$1, FALSE)*parameters!$B$8</f>
        <v>11086.362731152205</v>
      </c>
      <c r="X17" s="1">
        <f>VLOOKUP($B17, '[1]Exp of flat'!$B$2:$X$31, $A$1, FALSE)</f>
        <v>11017</v>
      </c>
      <c r="Y17" s="1">
        <f>VLOOKUP($B17, '[1]Imp of flat'!$B$2:$X$31, $A$1, FALSE)</f>
        <v>10344</v>
      </c>
      <c r="Z17" s="1">
        <f>VLOOKUP($B17, '[1]Indirect exp'!$B$2:$X$31, $A$1, FALSE)</f>
        <v>12035</v>
      </c>
      <c r="AA17" s="1">
        <f>VLOOKUP($B17, '[1]Indirect imp'!$B$2:$X$31, $A$1, FALSE)</f>
        <v>14442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3976</v>
      </c>
      <c r="H18" s="1">
        <f>VLOOKUP($B18, '[1]Exp of pig iron'!$B$2:$X$31, $A$1, FALSE)</f>
        <v>12</v>
      </c>
      <c r="I18" s="1">
        <f>VLOOKUP($B18, '[1]Imp of pig iron'!$B$2:$X$31, $A$1, FALSE)</f>
        <v>653</v>
      </c>
      <c r="J18" s="1">
        <f>VLOOKUP($B18, '[1]Pro of DRI'!$B$2:$X$31, $A$1, FALSE)</f>
        <v>0</v>
      </c>
      <c r="K18" s="1">
        <f>VLOOKUP($B18, '[1]Exp of DRI'!$B$2:$X$31, $A$1, FALSE)</f>
        <v>4</v>
      </c>
      <c r="L18" s="1">
        <f>VLOOKUP($B18, '[1]Imp of DRI'!$B$2:$X$31, $A$1, FALSE)</f>
        <v>550</v>
      </c>
      <c r="M18" s="1">
        <f>VLOOKUP($B18, '[1]Exp of scrap'!$B$2:$X$31, $A$1, FALSE)</f>
        <v>162</v>
      </c>
      <c r="N18" s="1">
        <f>VLOOKUP($B18, '[1]Imp of scrap'!$B$2:$X$31, $A$1, FALSE)</f>
        <v>6317</v>
      </c>
      <c r="O18" s="1">
        <f>VLOOKUP($B18, '[1]Pro of BOF steel'!$B$2:$X$31, $A$1, FALSE)</f>
        <v>4190</v>
      </c>
      <c r="P18" s="1">
        <f>VLOOKUP($B18, '[1]Pro of OHF steel'!$B$2:$X$31, $A$1, FALSE)</f>
        <v>0</v>
      </c>
      <c r="Q18" s="1">
        <f>VLOOKUP($B18, '[1]Pro of EAF steel'!$B$2:$X$31, $A$1, FALSE)</f>
        <v>14809</v>
      </c>
      <c r="R18" s="1">
        <f>VLOOKUP($B18, '[1]Exp of ingots and semis'!$B$2:$X$31, $A$1, FALSE)</f>
        <v>91</v>
      </c>
      <c r="S18" s="1">
        <f>VLOOKUP($B18, '[1]Imp of ingots and semis'!$B$2:$X$31, $A$1, FALSE)</f>
        <v>1733</v>
      </c>
      <c r="T18" s="1">
        <f>VLOOKUP($B18, '[1]Pro of hr long'!$B$2:$X$31, $A$1, FALSE)+VLOOKUP($B18, '[1]Pro of seamless tubes'!$B$2:$X$31, $A$1, FALSE)</f>
        <v>12853</v>
      </c>
      <c r="U18" s="1">
        <f>VLOOKUP($B18, '[1]Exp of long'!$B$2:$X$31, $A$1, FALSE)</f>
        <v>4324</v>
      </c>
      <c r="V18" s="1">
        <f>VLOOKUP($B18, '[1]Imp of long'!$B$2:$X$31, $A$1, FALSE)</f>
        <v>3892</v>
      </c>
      <c r="W18" s="1">
        <f>VLOOKUP($B18, '[1]Pro of hr flat'!$B$2:$X$31, $A$1, FALSE)*parameters!$B$8</f>
        <v>6025.5561877667142</v>
      </c>
      <c r="X18" s="1">
        <f>VLOOKUP($B18, '[1]Exp of flat'!$B$2:$X$31, $A$1, FALSE)</f>
        <v>2667</v>
      </c>
      <c r="Y18" s="1">
        <f>VLOOKUP($B18, '[1]Imp of flat'!$B$2:$X$31, $A$1, FALSE)</f>
        <v>8487</v>
      </c>
      <c r="Z18" s="1">
        <f>VLOOKUP($B18, '[1]Indirect exp'!$B$2:$X$31, $A$1, FALSE)</f>
        <v>7368</v>
      </c>
      <c r="AA18" s="1">
        <f>VLOOKUP($B18, '[1]Indirect imp'!$B$2:$X$31, $A$1, FALSE)</f>
        <v>7489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32744</v>
      </c>
      <c r="D19" s="1">
        <f>VLOOKUP($B19, '[1]Pro of iron ore'!$B$2:$X$31, $A$1, FALSE)*(1-VLOOKUP($B19, '[1]Foundry share'!$B$2:$X$31, $A$1, FALSE))</f>
        <v>20800</v>
      </c>
      <c r="E19" s="47">
        <f>VLOOKUP($B19, '[1]Iron content'!$B$2:$X$31, $A$1, FALSE)</f>
        <v>0.63523088199364774</v>
      </c>
      <c r="F19" s="1">
        <f>VLOOKUP($B19, '[1]Exp of usable iron ore'!$B$2:$X$31, $A$1, FALSE)*parameters!$B$12</f>
        <v>18290.350000000002</v>
      </c>
      <c r="G19" s="1">
        <f>VLOOKUP($B19, '[1]Pro of pig iron'!$B$2:$X$31, $A$1, FALSE)*(1-VLOOKUP($B19, '[1]Foundry share'!$B$2:$X$31, $A$1, FALSE))</f>
        <v>8579</v>
      </c>
      <c r="H19" s="1">
        <f>VLOOKUP($B19, '[1]Exp of pig iron'!$B$2:$X$31, $A$1, FALSE)</f>
        <v>114</v>
      </c>
      <c r="I19" s="1">
        <f>VLOOKUP($B19, '[1]Imp of pig iron'!$B$2:$X$31, $A$1, FALSE)</f>
        <v>35</v>
      </c>
      <c r="J19" s="1">
        <f>VLOOKUP($B19, '[1]Pro of DRI'!$B$2:$X$31, $A$1, FALSE)</f>
        <v>911</v>
      </c>
      <c r="K19" s="1">
        <f>VLOOKUP($B19, '[1]Exp of DRI'!$B$2:$X$31, $A$1, FALSE)</f>
        <v>7</v>
      </c>
      <c r="L19" s="1">
        <f>VLOOKUP($B19, '[1]Imp of DRI'!$B$2:$X$31, $A$1, FALSE)</f>
        <v>207</v>
      </c>
      <c r="M19" s="1">
        <f>VLOOKUP($B19, '[1]Exp of scrap'!$B$2:$X$31, $A$1, FALSE)</f>
        <v>4757</v>
      </c>
      <c r="N19" s="1">
        <f>VLOOKUP($B19, '[1]Imp of scrap'!$B$2:$X$31, $A$1, FALSE)</f>
        <v>1471</v>
      </c>
      <c r="O19" s="1">
        <f>VLOOKUP($B19, '[1]Pro of BOF steel'!$B$2:$X$31, $A$1, FALSE)</f>
        <v>9168</v>
      </c>
      <c r="P19" s="1">
        <f>VLOOKUP($B19, '[1]Pro of OHF steel'!$B$2:$X$31, $A$1, FALSE)</f>
        <v>0</v>
      </c>
      <c r="Q19" s="1">
        <f>VLOOKUP($B19, '[1]Pro of EAF steel'!$B$2:$X$31, $A$1, FALSE)</f>
        <v>6331</v>
      </c>
      <c r="R19" s="1">
        <f>VLOOKUP($B19, '[1]Exp of ingots and semis'!$B$2:$X$31, $A$1, FALSE)</f>
        <v>837</v>
      </c>
      <c r="S19" s="1">
        <f>VLOOKUP($B19, '[1]Imp of ingots and semis'!$B$2:$X$31, $A$1, FALSE)</f>
        <v>345</v>
      </c>
      <c r="T19" s="1">
        <f>VLOOKUP($B19, '[1]Pro of hr long'!$B$2:$X$31, $A$1, FALSE)+VLOOKUP($B19, '[1]Pro of seamless tubes'!$B$2:$X$31, $A$1, FALSE)</f>
        <v>3230</v>
      </c>
      <c r="U19" s="1">
        <f>VLOOKUP($B19, '[1]Exp of long'!$B$2:$X$31, $A$1, FALSE)</f>
        <v>1861</v>
      </c>
      <c r="V19" s="1">
        <f>VLOOKUP($B19, '[1]Imp of long'!$B$2:$X$31, $A$1, FALSE)</f>
        <v>2545</v>
      </c>
      <c r="W19" s="1">
        <f>VLOOKUP($B19, '[1]Pro of hr flat'!$B$2:$X$31, $A$1, FALSE)*parameters!$B$8</f>
        <v>10278.032716927453</v>
      </c>
      <c r="X19" s="1">
        <f>VLOOKUP($B19, '[1]Exp of flat'!$B$2:$X$31, $A$1, FALSE)</f>
        <v>3143</v>
      </c>
      <c r="Y19" s="1">
        <f>VLOOKUP($B19, '[1]Imp of flat'!$B$2:$X$31, $A$1, FALSE)</f>
        <v>3722</v>
      </c>
      <c r="Z19" s="1">
        <f>VLOOKUP($B19, '[1]Indirect exp'!$B$2:$X$31, $A$1, FALSE)</f>
        <v>7735</v>
      </c>
      <c r="AA19" s="1">
        <f>VLOOKUP($B19, '[1]Indirect imp'!$B$2:$X$31, $A$1, FALSE)</f>
        <v>12439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61.076999999999998</v>
      </c>
      <c r="D20" s="1">
        <f>VLOOKUP($B20, '[1]Pro of iron ore'!$B$2:$X$31, $A$1, FALSE)*(1-VLOOKUP($B20, '[1]Foundry share'!$B$2:$X$31, $A$1, FALSE))</f>
        <v>35</v>
      </c>
      <c r="E20" s="47">
        <f>VLOOKUP($B20, '[1]Iron content'!$B$2:$X$31, $A$1, FALSE)</f>
        <v>0.57304713722023026</v>
      </c>
      <c r="F20" s="1">
        <f>VLOOKUP($B20, '[1]Exp of usable iron ore'!$B$2:$X$31, $A$1, FALSE)*parameters!$B$12</f>
        <v>458.90000000000003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0</v>
      </c>
      <c r="I20" s="1">
        <f>VLOOKUP($B20, '[1]Imp of pig iron'!$B$2:$X$31, $A$1, FALSE)</f>
        <v>15</v>
      </c>
      <c r="J20" s="1">
        <f>VLOOKUP($B20, '[1]Pro of DRI'!$B$2:$X$31, $A$1, FALSE)</f>
        <v>1321</v>
      </c>
      <c r="K20" s="1">
        <f>VLOOKUP($B20, '[1]Exp of DRI'!$B$2:$X$31, $A$1, FALSE)</f>
        <v>0</v>
      </c>
      <c r="L20" s="1">
        <f>VLOOKUP($B20, '[1]Imp of DRI'!$B$2:$X$31, $A$1, FALSE)</f>
        <v>385</v>
      </c>
      <c r="M20" s="1">
        <f>VLOOKUP($B20, '[1]Exp of scrap'!$B$2:$X$31, $A$1, FALSE)</f>
        <v>0</v>
      </c>
      <c r="N20" s="1">
        <f>VLOOKUP($B20, '[1]Imp of scrap'!$B$2:$X$31, $A$1, FALSE)</f>
        <v>1260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4160</v>
      </c>
      <c r="R20" s="1">
        <f>VLOOKUP($B20, '[1]Exp of ingots and semis'!$B$2:$X$31, $A$1, FALSE)</f>
        <v>8</v>
      </c>
      <c r="S20" s="1">
        <f>VLOOKUP($B20, '[1]Imp of ingots and semis'!$B$2:$X$31, $A$1, FALSE)</f>
        <v>2037</v>
      </c>
      <c r="T20" s="1">
        <f>VLOOKUP($B20, '[1]Pro of hr long'!$B$2:$X$31, $A$1, FALSE)+VLOOKUP($B20, '[1]Pro of seamless tubes'!$B$2:$X$31, $A$1, FALSE)</f>
        <v>2762</v>
      </c>
      <c r="U20" s="1">
        <f>VLOOKUP($B20, '[1]Exp of long'!$B$2:$X$31, $A$1, FALSE)</f>
        <v>269</v>
      </c>
      <c r="V20" s="1">
        <f>VLOOKUP($B20, '[1]Imp of long'!$B$2:$X$31, $A$1, FALSE)</f>
        <v>848</v>
      </c>
      <c r="W20" s="1">
        <f>VLOOKUP($B20, '[1]Pro of hr flat'!$B$2:$X$31, $A$1, FALSE)*parameters!$B$8</f>
        <v>2475.5106685633</v>
      </c>
      <c r="X20" s="1">
        <f>VLOOKUP($B20, '[1]Exp of flat'!$B$2:$X$31, $A$1, FALSE)</f>
        <v>987</v>
      </c>
      <c r="Y20" s="1">
        <f>VLOOKUP($B20, '[1]Imp of flat'!$B$2:$X$31, $A$1, FALSE)</f>
        <v>2465</v>
      </c>
      <c r="Z20" s="1">
        <f>VLOOKUP($B20, '[1]Indirect exp'!$B$2:$X$31, $A$1, FALSE)</f>
        <v>1455</v>
      </c>
      <c r="AA20" s="1">
        <f>VLOOKUP($B20, '[1]Indirect imp'!$B$2:$X$31, $A$1, FALSE)</f>
        <v>2208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5804</v>
      </c>
      <c r="H21" s="1">
        <f>VLOOKUP($B21, '[1]Exp of pig iron'!$B$2:$X$31, $A$1, FALSE)</f>
        <v>8</v>
      </c>
      <c r="I21" s="1">
        <f>VLOOKUP($B21, '[1]Imp of pig iron'!$B$2:$X$31, $A$1, FALSE)</f>
        <v>228</v>
      </c>
      <c r="J21" s="1">
        <f>VLOOKUP($B21, '[1]Pro of DRI'!$B$2:$X$31, $A$1, FALSE)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1088</v>
      </c>
      <c r="N21" s="1">
        <f>VLOOKUP($B21, '[1]Imp of scrap'!$B$2:$X$31, $A$1, FALSE)</f>
        <v>314</v>
      </c>
      <c r="O21" s="1">
        <f>VLOOKUP($B21, '[1]Pro of BOF steel'!$B$2:$X$31, $A$1, FALSE)</f>
        <v>6198</v>
      </c>
      <c r="P21" s="1">
        <f>VLOOKUP($B21, '[1]Pro of OHF steel'!$B$2:$X$31, $A$1, FALSE)</f>
        <v>0</v>
      </c>
      <c r="Q21" s="1">
        <f>VLOOKUP($B21, '[1]Pro of EAF steel'!$B$2:$X$31, $A$1, FALSE)</f>
        <v>4434</v>
      </c>
      <c r="R21" s="1">
        <f>VLOOKUP($B21, '[1]Exp of ingots and semis'!$B$2:$X$31, $A$1, FALSE)</f>
        <v>1431</v>
      </c>
      <c r="S21" s="1">
        <f>VLOOKUP($B21, '[1]Imp of ingots and semis'!$B$2:$X$31, $A$1, FALSE)</f>
        <v>679</v>
      </c>
      <c r="T21" s="1">
        <f>VLOOKUP($B21, '[1]Pro of hr long'!$B$2:$X$31, $A$1, FALSE)+VLOOKUP($B21, '[1]Pro of seamless tubes'!$B$2:$X$31, $A$1, FALSE)</f>
        <v>5135</v>
      </c>
      <c r="U21" s="1">
        <f>VLOOKUP($B21, '[1]Exp of long'!$B$2:$X$31, $A$1, FALSE)</f>
        <v>2013</v>
      </c>
      <c r="V21" s="1">
        <f>VLOOKUP($B21, '[1]Imp of long'!$B$2:$X$31, $A$1, FALSE)</f>
        <v>2071</v>
      </c>
      <c r="W21" s="1">
        <f>VLOOKUP($B21, '[1]Pro of hr flat'!$B$2:$X$31, $A$1, FALSE)*parameters!$B$8</f>
        <v>2999.1763869132292</v>
      </c>
      <c r="X21" s="1">
        <f>VLOOKUP($B21, '[1]Exp of flat'!$B$2:$X$31, $A$1, FALSE)</f>
        <v>1014</v>
      </c>
      <c r="Y21" s="1">
        <f>VLOOKUP($B21, '[1]Imp of flat'!$B$2:$X$31, $A$1, FALSE)</f>
        <v>4615</v>
      </c>
      <c r="Z21" s="1">
        <f>VLOOKUP($B21, '[1]Indirect exp'!$B$2:$X$31, $A$1, FALSE)</f>
        <v>7051</v>
      </c>
      <c r="AA21" s="1">
        <f>VLOOKUP($B21, '[1]Indirect imp'!$B$2:$X$31, $A$1, FALSE)</f>
        <v>5609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2184.7289999999998</v>
      </c>
      <c r="D22" s="1">
        <f>VLOOKUP($B22, '[1]Pro of iron ore'!$B$2:$X$31, $A$1, FALSE)*(1-VLOOKUP($B22, '[1]Foundry share'!$B$2:$X$31, $A$1, FALSE))</f>
        <v>1100</v>
      </c>
      <c r="E22" s="47">
        <f>VLOOKUP($B22, '[1]Iron content'!$B$2:$X$31, $A$1, FALSE)</f>
        <v>0.50349494147786755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1000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</f>
        <v>2786</v>
      </c>
      <c r="K22" s="1">
        <f>VLOOKUP($B22, '[1]Exp of DRI'!$B$2:$X$31, $A$1, FALSE)</f>
        <v>0</v>
      </c>
      <c r="L22" s="1">
        <f>VLOOKUP($B22, '[1]Imp of DRI'!$B$2:$X$31, $A$1, FALSE)</f>
        <v>126</v>
      </c>
      <c r="M22" s="1">
        <f>VLOOKUP($B22, '[1]Exp of scrap'!$B$2:$X$31, $A$1, FALSE)</f>
        <v>0</v>
      </c>
      <c r="N22" s="1">
        <f>VLOOKUP($B22, '[1]Imp of scrap'!$B$2:$X$31, $A$1, FALSE)</f>
        <v>2274</v>
      </c>
      <c r="O22" s="1">
        <f>VLOOKUP($B22, '[1]Pro of BOF steel'!$B$2:$X$31, $A$1, FALSE)</f>
        <v>1000</v>
      </c>
      <c r="P22" s="1">
        <f>VLOOKUP($B22, '[1]Pro of OHF steel'!$B$2:$X$31, $A$1, FALSE)</f>
        <v>0</v>
      </c>
      <c r="Q22" s="1">
        <f>VLOOKUP($B22, '[1]Pro of EAF steel'!$B$2:$X$31, $A$1, FALSE)</f>
        <v>5225</v>
      </c>
      <c r="R22" s="1">
        <f>VLOOKUP($B22, '[1]Exp of ingots and semis'!$B$2:$X$31, $A$1, FALSE)</f>
        <v>24</v>
      </c>
      <c r="S22" s="1">
        <f>VLOOKUP($B22, '[1]Imp of ingots and semis'!$B$2:$X$31, $A$1, FALSE)</f>
        <v>960</v>
      </c>
      <c r="T22" s="1">
        <f>VLOOKUP($B22, '[1]Pro of hr long'!$B$2:$X$31, $A$1, FALSE)+VLOOKUP($B22, '[1]Pro of seamless tubes'!$B$2:$X$31, $A$1, FALSE)</f>
        <v>4626</v>
      </c>
      <c r="U22" s="1">
        <f>VLOOKUP($B22, '[1]Exp of long'!$B$2:$X$31, $A$1, FALSE)</f>
        <v>0</v>
      </c>
      <c r="V22" s="1">
        <f>VLOOKUP($B22, '[1]Imp of long'!$B$2:$X$31, $A$1, FALSE)</f>
        <v>170</v>
      </c>
      <c r="W22" s="1">
        <f>VLOOKUP($B22, '[1]Pro of hr flat'!$B$2:$X$31, $A$1, FALSE)*parameters!$B$8</f>
        <v>2002.3655761024181</v>
      </c>
      <c r="X22" s="1">
        <f>VLOOKUP($B22, '[1]Exp of flat'!$B$2:$X$31, $A$1, FALSE)</f>
        <v>0</v>
      </c>
      <c r="Y22" s="1">
        <f>VLOOKUP($B22, '[1]Imp of flat'!$B$2:$X$31, $A$1, FALSE)</f>
        <v>535</v>
      </c>
      <c r="Z22" s="1">
        <f>VLOOKUP($B22, '[1]Indirect exp'!$B$2:$X$31, $A$1, FALSE)</f>
        <v>180</v>
      </c>
      <c r="AA22" s="1">
        <f>VLOOKUP($B22, '[1]Indirect imp'!$B$2:$X$31, $A$1, FALSE)</f>
        <v>539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8</v>
      </c>
      <c r="J23" s="1">
        <f>VLOOKUP($B23, '[1]Pro of DRI'!$B$2:$X$31, $A$1, FALSE)</f>
        <v>4101</v>
      </c>
      <c r="K23" s="1">
        <f>VLOOKUP($B23, '[1]Exp of DRI'!$B$2:$X$31, $A$1, FALSE)</f>
        <v>0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4644</v>
      </c>
      <c r="R23" s="1">
        <f>VLOOKUP($B23, '[1]Exp of ingots and semis'!$B$2:$X$31, $A$1, FALSE)</f>
        <v>0</v>
      </c>
      <c r="S23" s="1">
        <f>VLOOKUP($B23, '[1]Imp of ingots and semis'!$B$2:$X$31, $A$1, FALSE)</f>
        <v>773</v>
      </c>
      <c r="T23" s="1">
        <f>VLOOKUP($B23, '[1]Pro of hr long'!$B$2:$X$31, $A$1, FALSE)+VLOOKUP($B23, '[1]Pro of seamless tubes'!$B$2:$X$31, $A$1, FALSE)</f>
        <v>2690</v>
      </c>
      <c r="U23" s="1">
        <f>VLOOKUP($B23, '[1]Exp of long'!$B$2:$X$31, $A$1, FALSE)</f>
        <v>0</v>
      </c>
      <c r="V23" s="1">
        <f>VLOOKUP($B23, '[1]Imp of long'!$B$2:$X$31, $A$1, FALSE)</f>
        <v>1140</v>
      </c>
      <c r="W23" s="1">
        <f>VLOOKUP($B23, '[1]Pro of hr flat'!$B$2:$X$31, $A$1, FALSE)*parameters!$B$8</f>
        <v>1552.8568900609696</v>
      </c>
      <c r="X23" s="1">
        <f>VLOOKUP($B23, '[1]Exp of flat'!$B$2:$X$31, $A$1, FALSE)</f>
        <v>0</v>
      </c>
      <c r="Y23" s="1">
        <f>VLOOKUP($B23, '[1]Imp of flat'!$B$2:$X$31, $A$1, FALSE)</f>
        <v>2073</v>
      </c>
      <c r="Z23" s="1">
        <f>VLOOKUP($B23, '[1]Indirect exp'!$B$2:$X$31, $A$1, FALSE)</f>
        <v>132</v>
      </c>
      <c r="AA23" s="1">
        <f>VLOOKUP($B23, '[1]Indirect imp'!$B$2:$X$31, $A$1, FALSE)</f>
        <v>2672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2152.8249999999998</v>
      </c>
      <c r="D24" s="1">
        <f>VLOOKUP($B24, '[1]Pro of iron ore'!$B$2:$X$31, $A$1, FALSE)*(1-VLOOKUP($B24, '[1]Foundry share'!$B$2:$X$31, $A$1, FALSE))</f>
        <v>688.904</v>
      </c>
      <c r="E24" s="47">
        <f>VLOOKUP($B24, '[1]Iron content'!$B$2:$X$31, $A$1, FALSE)</f>
        <v>0.32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5908</v>
      </c>
      <c r="H24" s="1">
        <f>VLOOKUP($B24, '[1]Exp of pig iron'!$B$2:$X$31, $A$1, FALSE)</f>
        <v>7</v>
      </c>
      <c r="I24" s="1">
        <f>VLOOKUP($B24, '[1]Imp of pig iron'!$B$2:$X$31, $A$1, FALSE)</f>
        <v>65</v>
      </c>
      <c r="J24" s="1">
        <f>VLOOKUP($B24, '[1]Pro of DRI'!$B$2:$X$31, $A$1, FALSE)</f>
        <v>0</v>
      </c>
      <c r="K24" s="1">
        <f>VLOOKUP($B24, '[1]Exp of DRI'!$B$2:$X$31, $A$1, FALSE)</f>
        <v>0</v>
      </c>
      <c r="L24" s="1">
        <f>VLOOKUP($B24, '[1]Imp of DRI'!$B$2:$X$31, $A$1, FALSE)</f>
        <v>12</v>
      </c>
      <c r="M24" s="1">
        <f>VLOOKUP($B24, '[1]Exp of scrap'!$B$2:$X$31, $A$1, FALSE)</f>
        <v>1267</v>
      </c>
      <c r="N24" s="1">
        <f>VLOOKUP($B24, '[1]Imp of scrap'!$B$2:$X$31, $A$1, FALSE)</f>
        <v>1351</v>
      </c>
      <c r="O24" s="1">
        <f>VLOOKUP($B24, '[1]Pro of BOF steel'!$B$2:$X$31, $A$1, FALSE)</f>
        <v>6870</v>
      </c>
      <c r="P24" s="1">
        <f>VLOOKUP($B24, '[1]Pro of OHF steel'!$B$2:$X$31, $A$1, FALSE)</f>
        <v>0</v>
      </c>
      <c r="Q24" s="1">
        <f>VLOOKUP($B24, '[1]Pro of EAF steel'!$B$2:$X$31, $A$1, FALSE)</f>
        <v>708</v>
      </c>
      <c r="R24" s="1">
        <f>VLOOKUP($B24, '[1]Exp of ingots and semis'!$B$2:$X$31, $A$1, FALSE)</f>
        <v>292</v>
      </c>
      <c r="S24" s="1">
        <f>VLOOKUP($B24, '[1]Imp of ingots and semis'!$B$2:$X$31, $A$1, FALSE)</f>
        <v>212</v>
      </c>
      <c r="T24" s="1">
        <f>VLOOKUP($B24, '[1]Pro of hr long'!$B$2:$X$31, $A$1, FALSE)+VLOOKUP($B24, '[1]Pro of seamless tubes'!$B$2:$X$31, $A$1, FALSE)</f>
        <v>1841</v>
      </c>
      <c r="U24" s="1">
        <f>VLOOKUP($B24, '[1]Exp of long'!$B$2:$X$31, $A$1, FALSE)</f>
        <v>1590</v>
      </c>
      <c r="V24" s="1">
        <f>VLOOKUP($B24, '[1]Imp of long'!$B$2:$X$31, $A$1, FALSE)</f>
        <v>1355</v>
      </c>
      <c r="W24" s="1">
        <f>VLOOKUP($B24, '[1]Pro of hr flat'!$B$2:$X$31, $A$1, FALSE)*parameters!$B$8</f>
        <v>4833.4637268847791</v>
      </c>
      <c r="X24" s="1">
        <f>VLOOKUP($B24, '[1]Exp of flat'!$B$2:$X$31, $A$1, FALSE)</f>
        <v>4200</v>
      </c>
      <c r="Y24" s="1">
        <f>VLOOKUP($B24, '[1]Imp of flat'!$B$2:$X$31, $A$1, FALSE)</f>
        <v>2125</v>
      </c>
      <c r="Z24" s="1">
        <f>VLOOKUP($B24, '[1]Indirect exp'!$B$2:$X$31, $A$1, FALSE)</f>
        <v>3840</v>
      </c>
      <c r="AA24" s="1">
        <f>VLOOKUP($B24, '[1]Indirect imp'!$B$2:$X$31, $A$1, FALSE)</f>
        <v>3829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27.95</v>
      </c>
      <c r="G25" s="1">
        <f>VLOOKUP($B25, '[1]Pro of pig iron'!$B$2:$X$31, $A$1, FALSE)*(1-VLOOKUP($B25, '[1]Foundry share'!$B$2:$X$31, $A$1, FALSE))</f>
        <v>6577</v>
      </c>
      <c r="H25" s="1">
        <f>VLOOKUP($B25, '[1]Exp of pig iron'!$B$2:$X$31, $A$1, FALSE)</f>
        <v>289</v>
      </c>
      <c r="I25" s="1">
        <f>VLOOKUP($B25, '[1]Imp of pig iron'!$B$2:$X$31, $A$1, FALSE)</f>
        <v>589</v>
      </c>
      <c r="J25" s="1">
        <f>VLOOKUP($B25, '[1]Pro of DRI'!$B$2:$X$31, $A$1, FALSE)</f>
        <v>0</v>
      </c>
      <c r="K25" s="1">
        <f>VLOOKUP($B25, '[1]Exp of DRI'!$B$2:$X$31, $A$1, FALSE)</f>
        <v>1</v>
      </c>
      <c r="L25" s="1">
        <f>VLOOKUP($B25, '[1]Imp of DRI'!$B$2:$X$31, $A$1, FALSE)</f>
        <v>12</v>
      </c>
      <c r="M25" s="1">
        <f>VLOOKUP($B25, '[1]Exp of scrap'!$B$2:$X$31, $A$1, FALSE)</f>
        <v>3001</v>
      </c>
      <c r="N25" s="1">
        <f>VLOOKUP($B25, '[1]Imp of scrap'!$B$2:$X$31, $A$1, FALSE)</f>
        <v>4482</v>
      </c>
      <c r="O25" s="1">
        <f>VLOOKUP($B25, '[1]Pro of BOF steel'!$B$2:$X$31, $A$1, FALSE)</f>
        <v>7147</v>
      </c>
      <c r="P25" s="1">
        <f>VLOOKUP($B25, '[1]Pro of OHF steel'!$B$2:$X$31, $A$1, FALSE)</f>
        <v>0</v>
      </c>
      <c r="Q25" s="1">
        <f>VLOOKUP($B25, '[1]Pro of EAF steel'!$B$2:$X$31, $A$1, FALSE)</f>
        <v>3545</v>
      </c>
      <c r="R25" s="1">
        <f>VLOOKUP($B25, '[1]Exp of ingots and semis'!$B$2:$X$31, $A$1, FALSE)</f>
        <v>1046</v>
      </c>
      <c r="S25" s="1">
        <f>VLOOKUP($B25, '[1]Imp of ingots and semis'!$B$2:$X$31, $A$1, FALSE)</f>
        <v>2651</v>
      </c>
      <c r="T25" s="1">
        <f>VLOOKUP($B25, '[1]Pro of hr long'!$B$2:$X$31, $A$1, FALSE)+VLOOKUP($B25, '[1]Pro of seamless tubes'!$B$2:$X$31, $A$1, FALSE)</f>
        <v>1240</v>
      </c>
      <c r="U25" s="1">
        <f>VLOOKUP($B25, '[1]Exp of long'!$B$2:$X$31, $A$1, FALSE)</f>
        <v>2688</v>
      </c>
      <c r="V25" s="1">
        <f>VLOOKUP($B25, '[1]Imp of long'!$B$2:$X$31, $A$1, FALSE)</f>
        <v>2978</v>
      </c>
      <c r="W25" s="1">
        <f>VLOOKUP($B25, '[1]Pro of hr flat'!$B$2:$X$31, $A$1, FALSE)*parameters!$B$8</f>
        <v>9919.5305832147933</v>
      </c>
      <c r="X25" s="1">
        <f>VLOOKUP($B25, '[1]Exp of flat'!$B$2:$X$31, $A$1, FALSE)</f>
        <v>17638</v>
      </c>
      <c r="Y25" s="1">
        <f>VLOOKUP($B25, '[1]Imp of flat'!$B$2:$X$31, $A$1, FALSE)</f>
        <v>10716</v>
      </c>
      <c r="Z25" s="1">
        <f>VLOOKUP($B25, '[1]Indirect exp'!$B$2:$X$31, $A$1, FALSE)</f>
        <v>6753</v>
      </c>
      <c r="AA25" s="1">
        <f>VLOOKUP($B25, '[1]Indirect imp'!$B$2:$X$31, $A$1, FALSE)</f>
        <v>7425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2.6</v>
      </c>
      <c r="G26" s="1">
        <f>VLOOKUP($B26, '[1]Pro of pig iron'!$B$2:$X$31, $A$1, FALSE)*(1-VLOOKUP($B26, '[1]Foundry share'!$B$2:$X$31, $A$1, FALSE))</f>
        <v>10960</v>
      </c>
      <c r="H26" s="1">
        <f>VLOOKUP($B26, '[1]Exp of pig iron'!$B$2:$X$31, $A$1, FALSE)</f>
        <v>16</v>
      </c>
      <c r="I26" s="1">
        <f>VLOOKUP($B26, '[1]Imp of pig iron'!$B$2:$X$31, $A$1, FALSE)</f>
        <v>90</v>
      </c>
      <c r="J26" s="1">
        <f>VLOOKUP($B26, '[1]Pro of DRI'!$B$2:$X$31, $A$1, FALSE)</f>
        <v>0</v>
      </c>
      <c r="K26" s="1">
        <f>VLOOKUP($B26, '[1]Exp of DRI'!$B$2:$X$31, $A$1, FALSE)</f>
        <v>0</v>
      </c>
      <c r="L26" s="1">
        <f>VLOOKUP($B26, '[1]Imp of DRI'!$B$2:$X$31, $A$1, FALSE)</f>
        <v>1</v>
      </c>
      <c r="M26" s="1">
        <f>VLOOKUP($B26, '[1]Exp of scrap'!$B$2:$X$31, $A$1, FALSE)</f>
        <v>6014</v>
      </c>
      <c r="N26" s="1">
        <f>VLOOKUP($B26, '[1]Imp of scrap'!$B$2:$X$31, $A$1, FALSE)</f>
        <v>206</v>
      </c>
      <c r="O26" s="1">
        <f>VLOOKUP($B26, '[1]Pro of BOF steel'!$B$2:$X$31, $A$1, FALSE)</f>
        <v>11282</v>
      </c>
      <c r="P26" s="1">
        <f>VLOOKUP($B26, '[1]Pro of OHF steel'!$B$2:$X$31, $A$1, FALSE)</f>
        <v>0</v>
      </c>
      <c r="Q26" s="1">
        <f>VLOOKUP($B26, '[1]Pro of EAF steel'!$B$2:$X$31, $A$1, FALSE)</f>
        <v>3035</v>
      </c>
      <c r="R26" s="1">
        <f>VLOOKUP($B26, '[1]Exp of ingots and semis'!$B$2:$X$31, $A$1, FALSE)</f>
        <v>3522</v>
      </c>
      <c r="S26" s="1">
        <f>VLOOKUP($B26, '[1]Imp of ingots and semis'!$B$2:$X$31, $A$1, FALSE)</f>
        <v>891</v>
      </c>
      <c r="T26" s="1">
        <f>VLOOKUP($B26, '[1]Pro of hr long'!$B$2:$X$31, $A$1, FALSE)+VLOOKUP($B26, '[1]Pro of seamless tubes'!$B$2:$X$31, $A$1, FALSE)</f>
        <v>4466</v>
      </c>
      <c r="U26" s="1">
        <f>VLOOKUP($B26, '[1]Exp of long'!$B$2:$X$31, $A$1, FALSE)</f>
        <v>2781</v>
      </c>
      <c r="V26" s="1">
        <f>VLOOKUP($B26, '[1]Imp of long'!$B$2:$X$31, $A$1, FALSE)</f>
        <v>2563</v>
      </c>
      <c r="W26" s="1">
        <f>VLOOKUP($B26, '[1]Pro of hr flat'!$B$2:$X$31, $A$1, FALSE)*parameters!$B$8</f>
        <v>5556.2972972972975</v>
      </c>
      <c r="X26" s="1">
        <f>VLOOKUP($B26, '[1]Exp of flat'!$B$2:$X$31, $A$1, FALSE)</f>
        <v>2242</v>
      </c>
      <c r="Y26" s="1">
        <f>VLOOKUP($B26, '[1]Imp of flat'!$B$2:$X$31, $A$1, FALSE)</f>
        <v>4623</v>
      </c>
      <c r="Z26" s="1">
        <f>VLOOKUP($B26, '[1]Indirect exp'!$B$2:$X$31, $A$1, FALSE)</f>
        <v>7089</v>
      </c>
      <c r="AA26" s="1">
        <f>VLOOKUP($B26, '[1]Indirect imp'!$B$2:$X$31, $A$1, FALSE)</f>
        <v>12287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16853.2</v>
      </c>
      <c r="G27" s="1">
        <f>VLOOKUP($B27, '[1]Pro of pig iron'!$B$2:$X$31, $A$1, FALSE)*(1-VLOOKUP($B27, '[1]Foundry share'!$B$2:$X$31, $A$1, FALSE))</f>
        <v>6013.2293875679998</v>
      </c>
      <c r="H27" s="1">
        <f>VLOOKUP($B27, '[1]Exp of pig iron'!$B$2:$X$31, $A$1, FALSE)</f>
        <v>198</v>
      </c>
      <c r="I27" s="1">
        <f>VLOOKUP($B27, '[1]Imp of pig iron'!$B$2:$X$31, $A$1, FALSE)</f>
        <v>403</v>
      </c>
      <c r="J27" s="1">
        <f>VLOOKUP($B27, '[1]Pro of DRI'!$B$2:$X$31, $A$1, FALSE)</f>
        <v>0</v>
      </c>
      <c r="K27" s="1">
        <f>VLOOKUP($B27, '[1]Exp of DRI'!$B$2:$X$31, $A$1, FALSE)</f>
        <v>0</v>
      </c>
      <c r="L27" s="1">
        <f>VLOOKUP($B27, '[1]Imp of DRI'!$B$2:$X$31, $A$1, FALSE)</f>
        <v>240</v>
      </c>
      <c r="M27" s="1">
        <f>VLOOKUP($B27, '[1]Exp of scrap'!$B$2:$X$31, $A$1, FALSE)</f>
        <v>4339</v>
      </c>
      <c r="N27" s="1">
        <f>VLOOKUP($B27, '[1]Imp of scrap'!$B$2:$X$31, $A$1, FALSE)</f>
        <v>1720</v>
      </c>
      <c r="O27" s="1">
        <f>VLOOKUP($B27, '[1]Pro of BOF steel'!$B$2:$X$31, $A$1, FALSE)</f>
        <v>7203</v>
      </c>
      <c r="P27" s="1">
        <f>VLOOKUP($B27, '[1]Pro of OHF steel'!$B$2:$X$31, $A$1, FALSE)</f>
        <v>0</v>
      </c>
      <c r="Q27" s="1">
        <f>VLOOKUP($B27, '[1]Pro of EAF steel'!$B$2:$X$31, $A$1, FALSE)</f>
        <v>165</v>
      </c>
      <c r="R27" s="1">
        <f>VLOOKUP($B27, '[1]Exp of ingots and semis'!$B$2:$X$31, $A$1, FALSE)</f>
        <v>1048</v>
      </c>
      <c r="S27" s="1">
        <f>VLOOKUP($B27, '[1]Imp of ingots and semis'!$B$2:$X$31, $A$1, FALSE)</f>
        <v>371</v>
      </c>
      <c r="T27" s="1">
        <f>VLOOKUP($B27, '[1]Pro of hr long'!$B$2:$X$31, $A$1, FALSE)+VLOOKUP($B27, '[1]Pro of seamless tubes'!$B$2:$X$31, $A$1, FALSE)</f>
        <v>235</v>
      </c>
      <c r="U27" s="1">
        <f>VLOOKUP($B27, '[1]Exp of long'!$B$2:$X$31, $A$1, FALSE)</f>
        <v>1170</v>
      </c>
      <c r="V27" s="1">
        <f>VLOOKUP($B27, '[1]Imp of long'!$B$2:$X$31, $A$1, FALSE)</f>
        <v>2996</v>
      </c>
      <c r="W27" s="1">
        <f>VLOOKUP($B27, '[1]Pro of hr flat'!$B$2:$X$31, $A$1, FALSE)*parameters!$B$8</f>
        <v>5770.0384068278809</v>
      </c>
      <c r="X27" s="1">
        <f>VLOOKUP($B27, '[1]Exp of flat'!$B$2:$X$31, $A$1, FALSE)</f>
        <v>7671</v>
      </c>
      <c r="Y27" s="1">
        <f>VLOOKUP($B27, '[1]Imp of flat'!$B$2:$X$31, $A$1, FALSE)</f>
        <v>4504</v>
      </c>
      <c r="Z27" s="1">
        <f>VLOOKUP($B27, '[1]Indirect exp'!$B$2:$X$31, $A$1, FALSE)</f>
        <v>6268</v>
      </c>
      <c r="AA27" s="1">
        <f>VLOOKUP($B27, '[1]Indirect imp'!$B$2:$X$31, $A$1, FALSE)</f>
        <v>6715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299000</v>
      </c>
      <c r="D28" s="1">
        <f>VLOOKUP($B28, '[1]Pro of iron ore'!$B$2:$X$31, $A$1, FALSE)*(1-VLOOKUP($B28, '[1]Foundry share'!$B$2:$X$31, $A$1, FALSE))</f>
        <v>194000</v>
      </c>
      <c r="E28" s="47">
        <f>VLOOKUP($B28, '[1]Iron content'!$B$2:$X$31, $A$1, FALSE)</f>
        <v>0.6488294314381271</v>
      </c>
      <c r="F28" s="1">
        <f>VLOOKUP($B28, '[1]Exp of usable iron ore'!$B$2:$X$31, $A$1, FALSE)*parameters!$B$12</f>
        <v>174573.1</v>
      </c>
      <c r="G28" s="1">
        <f>VLOOKUP($B28, '[1]Pro of pig iron'!$B$2:$X$31, $A$1, FALSE)*(1-VLOOKUP($B28, '[1]Foundry share'!$B$2:$X$31, $A$1, FALSE))</f>
        <v>6369</v>
      </c>
      <c r="H28" s="1">
        <f>VLOOKUP($B28, '[1]Exp of pig iron'!$B$2:$X$31, $A$1, FALSE)</f>
        <v>96</v>
      </c>
      <c r="I28" s="1">
        <f>VLOOKUP($B28, '[1]Imp of pig iron'!$B$2:$X$31, $A$1, FALSE)</f>
        <v>76</v>
      </c>
      <c r="J28" s="1">
        <f>VLOOKUP($B28, '[1]Pro of DRI'!$B$2:$X$31, $A$1, FALSE)</f>
        <v>0</v>
      </c>
      <c r="K28" s="1">
        <f>VLOOKUP($B28, '[1]Exp of DRI'!$B$2:$X$31, $A$1, FALSE)</f>
        <v>2</v>
      </c>
      <c r="L28" s="1">
        <f>VLOOKUP($B28, '[1]Imp of DRI'!$B$2:$X$31, $A$1, FALSE)</f>
        <v>0</v>
      </c>
      <c r="M28" s="1">
        <f>VLOOKUP($B28, '[1]Exp of scrap'!$B$2:$X$31, $A$1, FALSE)</f>
        <v>1501</v>
      </c>
      <c r="N28" s="1">
        <f>VLOOKUP($B28, '[1]Imp of scrap'!$B$2:$X$31, $A$1, FALSE)</f>
        <v>21</v>
      </c>
      <c r="O28" s="1">
        <f>VLOOKUP($B28, '[1]Pro of BOF steel'!$B$2:$X$31, $A$1, FALSE)</f>
        <v>6418</v>
      </c>
      <c r="P28" s="1">
        <f>VLOOKUP($B28, '[1]Pro of OHF steel'!$B$2:$X$31, $A$1, FALSE)</f>
        <v>0</v>
      </c>
      <c r="Q28" s="1">
        <f>VLOOKUP($B28, '[1]Pro of EAF steel'!$B$2:$X$31, $A$1, FALSE)</f>
        <v>1520</v>
      </c>
      <c r="R28" s="1">
        <f>VLOOKUP($B28, '[1]Exp of ingots and semis'!$B$2:$X$31, $A$1, FALSE)</f>
        <v>2</v>
      </c>
      <c r="S28" s="1">
        <f>VLOOKUP($B28, '[1]Imp of ingots and semis'!$B$2:$X$31, $A$1, FALSE)</f>
        <v>12</v>
      </c>
      <c r="T28" s="1">
        <f>VLOOKUP($B28, '[1]Pro of hr long'!$B$2:$X$31, $A$1, FALSE)+VLOOKUP($B28, '[1]Pro of seamless tubes'!$B$2:$X$31, $A$1, FALSE)</f>
        <v>2358</v>
      </c>
      <c r="U28" s="1">
        <f>VLOOKUP($B28, '[1]Exp of long'!$B$2:$X$31, $A$1, FALSE)</f>
        <v>173</v>
      </c>
      <c r="V28" s="1">
        <f>VLOOKUP($B28, '[1]Imp of long'!$B$2:$X$31, $A$1, FALSE)</f>
        <v>848</v>
      </c>
      <c r="W28" s="1">
        <f>VLOOKUP($B28, '[1]Pro of hr flat'!$B$2:$X$31, $A$1, FALSE)*parameters!$B$8</f>
        <v>4272.8790896159317</v>
      </c>
      <c r="X28" s="1">
        <f>VLOOKUP($B28, '[1]Exp of flat'!$B$2:$X$31, $A$1, FALSE)</f>
        <v>1021</v>
      </c>
      <c r="Y28" s="1">
        <f>VLOOKUP($B28, '[1]Imp of flat'!$B$2:$X$31, $A$1, FALSE)</f>
        <v>1139</v>
      </c>
      <c r="Z28" s="1">
        <f>VLOOKUP($B28, '[1]Indirect exp'!$B$2:$X$31, $A$1, FALSE)</f>
        <v>683</v>
      </c>
      <c r="AA28" s="1">
        <f>VLOOKUP($B28, '[1]Indirect imp'!$B$2:$X$31, $A$1, FALSE)</f>
        <v>4095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42083</v>
      </c>
      <c r="D29" s="1">
        <f>VLOOKUP($B29, '[1]Pro of iron ore'!$B$2:$X$31, $A$1, FALSE)*(1-VLOOKUP($B29, '[1]Foundry share'!$B$2:$X$31, $A$1, FALSE))</f>
        <v>26600</v>
      </c>
      <c r="E29" s="47">
        <f>VLOOKUP($B29, '[1]Iron content'!$B$2:$X$31, $A$1, FALSE)</f>
        <v>0.63208421452843189</v>
      </c>
      <c r="F29" s="1">
        <f>VLOOKUP($B29, '[1]Exp of usable iron ore'!$B$2:$X$31, $A$1, FALSE)*parameters!$B$12</f>
        <v>19718.400000000001</v>
      </c>
      <c r="G29" s="1">
        <f>VLOOKUP($B29, '[1]Pro of pig iron'!$B$2:$X$31, $A$1, FALSE)*(1-VLOOKUP($B29, '[1]Foundry share'!$B$2:$X$31, $A$1, FALSE))</f>
        <v>5358</v>
      </c>
      <c r="H29" s="1">
        <f>VLOOKUP($B29, '[1]Exp of pig iron'!$B$2:$X$31, $A$1, FALSE)</f>
        <v>580</v>
      </c>
      <c r="I29" s="1">
        <f>VLOOKUP($B29, '[1]Imp of pig iron'!$B$2:$X$31, $A$1, FALSE)</f>
        <v>1</v>
      </c>
      <c r="J29" s="1">
        <f>VLOOKUP($B29, '[1]Pro of DRI'!$B$2:$X$31, $A$1, FALSE)</f>
        <v>1736</v>
      </c>
      <c r="K29" s="1">
        <f>VLOOKUP($B29, '[1]Exp of DRI'!$B$2:$X$31, $A$1, FALSE)</f>
        <v>1</v>
      </c>
      <c r="L29" s="1">
        <f>VLOOKUP($B29, '[1]Imp of DRI'!$B$2:$X$31, $A$1, FALSE)</f>
        <v>76</v>
      </c>
      <c r="M29" s="1">
        <f>VLOOKUP($B29, '[1]Exp of scrap'!$B$2:$X$31, $A$1, FALSE)</f>
        <v>752</v>
      </c>
      <c r="N29" s="1">
        <f>VLOOKUP($B29, '[1]Imp of scrap'!$B$2:$X$31, $A$1, FALSE)</f>
        <v>79</v>
      </c>
      <c r="O29" s="1">
        <f>VLOOKUP($B29, '[1]Pro of BOF steel'!$B$2:$X$31, $A$1, FALSE)</f>
        <v>4521</v>
      </c>
      <c r="P29" s="1">
        <f>VLOOKUP($B29, '[1]Pro of OHF steel'!$B$2:$X$31, $A$1, FALSE)</f>
        <v>0</v>
      </c>
      <c r="Q29" s="1">
        <f>VLOOKUP($B29, '[1]Pro of EAF steel'!$B$2:$X$31, $A$1, FALSE)</f>
        <v>4577</v>
      </c>
      <c r="R29" s="1">
        <f>VLOOKUP($B29, '[1]Exp of ingots and semis'!$B$2:$X$31, $A$1, FALSE)</f>
        <v>145</v>
      </c>
      <c r="S29" s="1">
        <f>VLOOKUP($B29, '[1]Imp of ingots and semis'!$B$2:$X$31, $A$1, FALSE)</f>
        <v>86</v>
      </c>
      <c r="T29" s="1">
        <f>VLOOKUP($B29, '[1]Pro of hr long'!$B$2:$X$31, $A$1, FALSE)+VLOOKUP($B29, '[1]Pro of seamless tubes'!$B$2:$X$31, $A$1, FALSE)</f>
        <v>2954</v>
      </c>
      <c r="U29" s="1">
        <f>VLOOKUP($B29, '[1]Exp of long'!$B$2:$X$31, $A$1, FALSE)</f>
        <v>755</v>
      </c>
      <c r="V29" s="1">
        <f>VLOOKUP($B29, '[1]Imp of long'!$B$2:$X$31, $A$1, FALSE)</f>
        <v>140</v>
      </c>
      <c r="W29" s="1">
        <f>VLOOKUP($B29, '[1]Pro of hr flat'!$B$2:$X$31, $A$1, FALSE)*parameters!$B$8</f>
        <v>4034.8492176386912</v>
      </c>
      <c r="X29" s="1">
        <f>VLOOKUP($B29, '[1]Exp of flat'!$B$2:$X$31, $A$1, FALSE)</f>
        <v>2205</v>
      </c>
      <c r="Y29" s="1">
        <f>VLOOKUP($B29, '[1]Imp of flat'!$B$2:$X$31, $A$1, FALSE)</f>
        <v>365</v>
      </c>
      <c r="Z29" s="1">
        <f>VLOOKUP($B29, '[1]Indirect exp'!$B$2:$X$31, $A$1, FALSE)</f>
        <v>1339</v>
      </c>
      <c r="AA29" s="1">
        <f>VLOOKUP($B29, '[1]Indirect imp'!$B$2:$X$31, $A$1, FALSE)</f>
        <v>1946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802.03</v>
      </c>
      <c r="D30" s="1">
        <f>VLOOKUP($B30, '[1]Pro of iron ore'!$B$2:$X$31, $A$1, FALSE)*(1-VLOOKUP($B30, '[1]Foundry share'!$B$2:$X$31, $A$1, FALSE))</f>
        <v>457</v>
      </c>
      <c r="E30" s="47">
        <f>VLOOKUP($B30, '[1]Iron content'!$B$2:$X$31, $A$1, FALSE)</f>
        <v>0.56980412204032271</v>
      </c>
      <c r="F30" s="1">
        <f>VLOOKUP($B30, '[1]Exp of usable iron ore'!$B$2:$X$31, $A$1, FALSE)*parameters!$B$12</f>
        <v>538.20000000000005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1</v>
      </c>
      <c r="I30" s="1">
        <f>VLOOKUP($B30, '[1]Imp of pig iron'!$B$2:$X$31, $A$1, FALSE)</f>
        <v>195</v>
      </c>
      <c r="J30" s="1">
        <f>VLOOKUP($B30, '[1]Pro of DRI'!$B$2:$X$31, $A$1, FALSE)</f>
        <v>1872</v>
      </c>
      <c r="K30" s="1">
        <f>VLOOKUP($B30, '[1]Exp of DRI'!$B$2:$X$31, $A$1, FALSE)</f>
        <v>321</v>
      </c>
      <c r="L30" s="1">
        <f>VLOOKUP($B30, '[1]Imp of DRI'!$B$2:$X$31, $A$1, FALSE)</f>
        <v>321</v>
      </c>
      <c r="M30" s="1">
        <f>VLOOKUP($B30, '[1]Exp of scrap'!$B$2:$X$31, $A$1, FALSE)</f>
        <v>60</v>
      </c>
      <c r="N30" s="1">
        <f>VLOOKUP($B30, '[1]Imp of scrap'!$B$2:$X$31, $A$1, FALSE)</f>
        <v>2195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6895</v>
      </c>
      <c r="R30" s="1">
        <f>VLOOKUP($B30, '[1]Exp of ingots and semis'!$B$2:$X$31, $A$1, FALSE)</f>
        <v>1018</v>
      </c>
      <c r="S30" s="1">
        <f>VLOOKUP($B30, '[1]Imp of ingots and semis'!$B$2:$X$31, $A$1, FALSE)</f>
        <v>402</v>
      </c>
      <c r="T30" s="1">
        <f>VLOOKUP($B30, '[1]Pro of hr long'!$B$2:$X$31, $A$1, FALSE)+VLOOKUP($B30, '[1]Pro of seamless tubes'!$B$2:$X$31, $A$1, FALSE)</f>
        <v>3520</v>
      </c>
      <c r="U30" s="1">
        <f>VLOOKUP($B30, '[1]Exp of long'!$B$2:$X$31, $A$1, FALSE)</f>
        <v>640</v>
      </c>
      <c r="V30" s="1">
        <f>VLOOKUP($B30, '[1]Imp of long'!$B$2:$X$31, $A$1, FALSE)</f>
        <v>994</v>
      </c>
      <c r="W30" s="1">
        <f>VLOOKUP($B30, '[1]Pro of hr flat'!$B$2:$X$31, $A$1, FALSE)*parameters!$B$8</f>
        <v>2268.5704125177808</v>
      </c>
      <c r="X30" s="1">
        <f>VLOOKUP($B30, '[1]Exp of flat'!$B$2:$X$31, $A$1, FALSE)</f>
        <v>1334</v>
      </c>
      <c r="Y30" s="1">
        <f>VLOOKUP($B30, '[1]Imp of flat'!$B$2:$X$31, $A$1, FALSE)</f>
        <v>2889</v>
      </c>
      <c r="Z30" s="1">
        <f>VLOOKUP($B30, '[1]Indirect exp'!$B$2:$X$31, $A$1, FALSE)</f>
        <v>1507</v>
      </c>
      <c r="AA30" s="1">
        <f>VLOOKUP($B30, '[1]Indirect imp'!$B$2:$X$31, $A$1, FALSE)</f>
        <v>1683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1554.86</v>
      </c>
      <c r="D31" s="1">
        <f>VLOOKUP($B31, '[1]Pro of iron ore'!$B$2:$X$31, $A$1, FALSE)*(1-VLOOKUP($B31, '[1]Foundry share'!$B$2:$X$31, $A$1, FALSE))</f>
        <v>779</v>
      </c>
      <c r="E31" s="47">
        <f>VLOOKUP($B31, '[1]Iron content'!$B$2:$X$31, $A$1, FALSE)</f>
        <v>0.50100973721106723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2</v>
      </c>
      <c r="I31" s="1">
        <f>VLOOKUP($B31, '[1]Imp of pig iron'!$B$2:$X$31, $A$1, FALSE)</f>
        <v>850</v>
      </c>
      <c r="J31" s="1">
        <f>VLOOKUP($B31, '[1]Pro of DRI'!$B$2:$X$31, $A$1, FALSE)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302</v>
      </c>
      <c r="N31" s="1">
        <f>VLOOKUP($B31, '[1]Imp of scrap'!$B$2:$X$31, $A$1, FALSE)</f>
        <v>1805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5565</v>
      </c>
      <c r="R31" s="1">
        <f>VLOOKUP($B31, '[1]Exp of ingots and semis'!$B$2:$X$31, $A$1, FALSE)</f>
        <v>132</v>
      </c>
      <c r="S31" s="1">
        <f>VLOOKUP($B31, '[1]Imp of ingots and semis'!$B$2:$X$31, $A$1, FALSE)</f>
        <v>2574</v>
      </c>
      <c r="T31" s="1">
        <f>VLOOKUP($B31, '[1]Pro of hr long'!$B$2:$X$31, $A$1, FALSE)+VLOOKUP($B31, '[1]Pro of seamless tubes'!$B$2:$X$31, $A$1, FALSE)</f>
        <v>3932</v>
      </c>
      <c r="U31" s="1">
        <f>VLOOKUP($B31, '[1]Exp of long'!$B$2:$X$31, $A$1, FALSE)</f>
        <v>604</v>
      </c>
      <c r="V31" s="1">
        <f>VLOOKUP($B31, '[1]Imp of long'!$B$2:$X$31, $A$1, FALSE)</f>
        <v>1358</v>
      </c>
      <c r="W31" s="1">
        <f>VLOOKUP($B31, '[1]Pro of hr flat'!$B$2:$X$31, $A$1, FALSE)*parameters!$B$8</f>
        <v>3831.7951635846371</v>
      </c>
      <c r="X31" s="1">
        <f>VLOOKUP($B31, '[1]Exp of flat'!$B$2:$X$31, $A$1, FALSE)</f>
        <v>1792</v>
      </c>
      <c r="Y31" s="1">
        <f>VLOOKUP($B31, '[1]Imp of flat'!$B$2:$X$31, $A$1, FALSE)</f>
        <v>5275</v>
      </c>
      <c r="Z31" s="1">
        <f>VLOOKUP($B31, '[1]Indirect exp'!$B$2:$X$31, $A$1, FALSE)</f>
        <v>3134</v>
      </c>
      <c r="AA31" s="1">
        <f>VLOOKUP($B31, '[1]Indirect imp'!$B$2:$X$31, $A$1, FALSE)</f>
        <v>1909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24700</v>
      </c>
      <c r="D32" s="1">
        <f>VLOOKUP($B32, '[1]Pro of iron ore'!$B$2:$X$31, $A$1, FALSE)*(1-VLOOKUP($B32, '[1]Foundry share'!$B$2:$X$31, $A$1, FALSE))</f>
        <v>16000</v>
      </c>
      <c r="E32" s="47">
        <f>VLOOKUP($B32, '[1]Iron content'!$B$2:$X$31, $A$1, FALSE)</f>
        <v>0.64777327935222673</v>
      </c>
      <c r="F32" s="1">
        <f>VLOOKUP($B32, '[1]Exp of usable iron ore'!$B$2:$X$31, $A$1, FALSE)*parameters!$B$12</f>
        <v>12372.1</v>
      </c>
      <c r="G32" s="1">
        <f>VLOOKUP($B32, '[1]Pro of pig iron'!$B$2:$X$31, $A$1, FALSE)*(1-VLOOKUP($B32, '[1]Foundry share'!$B$2:$X$31, $A$1, FALSE))</f>
        <v>3816</v>
      </c>
      <c r="H32" s="1">
        <f>VLOOKUP($B32, '[1]Exp of pig iron'!$B$2:$X$31, $A$1, FALSE)</f>
        <v>153</v>
      </c>
      <c r="I32" s="1">
        <f>VLOOKUP($B32, '[1]Imp of pig iron'!$B$2:$X$31, $A$1, FALSE)</f>
        <v>60</v>
      </c>
      <c r="J32" s="1">
        <f>VLOOKUP($B32, '[1]Pro of DRI'!$B$2:$X$31, $A$1, FALSE)</f>
        <v>131</v>
      </c>
      <c r="K32" s="1">
        <f>VLOOKUP($B32, '[1]Exp of DRI'!$B$2:$X$31, $A$1, FALSE)</f>
        <v>13</v>
      </c>
      <c r="L32" s="1">
        <f>VLOOKUP($B32, '[1]Imp of DRI'!$B$2:$X$31, $A$1, FALSE)</f>
        <v>0</v>
      </c>
      <c r="M32" s="1">
        <f>VLOOKUP($B32, '[1]Exp of scrap'!$B$2:$X$31, $A$1, FALSE)</f>
        <v>1069</v>
      </c>
      <c r="N32" s="1">
        <f>VLOOKUP($B32, '[1]Imp of scrap'!$B$2:$X$31, $A$1, FALSE)</f>
        <v>242</v>
      </c>
      <c r="O32" s="1">
        <f>VLOOKUP($B32, '[1]Pro of BOF steel'!$B$2:$X$31, $A$1, FALSE)</f>
        <v>3750</v>
      </c>
      <c r="P32" s="1">
        <f>VLOOKUP($B32, '[1]Pro of OHF steel'!$B$2:$X$31, $A$1, FALSE)</f>
        <v>0</v>
      </c>
      <c r="Q32" s="1">
        <f>VLOOKUP($B32, '[1]Pro of EAF steel'!$B$2:$X$31, $A$1, FALSE)</f>
        <v>1923</v>
      </c>
      <c r="R32" s="1">
        <f>VLOOKUP($B32, '[1]Exp of ingots and semis'!$B$2:$X$31, $A$1, FALSE)</f>
        <v>135</v>
      </c>
      <c r="S32" s="1">
        <f>VLOOKUP($B32, '[1]Imp of ingots and semis'!$B$2:$X$31, $A$1, FALSE)</f>
        <v>137</v>
      </c>
      <c r="T32" s="1">
        <f>VLOOKUP($B32, '[1]Pro of hr long'!$B$2:$X$31, $A$1, FALSE)+VLOOKUP($B32, '[1]Pro of seamless tubes'!$B$2:$X$31, $A$1, FALSE)</f>
        <v>811</v>
      </c>
      <c r="U32" s="1">
        <f>VLOOKUP($B32, '[1]Exp of long'!$B$2:$X$31, $A$1, FALSE)</f>
        <v>843</v>
      </c>
      <c r="V32" s="1">
        <f>VLOOKUP($B32, '[1]Imp of long'!$B$2:$X$31, $A$1, FALSE)</f>
        <v>1051</v>
      </c>
      <c r="W32" s="1">
        <f>VLOOKUP($B32, '[1]Pro of hr flat'!$B$2:$X$31, $A$1, FALSE)*parameters!$B$8</f>
        <v>4676.0725462304408</v>
      </c>
      <c r="X32" s="1">
        <f>VLOOKUP($B32, '[1]Exp of flat'!$B$2:$X$31, $A$1, FALSE)</f>
        <v>2749</v>
      </c>
      <c r="Y32" s="1">
        <f>VLOOKUP($B32, '[1]Imp of flat'!$B$2:$X$31, $A$1, FALSE)</f>
        <v>2455</v>
      </c>
      <c r="Z32" s="1">
        <f>VLOOKUP($B32, '[1]Indirect exp'!$B$2:$X$31, $A$1, FALSE)</f>
        <v>3272</v>
      </c>
      <c r="AA32" s="1">
        <f>VLOOKUP($B32, '[1]Indirect imp'!$B$2:$X$31, $A$1, FALSE)</f>
        <v>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412377.96070330054</v>
      </c>
      <c r="D2" s="9">
        <f ca="1">Q4/parameters!$B$3</f>
        <v>555.49964778102037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412933.46035108157</v>
      </c>
      <c r="M2" s="17"/>
      <c r="N2" s="17">
        <f ca="1">Q2-(L2+O2+P2)</f>
        <v>0</v>
      </c>
      <c r="O2" s="11" cm="1">
        <f t="array" aca="1" ref="O2" ca="1">INDIRECT("'data'!$F$" &amp; $A$1)</f>
        <v>50.7</v>
      </c>
      <c r="P2" s="13">
        <f ca="1">IF(-(L2-Q2+O2)&lt;0, -(L2-Q2+O2), 0)</f>
        <v>-200993.28603666363</v>
      </c>
      <c r="Q2" s="17" cm="1">
        <f t="array" aca="1" ref="Q2" ca="1">INDIRECT("'data'!$D$" &amp; $A$1)</f>
        <v>211990.87431441795</v>
      </c>
      <c r="R2" s="17">
        <f ca="1">SUM(L2:P2)</f>
        <v>211990.87431441795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382957.09701492538</v>
      </c>
      <c r="G3" s="14">
        <f ca="1">Q3-O3-P3-F3</f>
        <v>26828.552535944444</v>
      </c>
      <c r="H3" s="14"/>
      <c r="I3" s="14"/>
      <c r="J3" s="14"/>
      <c r="K3" s="13"/>
      <c r="L3" s="16">
        <f t="shared" ca="1" si="0"/>
        <v>409785.64955086983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651.10500000000002</v>
      </c>
      <c r="P3" s="13" cm="1">
        <f t="array" aca="1" ref="P3" ca="1">-INDIRECT("'data'!$I$" &amp; $A$1)*parameters!$B$13</f>
        <v>-656.77499999999998</v>
      </c>
      <c r="Q3" s="16" cm="1">
        <f t="array" aca="1" ref="Q3" ca="1">INDIRECT("'data'!$G$" &amp; $A$1)*parameters!$B$13</f>
        <v>409779.97955086979</v>
      </c>
      <c r="R3" s="16">
        <f t="shared" ref="R3:R10" ca="1" si="2">SUM(L3:P3)</f>
        <v>409779.97955086979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843.64</v>
      </c>
      <c r="H4" s="14"/>
      <c r="I4" s="14"/>
      <c r="J4" s="14"/>
      <c r="K4" s="13"/>
      <c r="L4" s="16">
        <f t="shared" ca="1" si="0"/>
        <v>843.64</v>
      </c>
      <c r="M4" s="16"/>
      <c r="N4" s="16">
        <f t="shared" ca="1" si="1"/>
        <v>0</v>
      </c>
      <c r="O4" s="11" cm="1">
        <f t="array" aca="1" ref="O4" ca="1">INDIRECT("'data'!$K$" &amp; $A$1)*parameters!$B$14</f>
        <v>9.2000000000000011</v>
      </c>
      <c r="P4" s="13" cm="1">
        <f t="array" aca="1" ref="P4" ca="1">-INDIRECT("'data'!$L$" &amp; $A$1)*parameters!$B$14</f>
        <v>-300.84000000000003</v>
      </c>
      <c r="Q4" s="16" cm="1">
        <f t="array" aca="1" ref="Q4" ca="1">INDIRECT("'data'!$J$" &amp; $A$1)*parameters!$B$14</f>
        <v>552</v>
      </c>
      <c r="R4" s="16">
        <f t="shared" ca="1" si="2"/>
        <v>552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Q6/parameters!$B$5*15%</f>
        <v>67580.664179104482</v>
      </c>
      <c r="G5" s="14">
        <f ca="1">Q7/parameters!$B$7-(G3+G4)</f>
        <v>32161.057202822536</v>
      </c>
      <c r="H5" s="14"/>
      <c r="I5" s="14"/>
      <c r="J5" s="14"/>
      <c r="K5" s="13"/>
      <c r="L5" s="16">
        <f t="shared" ca="1" si="0"/>
        <v>99741.721381927026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-3327.1</v>
      </c>
      <c r="Q5" s="16">
        <f ca="1">SUM(L5:P5)</f>
        <v>96414.62138192702</v>
      </c>
      <c r="R5" s="16">
        <f t="shared" ca="1" si="2"/>
        <v>96414.62138192702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422604.42</v>
      </c>
      <c r="I6" s="14"/>
      <c r="J6" s="14"/>
      <c r="K6" s="13"/>
      <c r="L6" s="16">
        <f t="shared" ca="1" si="0"/>
        <v>422604.42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422604.42</v>
      </c>
      <c r="R6" s="16">
        <f t="shared" ca="1" si="2"/>
        <v>422604.42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57260.42</v>
      </c>
      <c r="I7" s="14"/>
      <c r="J7" s="14"/>
      <c r="K7" s="13"/>
      <c r="L7" s="16">
        <f t="shared" ca="1" si="0"/>
        <v>57260.42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57260.42</v>
      </c>
      <c r="R7" s="16">
        <f t="shared" ca="1" si="2"/>
        <v>57260.42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296307.65408876922</v>
      </c>
      <c r="J8" s="14">
        <f ca="1">Q10/J18</f>
        <v>177611.52591123077</v>
      </c>
      <c r="K8" s="13"/>
      <c r="L8" s="16">
        <f t="shared" ca="1" si="0"/>
        <v>473919.18</v>
      </c>
      <c r="M8" s="16"/>
      <c r="N8" s="16">
        <f t="shared" ca="1" si="3"/>
        <v>0</v>
      </c>
      <c r="O8" s="11" cm="1">
        <f t="array" aca="1" ref="O8" ca="1">INDIRECT("'data'!$R$" &amp; $A$1)*parameters!$B$15</f>
        <v>6327.86</v>
      </c>
      <c r="P8" s="13" cm="1">
        <f t="array" aca="1" ref="P8" ca="1">-INDIRECT("'data'!$S$" &amp; $A$1)*parameters!$B$15</f>
        <v>-382.2</v>
      </c>
      <c r="Q8" s="16">
        <f ca="1">SUM(Q6:Q7)</f>
        <v>479864.83999999997</v>
      </c>
      <c r="R8" s="16">
        <f t="shared" ca="1" si="2"/>
        <v>479864.83999999997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262245.06000000006</v>
      </c>
      <c r="L9" s="16">
        <f t="shared" ca="1" si="0"/>
        <v>262245.06000000006</v>
      </c>
      <c r="M9" s="16"/>
      <c r="N9" s="16">
        <f t="shared" ca="1" si="3"/>
        <v>0</v>
      </c>
      <c r="O9" s="11" cm="1">
        <f t="array" aca="1" ref="O9" ca="1">INDIRECT("'data'!$U$" &amp; $A$1)*parameters!$B$15</f>
        <v>23102.52</v>
      </c>
      <c r="P9" s="13" cm="1">
        <f t="array" aca="1" ref="P9" ca="1">-INDIRECT("'data'!$V$" &amp; $A$1)*parameters!$B$15</f>
        <v>-1611.12</v>
      </c>
      <c r="Q9" s="16" cm="1">
        <f t="array" aca="1" ref="Q9" ca="1">INDIRECT("'data'!$T$" &amp; $A$1)*parameters!$B$15</f>
        <v>283736.46000000002</v>
      </c>
      <c r="R9" s="16">
        <f t="shared" ca="1" si="2"/>
        <v>283736.46000000008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156314.0120056899</v>
      </c>
      <c r="L10" s="16">
        <f t="shared" ca="1" si="0"/>
        <v>156314.0120056899</v>
      </c>
      <c r="M10" s="16"/>
      <c r="N10" s="16">
        <f t="shared" ca="1" si="3"/>
        <v>0</v>
      </c>
      <c r="O10" s="11" cm="1">
        <f t="array" aca="1" ref="O10" ca="1">INDIRECT("'data'!$X$" &amp; $A$1)*parameters!$B$15</f>
        <v>27769.279999999999</v>
      </c>
      <c r="P10" s="13" cm="1">
        <f t="array" aca="1" ref="P10" ca="1">-INDIRECT("'data'!$Y$" &amp; $A$1)*parameters!$B$15</f>
        <v>-14007.14</v>
      </c>
      <c r="Q10" s="16" cm="1">
        <f t="array" aca="1" ref="Q10" ca="1">INDIRECT("'data'!$W$" &amp; $A$1)*parameters!$B$15</f>
        <v>170076.15200568989</v>
      </c>
      <c r="R10" s="16">
        <f t="shared" ca="1" si="2"/>
        <v>170076.15200568992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338915.06672489335</v>
      </c>
      <c r="N11" s="19"/>
      <c r="O11" s="21" cm="1">
        <f t="array" aca="1" ref="O11" ca="1">INDIRECT("'data'!$Z$" &amp; $A$1)*parameters!$B$15</f>
        <v>49419.44</v>
      </c>
      <c r="P11" s="27" cm="1">
        <f t="array" aca="1" ref="P11" ca="1">-INDIRECT("'data'!$AA$" &amp; $A$1)*parameters!$B$15</f>
        <v>-7394.0999999999995</v>
      </c>
      <c r="Q11" s="16">
        <f ca="1">K9*parameters!$B$10+K10*parameters!$B$11</f>
        <v>380940.40672489337</v>
      </c>
      <c r="R11" s="16">
        <f t="shared" ref="R11:R17" ca="1" si="4">SUM(L11:P11)</f>
        <v>380940.40672489337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-2597.9811524307588</v>
      </c>
      <c r="D12" s="9">
        <f ca="1">-(D17-Q4)</f>
        <v>-3.4996477810203714</v>
      </c>
      <c r="E12" s="9">
        <f ca="1">-(E17-Q5)</f>
        <v>-11916.413878665131</v>
      </c>
      <c r="F12" s="9">
        <f ca="1">-(F17-Q6)</f>
        <v>-27933.341194029897</v>
      </c>
      <c r="G12" s="9">
        <f ca="1">-(G17-Q7)</f>
        <v>-2572.8297387669809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-45024.065611673788</v>
      </c>
      <c r="M12" s="17"/>
      <c r="N12" s="17"/>
      <c r="O12" s="10"/>
      <c r="P12" s="12"/>
      <c r="Q12" s="9">
        <f t="shared" ref="Q12:Q17" ca="1" si="6">SUM(L12:P12)</f>
        <v>-45024.065611673788</v>
      </c>
      <c r="R12" s="17">
        <f t="shared" ca="1" si="4"/>
        <v>-45024.065611673788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-12571.194088769204</v>
      </c>
      <c r="J13" s="14">
        <f ca="1">-(J17-Q10)</f>
        <v>-7535.3739055408805</v>
      </c>
      <c r="K13" s="13">
        <f ca="1">-(K17-Q11)</f>
        <v>-37618.665280796587</v>
      </c>
      <c r="L13" s="14">
        <f t="shared" ca="1" si="5"/>
        <v>-57725.233275106671</v>
      </c>
      <c r="M13" s="16">
        <f ca="1">-E15</f>
        <v>-50605.801985485479</v>
      </c>
      <c r="N13" s="16"/>
      <c r="O13" s="11"/>
      <c r="P13" s="13"/>
      <c r="Q13" s="14">
        <f t="shared" ca="1" si="6"/>
        <v>-108331.03526059215</v>
      </c>
      <c r="R13" s="16">
        <f t="shared" ca="1" si="4"/>
        <v>-108331.03526059215</v>
      </c>
    </row>
    <row r="14" spans="1:20">
      <c r="A14" s="18" t="s">
        <v>78</v>
      </c>
      <c r="B14" s="11"/>
      <c r="C14" s="14"/>
      <c r="D14" s="14"/>
      <c r="E14" s="14">
        <f ca="1">-(I13+J13)-K13</f>
        <v>57725.233275106671</v>
      </c>
      <c r="F14" s="14"/>
      <c r="G14" s="14"/>
      <c r="H14" s="14"/>
      <c r="I14" s="14"/>
      <c r="J14" s="14"/>
      <c r="K14" s="13"/>
      <c r="L14" s="14">
        <f t="shared" ca="1" si="5"/>
        <v>57725.233275106671</v>
      </c>
      <c r="M14" s="16"/>
      <c r="N14" s="16"/>
      <c r="O14" s="11"/>
      <c r="P14" s="13"/>
      <c r="Q14" s="14">
        <f t="shared" ca="1" si="6"/>
        <v>57725.233275106671</v>
      </c>
      <c r="R14" s="16">
        <f t="shared" ca="1" si="4"/>
        <v>57725.233275106671</v>
      </c>
    </row>
    <row r="15" spans="1:20">
      <c r="A15" s="18" t="s">
        <v>79</v>
      </c>
      <c r="B15" s="11"/>
      <c r="C15" s="14"/>
      <c r="D15" s="14"/>
      <c r="E15" s="14">
        <f ca="1">E17-E14</f>
        <v>50605.801985485479</v>
      </c>
      <c r="F15" s="14"/>
      <c r="G15" s="14"/>
      <c r="H15" s="14"/>
      <c r="I15" s="14"/>
      <c r="J15" s="14"/>
      <c r="K15" s="13"/>
      <c r="L15" s="14">
        <f t="shared" ca="1" si="5"/>
        <v>50605.801985485479</v>
      </c>
      <c r="M15" s="16"/>
      <c r="N15" s="16"/>
      <c r="O15" s="11"/>
      <c r="P15" s="13"/>
      <c r="Q15" s="14">
        <f t="shared" ca="1" si="6"/>
        <v>50605.801985485479</v>
      </c>
      <c r="R15" s="16">
        <f t="shared" ca="1" si="4"/>
        <v>50605.801985485479</v>
      </c>
    </row>
    <row r="16" spans="1:20">
      <c r="A16" s="30" t="s">
        <v>89</v>
      </c>
      <c r="B16" s="21">
        <f ca="1">Q2</f>
        <v>211990.87431441795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211990.87431441795</v>
      </c>
      <c r="M16" s="19"/>
      <c r="N16" s="19"/>
      <c r="O16" s="21"/>
      <c r="P16" s="27"/>
      <c r="Q16" s="22">
        <f t="shared" ca="1" si="6"/>
        <v>211990.87431441795</v>
      </c>
      <c r="R16" s="19">
        <f t="shared" ca="1" si="4"/>
        <v>211990.87431441795</v>
      </c>
    </row>
    <row r="17" spans="1:18">
      <c r="A17" s="29" t="s">
        <v>88</v>
      </c>
      <c r="B17" s="9">
        <f ca="1">B16</f>
        <v>211990.87431441795</v>
      </c>
      <c r="C17" s="9">
        <f ca="1">SUM(C$2:C$11)</f>
        <v>412377.96070330054</v>
      </c>
      <c r="D17" s="9">
        <f ca="1">SUM(D$2:D$11)</f>
        <v>555.49964778102037</v>
      </c>
      <c r="E17" s="9">
        <f ca="1">$Q$5/parameters!$B$4</f>
        <v>108331.03526059215</v>
      </c>
      <c r="F17" s="9">
        <f t="shared" ref="F17:K17" ca="1" si="7">SUM(F$2:F$11)</f>
        <v>450537.76119402988</v>
      </c>
      <c r="G17" s="9">
        <f t="shared" ca="1" si="7"/>
        <v>59833.249738766979</v>
      </c>
      <c r="H17" s="9">
        <f t="shared" ca="1" si="7"/>
        <v>479864.83999999997</v>
      </c>
      <c r="I17" s="9">
        <f t="shared" ca="1" si="7"/>
        <v>296307.65408876922</v>
      </c>
      <c r="J17" s="9">
        <f t="shared" ca="1" si="7"/>
        <v>177611.52591123077</v>
      </c>
      <c r="K17" s="9">
        <f t="shared" ca="1" si="7"/>
        <v>418559.07200568996</v>
      </c>
      <c r="L17" s="17">
        <f t="shared" ca="1" si="5"/>
        <v>2615969.4728645785</v>
      </c>
      <c r="M17" s="17"/>
      <c r="N17" s="17"/>
      <c r="O17" s="9"/>
      <c r="P17" s="14"/>
      <c r="Q17" s="11">
        <f t="shared" ca="1" si="6"/>
        <v>2615969.4728645785</v>
      </c>
      <c r="R17" s="17">
        <f t="shared" ca="1" si="4"/>
        <v>2615969.4728645785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0.95757384625304653</v>
      </c>
      <c r="J18" s="39">
        <f ca="1">I18</f>
        <v>0.95757384625304653</v>
      </c>
      <c r="K18" s="40">
        <f ca="1">1-(-K13)/K17</f>
        <v>0.91012340241359002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28829.021536666947</v>
      </c>
      <c r="D2" s="9">
        <f ca="1">Q4/parameters!$B$3</f>
        <v>18618.496528127202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47447.518064794145</v>
      </c>
      <c r="M2" s="17"/>
      <c r="N2" s="17">
        <f ca="1">Q2-(L2+O2+P2)</f>
        <v>0</v>
      </c>
      <c r="O2" s="11" cm="1">
        <f t="array" aca="1" ref="O2" ca="1">INDIRECT("'data'!$F$" &amp; $A$1)</f>
        <v>60923.200000000004</v>
      </c>
      <c r="P2" s="13">
        <f ca="1">IF(-(L2-Q2+O2)&lt;0, -(L2-Q2+O2), 0)</f>
        <v>-1195.8308966366094</v>
      </c>
      <c r="Q2" s="17" cm="1">
        <f t="array" aca="1" ref="Q2" ca="1">INDIRECT("'data'!$D$" &amp; $A$1)</f>
        <v>107174.88716815754</v>
      </c>
      <c r="R2" s="17">
        <f ca="1">SUM(L2:P2)</f>
        <v>107174.88716815753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19065.910447761195</v>
      </c>
      <c r="G3" s="14">
        <f ca="1">Q3-O3-P3-F3</f>
        <v>8825.4882532247502</v>
      </c>
      <c r="H3" s="14"/>
      <c r="I3" s="14"/>
      <c r="J3" s="14"/>
      <c r="K3" s="13"/>
      <c r="L3" s="16">
        <f t="shared" ca="1" si="0"/>
        <v>27891.398700985945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774.9</v>
      </c>
      <c r="P3" s="13" cm="1">
        <f t="array" aca="1" ref="P3" ca="1">-INDIRECT("'data'!$I$" &amp; $A$1)*parameters!$B$13</f>
        <v>-18.899999999999999</v>
      </c>
      <c r="Q3" s="16" cm="1">
        <f t="array" aca="1" ref="Q3" ca="1">INDIRECT("'data'!$G$" &amp; $A$1)*parameters!$B$13</f>
        <v>28647.398700985945</v>
      </c>
      <c r="R3" s="16">
        <f t="shared" ref="R3:R10" ca="1" si="2">SUM(L3:P3)</f>
        <v>28647.398700985945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17910.994970140062</v>
      </c>
      <c r="H4" s="14"/>
      <c r="I4" s="14"/>
      <c r="J4" s="14"/>
      <c r="K4" s="13"/>
      <c r="L4" s="16">
        <f t="shared" ca="1" si="0"/>
        <v>17910.994970140062</v>
      </c>
      <c r="M4" s="16"/>
      <c r="N4" s="16">
        <f t="shared" ca="1" si="1"/>
        <v>544.2050298599388</v>
      </c>
      <c r="O4" s="11" cm="1">
        <f t="array" aca="1" ref="O4" ca="1">INDIRECT("'data'!$K$" &amp; $A$1)*parameters!$B$14</f>
        <v>46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18501.2</v>
      </c>
      <c r="R4" s="16">
        <f t="shared" ca="1" si="2"/>
        <v>18501.2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4766.4776119402986</v>
      </c>
      <c r="G5" s="38">
        <f ca="1">E14*parameters!$B$4-O5-P5-F5</f>
        <v>5315.7633806059303</v>
      </c>
      <c r="H5" s="14"/>
      <c r="I5" s="14"/>
      <c r="J5" s="14"/>
      <c r="K5" s="13"/>
      <c r="L5" s="16">
        <f t="shared" ca="1" si="0"/>
        <v>10082.240992546229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-2930.2</v>
      </c>
      <c r="Q5" s="16">
        <f ca="1">SUM(L5:P5)</f>
        <v>7152.0409925462291</v>
      </c>
      <c r="R5" s="16">
        <f t="shared" ca="1" si="2"/>
        <v>7152.0409925462291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22354.78</v>
      </c>
      <c r="I6" s="14"/>
      <c r="J6" s="14"/>
      <c r="K6" s="13"/>
      <c r="L6" s="16">
        <f t="shared" ca="1" si="0"/>
        <v>22354.78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22354.78</v>
      </c>
      <c r="R6" s="16">
        <f t="shared" ca="1" si="2"/>
        <v>22354.78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30674</v>
      </c>
      <c r="I7" s="14"/>
      <c r="J7" s="14"/>
      <c r="K7" s="13"/>
      <c r="L7" s="16">
        <f t="shared" ca="1" si="0"/>
        <v>30674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30674</v>
      </c>
      <c r="R7" s="16">
        <f t="shared" ca="1" si="2"/>
        <v>30674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25122.828929896597</v>
      </c>
      <c r="J8" s="14">
        <f ca="1">Q10/J18</f>
        <v>27435.551070103407</v>
      </c>
      <c r="K8" s="13"/>
      <c r="L8" s="16">
        <f t="shared" ca="1" si="0"/>
        <v>52558.380000000005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676.19999999999993</v>
      </c>
      <c r="P8" s="13" cm="1">
        <f t="array" aca="1" ref="P8" ca="1">-INDIRECT("'data'!$S$" &amp; $A$1)*parameters!$B$15</f>
        <v>-205.79999999999998</v>
      </c>
      <c r="Q8" s="16">
        <f ca="1">SUM(Q6:Q7)</f>
        <v>53028.78</v>
      </c>
      <c r="R8" s="16">
        <f t="shared" ca="1" si="2"/>
        <v>53028.78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24037.440000000002</v>
      </c>
      <c r="L9" s="16">
        <f t="shared" ca="1" si="0"/>
        <v>24037.440000000002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539</v>
      </c>
      <c r="P9" s="13" cm="1">
        <f t="array" aca="1" ref="P9" ca="1">-INDIRECT("'data'!$V$" &amp; $A$1)*parameters!$B$15</f>
        <v>-715.4</v>
      </c>
      <c r="Q9" s="16" cm="1">
        <f t="array" aca="1" ref="Q9" ca="1">INDIRECT("'data'!$T$" &amp; $A$1)*parameters!$B$15</f>
        <v>23861.040000000001</v>
      </c>
      <c r="R9" s="16">
        <f t="shared" ca="1" si="2"/>
        <v>23861.040000000001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28243.006145092459</v>
      </c>
      <c r="L10" s="16">
        <f t="shared" ca="1" si="0"/>
        <v>28243.006145092459</v>
      </c>
      <c r="M10" s="16"/>
      <c r="N10" s="16">
        <f t="shared" ca="1" si="3"/>
        <v>0</v>
      </c>
      <c r="O10" s="11" cm="1">
        <f t="array" aca="1" ref="O10" ca="1">INDIRECT("'data'!$X$" &amp; $A$1)*parameters!$B$15</f>
        <v>3606.4</v>
      </c>
      <c r="P10" s="13" cm="1">
        <f t="array" aca="1" ref="P10" ca="1">-INDIRECT("'data'!$Y$" &amp; $A$1)*parameters!$B$15</f>
        <v>-5791.8</v>
      </c>
      <c r="Q10" s="16" cm="1">
        <f t="array" aca="1" ref="Q10" ca="1">INDIRECT("'data'!$W$" &amp; $A$1)*parameters!$B$15</f>
        <v>26057.606145092461</v>
      </c>
      <c r="R10" s="16">
        <f t="shared" ca="1" si="2"/>
        <v>26057.606145092461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46999.818884779525</v>
      </c>
      <c r="N11" s="19"/>
      <c r="O11" s="21" cm="1">
        <f t="array" aca="1" ref="O11" ca="1">INDIRECT("'data'!$Z$" &amp; $A$1)*parameters!$B$15</f>
        <v>2538.1999999999998</v>
      </c>
      <c r="P11" s="27" cm="1">
        <f t="array" aca="1" ref="P11" ca="1">-INDIRECT("'data'!$AA$" &amp; $A$1)*parameters!$B$15</f>
        <v>-2653.84</v>
      </c>
      <c r="Q11" s="16">
        <f ca="1">K9*parameters!$B$10+K10*parameters!$B$11</f>
        <v>46884.178884779518</v>
      </c>
      <c r="R11" s="16">
        <f t="shared" ref="R11:R17" ca="1" si="4">SUM(L11:P11)</f>
        <v>46884.178884779525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-181.62283568100247</v>
      </c>
      <c r="D12" s="9">
        <f ca="1">-(D17-Q4)</f>
        <v>-117.29652812720087</v>
      </c>
      <c r="E12" s="9">
        <f ca="1">-(E17-Q5)</f>
        <v>-883.96012267425249</v>
      </c>
      <c r="F12" s="9">
        <f ca="1">-(F17-Q6)</f>
        <v>-1477.6080597014952</v>
      </c>
      <c r="G12" s="9">
        <f ca="1">-(G17-Q7)</f>
        <v>-1378.2466039707433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-4038.7341501546944</v>
      </c>
      <c r="M12" s="17"/>
      <c r="N12" s="17"/>
      <c r="O12" s="10"/>
      <c r="P12" s="12"/>
      <c r="Q12" s="9">
        <f t="shared" ref="Q12:Q17" ca="1" si="6">SUM(L12:P12)</f>
        <v>-4038.7341501546944</v>
      </c>
      <c r="R12" s="17">
        <f t="shared" ca="1" si="4"/>
        <v>-4038.7341501546944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-1261.7889298965965</v>
      </c>
      <c r="J13" s="14">
        <f ca="1">-(J17-Q10)</f>
        <v>-1377.9449250109465</v>
      </c>
      <c r="K13" s="13">
        <f ca="1">-(K17-Q11)</f>
        <v>-5396.2672603129395</v>
      </c>
      <c r="L13" s="14">
        <f t="shared" ca="1" si="5"/>
        <v>-8036.0011152204825</v>
      </c>
      <c r="M13" s="16">
        <f ca="1">-E15</f>
        <v>0</v>
      </c>
      <c r="N13" s="16"/>
      <c r="O13" s="11"/>
      <c r="P13" s="13"/>
      <c r="Q13" s="14">
        <f t="shared" ca="1" si="6"/>
        <v>-8036.0011152204825</v>
      </c>
      <c r="R13" s="16">
        <f t="shared" ca="1" si="4"/>
        <v>-8036.0011152204825</v>
      </c>
    </row>
    <row r="14" spans="1:22">
      <c r="A14" s="18" t="s">
        <v>78</v>
      </c>
      <c r="B14" s="11"/>
      <c r="C14" s="14"/>
      <c r="D14" s="14"/>
      <c r="E14" s="14">
        <f ca="1">-(I13+J13)-K13</f>
        <v>8036.0011152204825</v>
      </c>
      <c r="F14" s="14"/>
      <c r="G14" s="14"/>
      <c r="H14" s="14"/>
      <c r="I14" s="14"/>
      <c r="J14" s="14"/>
      <c r="K14" s="13"/>
      <c r="L14" s="14">
        <f t="shared" ca="1" si="5"/>
        <v>8036.0011152204825</v>
      </c>
      <c r="M14" s="16"/>
      <c r="N14" s="16"/>
      <c r="O14" s="11"/>
      <c r="P14" s="13"/>
      <c r="Q14" s="14">
        <f t="shared" ca="1" si="6"/>
        <v>8036.0011152204825</v>
      </c>
      <c r="R14" s="16">
        <f t="shared" ca="1" si="4"/>
        <v>8036.0011152204825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107174.88716815754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107174.88716815754</v>
      </c>
      <c r="M16" s="19"/>
      <c r="N16" s="19"/>
      <c r="O16" s="21"/>
      <c r="P16" s="27"/>
      <c r="Q16" s="22">
        <f t="shared" ca="1" si="6"/>
        <v>107174.88716815754</v>
      </c>
      <c r="R16" s="19">
        <f t="shared" ca="1" si="4"/>
        <v>107174.88716815754</v>
      </c>
    </row>
    <row r="17" spans="1:18">
      <c r="A17" s="29" t="s">
        <v>88</v>
      </c>
      <c r="B17" s="9">
        <f ca="1">B16</f>
        <v>107174.88716815754</v>
      </c>
      <c r="C17" s="9">
        <f ca="1">SUM(C$2:C$11)</f>
        <v>28829.021536666947</v>
      </c>
      <c r="D17" s="9">
        <f ca="1">SUM(D$2:D$11)</f>
        <v>18618.496528127202</v>
      </c>
      <c r="E17" s="9">
        <f ca="1">$Q$5/parameters!$B$4</f>
        <v>8036.0011152204816</v>
      </c>
      <c r="F17" s="9">
        <f t="shared" ref="F17:K17" ca="1" si="7">SUM(F$2:F$11)</f>
        <v>23832.388059701494</v>
      </c>
      <c r="G17" s="9">
        <f t="shared" ca="1" si="7"/>
        <v>32052.246603970743</v>
      </c>
      <c r="H17" s="9">
        <f t="shared" ca="1" si="7"/>
        <v>53028.78</v>
      </c>
      <c r="I17" s="9">
        <f t="shared" ca="1" si="7"/>
        <v>25122.828929896597</v>
      </c>
      <c r="J17" s="9">
        <f t="shared" ca="1" si="7"/>
        <v>27435.551070103407</v>
      </c>
      <c r="K17" s="9">
        <f t="shared" ca="1" si="7"/>
        <v>52280.446145092457</v>
      </c>
      <c r="L17" s="17">
        <f t="shared" ca="1" si="5"/>
        <v>376410.64715693682</v>
      </c>
      <c r="M17" s="17"/>
      <c r="N17" s="17"/>
      <c r="O17" s="9"/>
      <c r="P17" s="14"/>
      <c r="Q17" s="11">
        <f t="shared" ca="1" si="6"/>
        <v>376410.64715693682</v>
      </c>
      <c r="R17" s="17">
        <f t="shared" ca="1" si="4"/>
        <v>376410.64715693682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0.94977520511652869</v>
      </c>
      <c r="J18" s="39">
        <f ca="1">I18</f>
        <v>0.94977520511652869</v>
      </c>
      <c r="K18" s="40">
        <f ca="1">1-(-K13)/K17</f>
        <v>0.8967823027879902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82518.461306229248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82518.461306229248</v>
      </c>
      <c r="M2" s="17"/>
      <c r="N2" s="17">
        <f ca="1">Q2-(L2+O2+P2)</f>
        <v>0</v>
      </c>
      <c r="O2" s="11" cm="1">
        <f t="array" aca="1" ref="O2" ca="1">INDIRECT("'data'!$F$" &amp; $A$1)</f>
        <v>16.900000000000002</v>
      </c>
      <c r="P2" s="13">
        <f ca="1">IF(-(L2-Q2+O2)&lt;0, -(L2-Q2+O2), 0)</f>
        <v>-82535.361306229242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82981.740298507473</v>
      </c>
      <c r="G3" s="14">
        <f ca="1">Q3-O3-P3-F3</f>
        <v>210.38970149253146</v>
      </c>
      <c r="H3" s="14"/>
      <c r="I3" s="14"/>
      <c r="J3" s="14"/>
      <c r="K3" s="13"/>
      <c r="L3" s="16">
        <f t="shared" ca="1" si="0"/>
        <v>83192.13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43.47</v>
      </c>
      <c r="P3" s="13" cm="1">
        <f t="array" aca="1" ref="P3" ca="1">-INDIRECT("'data'!$I$" &amp; $A$1)*parameters!$B$13</f>
        <v>-1237.0049999999999</v>
      </c>
      <c r="Q3" s="16" cm="1">
        <f t="array" aca="1" ref="Q3" ca="1">INDIRECT("'data'!$G$" &amp; $A$1)*parameters!$B$13</f>
        <v>81998.595000000001</v>
      </c>
      <c r="R3" s="16">
        <f t="shared" ref="R3:R10" ca="1" si="2">SUM(L3:P3)</f>
        <v>81998.595000000001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149.96</v>
      </c>
      <c r="H4" s="14"/>
      <c r="I4" s="14"/>
      <c r="J4" s="14"/>
      <c r="K4" s="13"/>
      <c r="L4" s="16">
        <f t="shared" ca="1" si="0"/>
        <v>149.96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-150.88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Q6/parameters!$B$5*11%</f>
        <v>10256.170149253732</v>
      </c>
      <c r="G5" s="14">
        <f ca="1">Q7/parameters!$B$7-(G3+G4)</f>
        <v>31344.749567055012</v>
      </c>
      <c r="H5" s="14"/>
      <c r="I5" s="14"/>
      <c r="J5" s="14"/>
      <c r="K5" s="13"/>
      <c r="L5" s="16">
        <f t="shared" ca="1" si="0"/>
        <v>41600.919716308745</v>
      </c>
      <c r="M5" s="16"/>
      <c r="N5" s="16"/>
      <c r="O5" s="11" cm="1">
        <f t="array" aca="1" ref="O5" ca="1">INDIRECT("'data'!$M$" &amp; $A$1)*parameters!$B$15</f>
        <v>6320.0199999999995</v>
      </c>
      <c r="P5" s="13" cm="1">
        <f t="array" aca="1" ref="P5" ca="1">-INDIRECT("'data'!$N$" &amp; $A$1)*parameters!$B$15</f>
        <v>-389.06</v>
      </c>
      <c r="Q5" s="16">
        <f ca="1">SUM(L5:P5)</f>
        <v>47531.879716308744</v>
      </c>
      <c r="R5" s="16">
        <f t="shared" ca="1" si="2"/>
        <v>47531.879716308744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87457.16</v>
      </c>
      <c r="I6" s="14"/>
      <c r="J6" s="14"/>
      <c r="K6" s="13"/>
      <c r="L6" s="16">
        <f t="shared" ca="1" si="0"/>
        <v>87457.16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87457.16</v>
      </c>
      <c r="R6" s="16">
        <f t="shared" ca="1" si="2"/>
        <v>87457.16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30341.78</v>
      </c>
      <c r="I7" s="14"/>
      <c r="J7" s="14"/>
      <c r="K7" s="13"/>
      <c r="L7" s="16">
        <f t="shared" ca="1" si="0"/>
        <v>30341.78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30341.78</v>
      </c>
      <c r="R7" s="16">
        <f t="shared" ca="1" si="2"/>
        <v>30341.78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41161.028942233024</v>
      </c>
      <c r="J8" s="14">
        <f ca="1">Q10/J18</f>
        <v>72140.691057766962</v>
      </c>
      <c r="K8" s="13"/>
      <c r="L8" s="16">
        <f t="shared" ca="1" si="0"/>
        <v>113301.71999999999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4734.38</v>
      </c>
      <c r="P8" s="13" cm="1">
        <f t="array" aca="1" ref="P8" ca="1">-INDIRECT("'data'!$S$" &amp; $A$1)*parameters!$B$15</f>
        <v>-237.16</v>
      </c>
      <c r="Q8" s="16">
        <f ca="1">SUM(Q6:Q7)</f>
        <v>117798.94</v>
      </c>
      <c r="R8" s="16">
        <f t="shared" ca="1" si="2"/>
        <v>117798.93999999999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34331.359999999993</v>
      </c>
      <c r="L9" s="16">
        <f t="shared" ca="1" si="0"/>
        <v>34331.359999999993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4005.2599999999998</v>
      </c>
      <c r="P9" s="13" cm="1">
        <f t="array" aca="1" ref="P9" ca="1">-INDIRECT("'data'!$V$" &amp; $A$1)*parameters!$B$15</f>
        <v>-642.88</v>
      </c>
      <c r="Q9" s="16" cm="1">
        <f t="array" aca="1" ref="Q9" ca="1">INDIRECT("'data'!$T$" &amp; $A$1)*parameters!$B$15</f>
        <v>37693.74</v>
      </c>
      <c r="R9" s="16">
        <f t="shared" ca="1" si="2"/>
        <v>37693.74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46447.102788051197</v>
      </c>
      <c r="L10" s="16">
        <f t="shared" ca="1" si="0"/>
        <v>46447.102788051197</v>
      </c>
      <c r="M10" s="16"/>
      <c r="N10" s="16">
        <f t="shared" ca="1" si="3"/>
        <v>0</v>
      </c>
      <c r="O10" s="11" cm="1">
        <f t="array" aca="1" ref="O10" ca="1">INDIRECT("'data'!$X$" &amp; $A$1)*parameters!$B$15</f>
        <v>23102.52</v>
      </c>
      <c r="P10" s="13" cm="1">
        <f t="array" aca="1" ref="P10" ca="1">-INDIRECT("'data'!$Y$" &amp; $A$1)*parameters!$B$15</f>
        <v>-3485.86</v>
      </c>
      <c r="Q10" s="16" cm="1">
        <f t="array" aca="1" ref="Q10" ca="1">INDIRECT("'data'!$W$" &amp; $A$1)*parameters!$B$15</f>
        <v>66063.762788051201</v>
      </c>
      <c r="R10" s="16">
        <f t="shared" ca="1" si="2"/>
        <v>66063.762788051201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49982.726797724026</v>
      </c>
      <c r="N11" s="19"/>
      <c r="O11" s="21" cm="1">
        <f t="array" aca="1" ref="O11" ca="1">INDIRECT("'data'!$Z$" &amp; $A$1)*parameters!$B$15</f>
        <v>28546.42</v>
      </c>
      <c r="P11" s="27" cm="1">
        <f t="array" aca="1" ref="P11" ca="1">-INDIRECT("'data'!$AA$" &amp; $A$1)*parameters!$B$15</f>
        <v>-6313.16</v>
      </c>
      <c r="Q11" s="16">
        <f ca="1">K9*parameters!$B$10+K10*parameters!$B$11</f>
        <v>72215.986797724021</v>
      </c>
      <c r="R11" s="16">
        <f t="shared" ref="R11:R17" ca="1" si="4">SUM(L11:P11)</f>
        <v>72215.986797724021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-519.86630622924713</v>
      </c>
      <c r="D12" s="9">
        <f ca="1">-(D17-Q4)</f>
        <v>0</v>
      </c>
      <c r="E12" s="9">
        <f ca="1">-(E17-Q5)</f>
        <v>-5874.7267065100677</v>
      </c>
      <c r="F12" s="9">
        <f ca="1">-(F17-Q6)</f>
        <v>-5780.7504477612092</v>
      </c>
      <c r="G12" s="9">
        <f ca="1">-(G17-Q7)</f>
        <v>-1363.3192685475442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-13538.662729048068</v>
      </c>
      <c r="M12" s="17"/>
      <c r="N12" s="17"/>
      <c r="O12" s="10"/>
      <c r="P12" s="12"/>
      <c r="Q12" s="9">
        <f t="shared" ref="Q12:Q17" ca="1" si="6">SUM(L12:P12)</f>
        <v>-13538.662729048068</v>
      </c>
      <c r="R12" s="17">
        <f t="shared" ca="1" si="4"/>
        <v>-13538.662729048068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-3467.2889422330263</v>
      </c>
      <c r="J13" s="14">
        <f ca="1">-(J17-Q10)</f>
        <v>-6076.9282697157614</v>
      </c>
      <c r="K13" s="13">
        <f ca="1">-(K17-Q11)</f>
        <v>-8562.475990327177</v>
      </c>
      <c r="L13" s="14">
        <f t="shared" ca="1" si="5"/>
        <v>-18106.693202275965</v>
      </c>
      <c r="M13" s="16">
        <f ca="1">-E15</f>
        <v>-35299.913220542847</v>
      </c>
      <c r="N13" s="16"/>
      <c r="O13" s="11"/>
      <c r="P13" s="13"/>
      <c r="Q13" s="14">
        <f t="shared" ca="1" si="6"/>
        <v>-53406.606422818812</v>
      </c>
      <c r="R13" s="16">
        <f t="shared" ca="1" si="4"/>
        <v>-53406.606422818812</v>
      </c>
    </row>
    <row r="14" spans="1:20">
      <c r="A14" s="18" t="s">
        <v>78</v>
      </c>
      <c r="B14" s="11"/>
      <c r="C14" s="14"/>
      <c r="D14" s="14"/>
      <c r="E14" s="14">
        <f ca="1">-(I13+J13)-K13</f>
        <v>18106.693202275965</v>
      </c>
      <c r="F14" s="14"/>
      <c r="G14" s="14"/>
      <c r="H14" s="14"/>
      <c r="I14" s="14"/>
      <c r="J14" s="14"/>
      <c r="K14" s="13"/>
      <c r="L14" s="14">
        <f t="shared" ca="1" si="5"/>
        <v>18106.693202275965</v>
      </c>
      <c r="M14" s="16"/>
      <c r="N14" s="16"/>
      <c r="O14" s="11"/>
      <c r="P14" s="13"/>
      <c r="Q14" s="14">
        <f t="shared" ca="1" si="6"/>
        <v>18106.693202275965</v>
      </c>
      <c r="R14" s="16">
        <f t="shared" ca="1" si="4"/>
        <v>18106.693202275965</v>
      </c>
    </row>
    <row r="15" spans="1:20">
      <c r="A15" s="18" t="s">
        <v>79</v>
      </c>
      <c r="B15" s="11"/>
      <c r="C15" s="14"/>
      <c r="D15" s="14"/>
      <c r="E15" s="14">
        <f ca="1">E17-E14</f>
        <v>35299.913220542847</v>
      </c>
      <c r="F15" s="14"/>
      <c r="G15" s="14"/>
      <c r="H15" s="14"/>
      <c r="I15" s="14"/>
      <c r="J15" s="14"/>
      <c r="K15" s="13"/>
      <c r="L15" s="14">
        <f t="shared" ca="1" si="5"/>
        <v>35299.913220542847</v>
      </c>
      <c r="M15" s="16"/>
      <c r="N15" s="16"/>
      <c r="O15" s="11"/>
      <c r="P15" s="13"/>
      <c r="Q15" s="14">
        <f t="shared" ca="1" si="6"/>
        <v>35299.913220542847</v>
      </c>
      <c r="R15" s="16">
        <f t="shared" ca="1" si="4"/>
        <v>35299.913220542847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82518.461306229248</v>
      </c>
      <c r="D17" s="9">
        <f ca="1">SUM(D$2:D$11)</f>
        <v>0</v>
      </c>
      <c r="E17" s="9">
        <f ca="1">$Q$5/parameters!$B$4</f>
        <v>53406.606422818812</v>
      </c>
      <c r="F17" s="9">
        <f t="shared" ref="F17:K17" ca="1" si="7">SUM(F$2:F$11)</f>
        <v>93237.910447761213</v>
      </c>
      <c r="G17" s="9">
        <f t="shared" ca="1" si="7"/>
        <v>31705.099268547543</v>
      </c>
      <c r="H17" s="9">
        <f t="shared" ca="1" si="7"/>
        <v>117798.94</v>
      </c>
      <c r="I17" s="9">
        <f t="shared" ca="1" si="7"/>
        <v>41161.028942233024</v>
      </c>
      <c r="J17" s="9">
        <f t="shared" ca="1" si="7"/>
        <v>72140.691057766962</v>
      </c>
      <c r="K17" s="9">
        <f t="shared" ca="1" si="7"/>
        <v>80778.462788051198</v>
      </c>
      <c r="L17" s="17">
        <f t="shared" ca="1" si="5"/>
        <v>572747.20023340802</v>
      </c>
      <c r="M17" s="17"/>
      <c r="N17" s="17"/>
      <c r="O17" s="9"/>
      <c r="P17" s="14"/>
      <c r="Q17" s="11">
        <f t="shared" ca="1" si="6"/>
        <v>572747.20023340802</v>
      </c>
      <c r="R17" s="17">
        <f t="shared" ca="1" si="4"/>
        <v>572747.20023340802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0.91576282150042565</v>
      </c>
      <c r="J18" s="39">
        <f ca="1">I18</f>
        <v>0.91576282150042565</v>
      </c>
      <c r="K18" s="40">
        <f ca="1">1-(-K13)/K17</f>
        <v>0.89400050836825595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34556.168863842198</v>
      </c>
      <c r="D2" s="9">
        <f ca="1">Q4/parameters!$B$3</f>
        <v>231.45818657542517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34787.627050417621</v>
      </c>
      <c r="M2" s="17"/>
      <c r="N2" s="17">
        <f ca="1">Q2-(L2+O2+P2)</f>
        <v>0</v>
      </c>
      <c r="O2" s="11" cm="1">
        <f t="array" aca="1" ref="O2" ca="1">INDIRECT("'data'!$F$" &amp; $A$1)</f>
        <v>6043.7</v>
      </c>
      <c r="P2" s="13">
        <f ca="1">IF(-(L2-Q2+O2)&lt;0, -(L2-Q2+O2), 0)</f>
        <v>-7763.3270504176207</v>
      </c>
      <c r="Q2" s="17" cm="1">
        <f t="array" aca="1" ref="Q2" ca="1">INDIRECT("'data'!$D$" &amp; $A$1)</f>
        <v>33068</v>
      </c>
      <c r="R2" s="17">
        <f ca="1">SUM(L2:P2)</f>
        <v>33068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35209.331343283586</v>
      </c>
      <c r="G3" s="14">
        <f ca="1">Q3-O3-P3-F3</f>
        <v>3980.7636567164154</v>
      </c>
      <c r="H3" s="14"/>
      <c r="I3" s="14"/>
      <c r="J3" s="14"/>
      <c r="K3" s="13"/>
      <c r="L3" s="16">
        <f t="shared" ca="1" si="0"/>
        <v>39190.095000000001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80.325000000000003</v>
      </c>
      <c r="P3" s="13" cm="1">
        <f t="array" aca="1" ref="P3" ca="1">-INDIRECT("'data'!$I$" &amp; $A$1)*parameters!$B$13</f>
        <v>-4931.9549999999999</v>
      </c>
      <c r="Q3" s="16" cm="1">
        <f t="array" aca="1" ref="Q3" ca="1">INDIRECT("'data'!$G$" &amp; $A$1)*parameters!$B$13</f>
        <v>34338.464999999997</v>
      </c>
      <c r="R3" s="16">
        <f t="shared" ref="R3:R10" ca="1" si="2">SUM(L3:P3)</f>
        <v>34338.464999999997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2551.16</v>
      </c>
      <c r="H4" s="14"/>
      <c r="I4" s="14"/>
      <c r="J4" s="14"/>
      <c r="K4" s="13"/>
      <c r="L4" s="16">
        <f t="shared" ca="1" si="0"/>
        <v>2551.16</v>
      </c>
      <c r="M4" s="16"/>
      <c r="N4" s="16">
        <f t="shared" ca="1" si="1"/>
        <v>0</v>
      </c>
      <c r="O4" s="11" cm="1">
        <f t="array" aca="1" ref="O4" ca="1">INDIRECT("'data'!$K$" &amp; $A$1)*parameters!$B$14</f>
        <v>7.36</v>
      </c>
      <c r="P4" s="13" cm="1">
        <f t="array" aca="1" ref="P4" ca="1">-INDIRECT("'data'!$L$" &amp; $A$1)*parameters!$B$14</f>
        <v>-2328.52</v>
      </c>
      <c r="Q4" s="16" cm="1">
        <f t="array" aca="1" ref="Q4" ca="1">INDIRECT("'data'!$J$" &amp; $A$1)*parameters!$B$14</f>
        <v>230</v>
      </c>
      <c r="R4" s="16">
        <f t="shared" ca="1" si="2"/>
        <v>230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Q6/parameters!$B$5*18%</f>
        <v>7728.8776119402983</v>
      </c>
      <c r="G5" s="14">
        <f ca="1">Q7/parameters!$B$7-(G3+G4)</f>
        <v>51841.054399709916</v>
      </c>
      <c r="H5" s="14"/>
      <c r="I5" s="14"/>
      <c r="J5" s="14"/>
      <c r="K5" s="13"/>
      <c r="L5" s="16">
        <f t="shared" ca="1" si="0"/>
        <v>59569.932011650213</v>
      </c>
      <c r="M5" s="16"/>
      <c r="N5" s="16"/>
      <c r="O5" s="11" cm="1">
        <f t="array" aca="1" ref="O5" ca="1">INDIRECT("'data'!$M$" &amp; $A$1)*parameters!$B$15</f>
        <v>16309.16</v>
      </c>
      <c r="P5" s="13" cm="1">
        <f t="array" aca="1" ref="P5" ca="1">-INDIRECT("'data'!$N$" &amp; $A$1)*parameters!$B$15</f>
        <v>-3618.16</v>
      </c>
      <c r="Q5" s="16">
        <f ca="1">SUM(L5:P5)</f>
        <v>72260.932011650206</v>
      </c>
      <c r="R5" s="16">
        <f t="shared" ca="1" si="2"/>
        <v>72260.932011650206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40276.04</v>
      </c>
      <c r="I6" s="14"/>
      <c r="J6" s="14"/>
      <c r="K6" s="13"/>
      <c r="L6" s="16">
        <f t="shared" ca="1" si="0"/>
        <v>40276.04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40276.04</v>
      </c>
      <c r="R6" s="16">
        <f t="shared" ca="1" si="2"/>
        <v>40276.04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55862.94</v>
      </c>
      <c r="I7" s="14"/>
      <c r="J7" s="14"/>
      <c r="K7" s="13"/>
      <c r="L7" s="16">
        <f t="shared" ca="1" si="0"/>
        <v>55862.94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55862.94</v>
      </c>
      <c r="R7" s="16">
        <f t="shared" ca="1" si="2"/>
        <v>55862.94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32250.003708005355</v>
      </c>
      <c r="J8" s="14">
        <f ca="1">Q10/J18</f>
        <v>69446.556291994653</v>
      </c>
      <c r="K8" s="13"/>
      <c r="L8" s="16">
        <f t="shared" ca="1" si="0"/>
        <v>101696.56000000001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381.21999999999997</v>
      </c>
      <c r="P8" s="13" cm="1">
        <f t="array" aca="1" ref="P8" ca="1">-INDIRECT("'data'!$S$" &amp; $A$1)*parameters!$B$15</f>
        <v>-5938.8</v>
      </c>
      <c r="Q8" s="16">
        <f ca="1">SUM(Q6:Q7)</f>
        <v>96138.98000000001</v>
      </c>
      <c r="R8" s="16">
        <f t="shared" ca="1" si="2"/>
        <v>96138.98000000001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33133.799999999996</v>
      </c>
      <c r="L9" s="16">
        <f t="shared" ca="1" si="0"/>
        <v>33133.799999999996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2464.6999999999998</v>
      </c>
      <c r="P9" s="13" cm="1">
        <f t="array" aca="1" ref="P9" ca="1">-INDIRECT("'data'!$V$" &amp; $A$1)*parameters!$B$15</f>
        <v>-6325.9</v>
      </c>
      <c r="Q9" s="16" cm="1">
        <f t="array" aca="1" ref="Q9" ca="1">INDIRECT("'data'!$T$" &amp; $A$1)*parameters!$B$15</f>
        <v>29272.6</v>
      </c>
      <c r="R9" s="16">
        <f t="shared" ca="1" si="2"/>
        <v>29272.599999999991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66870.790697012795</v>
      </c>
      <c r="L10" s="16">
        <f t="shared" ca="1" si="0"/>
        <v>66870.790697012795</v>
      </c>
      <c r="M10" s="16"/>
      <c r="N10" s="16">
        <f t="shared" ca="1" si="3"/>
        <v>0</v>
      </c>
      <c r="O10" s="11" cm="1">
        <f t="array" aca="1" ref="O10" ca="1">INDIRECT("'data'!$X$" &amp; $A$1)*parameters!$B$15</f>
        <v>5367.46</v>
      </c>
      <c r="P10" s="13" cm="1">
        <f t="array" aca="1" ref="P10" ca="1">-INDIRECT("'data'!$Y$" &amp; $A$1)*parameters!$B$15</f>
        <v>-9203.18</v>
      </c>
      <c r="Q10" s="16" cm="1">
        <f t="array" aca="1" ref="Q10" ca="1">INDIRECT("'data'!$W$" &amp; $A$1)*parameters!$B$15</f>
        <v>63035.070697012801</v>
      </c>
      <c r="R10" s="16">
        <f t="shared" ca="1" si="2"/>
        <v>63035.070697012801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107071.79199943101</v>
      </c>
      <c r="N11" s="19"/>
      <c r="O11" s="21" cm="1">
        <f t="array" aca="1" ref="O11" ca="1">INDIRECT("'data'!$Z$" &amp; $A$1)*parameters!$B$15</f>
        <v>20445.739999999998</v>
      </c>
      <c r="P11" s="27" cm="1">
        <f t="array" aca="1" ref="P11" ca="1">-INDIRECT("'data'!$AA$" &amp; $A$1)*parameters!$B$15</f>
        <v>-38862.879999999997</v>
      </c>
      <c r="Q11" s="16">
        <f ca="1">K9*parameters!$B$10+K10*parameters!$B$11</f>
        <v>88654.651999430993</v>
      </c>
      <c r="R11" s="16">
        <f t="shared" ref="R11:R17" ca="1" si="4">SUM(L11:P11)</f>
        <v>88654.651999430993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-217.70386384220183</v>
      </c>
      <c r="D12" s="9">
        <f ca="1">-(D17-Q4)</f>
        <v>-1.4581865754251737</v>
      </c>
      <c r="E12" s="9">
        <f ca="1">-(E17-Q5)</f>
        <v>-8931.1264284062054</v>
      </c>
      <c r="F12" s="9">
        <f ca="1">-(F17-Q6)</f>
        <v>-2662.1689552238822</v>
      </c>
      <c r="G12" s="9">
        <f ca="1">-(G17-Q7)</f>
        <v>-2510.0380564263323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-14322.495490474046</v>
      </c>
      <c r="M12" s="17"/>
      <c r="N12" s="17"/>
      <c r="O12" s="10"/>
      <c r="P12" s="12"/>
      <c r="Q12" s="9">
        <f t="shared" ref="Q12:Q17" ca="1" si="6">SUM(L12:P12)</f>
        <v>-14322.495490474046</v>
      </c>
      <c r="R12" s="17">
        <f t="shared" ca="1" si="4"/>
        <v>-14322.495490474046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-2977.4037080053567</v>
      </c>
      <c r="J13" s="14">
        <f ca="1">-(J17-Q10)</f>
        <v>-6411.485594981852</v>
      </c>
      <c r="K13" s="13">
        <f ca="1">-(K17-Q11)</f>
        <v>-11349.938697581791</v>
      </c>
      <c r="L13" s="14">
        <f t="shared" ca="1" si="5"/>
        <v>-20738.828000568999</v>
      </c>
      <c r="M13" s="16">
        <f ca="1">-E15</f>
        <v>-60453.230439487408</v>
      </c>
      <c r="N13" s="16"/>
      <c r="O13" s="11"/>
      <c r="P13" s="13"/>
      <c r="Q13" s="14">
        <f t="shared" ca="1" si="6"/>
        <v>-81192.058440056411</v>
      </c>
      <c r="R13" s="16">
        <f t="shared" ca="1" si="4"/>
        <v>-81192.058440056411</v>
      </c>
    </row>
    <row r="14" spans="1:20">
      <c r="A14" s="18" t="s">
        <v>78</v>
      </c>
      <c r="B14" s="11"/>
      <c r="C14" s="14"/>
      <c r="D14" s="14"/>
      <c r="E14" s="14">
        <f ca="1">-(I13+J13)-K13</f>
        <v>20738.828000568999</v>
      </c>
      <c r="F14" s="14"/>
      <c r="G14" s="14"/>
      <c r="H14" s="14"/>
      <c r="I14" s="14"/>
      <c r="J14" s="14"/>
      <c r="K14" s="13"/>
      <c r="L14" s="14">
        <f t="shared" ca="1" si="5"/>
        <v>20738.828000568999</v>
      </c>
      <c r="M14" s="16"/>
      <c r="N14" s="16"/>
      <c r="O14" s="11"/>
      <c r="P14" s="13"/>
      <c r="Q14" s="14">
        <f t="shared" ca="1" si="6"/>
        <v>20738.828000568999</v>
      </c>
      <c r="R14" s="16">
        <f t="shared" ca="1" si="4"/>
        <v>20738.828000568999</v>
      </c>
    </row>
    <row r="15" spans="1:20">
      <c r="A15" s="18" t="s">
        <v>79</v>
      </c>
      <c r="B15" s="11"/>
      <c r="C15" s="14"/>
      <c r="D15" s="14"/>
      <c r="E15" s="14">
        <f ca="1">E17-E14</f>
        <v>60453.230439487408</v>
      </c>
      <c r="F15" s="14"/>
      <c r="G15" s="14"/>
      <c r="H15" s="14"/>
      <c r="I15" s="14"/>
      <c r="J15" s="14"/>
      <c r="K15" s="13"/>
      <c r="L15" s="14">
        <f t="shared" ca="1" si="5"/>
        <v>60453.230439487408</v>
      </c>
      <c r="M15" s="16"/>
      <c r="N15" s="16"/>
      <c r="O15" s="11"/>
      <c r="P15" s="13"/>
      <c r="Q15" s="14">
        <f t="shared" ca="1" si="6"/>
        <v>60453.230439487408</v>
      </c>
      <c r="R15" s="16">
        <f t="shared" ca="1" si="4"/>
        <v>60453.230439487408</v>
      </c>
    </row>
    <row r="16" spans="1:20">
      <c r="A16" s="30" t="s">
        <v>89</v>
      </c>
      <c r="B16" s="21">
        <f ca="1">Q2</f>
        <v>33068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33068</v>
      </c>
      <c r="M16" s="19"/>
      <c r="N16" s="19"/>
      <c r="O16" s="21"/>
      <c r="P16" s="27"/>
      <c r="Q16" s="22">
        <f t="shared" ca="1" si="6"/>
        <v>33068</v>
      </c>
      <c r="R16" s="19">
        <f t="shared" ca="1" si="4"/>
        <v>33068</v>
      </c>
    </row>
    <row r="17" spans="1:18">
      <c r="A17" s="29" t="s">
        <v>88</v>
      </c>
      <c r="B17" s="9">
        <f ca="1">B16</f>
        <v>33068</v>
      </c>
      <c r="C17" s="9">
        <f ca="1">SUM(C$2:C$11)</f>
        <v>34556.168863842198</v>
      </c>
      <c r="D17" s="9">
        <f ca="1">SUM(D$2:D$11)</f>
        <v>231.45818657542517</v>
      </c>
      <c r="E17" s="9">
        <f ca="1">$Q$5/parameters!$B$4</f>
        <v>81192.058440056411</v>
      </c>
      <c r="F17" s="9">
        <f t="shared" ref="F17:K17" ca="1" si="7">SUM(F$2:F$11)</f>
        <v>42938.208955223883</v>
      </c>
      <c r="G17" s="9">
        <f t="shared" ca="1" si="7"/>
        <v>58372.978056426335</v>
      </c>
      <c r="H17" s="9">
        <f t="shared" ca="1" si="7"/>
        <v>96138.98000000001</v>
      </c>
      <c r="I17" s="9">
        <f t="shared" ca="1" si="7"/>
        <v>32250.003708005355</v>
      </c>
      <c r="J17" s="9">
        <f t="shared" ca="1" si="7"/>
        <v>69446.556291994653</v>
      </c>
      <c r="K17" s="9">
        <f t="shared" ca="1" si="7"/>
        <v>100004.59069701278</v>
      </c>
      <c r="L17" s="17">
        <f t="shared" ca="1" si="5"/>
        <v>548199.00319913705</v>
      </c>
      <c r="M17" s="17"/>
      <c r="N17" s="17"/>
      <c r="O17" s="9"/>
      <c r="P17" s="14"/>
      <c r="Q17" s="11">
        <f t="shared" ca="1" si="6"/>
        <v>548199.00319913705</v>
      </c>
      <c r="R17" s="17">
        <f t="shared" ca="1" si="4"/>
        <v>548199.00319913705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0.90767741501790022</v>
      </c>
      <c r="J18" s="39">
        <f ca="1">I18</f>
        <v>0.90767741501790022</v>
      </c>
      <c r="K18" s="40">
        <f ca="1">1-(-K13)/K17</f>
        <v>0.88650582319796623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48541.446110496116</v>
      </c>
      <c r="D2" s="9">
        <f ca="1">Q4/parameters!$B$3</f>
        <v>3157.0896648887997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51698.535775384917</v>
      </c>
      <c r="M2" s="17"/>
      <c r="N2" s="17">
        <f ca="1">Q2-(L2+O2+P2)</f>
        <v>0</v>
      </c>
      <c r="O2" s="11" cm="1">
        <f t="array" aca="1" ref="O2" ca="1">INDIRECT("'data'!$F$" &amp; $A$1)</f>
        <v>20644.650000000001</v>
      </c>
      <c r="P2" s="13">
        <f ca="1">IF(-(L2-Q2+O2)&lt;0, -(L2-Q2+O2), 0)</f>
        <v>-11543.185775384918</v>
      </c>
      <c r="Q2" s="17" cm="1">
        <f t="array" aca="1" ref="Q2" ca="1">INDIRECT("'data'!$D$" &amp; $A$1)</f>
        <v>60800</v>
      </c>
      <c r="R2" s="17">
        <f ca="1">SUM(L2:P2)</f>
        <v>60800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42159.808955223889</v>
      </c>
      <c r="G3" s="14">
        <f ca="1">Q3-O3-P3-F3</f>
        <v>237.61604477610672</v>
      </c>
      <c r="H3" s="14"/>
      <c r="I3" s="14"/>
      <c r="J3" s="14"/>
      <c r="K3" s="13"/>
      <c r="L3" s="16">
        <f t="shared" ca="1" si="0"/>
        <v>42397.424999999996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5838.21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48235.634999999995</v>
      </c>
      <c r="R3" s="16">
        <f t="shared" ref="R3:R10" ca="1" si="2">SUM(L3:P3)</f>
        <v>48235.634999999995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1745.2400000000002</v>
      </c>
      <c r="H4" s="14"/>
      <c r="I4" s="14"/>
      <c r="J4" s="14"/>
      <c r="K4" s="13"/>
      <c r="L4" s="16">
        <f t="shared" ca="1" si="0"/>
        <v>1745.2400000000002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1391.96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3137.2000000000003</v>
      </c>
      <c r="R4" s="16">
        <f t="shared" ca="1" si="2"/>
        <v>3137.2000000000003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Q6/parameters!$B$5*24%</f>
        <v>13313.623880597015</v>
      </c>
      <c r="G5" s="14">
        <f ca="1">Q7/parameters!$B$7-(G3+G4)</f>
        <v>17771.773004335701</v>
      </c>
      <c r="H5" s="14"/>
      <c r="I5" s="14"/>
      <c r="J5" s="14"/>
      <c r="K5" s="13"/>
      <c r="L5" s="16">
        <f t="shared" ca="1" si="0"/>
        <v>31085.396884932714</v>
      </c>
      <c r="M5" s="16"/>
      <c r="N5" s="16"/>
      <c r="O5" s="11" cm="1">
        <f t="array" aca="1" ref="O5" ca="1">INDIRECT("'data'!$M$" &amp; $A$1)*parameters!$B$15</f>
        <v>7697.9</v>
      </c>
      <c r="P5" s="13" cm="1">
        <f t="array" aca="1" ref="P5" ca="1">-INDIRECT("'data'!$N$" &amp; $A$1)*parameters!$B$15</f>
        <v>-93.1</v>
      </c>
      <c r="Q5" s="16">
        <f ca="1">SUM(L5:P5)</f>
        <v>38690.196884932717</v>
      </c>
      <c r="R5" s="16">
        <f t="shared" ca="1" si="2"/>
        <v>38690.196884932717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52034.080000000002</v>
      </c>
      <c r="I6" s="14"/>
      <c r="J6" s="14"/>
      <c r="K6" s="13"/>
      <c r="L6" s="16">
        <f t="shared" ca="1" si="0"/>
        <v>52034.080000000002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52034.080000000002</v>
      </c>
      <c r="R6" s="16">
        <f t="shared" ca="1" si="2"/>
        <v>52034.080000000002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18905.18</v>
      </c>
      <c r="I7" s="14"/>
      <c r="J7" s="14"/>
      <c r="K7" s="13"/>
      <c r="L7" s="16">
        <f t="shared" ca="1" si="0"/>
        <v>18905.18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18905.18</v>
      </c>
      <c r="R7" s="16">
        <f t="shared" ca="1" si="2"/>
        <v>18905.18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24200</v>
      </c>
      <c r="J8" s="14">
        <f ca="1">Q10/J18</f>
        <v>36700.320056899007</v>
      </c>
      <c r="K8" s="13"/>
      <c r="L8" s="16">
        <f t="shared" ca="1" si="0"/>
        <v>60900.320056899007</v>
      </c>
      <c r="M8" s="16"/>
      <c r="N8" s="16">
        <f t="shared" ca="1" si="3"/>
        <v>-4763.960056898999</v>
      </c>
      <c r="O8" s="11" cm="1">
        <f t="array" aca="1" ref="O8" ca="1">INDIRECT("'data'!$R$" &amp; $A$1)*parameters!$B$15</f>
        <v>14817.6</v>
      </c>
      <c r="P8" s="13" cm="1">
        <f t="array" aca="1" ref="P8" ca="1">-INDIRECT("'data'!$S$" &amp; $A$1)*parameters!$B$15</f>
        <v>-14.7</v>
      </c>
      <c r="Q8" s="16">
        <f ca="1">SUM(Q6:Q7)</f>
        <v>70939.260000000009</v>
      </c>
      <c r="R8" s="16">
        <f t="shared" ca="1" si="2"/>
        <v>70939.260000000009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22523.34</v>
      </c>
      <c r="L9" s="16">
        <f t="shared" ca="1" si="0"/>
        <v>22523.34</v>
      </c>
      <c r="M9" s="16"/>
      <c r="N9" s="16">
        <f t="shared" ca="1" si="3"/>
        <v>0</v>
      </c>
      <c r="O9" s="11" cm="1">
        <f t="array" aca="1" ref="O9" ca="1">INDIRECT("'data'!$U$" &amp; $A$1)*parameters!$B$15</f>
        <v>3536.8199999999997</v>
      </c>
      <c r="P9" s="13" cm="1">
        <f t="array" aca="1" ref="P9" ca="1">-INDIRECT("'data'!$V$" &amp; $A$1)*parameters!$B$15</f>
        <v>-2344.16</v>
      </c>
      <c r="Q9" s="16" cm="1">
        <f t="array" aca="1" ref="Q9" ca="1">INDIRECT("'data'!$T$" &amp; $A$1)*parameters!$B$15</f>
        <v>23716</v>
      </c>
      <c r="R9" s="16">
        <f t="shared" ca="1" si="2"/>
        <v>23716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30236.253655761029</v>
      </c>
      <c r="L10" s="16">
        <f t="shared" ca="1" si="0"/>
        <v>30236.253655761029</v>
      </c>
      <c r="M10" s="16"/>
      <c r="N10" s="16">
        <f t="shared" ca="1" si="3"/>
        <v>0</v>
      </c>
      <c r="O10" s="11" cm="1">
        <f t="array" aca="1" ref="O10" ca="1">INDIRECT("'data'!$X$" &amp; $A$1)*parameters!$B$15</f>
        <v>9157.119999999999</v>
      </c>
      <c r="P10" s="13" cm="1">
        <f t="array" aca="1" ref="P10" ca="1">-INDIRECT("'data'!$Y$" &amp; $A$1)*parameters!$B$15</f>
        <v>-3427.06</v>
      </c>
      <c r="Q10" s="16" cm="1">
        <f t="array" aca="1" ref="Q10" ca="1">INDIRECT("'data'!$W$" &amp; $A$1)*parameters!$B$15</f>
        <v>35966.313655761027</v>
      </c>
      <c r="R10" s="16">
        <f t="shared" ca="1" si="2"/>
        <v>35966.313655761027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54253.657743954485</v>
      </c>
      <c r="N11" s="19"/>
      <c r="O11" s="21" cm="1">
        <f t="array" aca="1" ref="O11" ca="1">INDIRECT("'data'!$Z$" &amp; $A$1)*parameters!$B$15</f>
        <v>2497.04</v>
      </c>
      <c r="P11" s="27" cm="1">
        <f t="array" aca="1" ref="P11" ca="1">-INDIRECT("'data'!$AA$" &amp; $A$1)*parameters!$B$15</f>
        <v>-9575.58</v>
      </c>
      <c r="Q11" s="16">
        <f ca="1">K9*parameters!$B$10+K10*parameters!$B$11</f>
        <v>47175.117743954484</v>
      </c>
      <c r="R11" s="16">
        <f t="shared" ref="R11:R17" ca="1" si="4">SUM(L11:P11)</f>
        <v>47175.117743954484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-305.81111049612082</v>
      </c>
      <c r="D12" s="9">
        <f ca="1">-(D17-Q4)</f>
        <v>-19.889664888799416</v>
      </c>
      <c r="E12" s="9">
        <f ca="1">-(E17-Q5)</f>
        <v>-4781.9344464523601</v>
      </c>
      <c r="F12" s="9">
        <f ca="1">-(F17-Q6)</f>
        <v>-3439.3528358209005</v>
      </c>
      <c r="G12" s="9">
        <f ca="1">-(G17-Q7)</f>
        <v>-849.44904911180856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-9396.4371067699904</v>
      </c>
      <c r="M12" s="17"/>
      <c r="N12" s="17"/>
      <c r="O12" s="10"/>
      <c r="P12" s="12"/>
      <c r="Q12" s="9">
        <f t="shared" ref="Q12:Q17" ca="1" si="6">SUM(L12:P12)</f>
        <v>-9396.4371067699904</v>
      </c>
      <c r="R12" s="17">
        <f t="shared" ca="1" si="4"/>
        <v>-9396.4371067699904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-484</v>
      </c>
      <c r="J13" s="14">
        <f ca="1">-(J17-Q10)</f>
        <v>-734.00640113797999</v>
      </c>
      <c r="K13" s="13">
        <f ca="1">-(K17-Q11)</f>
        <v>-5584.4759118065413</v>
      </c>
      <c r="L13" s="14">
        <f t="shared" ca="1" si="5"/>
        <v>-6802.4823129445213</v>
      </c>
      <c r="M13" s="16">
        <f ca="1">-E15</f>
        <v>-36669.649018440556</v>
      </c>
      <c r="N13" s="16"/>
      <c r="O13" s="11"/>
      <c r="P13" s="13"/>
      <c r="Q13" s="14">
        <f t="shared" ca="1" si="6"/>
        <v>-43472.131331385077</v>
      </c>
      <c r="R13" s="16">
        <f t="shared" ca="1" si="4"/>
        <v>-43472.131331385077</v>
      </c>
    </row>
    <row r="14" spans="1:20">
      <c r="A14" s="18" t="s">
        <v>78</v>
      </c>
      <c r="B14" s="11"/>
      <c r="C14" s="14"/>
      <c r="D14" s="14"/>
      <c r="E14" s="14">
        <f ca="1">-(I13+J13)-K13</f>
        <v>6802.4823129445213</v>
      </c>
      <c r="F14" s="14"/>
      <c r="G14" s="14"/>
      <c r="H14" s="14"/>
      <c r="I14" s="14"/>
      <c r="J14" s="14"/>
      <c r="K14" s="13"/>
      <c r="L14" s="14">
        <f t="shared" ca="1" si="5"/>
        <v>6802.4823129445213</v>
      </c>
      <c r="M14" s="16"/>
      <c r="N14" s="16"/>
      <c r="O14" s="11"/>
      <c r="P14" s="13"/>
      <c r="Q14" s="14">
        <f t="shared" ca="1" si="6"/>
        <v>6802.4823129445213</v>
      </c>
      <c r="R14" s="16">
        <f t="shared" ca="1" si="4"/>
        <v>6802.4823129445213</v>
      </c>
    </row>
    <row r="15" spans="1:20">
      <c r="A15" s="18" t="s">
        <v>79</v>
      </c>
      <c r="B15" s="11"/>
      <c r="C15" s="14"/>
      <c r="D15" s="14"/>
      <c r="E15" s="14">
        <f ca="1">E17-E14</f>
        <v>36669.649018440556</v>
      </c>
      <c r="F15" s="14"/>
      <c r="G15" s="14"/>
      <c r="H15" s="14"/>
      <c r="I15" s="14"/>
      <c r="J15" s="14"/>
      <c r="K15" s="13"/>
      <c r="L15" s="14">
        <f t="shared" ca="1" si="5"/>
        <v>36669.649018440556</v>
      </c>
      <c r="M15" s="16"/>
      <c r="N15" s="16"/>
      <c r="O15" s="11"/>
      <c r="P15" s="13"/>
      <c r="Q15" s="14">
        <f t="shared" ca="1" si="6"/>
        <v>36669.649018440556</v>
      </c>
      <c r="R15" s="16">
        <f t="shared" ca="1" si="4"/>
        <v>36669.649018440556</v>
      </c>
    </row>
    <row r="16" spans="1:20">
      <c r="A16" s="30" t="s">
        <v>89</v>
      </c>
      <c r="B16" s="21">
        <f ca="1">Q2</f>
        <v>60800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60800</v>
      </c>
      <c r="M16" s="19"/>
      <c r="N16" s="19"/>
      <c r="O16" s="21"/>
      <c r="P16" s="27"/>
      <c r="Q16" s="22">
        <f t="shared" ca="1" si="6"/>
        <v>60800</v>
      </c>
      <c r="R16" s="19">
        <f t="shared" ca="1" si="4"/>
        <v>60800</v>
      </c>
    </row>
    <row r="17" spans="1:18">
      <c r="A17" s="29" t="s">
        <v>88</v>
      </c>
      <c r="B17" s="9">
        <f ca="1">B16</f>
        <v>60800</v>
      </c>
      <c r="C17" s="9">
        <f ca="1">SUM(C$2:C$11)</f>
        <v>48541.446110496116</v>
      </c>
      <c r="D17" s="9">
        <f ca="1">SUM(D$2:D$11)</f>
        <v>3157.0896648887997</v>
      </c>
      <c r="E17" s="9">
        <f ca="1">$Q$5/parameters!$B$4</f>
        <v>43472.131331385077</v>
      </c>
      <c r="F17" s="9">
        <f t="shared" ref="F17:K17" ca="1" si="7">SUM(F$2:F$11)</f>
        <v>55473.432835820902</v>
      </c>
      <c r="G17" s="9">
        <f t="shared" ca="1" si="7"/>
        <v>19754.629049111809</v>
      </c>
      <c r="H17" s="9">
        <f t="shared" ca="1" si="7"/>
        <v>70939.260000000009</v>
      </c>
      <c r="I17" s="9">
        <f t="shared" ca="1" si="7"/>
        <v>24200</v>
      </c>
      <c r="J17" s="9">
        <f t="shared" ca="1" si="7"/>
        <v>36700.320056899007</v>
      </c>
      <c r="K17" s="9">
        <f t="shared" ca="1" si="7"/>
        <v>52759.593655761026</v>
      </c>
      <c r="L17" s="17">
        <f t="shared" ca="1" si="5"/>
        <v>415797.90270436276</v>
      </c>
      <c r="M17" s="17"/>
      <c r="N17" s="17"/>
      <c r="O17" s="9"/>
      <c r="P17" s="14"/>
      <c r="Q17" s="11">
        <f t="shared" ca="1" si="6"/>
        <v>415797.90270436276</v>
      </c>
      <c r="R17" s="17">
        <f t="shared" ca="1" si="4"/>
        <v>415797.90270436276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0.89415240859807588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27994.329274428903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27994.329274428903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-27994.329274428903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23036.059701492537</v>
      </c>
      <c r="G3" s="14">
        <f ca="1">Q3-O3-P3-F3</f>
        <v>5883.7752985074621</v>
      </c>
      <c r="H3" s="14"/>
      <c r="I3" s="14"/>
      <c r="J3" s="14"/>
      <c r="K3" s="13"/>
      <c r="L3" s="16">
        <f t="shared" ca="1" si="0"/>
        <v>28919.834999999999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-1101.8699999999999</v>
      </c>
      <c r="Q3" s="16" cm="1">
        <f t="array" aca="1" ref="Q3" ca="1">INDIRECT("'data'!$G$" &amp; $A$1)*parameters!$B$13</f>
        <v>27817.965</v>
      </c>
      <c r="R3" s="16">
        <f t="shared" ref="R3:R10" ca="1" si="2">SUM(L3:P3)</f>
        <v>27817.965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317.40000000000003</v>
      </c>
      <c r="H4" s="14"/>
      <c r="I4" s="14"/>
      <c r="J4" s="14"/>
      <c r="K4" s="13"/>
      <c r="L4" s="16">
        <f t="shared" ca="1" si="0"/>
        <v>317.40000000000003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-317.40000000000003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5759.0149253731352</v>
      </c>
      <c r="G5" s="14">
        <f ca="1">Q7/parameters!$B$7-(G3+G4)</f>
        <v>18330.569738065162</v>
      </c>
      <c r="H5" s="14"/>
      <c r="I5" s="14"/>
      <c r="J5" s="14"/>
      <c r="K5" s="13"/>
      <c r="L5" s="16">
        <f t="shared" ca="1" si="0"/>
        <v>24089.584663438298</v>
      </c>
      <c r="M5" s="16"/>
      <c r="N5" s="16"/>
      <c r="O5" s="11" cm="1">
        <f t="array" aca="1" ref="O5" ca="1">INDIRECT("'data'!$M$" &amp; $A$1)*parameters!$B$15</f>
        <v>209.72</v>
      </c>
      <c r="P5" s="13" cm="1">
        <f t="array" aca="1" ref="P5" ca="1">-INDIRECT("'data'!$N$" &amp; $A$1)*parameters!$B$15</f>
        <v>-6749.26</v>
      </c>
      <c r="Q5" s="16">
        <f ca="1">SUM(L5:P5)</f>
        <v>17550.044663438297</v>
      </c>
      <c r="R5" s="16">
        <f t="shared" ca="1" si="2"/>
        <v>17550.044663438297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27009.78</v>
      </c>
      <c r="I6" s="14"/>
      <c r="J6" s="14"/>
      <c r="K6" s="13"/>
      <c r="L6" s="16">
        <f t="shared" ca="1" si="0"/>
        <v>27009.78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27009.78</v>
      </c>
      <c r="R6" s="16">
        <f t="shared" ca="1" si="2"/>
        <v>27009.78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23476.880000000001</v>
      </c>
      <c r="I7" s="14"/>
      <c r="J7" s="14"/>
      <c r="K7" s="13"/>
      <c r="L7" s="16">
        <f t="shared" ca="1" si="0"/>
        <v>23476.880000000001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23476.880000000001</v>
      </c>
      <c r="R7" s="16">
        <f t="shared" ca="1" si="2"/>
        <v>23476.880000000001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21620.316028202713</v>
      </c>
      <c r="J8" s="14">
        <f ca="1">Q10/J18</f>
        <v>34812.983971797294</v>
      </c>
      <c r="K8" s="13"/>
      <c r="L8" s="16">
        <f t="shared" ca="1" si="0"/>
        <v>56433.3</v>
      </c>
      <c r="M8" s="16"/>
      <c r="N8" s="16">
        <f t="shared" ca="1" si="3"/>
        <v>0</v>
      </c>
      <c r="O8" s="11" cm="1">
        <f t="array" aca="1" ref="O8" ca="1">INDIRECT("'data'!$R$" &amp; $A$1)*parameters!$B$15</f>
        <v>268.52</v>
      </c>
      <c r="P8" s="13" cm="1">
        <f t="array" aca="1" ref="P8" ca="1">-INDIRECT("'data'!$S$" &amp; $A$1)*parameters!$B$15</f>
        <v>-6215.16</v>
      </c>
      <c r="Q8" s="16">
        <f ca="1">SUM(Q6:Q7)</f>
        <v>50486.66</v>
      </c>
      <c r="R8" s="16">
        <f t="shared" ca="1" si="2"/>
        <v>50486.66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22209.74</v>
      </c>
      <c r="L9" s="16">
        <f t="shared" ca="1" si="0"/>
        <v>22209.74</v>
      </c>
      <c r="M9" s="16"/>
      <c r="N9" s="16">
        <f t="shared" ca="1" si="3"/>
        <v>0</v>
      </c>
      <c r="O9" s="11" cm="1">
        <f t="array" aca="1" ref="O9" ca="1">INDIRECT("'data'!$U$" &amp; $A$1)*parameters!$B$15</f>
        <v>3123.2599999999998</v>
      </c>
      <c r="P9" s="13" cm="1">
        <f t="array" aca="1" ref="P9" ca="1">-INDIRECT("'data'!$V$" &amp; $A$1)*parameters!$B$15</f>
        <v>-5315.5199999999995</v>
      </c>
      <c r="Q9" s="16" cm="1">
        <f t="array" aca="1" ref="Q9" ca="1">INDIRECT("'data'!$T$" &amp; $A$1)*parameters!$B$15</f>
        <v>20017.48</v>
      </c>
      <c r="R9" s="16">
        <f t="shared" ca="1" si="2"/>
        <v>20017.48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32051.781024182077</v>
      </c>
      <c r="L10" s="16">
        <f t="shared" ca="1" si="0"/>
        <v>32051.781024182077</v>
      </c>
      <c r="M10" s="16"/>
      <c r="N10" s="16">
        <f t="shared" ca="1" si="3"/>
        <v>0</v>
      </c>
      <c r="O10" s="11" cm="1">
        <f t="array" aca="1" ref="O10" ca="1">INDIRECT("'data'!$X$" &amp; $A$1)*parameters!$B$15</f>
        <v>13446.58</v>
      </c>
      <c r="P10" s="13" cm="1">
        <f t="array" aca="1" ref="P10" ca="1">-INDIRECT("'data'!$Y$" &amp; $A$1)*parameters!$B$15</f>
        <v>-13266.26</v>
      </c>
      <c r="Q10" s="16" cm="1">
        <f t="array" aca="1" ref="Q10" ca="1">INDIRECT("'data'!$W$" &amp; $A$1)*parameters!$B$15</f>
        <v>32232.101024182077</v>
      </c>
      <c r="R10" s="16">
        <f t="shared" ca="1" si="2"/>
        <v>32232.101024182077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35598.787280796583</v>
      </c>
      <c r="N11" s="19"/>
      <c r="O11" s="21" cm="1">
        <f t="array" aca="1" ref="O11" ca="1">INDIRECT("'data'!$Z$" &amp; $A$1)*parameters!$B$15</f>
        <v>17568.46</v>
      </c>
      <c r="P11" s="27" cm="1">
        <f t="array" aca="1" ref="P11" ca="1">-INDIRECT("'data'!$AA$" &amp; $A$1)*parameters!$B$15</f>
        <v>-4725.5599999999995</v>
      </c>
      <c r="Q11" s="16">
        <f ca="1">K9*parameters!$B$10+K10*parameters!$B$11</f>
        <v>48441.687280796585</v>
      </c>
      <c r="R11" s="16">
        <f t="shared" ref="R11:R17" ca="1" si="4">SUM(L11:P11)</f>
        <v>48441.687280796585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-176.36427442890272</v>
      </c>
      <c r="D12" s="9">
        <f ca="1">-(D17-Q4)</f>
        <v>0</v>
      </c>
      <c r="E12" s="9">
        <f ca="1">-(E17-Q5)</f>
        <v>-2169.1066437957452</v>
      </c>
      <c r="F12" s="9">
        <f ca="1">-(F17-Q6)</f>
        <v>-1785.2946268656742</v>
      </c>
      <c r="G12" s="9">
        <f ca="1">-(G17-Q7)</f>
        <v>-1054.8650365726244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-5185.6305816629465</v>
      </c>
      <c r="M12" s="17"/>
      <c r="N12" s="17"/>
      <c r="O12" s="10"/>
      <c r="P12" s="12"/>
      <c r="Q12" s="9">
        <f t="shared" ref="Q12:Q17" ca="1" si="6">SUM(L12:P12)</f>
        <v>-5185.6305816629465</v>
      </c>
      <c r="R12" s="17">
        <f t="shared" ca="1" si="4"/>
        <v>-5185.6305816629465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-1602.8360282027134</v>
      </c>
      <c r="J13" s="14">
        <f ca="1">-(J17-Q10)</f>
        <v>-2580.8829476152168</v>
      </c>
      <c r="K13" s="13">
        <f ca="1">-(K17-Q11)</f>
        <v>-5819.8337433854904</v>
      </c>
      <c r="L13" s="14">
        <f t="shared" ca="1" si="5"/>
        <v>-10003.552719203421</v>
      </c>
      <c r="M13" s="16">
        <f ca="1">-E15</f>
        <v>-9715.5985880306216</v>
      </c>
      <c r="N13" s="16"/>
      <c r="O13" s="11"/>
      <c r="P13" s="13"/>
      <c r="Q13" s="14">
        <f t="shared" ca="1" si="6"/>
        <v>-19719.151307234042</v>
      </c>
      <c r="R13" s="16">
        <f t="shared" ca="1" si="4"/>
        <v>-19719.151307234042</v>
      </c>
    </row>
    <row r="14" spans="1:20">
      <c r="A14" s="18" t="s">
        <v>78</v>
      </c>
      <c r="B14" s="11"/>
      <c r="C14" s="14"/>
      <c r="D14" s="14"/>
      <c r="E14" s="14">
        <f ca="1">-(I13+J13)-K13</f>
        <v>10003.552719203421</v>
      </c>
      <c r="F14" s="14"/>
      <c r="G14" s="14"/>
      <c r="H14" s="14"/>
      <c r="I14" s="14"/>
      <c r="J14" s="14"/>
      <c r="K14" s="13"/>
      <c r="L14" s="14">
        <f t="shared" ca="1" si="5"/>
        <v>10003.552719203421</v>
      </c>
      <c r="M14" s="16"/>
      <c r="N14" s="16"/>
      <c r="O14" s="11"/>
      <c r="P14" s="13"/>
      <c r="Q14" s="14">
        <f t="shared" ca="1" si="6"/>
        <v>10003.552719203421</v>
      </c>
      <c r="R14" s="16">
        <f t="shared" ca="1" si="4"/>
        <v>10003.552719203421</v>
      </c>
    </row>
    <row r="15" spans="1:20">
      <c r="A15" s="18" t="s">
        <v>79</v>
      </c>
      <c r="B15" s="11"/>
      <c r="C15" s="14"/>
      <c r="D15" s="14"/>
      <c r="E15" s="14">
        <f ca="1">E17-E14</f>
        <v>9715.5985880306216</v>
      </c>
      <c r="F15" s="14"/>
      <c r="G15" s="14"/>
      <c r="H15" s="14"/>
      <c r="I15" s="14"/>
      <c r="J15" s="14"/>
      <c r="K15" s="13"/>
      <c r="L15" s="14">
        <f t="shared" ca="1" si="5"/>
        <v>9715.5985880306216</v>
      </c>
      <c r="M15" s="16"/>
      <c r="N15" s="16"/>
      <c r="O15" s="11"/>
      <c r="P15" s="13"/>
      <c r="Q15" s="14">
        <f t="shared" ca="1" si="6"/>
        <v>9715.5985880306216</v>
      </c>
      <c r="R15" s="16">
        <f t="shared" ca="1" si="4"/>
        <v>9715.5985880306216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27994.329274428903</v>
      </c>
      <c r="D17" s="9">
        <f ca="1">SUM(D$2:D$11)</f>
        <v>0</v>
      </c>
      <c r="E17" s="9">
        <f ca="1">$Q$5/parameters!$B$4</f>
        <v>19719.151307234042</v>
      </c>
      <c r="F17" s="9">
        <f t="shared" ref="F17:K17" ca="1" si="7">SUM(F$2:F$11)</f>
        <v>28795.074626865673</v>
      </c>
      <c r="G17" s="9">
        <f t="shared" ca="1" si="7"/>
        <v>24531.745036572625</v>
      </c>
      <c r="H17" s="9">
        <f t="shared" ca="1" si="7"/>
        <v>50486.66</v>
      </c>
      <c r="I17" s="9">
        <f t="shared" ca="1" si="7"/>
        <v>21620.316028202713</v>
      </c>
      <c r="J17" s="9">
        <f t="shared" ca="1" si="7"/>
        <v>34812.983971797294</v>
      </c>
      <c r="K17" s="9">
        <f t="shared" ca="1" si="7"/>
        <v>54261.521024182075</v>
      </c>
      <c r="L17" s="17">
        <f t="shared" ca="1" si="5"/>
        <v>262221.78126928332</v>
      </c>
      <c r="M17" s="17"/>
      <c r="N17" s="17"/>
      <c r="O17" s="9"/>
      <c r="P17" s="14"/>
      <c r="Q17" s="11">
        <f t="shared" ca="1" si="6"/>
        <v>262221.78126928332</v>
      </c>
      <c r="R17" s="17">
        <f t="shared" ca="1" si="4"/>
        <v>262221.78126928332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0.92586435711152937</v>
      </c>
      <c r="J18" s="39">
        <f ca="1">I18</f>
        <v>0.92586435711152937</v>
      </c>
      <c r="K18" s="40">
        <f ca="1">1-(-K13)/K17</f>
        <v>0.89274473635208573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29623.377276844116</v>
      </c>
      <c r="D2" s="9">
        <f ca="1">Q4/parameters!$B$3</f>
        <v>546.24132031800343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30169.61859716212</v>
      </c>
      <c r="M2" s="17"/>
      <c r="N2" s="16">
        <v>0</v>
      </c>
      <c r="O2" s="11" cm="1">
        <f t="array" aca="1" ref="O2" ca="1">INDIRECT("'data'!$F$" &amp; $A$1)</f>
        <v>11.700000000000001</v>
      </c>
      <c r="P2" s="13">
        <f ca="1">IF(-(L2-Q2+O2)&lt;0, -(L2-Q2+O2), 0)</f>
        <v>-30137.018597162121</v>
      </c>
      <c r="Q2" s="17" cm="1">
        <f t="array" aca="1" ref="Q2" ca="1">INDIRECT("'data'!$D$" &amp; $A$1)</f>
        <v>44.3</v>
      </c>
      <c r="R2" s="17">
        <f ca="1">SUM(L2:P2)</f>
        <v>44.299999999999272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28029.253731343291</v>
      </c>
      <c r="G3" s="14">
        <f ca="1">Q3-O3-P3-F3</f>
        <v>1889.4462686567058</v>
      </c>
      <c r="H3" s="14"/>
      <c r="I3" s="14"/>
      <c r="J3" s="14"/>
      <c r="K3" s="13"/>
      <c r="L3" s="16">
        <f t="shared" ca="1" si="0"/>
        <v>29918.699999999997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137.02500000000001</v>
      </c>
      <c r="P3" s="13" cm="1">
        <f t="array" aca="1" ref="P3" ca="1">-INDIRECT("'data'!$I$" &amp; $A$1)*parameters!$B$13</f>
        <v>-618.97500000000002</v>
      </c>
      <c r="Q3" s="16" cm="1">
        <f t="array" aca="1" ref="Q3" ca="1">INDIRECT("'data'!$G$" &amp; $A$1)*parameters!$B$13</f>
        <v>29436.75</v>
      </c>
      <c r="R3" s="16">
        <f t="shared" ref="R3:R10" ca="1" si="2">SUM(L3:P3)</f>
        <v>29436.75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566.72</v>
      </c>
      <c r="H4" s="14"/>
      <c r="I4" s="14"/>
      <c r="J4" s="14"/>
      <c r="K4" s="13"/>
      <c r="L4" s="16">
        <f t="shared" ca="1" si="0"/>
        <v>566.72</v>
      </c>
      <c r="M4" s="16"/>
      <c r="N4" s="16">
        <f t="shared" ca="1" si="1"/>
        <v>0</v>
      </c>
      <c r="O4" s="11" cm="1">
        <f t="array" aca="1" ref="O4" ca="1">INDIRECT("'data'!$K$" &amp; $A$1)*parameters!$B$14</f>
        <v>135.24</v>
      </c>
      <c r="P4" s="13" cm="1">
        <f t="array" aca="1" ref="P4" ca="1">-INDIRECT("'data'!$L$" &amp; $A$1)*parameters!$B$14</f>
        <v>-159.16</v>
      </c>
      <c r="Q4" s="16" cm="1">
        <f t="array" aca="1" ref="Q4" ca="1">INDIRECT("'data'!$J$" &amp; $A$1)*parameters!$B$14</f>
        <v>542.80000000000007</v>
      </c>
      <c r="R4" s="16">
        <f t="shared" ca="1" si="2"/>
        <v>542.80000000000007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7007.3134328358228</v>
      </c>
      <c r="G5" s="14">
        <f ca="1">Q7/parameters!$B$7-(G3+G4)</f>
        <v>12919.695800308811</v>
      </c>
      <c r="H5" s="14"/>
      <c r="I5" s="14"/>
      <c r="J5" s="14"/>
      <c r="K5" s="13"/>
      <c r="L5" s="16">
        <f t="shared" ca="1" si="0"/>
        <v>19927.009233144636</v>
      </c>
      <c r="M5" s="16"/>
      <c r="N5" s="16"/>
      <c r="O5" s="11" cm="1">
        <f t="array" aca="1" ref="O5" ca="1">INDIRECT("'data'!$M$" &amp; $A$1)*parameters!$B$15</f>
        <v>7614.5999999999995</v>
      </c>
      <c r="P5" s="13" cm="1">
        <f t="array" aca="1" ref="P5" ca="1">-INDIRECT("'data'!$N$" &amp; $A$1)*parameters!$B$15</f>
        <v>-5801.5999999999995</v>
      </c>
      <c r="Q5" s="16">
        <f ca="1">SUM(L5:P5)</f>
        <v>21740.009233144636</v>
      </c>
      <c r="R5" s="16">
        <f t="shared" ca="1" si="2"/>
        <v>21740.009233144636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32864.300000000003</v>
      </c>
      <c r="I6" s="14"/>
      <c r="J6" s="14"/>
      <c r="K6" s="13"/>
      <c r="L6" s="16">
        <f t="shared" ca="1" si="0"/>
        <v>32864.300000000003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32864.300000000003</v>
      </c>
      <c r="R6" s="16">
        <f t="shared" ca="1" si="2"/>
        <v>32864.300000000003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14714.699999999999</v>
      </c>
      <c r="I7" s="14"/>
      <c r="J7" s="14"/>
      <c r="K7" s="13"/>
      <c r="L7" s="16">
        <f t="shared" ca="1" si="0"/>
        <v>14714.699999999999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14714.699999999999</v>
      </c>
      <c r="R7" s="16">
        <f t="shared" ca="1" si="2"/>
        <v>14714.699999999999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18082.630097671241</v>
      </c>
      <c r="J8" s="14">
        <f ca="1">Q10/J18</f>
        <v>30082.409902328764</v>
      </c>
      <c r="K8" s="13"/>
      <c r="L8" s="16">
        <f t="shared" ca="1" si="0"/>
        <v>48165.040000000008</v>
      </c>
      <c r="M8" s="16"/>
      <c r="N8" s="16">
        <f t="shared" ca="1" si="3"/>
        <v>0</v>
      </c>
      <c r="O8" s="11" cm="1">
        <f t="array" aca="1" ref="O8" ca="1">INDIRECT("'data'!$R$" &amp; $A$1)*parameters!$B$15</f>
        <v>2447.06</v>
      </c>
      <c r="P8" s="13" cm="1">
        <f t="array" aca="1" ref="P8" ca="1">-INDIRECT("'data'!$S$" &amp; $A$1)*parameters!$B$15</f>
        <v>-3033.1</v>
      </c>
      <c r="Q8" s="16">
        <f ca="1">SUM(Q6:Q7)</f>
        <v>47579</v>
      </c>
      <c r="R8" s="16">
        <f t="shared" ca="1" si="2"/>
        <v>47579.000000000007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15054.76</v>
      </c>
      <c r="L9" s="16">
        <f t="shared" ca="1" si="0"/>
        <v>15054.76</v>
      </c>
      <c r="M9" s="16"/>
      <c r="N9" s="16">
        <f t="shared" ca="1" si="3"/>
        <v>0</v>
      </c>
      <c r="O9" s="11" cm="1">
        <f t="array" aca="1" ref="O9" ca="1">INDIRECT("'data'!$U$" &amp; $A$1)*parameters!$B$15</f>
        <v>8002.68</v>
      </c>
      <c r="P9" s="13" cm="1">
        <f t="array" aca="1" ref="P9" ca="1">-INDIRECT("'data'!$V$" &amp; $A$1)*parameters!$B$15</f>
        <v>-7223.58</v>
      </c>
      <c r="Q9" s="16" cm="1">
        <f t="array" aca="1" ref="Q9" ca="1">INDIRECT("'data'!$T$" &amp; $A$1)*parameters!$B$15</f>
        <v>15833.86</v>
      </c>
      <c r="R9" s="16">
        <f t="shared" ca="1" si="2"/>
        <v>15833.860000000002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25331.937752489335</v>
      </c>
      <c r="L10" s="16">
        <f t="shared" ca="1" si="0"/>
        <v>25331.937752489335</v>
      </c>
      <c r="M10" s="16"/>
      <c r="N10" s="16">
        <f t="shared" ca="1" si="3"/>
        <v>0</v>
      </c>
      <c r="O10" s="11" cm="1">
        <f t="array" aca="1" ref="O10" ca="1">INDIRECT("'data'!$X$" &amp; $A$1)*parameters!$B$15</f>
        <v>14822.5</v>
      </c>
      <c r="P10" s="13" cm="1">
        <f t="array" aca="1" ref="P10" ca="1">-INDIRECT("'data'!$Y$" &amp; $A$1)*parameters!$B$15</f>
        <v>-13813.1</v>
      </c>
      <c r="Q10" s="16" cm="1">
        <f t="array" aca="1" ref="Q10" ca="1">INDIRECT("'data'!$W$" &amp; $A$1)*parameters!$B$15</f>
        <v>26341.337752489333</v>
      </c>
      <c r="R10" s="16">
        <f t="shared" ca="1" si="2"/>
        <v>26341.337752489337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25648.900867140834</v>
      </c>
      <c r="N11" s="19"/>
      <c r="O11" s="21" cm="1">
        <f t="array" aca="1" ref="O11" ca="1">INDIRECT("'data'!$Z$" &amp; $A$1)*parameters!$B$15</f>
        <v>29493.1</v>
      </c>
      <c r="P11" s="27" cm="1">
        <f t="array" aca="1" ref="P11" ca="1">-INDIRECT("'data'!$AA$" &amp; $A$1)*parameters!$B$15</f>
        <v>-19205.060000000001</v>
      </c>
      <c r="Q11" s="16">
        <f ca="1">K9*parameters!$B$10+K10*parameters!$B$11</f>
        <v>35936.940867140831</v>
      </c>
      <c r="R11" s="16">
        <f t="shared" ref="R11:R17" ca="1" si="4">SUM(L11:P11)</f>
        <v>35936.940867140831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-186.62727684411584</v>
      </c>
      <c r="D12" s="9">
        <f ca="1">-(D17-Q4)</f>
        <v>-3.4413203180033634</v>
      </c>
      <c r="E12" s="9">
        <f ca="1">-(E17-Q5)</f>
        <v>-2686.967433310012</v>
      </c>
      <c r="F12" s="9">
        <f ca="1">-(F17-Q6)</f>
        <v>-2172.2671641791094</v>
      </c>
      <c r="G12" s="9">
        <f ca="1">-(G17-Q7)</f>
        <v>-661.16206896551921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-5710.4652636167593</v>
      </c>
      <c r="M12" s="17"/>
      <c r="N12" s="17"/>
      <c r="O12" s="10"/>
      <c r="P12" s="12"/>
      <c r="Q12" s="9">
        <f t="shared" ref="Q12:Q17" ca="1" si="6">SUM(L12:P12)</f>
        <v>-5710.4652636167593</v>
      </c>
      <c r="R12" s="17">
        <f t="shared" ca="1" si="4"/>
        <v>-5710.4652636167593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-2248.7700976712404</v>
      </c>
      <c r="J13" s="14">
        <f ca="1">-(J17-Q10)</f>
        <v>-3741.0721498394305</v>
      </c>
      <c r="K13" s="13">
        <f ca="1">-(K17-Q11)</f>
        <v>-4449.7568853485063</v>
      </c>
      <c r="L13" s="14">
        <f t="shared" ca="1" si="5"/>
        <v>-10439.599132859177</v>
      </c>
      <c r="M13" s="16">
        <f ca="1">-E15</f>
        <v>-13987.377533595471</v>
      </c>
      <c r="N13" s="16"/>
      <c r="O13" s="11"/>
      <c r="P13" s="13"/>
      <c r="Q13" s="14">
        <f t="shared" ca="1" si="6"/>
        <v>-24426.976666454648</v>
      </c>
      <c r="R13" s="16">
        <f t="shared" ca="1" si="4"/>
        <v>-24426.976666454648</v>
      </c>
    </row>
    <row r="14" spans="1:20">
      <c r="A14" s="18" t="s">
        <v>78</v>
      </c>
      <c r="B14" s="11"/>
      <c r="C14" s="14"/>
      <c r="D14" s="14"/>
      <c r="E14" s="14">
        <f ca="1">-(I13+J13)-K13</f>
        <v>10439.599132859177</v>
      </c>
      <c r="F14" s="14"/>
      <c r="G14" s="14"/>
      <c r="H14" s="14"/>
      <c r="I14" s="14"/>
      <c r="J14" s="14"/>
      <c r="K14" s="13"/>
      <c r="L14" s="14">
        <f t="shared" ca="1" si="5"/>
        <v>10439.599132859177</v>
      </c>
      <c r="M14" s="16"/>
      <c r="N14" s="16"/>
      <c r="O14" s="11"/>
      <c r="P14" s="13"/>
      <c r="Q14" s="14">
        <f t="shared" ca="1" si="6"/>
        <v>10439.599132859177</v>
      </c>
      <c r="R14" s="16">
        <f t="shared" ca="1" si="4"/>
        <v>10439.599132859177</v>
      </c>
    </row>
    <row r="15" spans="1:20">
      <c r="A15" s="18" t="s">
        <v>79</v>
      </c>
      <c r="B15" s="11"/>
      <c r="C15" s="14"/>
      <c r="D15" s="14"/>
      <c r="E15" s="14">
        <f ca="1">E17-E14</f>
        <v>13987.377533595471</v>
      </c>
      <c r="F15" s="14"/>
      <c r="G15" s="14"/>
      <c r="H15" s="14"/>
      <c r="I15" s="14"/>
      <c r="J15" s="14"/>
      <c r="K15" s="13"/>
      <c r="L15" s="14">
        <f t="shared" ca="1" si="5"/>
        <v>13987.377533595471</v>
      </c>
      <c r="M15" s="16"/>
      <c r="N15" s="16"/>
      <c r="O15" s="11"/>
      <c r="P15" s="13"/>
      <c r="Q15" s="14">
        <f t="shared" ca="1" si="6"/>
        <v>13987.377533595471</v>
      </c>
      <c r="R15" s="16">
        <f t="shared" ca="1" si="4"/>
        <v>13987.377533595471</v>
      </c>
    </row>
    <row r="16" spans="1:20">
      <c r="A16" s="30" t="s">
        <v>89</v>
      </c>
      <c r="B16" s="21">
        <f ca="1">Q2</f>
        <v>44.3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44.3</v>
      </c>
      <c r="M16" s="19"/>
      <c r="N16" s="19"/>
      <c r="O16" s="21"/>
      <c r="P16" s="27"/>
      <c r="Q16" s="22">
        <f t="shared" ca="1" si="6"/>
        <v>44.3</v>
      </c>
      <c r="R16" s="19">
        <f t="shared" ca="1" si="4"/>
        <v>44.3</v>
      </c>
    </row>
    <row r="17" spans="1:18">
      <c r="A17" s="29" t="s">
        <v>88</v>
      </c>
      <c r="B17" s="9">
        <f ca="1">B16</f>
        <v>44.3</v>
      </c>
      <c r="C17" s="9">
        <f ca="1">SUM(C$2:C$11)</f>
        <v>29623.377276844116</v>
      </c>
      <c r="D17" s="9">
        <f ca="1">SUM(D$2:D$11)</f>
        <v>546.24132031800343</v>
      </c>
      <c r="E17" s="9">
        <f ca="1">$Q$5/parameters!$B$4</f>
        <v>24426.976666454648</v>
      </c>
      <c r="F17" s="9">
        <f t="shared" ref="F17:K17" ca="1" si="7">SUM(F$2:F$11)</f>
        <v>35036.567164179112</v>
      </c>
      <c r="G17" s="9">
        <f t="shared" ca="1" si="7"/>
        <v>15375.862068965518</v>
      </c>
      <c r="H17" s="9">
        <f t="shared" ca="1" si="7"/>
        <v>47579</v>
      </c>
      <c r="I17" s="9">
        <f t="shared" ca="1" si="7"/>
        <v>18082.630097671241</v>
      </c>
      <c r="J17" s="9">
        <f t="shared" ca="1" si="7"/>
        <v>30082.409902328764</v>
      </c>
      <c r="K17" s="9">
        <f t="shared" ca="1" si="7"/>
        <v>40386.697752489337</v>
      </c>
      <c r="L17" s="17">
        <f t="shared" ca="1" si="5"/>
        <v>241184.06224925074</v>
      </c>
      <c r="M17" s="17"/>
      <c r="N17" s="17"/>
      <c r="O17" s="9"/>
      <c r="P17" s="14"/>
      <c r="Q17" s="11">
        <f t="shared" ca="1" si="6"/>
        <v>241184.06224925074</v>
      </c>
      <c r="R17" s="17">
        <f t="shared" ca="1" si="4"/>
        <v>241184.06224925074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0.87563921368048958</v>
      </c>
      <c r="J18" s="39">
        <f ca="1">I18</f>
        <v>0.87563921368048958</v>
      </c>
      <c r="K18" s="40">
        <f ca="1">1-(-K13)/K17</f>
        <v>0.88982122498306426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5929.4304115930354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5929.4304115930354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-3329.4304115930354</v>
      </c>
      <c r="Q2" s="17" cm="1">
        <f t="array" aca="1" ref="Q2" ca="1">INDIRECT("'data'!$D$" &amp; $A$1)</f>
        <v>2600</v>
      </c>
      <c r="R2" s="17">
        <f ca="1">SUM(L2:P2)</f>
        <v>2600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5342.567164179105</v>
      </c>
      <c r="G3" s="14">
        <f ca="1">Q3-O3-P3-F3</f>
        <v>1207.2278358208951</v>
      </c>
      <c r="H3" s="14"/>
      <c r="I3" s="14"/>
      <c r="J3" s="14"/>
      <c r="K3" s="13"/>
      <c r="L3" s="16">
        <f t="shared" ca="1" si="0"/>
        <v>6549.7950000000001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26.459999999999997</v>
      </c>
      <c r="P3" s="13" cm="1">
        <f t="array" aca="1" ref="P3" ca="1">-INDIRECT("'data'!$I$" &amp; $A$1)*parameters!$B$13</f>
        <v>-684.18</v>
      </c>
      <c r="Q3" s="16" cm="1">
        <f t="array" aca="1" ref="Q3" ca="1">INDIRECT("'data'!$G$" &amp; $A$1)*parameters!$B$13</f>
        <v>5892.0749999999998</v>
      </c>
      <c r="R3" s="16">
        <f t="shared" ref="R3:R10" ca="1" si="2">SUM(L3:P3)</f>
        <v>5892.0749999999998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81.88</v>
      </c>
      <c r="H4" s="14"/>
      <c r="I4" s="14"/>
      <c r="J4" s="14"/>
      <c r="K4" s="13"/>
      <c r="L4" s="16">
        <f t="shared" ca="1" si="0"/>
        <v>81.88</v>
      </c>
      <c r="M4" s="16"/>
      <c r="N4" s="16">
        <f t="shared" ca="1" si="1"/>
        <v>1.4210854715202004E-14</v>
      </c>
      <c r="O4" s="11" cm="1">
        <f t="array" aca="1" ref="O4" ca="1">INDIRECT("'data'!$K$" &amp; $A$1)*parameters!$B$14</f>
        <v>34.04</v>
      </c>
      <c r="P4" s="13" cm="1">
        <f t="array" aca="1" ref="P4" ca="1">-INDIRECT("'data'!$L$" &amp; $A$1)*parameters!$B$14</f>
        <v>-115.92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1335.6417910447763</v>
      </c>
      <c r="G5" s="14">
        <f ca="1">Q7/parameters!$B$7-(G3+G4)</f>
        <v>18538.227587376598</v>
      </c>
      <c r="H5" s="14"/>
      <c r="I5" s="14"/>
      <c r="J5" s="14"/>
      <c r="K5" s="13"/>
      <c r="L5" s="16">
        <f t="shared" ca="1" si="0"/>
        <v>19873.869378421376</v>
      </c>
      <c r="M5" s="16"/>
      <c r="N5" s="16"/>
      <c r="O5" s="11" cm="1">
        <f t="array" aca="1" ref="O5" ca="1">INDIRECT("'data'!$M$" &amp; $A$1)*parameters!$B$15</f>
        <v>96.039999999999992</v>
      </c>
      <c r="P5" s="13" cm="1">
        <f t="array" aca="1" ref="P5" ca="1">-INDIRECT("'data'!$N$" &amp; $A$1)*parameters!$B$15</f>
        <v>-13230</v>
      </c>
      <c r="Q5" s="16">
        <f ca="1">SUM(L5:P5)</f>
        <v>6739.9093784213765</v>
      </c>
      <c r="R5" s="16">
        <f t="shared" ca="1" si="2"/>
        <v>6739.9093784213765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6264.16</v>
      </c>
      <c r="I6" s="14"/>
      <c r="J6" s="14"/>
      <c r="K6" s="13"/>
      <c r="L6" s="16">
        <f t="shared" ca="1" si="0"/>
        <v>6264.16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6264.16</v>
      </c>
      <c r="R6" s="16">
        <f t="shared" ca="1" si="2"/>
        <v>6264.16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18974.759999999998</v>
      </c>
      <c r="I7" s="14"/>
      <c r="J7" s="14"/>
      <c r="K7" s="13"/>
      <c r="L7" s="16">
        <f t="shared" ca="1" si="0"/>
        <v>18974.759999999998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18974.759999999998</v>
      </c>
      <c r="R7" s="16">
        <f t="shared" ca="1" si="2"/>
        <v>18974.759999999998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14199.380921447089</v>
      </c>
      <c r="J8" s="14">
        <f ca="1">Q10/J18</f>
        <v>14539.119078552911</v>
      </c>
      <c r="K8" s="13"/>
      <c r="L8" s="16">
        <f t="shared" ca="1" si="0"/>
        <v>28738.5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-3499.58</v>
      </c>
      <c r="Q8" s="16">
        <f ca="1">SUM(Q6:Q7)</f>
        <v>25238.92</v>
      </c>
      <c r="R8" s="16">
        <f t="shared" ca="1" si="2"/>
        <v>25238.92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7401.9400000000005</v>
      </c>
      <c r="L9" s="16">
        <f t="shared" ca="1" si="0"/>
        <v>7401.9400000000005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6120.0999999999995</v>
      </c>
      <c r="P9" s="13" cm="1">
        <f t="array" aca="1" ref="P9" ca="1">-INDIRECT("'data'!$V$" &amp; $A$1)*parameters!$B$15</f>
        <v>-292.04000000000002</v>
      </c>
      <c r="Q9" s="16" cm="1">
        <f t="array" aca="1" ref="Q9" ca="1">INDIRECT("'data'!$T$" &amp; $A$1)*parameters!$B$15</f>
        <v>13230</v>
      </c>
      <c r="R9" s="16">
        <f t="shared" ca="1" si="2"/>
        <v>13230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19046.304491860283</v>
      </c>
      <c r="L10" s="16">
        <f t="shared" ca="1" si="0"/>
        <v>19046.304491860283</v>
      </c>
      <c r="M10" s="16"/>
      <c r="N10" s="16">
        <f t="shared" ca="1" si="3"/>
        <v>0</v>
      </c>
      <c r="O10" s="11" cm="1">
        <f t="array" aca="1" ref="O10" ca="1">INDIRECT("'data'!$X$" &amp; $A$1)*parameters!$B$15</f>
        <v>131.32</v>
      </c>
      <c r="P10" s="13" cm="1">
        <f t="array" aca="1" ref="P10" ca="1">-INDIRECT("'data'!$Y$" &amp; $A$1)*parameters!$B$15</f>
        <v>-5631.08</v>
      </c>
      <c r="Q10" s="16" cm="1">
        <f t="array" aca="1" ref="Q10" ca="1">INDIRECT("'data'!$W$" &amp; $A$1)*parameters!$B$15</f>
        <v>13546.544491860281</v>
      </c>
      <c r="R10" s="16">
        <f t="shared" ca="1" si="2"/>
        <v>13546.544491860283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21137.545462999842</v>
      </c>
      <c r="N11" s="19"/>
      <c r="O11" s="21" cm="1">
        <f t="array" aca="1" ref="O11" ca="1">INDIRECT("'data'!$Z$" &amp; $A$1)*parameters!$B$15</f>
        <v>5121.4799999999996</v>
      </c>
      <c r="P11" s="27" cm="1">
        <f t="array" aca="1" ref="P11" ca="1">-INDIRECT("'data'!$AA$" &amp; $A$1)*parameters!$B$15</f>
        <v>-2921.38</v>
      </c>
      <c r="Q11" s="16">
        <f ca="1">K9*parameters!$B$10+K10*parameters!$B$11</f>
        <v>23337.645462999841</v>
      </c>
      <c r="R11" s="16">
        <f t="shared" ref="R11:R17" ca="1" si="4">SUM(L11:P11)</f>
        <v>23337.645462999841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-37.355411593035569</v>
      </c>
      <c r="D12" s="9">
        <f ca="1">-(D17-Q4)</f>
        <v>0</v>
      </c>
      <c r="E12" s="9">
        <f ca="1">-(E17-Q5)</f>
        <v>-833.02250744533831</v>
      </c>
      <c r="F12" s="9">
        <f ca="1">-(F17-Q6)</f>
        <v>-414.04895522388142</v>
      </c>
      <c r="G12" s="9">
        <f ca="1">-(G17-Q7)</f>
        <v>-852.57542319749336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-2137.0022974597487</v>
      </c>
      <c r="M12" s="17"/>
      <c r="N12" s="17"/>
      <c r="O12" s="10"/>
      <c r="P12" s="12"/>
      <c r="Q12" s="9">
        <f t="shared" ref="Q12:Q17" ca="1" si="6">SUM(L12:P12)</f>
        <v>-2137.0022974597487</v>
      </c>
      <c r="R12" s="17">
        <f t="shared" ca="1" si="4"/>
        <v>-2137.0022974597487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-969.38092144708935</v>
      </c>
      <c r="J13" s="14">
        <f ca="1">-(J17-Q10)</f>
        <v>-992.57458669262996</v>
      </c>
      <c r="K13" s="13">
        <f ca="1">-(K17-Q11)</f>
        <v>-3110.5990288604444</v>
      </c>
      <c r="L13" s="14">
        <f t="shared" ca="1" si="5"/>
        <v>-5072.5545370001637</v>
      </c>
      <c r="M13" s="16">
        <f ca="1">-E15</f>
        <v>-2500.3773488665511</v>
      </c>
      <c r="N13" s="16"/>
      <c r="O13" s="11"/>
      <c r="P13" s="13"/>
      <c r="Q13" s="14">
        <f t="shared" ca="1" si="6"/>
        <v>-7572.9318858667148</v>
      </c>
      <c r="R13" s="16">
        <f t="shared" ca="1" si="4"/>
        <v>-7572.9318858667148</v>
      </c>
    </row>
    <row r="14" spans="1:20">
      <c r="A14" s="18" t="s">
        <v>78</v>
      </c>
      <c r="B14" s="11"/>
      <c r="C14" s="14"/>
      <c r="D14" s="14"/>
      <c r="E14" s="14">
        <f ca="1">-(I13+J13)-K13</f>
        <v>5072.5545370001637</v>
      </c>
      <c r="F14" s="14"/>
      <c r="G14" s="14"/>
      <c r="H14" s="14"/>
      <c r="I14" s="14"/>
      <c r="J14" s="14"/>
      <c r="K14" s="13"/>
      <c r="L14" s="14">
        <f t="shared" ca="1" si="5"/>
        <v>5072.5545370001637</v>
      </c>
      <c r="M14" s="16"/>
      <c r="N14" s="16"/>
      <c r="O14" s="11"/>
      <c r="P14" s="13"/>
      <c r="Q14" s="14">
        <f t="shared" ca="1" si="6"/>
        <v>5072.5545370001637</v>
      </c>
      <c r="R14" s="16">
        <f t="shared" ca="1" si="4"/>
        <v>5072.5545370001637</v>
      </c>
    </row>
    <row r="15" spans="1:20">
      <c r="A15" s="18" t="s">
        <v>79</v>
      </c>
      <c r="B15" s="11"/>
      <c r="C15" s="14"/>
      <c r="D15" s="14"/>
      <c r="E15" s="14">
        <f ca="1">E17-E14</f>
        <v>2500.3773488665511</v>
      </c>
      <c r="F15" s="14"/>
      <c r="G15" s="14"/>
      <c r="H15" s="14"/>
      <c r="I15" s="14"/>
      <c r="J15" s="14"/>
      <c r="K15" s="13"/>
      <c r="L15" s="14">
        <f t="shared" ca="1" si="5"/>
        <v>2500.3773488665511</v>
      </c>
      <c r="M15" s="16"/>
      <c r="N15" s="16"/>
      <c r="O15" s="11"/>
      <c r="P15" s="13"/>
      <c r="Q15" s="14">
        <f t="shared" ca="1" si="6"/>
        <v>2500.3773488665511</v>
      </c>
      <c r="R15" s="16">
        <f t="shared" ca="1" si="4"/>
        <v>2500.3773488665511</v>
      </c>
    </row>
    <row r="16" spans="1:20">
      <c r="A16" s="30" t="s">
        <v>89</v>
      </c>
      <c r="B16" s="21">
        <f ca="1">Q2</f>
        <v>2600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2600</v>
      </c>
      <c r="M16" s="19"/>
      <c r="N16" s="19"/>
      <c r="O16" s="21"/>
      <c r="P16" s="27"/>
      <c r="Q16" s="22">
        <f t="shared" ca="1" si="6"/>
        <v>2600</v>
      </c>
      <c r="R16" s="19">
        <f t="shared" ca="1" si="4"/>
        <v>2600</v>
      </c>
    </row>
    <row r="17" spans="1:18">
      <c r="A17" s="29" t="s">
        <v>88</v>
      </c>
      <c r="B17" s="9">
        <f ca="1">B16</f>
        <v>2600</v>
      </c>
      <c r="C17" s="9">
        <f ca="1">SUM(C$2:C$11)</f>
        <v>5929.4304115930354</v>
      </c>
      <c r="D17" s="9">
        <f ca="1">SUM(D$2:D$11)</f>
        <v>0</v>
      </c>
      <c r="E17" s="9">
        <f ca="1">$Q$5/parameters!$B$4</f>
        <v>7572.9318858667148</v>
      </c>
      <c r="F17" s="9">
        <f t="shared" ref="F17:K17" ca="1" si="7">SUM(F$2:F$11)</f>
        <v>6678.2089552238813</v>
      </c>
      <c r="G17" s="9">
        <f t="shared" ca="1" si="7"/>
        <v>19827.335423197492</v>
      </c>
      <c r="H17" s="9">
        <f t="shared" ca="1" si="7"/>
        <v>25238.92</v>
      </c>
      <c r="I17" s="9">
        <f t="shared" ca="1" si="7"/>
        <v>14199.380921447089</v>
      </c>
      <c r="J17" s="9">
        <f t="shared" ca="1" si="7"/>
        <v>14539.119078552911</v>
      </c>
      <c r="K17" s="9">
        <f t="shared" ca="1" si="7"/>
        <v>26448.244491860285</v>
      </c>
      <c r="L17" s="17">
        <f t="shared" ca="1" si="5"/>
        <v>123033.57116774139</v>
      </c>
      <c r="M17" s="17"/>
      <c r="N17" s="17"/>
      <c r="O17" s="9"/>
      <c r="P17" s="14"/>
      <c r="Q17" s="11">
        <f t="shared" ca="1" si="6"/>
        <v>123033.57116774139</v>
      </c>
      <c r="R17" s="17">
        <f t="shared" ca="1" si="4"/>
        <v>123033.57116774139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0.9317307615867314</v>
      </c>
      <c r="J18" s="39">
        <f ca="1">I18</f>
        <v>0.9317307615867314</v>
      </c>
      <c r="K18" s="40">
        <f ca="1">1-(-K13)/K17</f>
        <v>0.88238920621677697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33827.709570292842</v>
      </c>
      <c r="D2" s="9">
        <f ca="1">Q4/parameters!$B$3</f>
        <v>335.15145416121567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34162.861024454054</v>
      </c>
      <c r="M2" s="17"/>
      <c r="N2" s="17">
        <f ca="1">Q2-(L2+O2+P2)</f>
        <v>26199.938975545927</v>
      </c>
      <c r="O2" s="11" cm="1">
        <f t="array" aca="1" ref="O2" ca="1">INDIRECT("'data'!$F$" &amp; $A$1)</f>
        <v>175141.2</v>
      </c>
      <c r="P2" s="13">
        <f ca="1">IF(-(L2-Q2+O2)&lt;0, -(L2-Q2+O2), 0)</f>
        <v>0</v>
      </c>
      <c r="Q2" s="17" cm="1">
        <f t="array" aca="1" ref="Q2" ca="1">INDIRECT("'data'!$D$" &amp; $A$1)</f>
        <v>235504</v>
      </c>
      <c r="R2" s="17">
        <f ca="1">SUM(L2:P2)</f>
        <v>235504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21004.179104477611</v>
      </c>
      <c r="G3" s="14">
        <f ca="1">Q3-O3-P3-F3</f>
        <v>6984.8308955223911</v>
      </c>
      <c r="H3" s="14"/>
      <c r="I3" s="14"/>
      <c r="J3" s="14"/>
      <c r="K3" s="13"/>
      <c r="L3" s="16">
        <f t="shared" ca="1" si="0"/>
        <v>27989.010000000002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5625.585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33614.595000000001</v>
      </c>
      <c r="R3" s="16">
        <f t="shared" ref="R3:R10" ca="1" si="2">SUM(L3:P3)</f>
        <v>33614.595000000001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333.04</v>
      </c>
      <c r="H4" s="14"/>
      <c r="I4" s="14"/>
      <c r="J4" s="14"/>
      <c r="K4" s="13"/>
      <c r="L4" s="16">
        <f t="shared" ca="1" si="0"/>
        <v>333.04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333.04</v>
      </c>
      <c r="R4" s="16">
        <f t="shared" ca="1" si="2"/>
        <v>333.04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5251.0447761194037</v>
      </c>
      <c r="G5" s="14">
        <f ca="1">Q7/parameters!$B$7-(G3+G4)</f>
        <v>957.34331555388871</v>
      </c>
      <c r="H5" s="14"/>
      <c r="I5" s="14"/>
      <c r="J5" s="14"/>
      <c r="K5" s="13"/>
      <c r="L5" s="16">
        <f t="shared" ca="1" si="0"/>
        <v>6208.3880916732924</v>
      </c>
      <c r="M5" s="16"/>
      <c r="N5" s="16"/>
      <c r="O5" s="11" cm="1">
        <f t="array" aca="1" ref="O5" ca="1">INDIRECT("'data'!$M$" &amp; $A$1)*parameters!$B$15</f>
        <v>83.3</v>
      </c>
      <c r="P5" s="13" cm="1">
        <f t="array" aca="1" ref="P5" ca="1">-INDIRECT("'data'!$N$" &amp; $A$1)*parameters!$B$15</f>
        <v>-45.08</v>
      </c>
      <c r="Q5" s="16">
        <f ca="1">SUM(L5:P5)</f>
        <v>6246.6080916732926</v>
      </c>
      <c r="R5" s="16">
        <f t="shared" ca="1" si="2"/>
        <v>6246.6080916732926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24627.399999999998</v>
      </c>
      <c r="I6" s="14"/>
      <c r="J6" s="14"/>
      <c r="K6" s="13"/>
      <c r="L6" s="16">
        <f t="shared" ca="1" si="0"/>
        <v>24627.399999999998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24627.399999999998</v>
      </c>
      <c r="R6" s="16">
        <f t="shared" ca="1" si="2"/>
        <v>24627.399999999998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7919.38</v>
      </c>
      <c r="I7" s="14"/>
      <c r="J7" s="14"/>
      <c r="K7" s="13"/>
      <c r="L7" s="16">
        <f t="shared" ca="1" si="0"/>
        <v>7919.38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7919.38</v>
      </c>
      <c r="R7" s="16">
        <f t="shared" ca="1" si="2"/>
        <v>7919.38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11352.101129906041</v>
      </c>
      <c r="J8" s="14">
        <f ca="1">Q10/J18</f>
        <v>16249.598870093956</v>
      </c>
      <c r="K8" s="13"/>
      <c r="L8" s="16">
        <f t="shared" ca="1" si="0"/>
        <v>27601.699999999997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4997.0199999999995</v>
      </c>
      <c r="P8" s="13" cm="1">
        <f t="array" aca="1" ref="P8" ca="1">-INDIRECT("'data'!$S$" &amp; $A$1)*parameters!$B$15</f>
        <v>-51.94</v>
      </c>
      <c r="Q8" s="16">
        <f ca="1">SUM(Q6:Q7)</f>
        <v>32546.78</v>
      </c>
      <c r="R8" s="16">
        <f t="shared" ca="1" si="2"/>
        <v>32546.78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8840.58</v>
      </c>
      <c r="L9" s="16">
        <f t="shared" ca="1" si="0"/>
        <v>8840.58</v>
      </c>
      <c r="M9" s="16"/>
      <c r="N9" s="16">
        <f t="shared" ca="1" si="3"/>
        <v>0</v>
      </c>
      <c r="O9" s="11" cm="1">
        <f t="array" aca="1" ref="O9" ca="1">INDIRECT("'data'!$U$" &amp; $A$1)*parameters!$B$15</f>
        <v>1911</v>
      </c>
      <c r="P9" s="13" cm="1">
        <f t="array" aca="1" ref="P9" ca="1">-INDIRECT("'data'!$V$" &amp; $A$1)*parameters!$B$15</f>
        <v>-314.58</v>
      </c>
      <c r="Q9" s="16" cm="1">
        <f t="array" aca="1" ref="Q9" ca="1">INDIRECT("'data'!$T$" &amp; $A$1)*parameters!$B$15</f>
        <v>10437</v>
      </c>
      <c r="R9" s="16">
        <f t="shared" ca="1" si="2"/>
        <v>10437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12951.286884779514</v>
      </c>
      <c r="L10" s="16">
        <f t="shared" ca="1" si="0"/>
        <v>12951.286884779514</v>
      </c>
      <c r="M10" s="16"/>
      <c r="N10" s="16">
        <f t="shared" ca="1" si="3"/>
        <v>0</v>
      </c>
      <c r="O10" s="11" cm="1">
        <f t="array" aca="1" ref="O10" ca="1">INDIRECT("'data'!$X$" &amp; $A$1)*parameters!$B$15</f>
        <v>2970.38</v>
      </c>
      <c r="P10" s="13" cm="1">
        <f t="array" aca="1" ref="P10" ca="1">-INDIRECT("'data'!$Y$" &amp; $A$1)*parameters!$B$15</f>
        <v>-981.96</v>
      </c>
      <c r="Q10" s="16" cm="1">
        <f t="array" aca="1" ref="Q10" ca="1">INDIRECT("'data'!$W$" &amp; $A$1)*parameters!$B$15</f>
        <v>14939.706884779516</v>
      </c>
      <c r="R10" s="16">
        <f t="shared" ca="1" si="2"/>
        <v>14939.706884779516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18284.01192091038</v>
      </c>
      <c r="N11" s="19"/>
      <c r="O11" s="21" cm="1">
        <f t="array" aca="1" ref="O11" ca="1">INDIRECT("'data'!$Z$" &amp; $A$1)*parameters!$B$15</f>
        <v>3380.02</v>
      </c>
      <c r="P11" s="27" cm="1">
        <f t="array" aca="1" ref="P11" ca="1">-INDIRECT("'data'!$AA$" &amp; $A$1)*parameters!$B$15</f>
        <v>-2215.7799999999997</v>
      </c>
      <c r="Q11" s="16">
        <f ca="1">K9*parameters!$B$10+K10*parameters!$B$11</f>
        <v>19448.251920910381</v>
      </c>
      <c r="R11" s="16">
        <f t="shared" ref="R11:R17" ca="1" si="4">SUM(L11:P11)</f>
        <v>19448.251920910381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-213.11457029284065</v>
      </c>
      <c r="D12" s="9">
        <f ca="1">-(D17-Q4)</f>
        <v>-2.1114541612156472</v>
      </c>
      <c r="E12" s="9">
        <f ca="1">-(E17-Q5)</f>
        <v>-772.05268548770982</v>
      </c>
      <c r="F12" s="9">
        <f ca="1">-(F17-Q6)</f>
        <v>-1627.8238805970177</v>
      </c>
      <c r="G12" s="9">
        <f ca="1">-(G17-Q7)</f>
        <v>-355.83421107627964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-2970.9368016150634</v>
      </c>
      <c r="M12" s="17"/>
      <c r="N12" s="17"/>
      <c r="O12" s="10"/>
      <c r="P12" s="12"/>
      <c r="Q12" s="9">
        <f t="shared" ref="Q12:Q17" ca="1" si="6">SUM(L12:P12)</f>
        <v>-2970.9368016150634</v>
      </c>
      <c r="R12" s="17">
        <f t="shared" ca="1" si="4"/>
        <v>-2970.9368016150634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-915.10112990604102</v>
      </c>
      <c r="J13" s="14">
        <f ca="1">-(J17-Q10)</f>
        <v>-1309.8919853144398</v>
      </c>
      <c r="K13" s="13">
        <f ca="1">-(K17-Q11)</f>
        <v>-2343.6149638691313</v>
      </c>
      <c r="L13" s="14">
        <f t="shared" ca="1" si="5"/>
        <v>-4568.6080790896121</v>
      </c>
      <c r="M13" s="16">
        <f ca="1">-E15</f>
        <v>-2450.0526980713903</v>
      </c>
      <c r="N13" s="16"/>
      <c r="O13" s="11"/>
      <c r="P13" s="13"/>
      <c r="Q13" s="14">
        <f t="shared" ca="1" si="6"/>
        <v>-7018.6607771610024</v>
      </c>
      <c r="R13" s="16">
        <f t="shared" ca="1" si="4"/>
        <v>-7018.6607771610024</v>
      </c>
    </row>
    <row r="14" spans="1:19">
      <c r="A14" s="18" t="s">
        <v>78</v>
      </c>
      <c r="B14" s="11"/>
      <c r="C14" s="14"/>
      <c r="D14" s="14"/>
      <c r="E14" s="14">
        <f ca="1">-(I13+J13)-K13</f>
        <v>4568.6080790896121</v>
      </c>
      <c r="F14" s="14"/>
      <c r="G14" s="14"/>
      <c r="H14" s="14"/>
      <c r="I14" s="14"/>
      <c r="J14" s="14"/>
      <c r="K14" s="13"/>
      <c r="L14" s="14">
        <f t="shared" ca="1" si="5"/>
        <v>4568.6080790896121</v>
      </c>
      <c r="M14" s="16"/>
      <c r="N14" s="16"/>
      <c r="O14" s="11"/>
      <c r="P14" s="13"/>
      <c r="Q14" s="14">
        <f t="shared" ca="1" si="6"/>
        <v>4568.6080790896121</v>
      </c>
      <c r="R14" s="16">
        <f t="shared" ca="1" si="4"/>
        <v>4568.6080790896121</v>
      </c>
    </row>
    <row r="15" spans="1:19">
      <c r="A15" s="18" t="s">
        <v>79</v>
      </c>
      <c r="B15" s="11"/>
      <c r="C15" s="14"/>
      <c r="D15" s="14"/>
      <c r="E15" s="14">
        <f ca="1">E17-E14</f>
        <v>2450.0526980713903</v>
      </c>
      <c r="F15" s="14"/>
      <c r="G15" s="14"/>
      <c r="H15" s="14"/>
      <c r="I15" s="14"/>
      <c r="J15" s="14"/>
      <c r="K15" s="13"/>
      <c r="L15" s="14">
        <f t="shared" ca="1" si="5"/>
        <v>2450.0526980713903</v>
      </c>
      <c r="M15" s="16"/>
      <c r="N15" s="16"/>
      <c r="O15" s="11"/>
      <c r="P15" s="13"/>
      <c r="Q15" s="14">
        <f t="shared" ca="1" si="6"/>
        <v>2450.0526980713903</v>
      </c>
      <c r="R15" s="16">
        <f t="shared" ca="1" si="4"/>
        <v>2450.0526980713903</v>
      </c>
    </row>
    <row r="16" spans="1:19">
      <c r="A16" s="30" t="s">
        <v>89</v>
      </c>
      <c r="B16" s="21">
        <f ca="1">Q2</f>
        <v>235504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235504</v>
      </c>
      <c r="M16" s="19"/>
      <c r="N16" s="19"/>
      <c r="O16" s="21"/>
      <c r="P16" s="27"/>
      <c r="Q16" s="22">
        <f t="shared" ca="1" si="6"/>
        <v>235504</v>
      </c>
      <c r="R16" s="19">
        <f t="shared" ca="1" si="4"/>
        <v>235504</v>
      </c>
    </row>
    <row r="17" spans="1:18">
      <c r="A17" s="29" t="s">
        <v>88</v>
      </c>
      <c r="B17" s="9">
        <f ca="1">B16</f>
        <v>235504</v>
      </c>
      <c r="C17" s="9">
        <f ca="1">SUM(C$2:C$11)</f>
        <v>33827.709570292842</v>
      </c>
      <c r="D17" s="9">
        <f ca="1">SUM(D$2:D$11)</f>
        <v>335.15145416121567</v>
      </c>
      <c r="E17" s="9">
        <f ca="1">$Q$5/parameters!$B$4</f>
        <v>7018.6607771610024</v>
      </c>
      <c r="F17" s="9">
        <f t="shared" ref="F17:K17" ca="1" si="7">SUM(F$2:F$11)</f>
        <v>26255.223880597016</v>
      </c>
      <c r="G17" s="9">
        <f t="shared" ca="1" si="7"/>
        <v>8275.2142110762798</v>
      </c>
      <c r="H17" s="9">
        <f t="shared" ca="1" si="7"/>
        <v>32546.78</v>
      </c>
      <c r="I17" s="9">
        <f t="shared" ca="1" si="7"/>
        <v>11352.101129906041</v>
      </c>
      <c r="J17" s="9">
        <f t="shared" ca="1" si="7"/>
        <v>16249.598870093956</v>
      </c>
      <c r="K17" s="9">
        <f t="shared" ca="1" si="7"/>
        <v>21791.866884779512</v>
      </c>
      <c r="L17" s="17">
        <f t="shared" ca="1" si="5"/>
        <v>393156.30677806784</v>
      </c>
      <c r="M17" s="17"/>
      <c r="N17" s="17"/>
      <c r="O17" s="9"/>
      <c r="P17" s="14"/>
      <c r="Q17" s="11">
        <f t="shared" ca="1" si="6"/>
        <v>393156.30677806784</v>
      </c>
      <c r="R17" s="17">
        <f t="shared" ca="1" si="4"/>
        <v>393156.30677806784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0.9193892725730487</v>
      </c>
      <c r="J18" s="39">
        <f ca="1">I18</f>
        <v>0.9193892725730487</v>
      </c>
      <c r="K18" s="40">
        <f ca="1">1-(-K13)/K17</f>
        <v>0.89245460353348505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1785.6815596196591</v>
      </c>
      <c r="D2" s="9">
        <f ca="1">Q4/parameters!$B$3</f>
        <v>6935.4131025460401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8721.0946621656985</v>
      </c>
      <c r="M2" s="17"/>
      <c r="N2" s="17">
        <f ca="1">Q2-(L2+O2+P2)</f>
        <v>1984.9034417212806</v>
      </c>
      <c r="O2" s="11" cm="1">
        <f t="array" aca="1" ref="O2" ca="1">INDIRECT("'data'!$F$" &amp; $A$1)</f>
        <v>2592.2000000000003</v>
      </c>
      <c r="P2" s="13">
        <f ca="1">IF(-(L2-Q2+O2)&lt;0, -(L2-Q2+O2), 0)</f>
        <v>0</v>
      </c>
      <c r="Q2" s="17" cm="1">
        <f t="array" aca="1" ref="Q2" ca="1">INDIRECT("'data'!$D$" &amp; $A$1)</f>
        <v>13298.19810388698</v>
      </c>
      <c r="R2" s="17">
        <f ca="1">SUM(L2:P2)</f>
        <v>13298.19810388698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1613.1343283582089</v>
      </c>
      <c r="G3" s="14">
        <f ca="1">Q3-O3-P3-F3</f>
        <v>161.2974374358464</v>
      </c>
      <c r="H3" s="14"/>
      <c r="I3" s="14"/>
      <c r="J3" s="14"/>
      <c r="K3" s="13"/>
      <c r="L3" s="16">
        <f t="shared" ca="1" si="0"/>
        <v>1774.4317657940553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1774.4317657940553</v>
      </c>
      <c r="R3" s="16">
        <f t="shared" ref="R3:R10" ca="1" si="2">SUM(L3:P3)</f>
        <v>1774.4317657940553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6947.84</v>
      </c>
      <c r="H4" s="14"/>
      <c r="I4" s="14"/>
      <c r="J4" s="14"/>
      <c r="K4" s="13"/>
      <c r="L4" s="16">
        <f t="shared" ca="1" si="0"/>
        <v>6947.84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-56.120000000000005</v>
      </c>
      <c r="Q4" s="16" cm="1">
        <f t="array" aca="1" ref="Q4" ca="1">INDIRECT("'data'!$J$" &amp; $A$1)*parameters!$B$14</f>
        <v>6891.72</v>
      </c>
      <c r="R4" s="16">
        <f t="shared" ca="1" si="2"/>
        <v>6891.72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403.28358208955228</v>
      </c>
      <c r="G5" s="14">
        <f ca="1">Q7/parameters!$B$7-(G3+G4)</f>
        <v>1206.0140777156676</v>
      </c>
      <c r="H5" s="14"/>
      <c r="I5" s="14"/>
      <c r="J5" s="14"/>
      <c r="K5" s="13"/>
      <c r="L5" s="16">
        <f t="shared" ca="1" si="0"/>
        <v>1609.2976598052198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-41.16</v>
      </c>
      <c r="Q5" s="16">
        <f ca="1">SUM(L5:P5)</f>
        <v>1568.1376598052198</v>
      </c>
      <c r="R5" s="16">
        <f t="shared" ca="1" si="2"/>
        <v>1568.1376598052198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1891.3999999999999</v>
      </c>
      <c r="I6" s="14"/>
      <c r="J6" s="14"/>
      <c r="K6" s="13"/>
      <c r="L6" s="16">
        <f t="shared" ca="1" si="0"/>
        <v>1891.3999999999999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1891.3999999999999</v>
      </c>
      <c r="R6" s="16">
        <f t="shared" ca="1" si="2"/>
        <v>1891.3999999999999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7957.5999999999995</v>
      </c>
      <c r="I7" s="14"/>
      <c r="J7" s="14"/>
      <c r="K7" s="13"/>
      <c r="L7" s="16">
        <f t="shared" ca="1" si="0"/>
        <v>7957.5999999999995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7957.5999999999995</v>
      </c>
      <c r="R7" s="16">
        <f t="shared" ca="1" si="2"/>
        <v>7957.5999999999995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5183</v>
      </c>
      <c r="J8" s="14">
        <f ca="1">Q10/J18</f>
        <v>3985.3001422475108</v>
      </c>
      <c r="K8" s="13"/>
      <c r="L8" s="16">
        <f t="shared" ca="1" si="0"/>
        <v>9168.3001422475099</v>
      </c>
      <c r="M8" s="16"/>
      <c r="N8" s="16">
        <f t="shared" ca="1" si="3"/>
        <v>4751.6198577524901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-4070.92</v>
      </c>
      <c r="Q8" s="16">
        <f ca="1">SUM(Q6:Q7)</f>
        <v>9849</v>
      </c>
      <c r="R8" s="16">
        <f t="shared" ca="1" si="2"/>
        <v>9849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6354.32</v>
      </c>
      <c r="L9" s="16">
        <f t="shared" ca="1" si="0"/>
        <v>6354.32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-1274.98</v>
      </c>
      <c r="Q9" s="16" cm="1">
        <f t="array" aca="1" ref="Q9" ca="1">INDIRECT("'data'!$T$" &amp; $A$1)*parameters!$B$15</f>
        <v>5079.34</v>
      </c>
      <c r="R9" s="16">
        <f t="shared" ca="1" si="2"/>
        <v>5079.34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6905.3741394025601</v>
      </c>
      <c r="L10" s="16">
        <f t="shared" ca="1" si="0"/>
        <v>6905.3741394025601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-2999.7799999999997</v>
      </c>
      <c r="Q10" s="16" cm="1">
        <f t="array" aca="1" ref="Q10" ca="1">INDIRECT("'data'!$W$" &amp; $A$1)*parameters!$B$15</f>
        <v>3905.5941394025604</v>
      </c>
      <c r="R10" s="16">
        <f t="shared" ca="1" si="2"/>
        <v>3905.5941394025604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13463.022559886202</v>
      </c>
      <c r="N11" s="19"/>
      <c r="O11" s="21" cm="1">
        <f t="array" aca="1" ref="O11" ca="1">INDIRECT("'data'!$Z$" &amp; $A$1)*parameters!$B$15</f>
        <v>108.78</v>
      </c>
      <c r="P11" s="27" cm="1">
        <f t="array" aca="1" ref="P11" ca="1">-INDIRECT("'data'!$AA$" &amp; $A$1)*parameters!$B$15</f>
        <v>-1660.12</v>
      </c>
      <c r="Q11" s="16">
        <f ca="1">K9*parameters!$B$10+K10*parameters!$B$11</f>
        <v>11911.682559886201</v>
      </c>
      <c r="R11" s="16">
        <f t="shared" ref="R11:R17" ca="1" si="4">SUM(L11:P11)</f>
        <v>11911.682559886201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-11.249793825603774</v>
      </c>
      <c r="D12" s="9">
        <f ca="1">-(D17-Q4)</f>
        <v>-43.693102546039881</v>
      </c>
      <c r="E12" s="9">
        <f ca="1">-(E17-Q5)</f>
        <v>-193.81476694221806</v>
      </c>
      <c r="F12" s="9">
        <f ca="1">-(F17-Q6)</f>
        <v>-125.01791044776132</v>
      </c>
      <c r="G12" s="9">
        <f ca="1">-(G17-Q7)</f>
        <v>-357.55151515151465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-731.32708891313769</v>
      </c>
      <c r="M12" s="17"/>
      <c r="N12" s="17"/>
      <c r="O12" s="10"/>
      <c r="P12" s="12"/>
      <c r="Q12" s="9">
        <f t="shared" ref="Q12:Q17" ca="1" si="6">SUM(L12:P12)</f>
        <v>-731.32708891313769</v>
      </c>
      <c r="R12" s="17">
        <f t="shared" ca="1" si="4"/>
        <v>-731.32708891313769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-103.65999999999985</v>
      </c>
      <c r="J13" s="14">
        <f ca="1">-(J17-Q10)</f>
        <v>-79.70600284495049</v>
      </c>
      <c r="K13" s="13">
        <f ca="1">-(K17-Q11)</f>
        <v>-1348.0115795163583</v>
      </c>
      <c r="L13" s="14">
        <f t="shared" ca="1" si="5"/>
        <v>-1531.3775823613087</v>
      </c>
      <c r="M13" s="16">
        <f ca="1">-E15</f>
        <v>-230.57484438612914</v>
      </c>
      <c r="N13" s="16"/>
      <c r="O13" s="11"/>
      <c r="P13" s="13"/>
      <c r="Q13" s="14">
        <f t="shared" ca="1" si="6"/>
        <v>-1761.9524267474378</v>
      </c>
      <c r="R13" s="16">
        <f t="shared" ca="1" si="4"/>
        <v>-1761.9524267474378</v>
      </c>
    </row>
    <row r="14" spans="1:22">
      <c r="A14" s="18" t="s">
        <v>78</v>
      </c>
      <c r="B14" s="11"/>
      <c r="C14" s="14"/>
      <c r="D14" s="14"/>
      <c r="E14" s="14">
        <f ca="1">-(I13+J13)-K13</f>
        <v>1531.3775823613087</v>
      </c>
      <c r="F14" s="14"/>
      <c r="G14" s="14"/>
      <c r="H14" s="14"/>
      <c r="I14" s="14"/>
      <c r="J14" s="14"/>
      <c r="K14" s="13"/>
      <c r="L14" s="14">
        <f t="shared" ca="1" si="5"/>
        <v>1531.3775823613087</v>
      </c>
      <c r="M14" s="16"/>
      <c r="N14" s="16"/>
      <c r="O14" s="11"/>
      <c r="P14" s="13"/>
      <c r="Q14" s="14">
        <f t="shared" ca="1" si="6"/>
        <v>1531.3775823613087</v>
      </c>
      <c r="R14" s="16">
        <f t="shared" ca="1" si="4"/>
        <v>1531.3775823613087</v>
      </c>
    </row>
    <row r="15" spans="1:22">
      <c r="A15" s="18" t="s">
        <v>79</v>
      </c>
      <c r="B15" s="11"/>
      <c r="C15" s="14"/>
      <c r="D15" s="14"/>
      <c r="E15" s="14">
        <f ca="1">E17-E14</f>
        <v>230.57484438612914</v>
      </c>
      <c r="F15" s="14"/>
      <c r="G15" s="14"/>
      <c r="H15" s="14"/>
      <c r="I15" s="14"/>
      <c r="J15" s="14"/>
      <c r="K15" s="13"/>
      <c r="L15" s="14">
        <f t="shared" ca="1" si="5"/>
        <v>230.57484438612914</v>
      </c>
      <c r="M15" s="16"/>
      <c r="N15" s="16"/>
      <c r="O15" s="11"/>
      <c r="P15" s="13"/>
      <c r="Q15" s="14">
        <f t="shared" ca="1" si="6"/>
        <v>230.57484438612914</v>
      </c>
      <c r="R15" s="16">
        <f t="shared" ca="1" si="4"/>
        <v>230.57484438612914</v>
      </c>
    </row>
    <row r="16" spans="1:22">
      <c r="A16" s="30" t="s">
        <v>89</v>
      </c>
      <c r="B16" s="21">
        <f ca="1">Q2</f>
        <v>13298.19810388698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13298.19810388698</v>
      </c>
      <c r="M16" s="19"/>
      <c r="N16" s="19"/>
      <c r="O16" s="21"/>
      <c r="P16" s="27"/>
      <c r="Q16" s="22">
        <f t="shared" ca="1" si="6"/>
        <v>13298.19810388698</v>
      </c>
      <c r="R16" s="19">
        <f t="shared" ca="1" si="4"/>
        <v>13298.19810388698</v>
      </c>
    </row>
    <row r="17" spans="1:18">
      <c r="A17" s="29" t="s">
        <v>88</v>
      </c>
      <c r="B17" s="9">
        <f ca="1">B16</f>
        <v>13298.19810388698</v>
      </c>
      <c r="C17" s="9">
        <f ca="1">SUM(C$2:C$11)</f>
        <v>1785.6815596196591</v>
      </c>
      <c r="D17" s="9">
        <f ca="1">SUM(D$2:D$11)</f>
        <v>6935.4131025460401</v>
      </c>
      <c r="E17" s="9">
        <f ca="1">$Q$5/parameters!$B$4</f>
        <v>1761.9524267474378</v>
      </c>
      <c r="F17" s="9">
        <f t="shared" ref="F17:K17" ca="1" si="7">SUM(F$2:F$11)</f>
        <v>2016.4179104477612</v>
      </c>
      <c r="G17" s="9">
        <f t="shared" ca="1" si="7"/>
        <v>8315.1515151515141</v>
      </c>
      <c r="H17" s="9">
        <f t="shared" ca="1" si="7"/>
        <v>9849</v>
      </c>
      <c r="I17" s="9">
        <f t="shared" ca="1" si="7"/>
        <v>5183</v>
      </c>
      <c r="J17" s="9">
        <f t="shared" ca="1" si="7"/>
        <v>3985.3001422475108</v>
      </c>
      <c r="K17" s="9">
        <f t="shared" ca="1" si="7"/>
        <v>13259.69413940256</v>
      </c>
      <c r="L17" s="17">
        <f t="shared" ca="1" si="5"/>
        <v>66389.808900049466</v>
      </c>
      <c r="M17" s="17"/>
      <c r="N17" s="17"/>
      <c r="O17" s="9"/>
      <c r="P17" s="14"/>
      <c r="Q17" s="11">
        <f t="shared" ca="1" si="6"/>
        <v>66389.808900049466</v>
      </c>
      <c r="R17" s="17">
        <f t="shared" ca="1" si="4"/>
        <v>66389.808900049466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0.89833765655946751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10565.51273020026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10565.51273020026</v>
      </c>
      <c r="M2" s="17"/>
      <c r="N2" s="17">
        <f ca="1">Q2-(L2+O2+P2)</f>
        <v>0</v>
      </c>
      <c r="O2" s="11" cm="1">
        <f t="array" aca="1" ref="O2" ca="1">INDIRECT("'data'!$F$" &amp; $A$1)</f>
        <v>0.65</v>
      </c>
      <c r="P2" s="13">
        <f ca="1">IF(-(L2-Q2+O2)&lt;0, -(L2-Q2+O2), 0)</f>
        <v>-10566.16273020026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9658.746268656716</v>
      </c>
      <c r="G3" s="14">
        <f ca="1">Q3-O3-P3-F3</f>
        <v>2904.0837313432821</v>
      </c>
      <c r="H3" s="14"/>
      <c r="I3" s="14"/>
      <c r="J3" s="14"/>
      <c r="K3" s="13"/>
      <c r="L3" s="16">
        <f t="shared" ca="1" si="0"/>
        <v>12562.829999999998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48.195</v>
      </c>
      <c r="P3" s="13" cm="1">
        <f t="array" aca="1" ref="P3" ca="1">-INDIRECT("'data'!$I$" &amp; $A$1)*parameters!$B$13</f>
        <v>-2112.0749999999998</v>
      </c>
      <c r="Q3" s="16" cm="1">
        <f t="array" aca="1" ref="Q3" ca="1">INDIRECT("'data'!$G$" &amp; $A$1)*parameters!$B$13</f>
        <v>10498.949999999999</v>
      </c>
      <c r="R3" s="16">
        <f t="shared" ref="R3:R10" ca="1" si="2">SUM(L3:P3)</f>
        <v>10498.949999999997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397.44</v>
      </c>
      <c r="H4" s="14"/>
      <c r="I4" s="14"/>
      <c r="J4" s="14"/>
      <c r="K4" s="13"/>
      <c r="L4" s="16">
        <f t="shared" ca="1" si="0"/>
        <v>397.44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-397.44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2414.686567164179</v>
      </c>
      <c r="G5" s="14">
        <f ca="1">Q7/parameters!$B$7-(G3+G4)</f>
        <v>17175.048891436236</v>
      </c>
      <c r="H5" s="14"/>
      <c r="I5" s="14"/>
      <c r="J5" s="14"/>
      <c r="K5" s="13"/>
      <c r="L5" s="16">
        <f t="shared" ca="1" si="0"/>
        <v>19589.735458600415</v>
      </c>
      <c r="M5" s="16"/>
      <c r="N5" s="16"/>
      <c r="O5" s="11" cm="1">
        <f t="array" aca="1" ref="O5" ca="1">INDIRECT("'data'!$M$" &amp; $A$1)*parameters!$B$15</f>
        <v>236.18</v>
      </c>
      <c r="P5" s="13" cm="1">
        <f t="array" aca="1" ref="P5" ca="1">-INDIRECT("'data'!$N$" &amp; $A$1)*parameters!$B$15</f>
        <v>-5137.16</v>
      </c>
      <c r="Q5" s="16">
        <f ca="1">SUM(L5:P5)</f>
        <v>14688.755458600415</v>
      </c>
      <c r="R5" s="16">
        <f t="shared" ca="1" si="2"/>
        <v>14688.755458600415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11324.88</v>
      </c>
      <c r="I6" s="14"/>
      <c r="J6" s="14"/>
      <c r="K6" s="13"/>
      <c r="L6" s="16">
        <f t="shared" ca="1" si="0"/>
        <v>11324.88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11324.88</v>
      </c>
      <c r="R6" s="16">
        <f t="shared" ca="1" si="2"/>
        <v>11324.88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19596.079999999998</v>
      </c>
      <c r="I7" s="14"/>
      <c r="J7" s="14"/>
      <c r="K7" s="13"/>
      <c r="L7" s="16">
        <f t="shared" ca="1" si="0"/>
        <v>19596.079999999998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19596.079999999998</v>
      </c>
      <c r="R7" s="16">
        <f t="shared" ca="1" si="2"/>
        <v>19596.079999999998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20023.818133584133</v>
      </c>
      <c r="J8" s="14">
        <f ca="1">Q10/J18</f>
        <v>15805.961866415868</v>
      </c>
      <c r="K8" s="13"/>
      <c r="L8" s="16">
        <f t="shared" ca="1" si="0"/>
        <v>35829.78</v>
      </c>
      <c r="M8" s="16"/>
      <c r="N8" s="16">
        <f t="shared" ca="1" si="3"/>
        <v>0</v>
      </c>
      <c r="O8" s="11" cm="1">
        <f t="array" aca="1" ref="O8" ca="1">INDIRECT("'data'!$R$" &amp; $A$1)*parameters!$B$15</f>
        <v>963.34</v>
      </c>
      <c r="P8" s="13" cm="1">
        <f t="array" aca="1" ref="P8" ca="1">-INDIRECT("'data'!$S$" &amp; $A$1)*parameters!$B$15</f>
        <v>-5872.16</v>
      </c>
      <c r="Q8" s="16">
        <f ca="1">SUM(Q6:Q7)</f>
        <v>30920.959999999999</v>
      </c>
      <c r="R8" s="16">
        <f t="shared" ca="1" si="2"/>
        <v>30920.959999999995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16139.62</v>
      </c>
      <c r="L9" s="16">
        <f t="shared" ca="1" si="0"/>
        <v>16139.62</v>
      </c>
      <c r="M9" s="16"/>
      <c r="N9" s="16">
        <f t="shared" ca="1" si="3"/>
        <v>0</v>
      </c>
      <c r="O9" s="11" cm="1">
        <f t="array" aca="1" ref="O9" ca="1">INDIRECT("'data'!$U$" &amp; $A$1)*parameters!$B$15</f>
        <v>5784.94</v>
      </c>
      <c r="P9" s="13" cm="1">
        <f t="array" aca="1" ref="P9" ca="1">-INDIRECT("'data'!$V$" &amp; $A$1)*parameters!$B$15</f>
        <v>-4119.92</v>
      </c>
      <c r="Q9" s="16" cm="1">
        <f t="array" aca="1" ref="Q9" ca="1">INDIRECT("'data'!$T$" &amp; $A$1)*parameters!$B$15</f>
        <v>17804.64</v>
      </c>
      <c r="R9" s="16">
        <f t="shared" ca="1" si="2"/>
        <v>17804.64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19702.955761024183</v>
      </c>
      <c r="L10" s="16">
        <f t="shared" ca="1" si="0"/>
        <v>19702.955761024183</v>
      </c>
      <c r="M10" s="16"/>
      <c r="N10" s="16">
        <f t="shared" ca="1" si="3"/>
        <v>0</v>
      </c>
      <c r="O10" s="11" cm="1">
        <f t="array" aca="1" ref="O10" ca="1">INDIRECT("'data'!$X$" &amp; $A$1)*parameters!$B$15</f>
        <v>6933.5</v>
      </c>
      <c r="P10" s="13" cm="1">
        <f t="array" aca="1" ref="P10" ca="1">-INDIRECT("'data'!$Y$" &amp; $A$1)*parameters!$B$15</f>
        <v>-12582.22</v>
      </c>
      <c r="Q10" s="16" cm="1">
        <f t="array" aca="1" ref="Q10" ca="1">INDIRECT("'data'!$W$" &amp; $A$1)*parameters!$B$15</f>
        <v>14054.235761024182</v>
      </c>
      <c r="R10" s="16">
        <f t="shared" ca="1" si="2"/>
        <v>14054.235761024183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27892.964754480796</v>
      </c>
      <c r="N11" s="19"/>
      <c r="O11" s="21" cm="1">
        <f t="array" aca="1" ref="O11" ca="1">INDIRECT("'data'!$Z$" &amp; $A$1)*parameters!$B$15</f>
        <v>13296.64</v>
      </c>
      <c r="P11" s="27" cm="1">
        <f t="array" aca="1" ref="P11" ca="1">-INDIRECT("'data'!$AA$" &amp; $A$1)*parameters!$B$15</f>
        <v>-9073.82</v>
      </c>
      <c r="Q11" s="16">
        <f ca="1">K9*parameters!$B$10+K10*parameters!$B$11</f>
        <v>32115.784754480796</v>
      </c>
      <c r="R11" s="16">
        <f t="shared" ref="R11:R17" ca="1" si="4">SUM(L11:P11)</f>
        <v>32115.784754480796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-66.562730200261285</v>
      </c>
      <c r="D12" s="9">
        <f ca="1">-(D17-Q4)</f>
        <v>0</v>
      </c>
      <c r="E12" s="9">
        <f ca="1">-(E17-Q5)</f>
        <v>-1815.4641578045448</v>
      </c>
      <c r="F12" s="9">
        <f ca="1">-(F17-Q6)</f>
        <v>-748.55283582089578</v>
      </c>
      <c r="G12" s="9">
        <f ca="1">-(G17-Q7)</f>
        <v>-880.49262277951857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-3511.0723466052204</v>
      </c>
      <c r="M12" s="17"/>
      <c r="N12" s="17"/>
      <c r="O12" s="10"/>
      <c r="P12" s="12"/>
      <c r="Q12" s="9">
        <f t="shared" ref="Q12:Q17" ca="1" si="6">SUM(L12:P12)</f>
        <v>-3511.0723466052204</v>
      </c>
      <c r="R12" s="17">
        <f t="shared" ca="1" si="4"/>
        <v>-3511.0723466052204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-2219.1781335841333</v>
      </c>
      <c r="J13" s="14">
        <f ca="1">-(J17-Q10)</f>
        <v>-1751.7261053916864</v>
      </c>
      <c r="K13" s="13">
        <f ca="1">-(K17-Q11)</f>
        <v>-3726.7910065433898</v>
      </c>
      <c r="L13" s="14">
        <f t="shared" ca="1" si="5"/>
        <v>-7697.6952455192095</v>
      </c>
      <c r="M13" s="16">
        <f ca="1">-E15</f>
        <v>-8806.5243708857506</v>
      </c>
      <c r="N13" s="16"/>
      <c r="O13" s="11"/>
      <c r="P13" s="13"/>
      <c r="Q13" s="14">
        <f t="shared" ca="1" si="6"/>
        <v>-16504.21961640496</v>
      </c>
      <c r="R13" s="16">
        <f t="shared" ca="1" si="4"/>
        <v>-16504.21961640496</v>
      </c>
    </row>
    <row r="14" spans="1:20">
      <c r="A14" s="18" t="s">
        <v>78</v>
      </c>
      <c r="B14" s="11"/>
      <c r="C14" s="14"/>
      <c r="D14" s="14"/>
      <c r="E14" s="14">
        <f ca="1">-(I13+J13)-K13</f>
        <v>7697.6952455192095</v>
      </c>
      <c r="F14" s="14"/>
      <c r="G14" s="14"/>
      <c r="H14" s="14"/>
      <c r="I14" s="14"/>
      <c r="J14" s="14"/>
      <c r="K14" s="13"/>
      <c r="L14" s="14">
        <f t="shared" ca="1" si="5"/>
        <v>7697.6952455192095</v>
      </c>
      <c r="M14" s="16"/>
      <c r="N14" s="16"/>
      <c r="O14" s="11"/>
      <c r="P14" s="13"/>
      <c r="Q14" s="14">
        <f t="shared" ca="1" si="6"/>
        <v>7697.6952455192095</v>
      </c>
      <c r="R14" s="16">
        <f t="shared" ca="1" si="4"/>
        <v>7697.6952455192095</v>
      </c>
    </row>
    <row r="15" spans="1:20">
      <c r="A15" s="18" t="s">
        <v>79</v>
      </c>
      <c r="B15" s="11"/>
      <c r="C15" s="14"/>
      <c r="D15" s="14"/>
      <c r="E15" s="14">
        <f ca="1">E17-E14</f>
        <v>8806.5243708857506</v>
      </c>
      <c r="F15" s="14"/>
      <c r="G15" s="14"/>
      <c r="H15" s="14"/>
      <c r="I15" s="14"/>
      <c r="J15" s="14"/>
      <c r="K15" s="13"/>
      <c r="L15" s="14">
        <f t="shared" ca="1" si="5"/>
        <v>8806.5243708857506</v>
      </c>
      <c r="M15" s="16"/>
      <c r="N15" s="16"/>
      <c r="O15" s="11"/>
      <c r="P15" s="13"/>
      <c r="Q15" s="14">
        <f t="shared" ca="1" si="6"/>
        <v>8806.5243708857506</v>
      </c>
      <c r="R15" s="16">
        <f t="shared" ca="1" si="4"/>
        <v>8806.5243708857506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10565.51273020026</v>
      </c>
      <c r="D17" s="9">
        <f ca="1">SUM(D$2:D$11)</f>
        <v>0</v>
      </c>
      <c r="E17" s="9">
        <f ca="1">$Q$5/parameters!$B$4</f>
        <v>16504.21961640496</v>
      </c>
      <c r="F17" s="9">
        <f t="shared" ref="F17:K17" ca="1" si="7">SUM(F$2:F$11)</f>
        <v>12073.432835820895</v>
      </c>
      <c r="G17" s="9">
        <f t="shared" ca="1" si="7"/>
        <v>20476.572622779517</v>
      </c>
      <c r="H17" s="9">
        <f t="shared" ca="1" si="7"/>
        <v>30920.959999999999</v>
      </c>
      <c r="I17" s="9">
        <f t="shared" ca="1" si="7"/>
        <v>20023.818133584133</v>
      </c>
      <c r="J17" s="9">
        <f t="shared" ca="1" si="7"/>
        <v>15805.961866415868</v>
      </c>
      <c r="K17" s="9">
        <f t="shared" ca="1" si="7"/>
        <v>35842.575761024185</v>
      </c>
      <c r="L17" s="17">
        <f t="shared" ca="1" si="5"/>
        <v>162213.05356622982</v>
      </c>
      <c r="M17" s="17"/>
      <c r="N17" s="17"/>
      <c r="O17" s="9"/>
      <c r="P17" s="14"/>
      <c r="Q17" s="11">
        <f t="shared" ca="1" si="6"/>
        <v>162213.05356622982</v>
      </c>
      <c r="R17" s="17">
        <f t="shared" ca="1" si="4"/>
        <v>162213.05356622982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0.88917307784262645</v>
      </c>
      <c r="J18" s="39">
        <f ca="1">I18</f>
        <v>0.88917307784262645</v>
      </c>
      <c r="K18" s="40">
        <f ca="1">1-(-K13)/K17</f>
        <v>0.89602334856202037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workbookViewId="0">
      <selection activeCell="B2" sqref="B2:K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33899.984904900877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33899.984904900877</v>
      </c>
      <c r="M2" s="17"/>
      <c r="N2" s="17">
        <f ca="1">Q2-(L2+O2+P2)</f>
        <v>0</v>
      </c>
      <c r="O2" s="11" cm="1">
        <f t="array" aca="1" ref="O2" ca="1">INDIRECT("'data'!$F$" &amp; $A$1)</f>
        <v>13469.95</v>
      </c>
      <c r="P2" s="13">
        <f ca="1">IF(-(L2-Q2+O2)&lt;0, -(L2-Q2+O2), 0)</f>
        <v>-4569.9349049008779</v>
      </c>
      <c r="Q2" s="17" cm="1">
        <f t="array" aca="1" ref="Q2" ca="1">INDIRECT("'data'!$D$" &amp; $A$1)</f>
        <v>42800</v>
      </c>
      <c r="R2" s="17">
        <f ca="1">SUM(L2:P2)</f>
        <v>42800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31849.268656716416</v>
      </c>
      <c r="G3" s="14">
        <f ca="1">Q3-O3-P3-F3</f>
        <v>60.546343283585884</v>
      </c>
      <c r="H3" s="14"/>
      <c r="I3" s="14"/>
      <c r="J3" s="14"/>
      <c r="K3" s="13"/>
      <c r="L3" s="16">
        <f t="shared" ca="1" si="0"/>
        <v>31909.815000000002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1941.9749999999999</v>
      </c>
      <c r="P3" s="13" cm="1">
        <f t="array" aca="1" ref="P3" ca="1">-INDIRECT("'data'!$I$" &amp; $A$1)*parameters!$B$13</f>
        <v>-165.375</v>
      </c>
      <c r="Q3" s="16" cm="1">
        <f t="array" aca="1" ref="Q3" ca="1">INDIRECT("'data'!$G$" &amp; $A$1)*parameters!$B$13</f>
        <v>33686.415000000001</v>
      </c>
      <c r="R3" s="16">
        <f t="shared" ref="R3:R10" ca="1" si="2">SUM(L3:P3)</f>
        <v>33686.415000000001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494.04</v>
      </c>
      <c r="H4" s="14"/>
      <c r="I4" s="14"/>
      <c r="J4" s="14"/>
      <c r="K4" s="13"/>
      <c r="L4" s="16">
        <f t="shared" ca="1" si="0"/>
        <v>494.04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-494.04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Q6/parameters!$B$5*26%</f>
        <v>11190.283582089553</v>
      </c>
      <c r="G5" s="14">
        <f ca="1">Q7/parameters!$B$7-(G3+G4)</f>
        <v>1119.7083275628092</v>
      </c>
      <c r="H5" s="14"/>
      <c r="I5" s="14"/>
      <c r="J5" s="14"/>
      <c r="K5" s="13"/>
      <c r="L5" s="16">
        <f t="shared" ca="1" si="0"/>
        <v>12309.991909652363</v>
      </c>
      <c r="M5" s="16"/>
      <c r="N5" s="16"/>
      <c r="O5" s="11" cm="1">
        <f t="array" aca="1" ref="O5" ca="1">INDIRECT("'data'!$M$" &amp; $A$1)*parameters!$B$15</f>
        <v>674.24</v>
      </c>
      <c r="P5" s="13" cm="1">
        <f t="array" aca="1" ref="P5" ca="1">-INDIRECT("'data'!$N$" &amp; $A$1)*parameters!$B$15</f>
        <v>-20.58</v>
      </c>
      <c r="Q5" s="16">
        <f ca="1">SUM(L5:P5)</f>
        <v>12963.651909652363</v>
      </c>
      <c r="R5" s="16">
        <f t="shared" ca="1" si="2"/>
        <v>12963.651909652363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40371.1</v>
      </c>
      <c r="I6" s="14"/>
      <c r="J6" s="14"/>
      <c r="K6" s="13"/>
      <c r="L6" s="16">
        <f t="shared" ca="1" si="0"/>
        <v>40371.1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40371.1</v>
      </c>
      <c r="R6" s="16">
        <f t="shared" ca="1" si="2"/>
        <v>40371.1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1602.3</v>
      </c>
      <c r="I7" s="14"/>
      <c r="J7" s="14"/>
      <c r="K7" s="13"/>
      <c r="L7" s="16">
        <f t="shared" ca="1" si="0"/>
        <v>1602.3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1602.3</v>
      </c>
      <c r="R7" s="16">
        <f t="shared" ca="1" si="2"/>
        <v>1602.3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18030</v>
      </c>
      <c r="J8" s="14">
        <f ca="1">Q10/J18</f>
        <v>19011.30014224751</v>
      </c>
      <c r="K8" s="13"/>
      <c r="L8" s="16">
        <f t="shared" ca="1" si="0"/>
        <v>37041.300142247506</v>
      </c>
      <c r="M8" s="16"/>
      <c r="N8" s="16">
        <f t="shared" ca="1" si="3"/>
        <v>-6223.2401422475014</v>
      </c>
      <c r="O8" s="11" cm="1">
        <f t="array" aca="1" ref="O8" ca="1">INDIRECT("'data'!$R$" &amp; $A$1)*parameters!$B$15</f>
        <v>11590.46</v>
      </c>
      <c r="P8" s="13" cm="1">
        <f t="array" aca="1" ref="P8" ca="1">-INDIRECT("'data'!$S$" &amp; $A$1)*parameters!$B$15</f>
        <v>-435.12</v>
      </c>
      <c r="Q8" s="16">
        <f ca="1">SUM(Q6:Q7)</f>
        <v>41973.4</v>
      </c>
      <c r="R8" s="16">
        <f t="shared" ca="1" si="2"/>
        <v>41973.4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10849.580000000002</v>
      </c>
      <c r="L9" s="16">
        <f t="shared" ca="1" si="0"/>
        <v>10849.580000000002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7239.26</v>
      </c>
      <c r="P9" s="13" cm="1">
        <f t="array" aca="1" ref="P9" ca="1">-INDIRECT("'data'!$V$" &amp; $A$1)*parameters!$B$15</f>
        <v>-419.44</v>
      </c>
      <c r="Q9" s="16" cm="1">
        <f t="array" aca="1" ref="Q9" ca="1">INDIRECT("'data'!$T$" &amp; $A$1)*parameters!$B$15</f>
        <v>17669.400000000001</v>
      </c>
      <c r="R9" s="16">
        <f t="shared" ca="1" si="2"/>
        <v>17669.400000000005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10964.53413940256</v>
      </c>
      <c r="L10" s="16">
        <f t="shared" ca="1" si="0"/>
        <v>10964.53413940256</v>
      </c>
      <c r="M10" s="16"/>
      <c r="N10" s="16">
        <f t="shared" ca="1" si="3"/>
        <v>0</v>
      </c>
      <c r="O10" s="11" cm="1">
        <f t="array" aca="1" ref="O10" ca="1">INDIRECT("'data'!$X$" &amp; $A$1)*parameters!$B$15</f>
        <v>8830.7800000000007</v>
      </c>
      <c r="P10" s="13" cm="1">
        <f t="array" aca="1" ref="P10" ca="1">-INDIRECT("'data'!$Y$" &amp; $A$1)*parameters!$B$15</f>
        <v>-1164.24</v>
      </c>
      <c r="Q10" s="16" cm="1">
        <f t="array" aca="1" ref="Q10" ca="1">INDIRECT("'data'!$W$" &amp; $A$1)*parameters!$B$15</f>
        <v>18631.074139402561</v>
      </c>
      <c r="R10" s="16">
        <f t="shared" ca="1" si="2"/>
        <v>18631.074139402557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19704.544559886202</v>
      </c>
      <c r="N11" s="19"/>
      <c r="O11" s="21" cm="1">
        <f t="array" aca="1" ref="O11" ca="1">INDIRECT("'data'!$Z$" &amp; $A$1)*parameters!$B$15</f>
        <v>2204.02</v>
      </c>
      <c r="P11" s="27" cm="1">
        <f t="array" aca="1" ref="P11" ca="1">-INDIRECT("'data'!$AA$" &amp; $A$1)*parameters!$B$15</f>
        <v>-2280.46</v>
      </c>
      <c r="Q11" s="16">
        <f ca="1">K9*parameters!$B$10+K10*parameters!$B$11</f>
        <v>19628.104559886204</v>
      </c>
      <c r="R11" s="16">
        <f t="shared" ref="R11:R17" ca="1" si="4">SUM(L11:P11)</f>
        <v>19628.104559886204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-213.56990490087628</v>
      </c>
      <c r="D12" s="9">
        <f ca="1">-(D17-Q4)</f>
        <v>0</v>
      </c>
      <c r="E12" s="9">
        <f ca="1">-(E17-Q5)</f>
        <v>-1602.2491124289427</v>
      </c>
      <c r="F12" s="9">
        <f ca="1">-(F17-Q6)</f>
        <v>-2668.4522388059704</v>
      </c>
      <c r="G12" s="9">
        <f ca="1">-(G17-Q7)</f>
        <v>-71.994670846395138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-4556.2659269821843</v>
      </c>
      <c r="M12" s="17"/>
      <c r="N12" s="17"/>
      <c r="O12" s="10"/>
      <c r="P12" s="12"/>
      <c r="Q12" s="9">
        <f t="shared" ref="Q12:Q17" ca="1" si="6">SUM(L12:P12)</f>
        <v>-4556.2659269821843</v>
      </c>
      <c r="R12" s="17">
        <f t="shared" ca="1" si="4"/>
        <v>-4556.2659269821843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-360.59999999999854</v>
      </c>
      <c r="J13" s="14">
        <f ca="1">-(J17-Q10)</f>
        <v>-380.22600284494911</v>
      </c>
      <c r="K13" s="13">
        <f ca="1">-(K17-Q11)</f>
        <v>-2186.0095795163579</v>
      </c>
      <c r="L13" s="14">
        <f t="shared" ca="1" si="5"/>
        <v>-2926.8355823613056</v>
      </c>
      <c r="M13" s="16">
        <f ca="1">-E15</f>
        <v>-11639.06543972</v>
      </c>
      <c r="N13" s="16"/>
      <c r="O13" s="11"/>
      <c r="P13" s="13"/>
      <c r="Q13" s="14">
        <f t="shared" ca="1" si="6"/>
        <v>-14565.901022081305</v>
      </c>
      <c r="R13" s="16">
        <f t="shared" ca="1" si="4"/>
        <v>-14565.901022081305</v>
      </c>
    </row>
    <row r="14" spans="1:20">
      <c r="A14" s="18" t="s">
        <v>78</v>
      </c>
      <c r="B14" s="11"/>
      <c r="C14" s="14"/>
      <c r="D14" s="14"/>
      <c r="E14" s="14">
        <f ca="1">-(I13+J13)-K13</f>
        <v>2926.8355823613056</v>
      </c>
      <c r="F14" s="14"/>
      <c r="G14" s="14"/>
      <c r="H14" s="14"/>
      <c r="I14" s="14"/>
      <c r="J14" s="14"/>
      <c r="K14" s="13"/>
      <c r="L14" s="14">
        <f t="shared" ca="1" si="5"/>
        <v>2926.8355823613056</v>
      </c>
      <c r="M14" s="16"/>
      <c r="N14" s="16"/>
      <c r="O14" s="11"/>
      <c r="P14" s="13"/>
      <c r="Q14" s="14">
        <f t="shared" ca="1" si="6"/>
        <v>2926.8355823613056</v>
      </c>
      <c r="R14" s="16">
        <f t="shared" ca="1" si="4"/>
        <v>2926.8355823613056</v>
      </c>
    </row>
    <row r="15" spans="1:20">
      <c r="A15" s="18" t="s">
        <v>79</v>
      </c>
      <c r="B15" s="11"/>
      <c r="C15" s="14"/>
      <c r="D15" s="14"/>
      <c r="E15" s="14">
        <f ca="1">E17-E14</f>
        <v>11639.06543972</v>
      </c>
      <c r="F15" s="14"/>
      <c r="G15" s="14"/>
      <c r="H15" s="14"/>
      <c r="I15" s="14"/>
      <c r="J15" s="14"/>
      <c r="K15" s="13"/>
      <c r="L15" s="14">
        <f t="shared" ca="1" si="5"/>
        <v>11639.06543972</v>
      </c>
      <c r="M15" s="16"/>
      <c r="N15" s="16"/>
      <c r="O15" s="11"/>
      <c r="P15" s="13"/>
      <c r="Q15" s="14">
        <f t="shared" ca="1" si="6"/>
        <v>11639.06543972</v>
      </c>
      <c r="R15" s="16">
        <f t="shared" ca="1" si="4"/>
        <v>11639.06543972</v>
      </c>
    </row>
    <row r="16" spans="1:20">
      <c r="A16" s="30" t="s">
        <v>89</v>
      </c>
      <c r="B16" s="21">
        <f ca="1">Q2</f>
        <v>42800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42800</v>
      </c>
      <c r="M16" s="19"/>
      <c r="N16" s="19"/>
      <c r="O16" s="21"/>
      <c r="P16" s="27"/>
      <c r="Q16" s="22">
        <f t="shared" ca="1" si="6"/>
        <v>42800</v>
      </c>
      <c r="R16" s="19">
        <f t="shared" ca="1" si="4"/>
        <v>42800</v>
      </c>
    </row>
    <row r="17" spans="1:18">
      <c r="A17" s="29" t="s">
        <v>88</v>
      </c>
      <c r="B17" s="9">
        <f ca="1">B16</f>
        <v>42800</v>
      </c>
      <c r="C17" s="9">
        <f ca="1">SUM(C$2:C$11)</f>
        <v>33899.984904900877</v>
      </c>
      <c r="D17" s="9">
        <f ca="1">SUM(D$2:D$11)</f>
        <v>0</v>
      </c>
      <c r="E17" s="9">
        <f ca="1">$Q$5/parameters!$B$4</f>
        <v>14565.901022081305</v>
      </c>
      <c r="F17" s="9">
        <f t="shared" ref="F17:K17" ca="1" si="7">SUM(F$2:F$11)</f>
        <v>43039.552238805969</v>
      </c>
      <c r="G17" s="9">
        <f t="shared" ca="1" si="7"/>
        <v>1674.2946708463951</v>
      </c>
      <c r="H17" s="9">
        <f t="shared" ca="1" si="7"/>
        <v>41973.4</v>
      </c>
      <c r="I17" s="9">
        <f t="shared" ca="1" si="7"/>
        <v>18030</v>
      </c>
      <c r="J17" s="9">
        <f t="shared" ca="1" si="7"/>
        <v>19011.30014224751</v>
      </c>
      <c r="K17" s="9">
        <f t="shared" ca="1" si="7"/>
        <v>21814.114139402562</v>
      </c>
      <c r="L17" s="17">
        <f t="shared" ca="1" si="5"/>
        <v>236808.54711828462</v>
      </c>
      <c r="M17" s="17"/>
      <c r="N17" s="17"/>
      <c r="O17" s="9"/>
      <c r="P17" s="14"/>
      <c r="Q17" s="11">
        <f t="shared" ca="1" si="6"/>
        <v>236808.54711828462</v>
      </c>
      <c r="R17" s="17">
        <f t="shared" ca="1" si="4"/>
        <v>236808.54711828462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0.8997892114460061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3878.1422964677463</v>
      </c>
      <c r="D2" s="9">
        <f ca="1">Q4/parameters!$B$3</f>
        <v>5800.3421555801551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9678.4844520479019</v>
      </c>
      <c r="M2" s="17"/>
      <c r="N2" s="17">
        <f ca="1">Q2-(L2+O2+P2)</f>
        <v>0</v>
      </c>
      <c r="O2" s="11" cm="1">
        <f t="array" aca="1" ref="O2" ca="1">INDIRECT("'data'!$F$" &amp; $A$1)</f>
        <v>897.65</v>
      </c>
      <c r="P2" s="13">
        <f ca="1">IF(-(L2-Q2+O2)&lt;0, -(L2-Q2+O2), 0)</f>
        <v>-4026.134452047902</v>
      </c>
      <c r="Q2" s="17" cm="1">
        <f t="array" aca="1" ref="Q2" ca="1">INDIRECT("'data'!$D$" &amp; $A$1)</f>
        <v>6550</v>
      </c>
      <c r="R2" s="17">
        <f ca="1">SUM(L2:P2)</f>
        <v>6550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3809.6716417910452</v>
      </c>
      <c r="G3" s="14">
        <f ca="1">Q3-O3-P3-F3</f>
        <v>251.93835820895447</v>
      </c>
      <c r="H3" s="14"/>
      <c r="I3" s="14"/>
      <c r="J3" s="14"/>
      <c r="K3" s="13"/>
      <c r="L3" s="16">
        <f t="shared" ca="1" si="0"/>
        <v>4061.6099999999997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113.39999999999999</v>
      </c>
      <c r="P3" s="13" cm="1">
        <f t="array" aca="1" ref="P3" ca="1">-INDIRECT("'data'!$I$" &amp; $A$1)*parameters!$B$13</f>
        <v>-321.3</v>
      </c>
      <c r="Q3" s="16" cm="1">
        <f t="array" aca="1" ref="Q3" ca="1">INDIRECT("'data'!$G$" &amp; $A$1)*parameters!$B$13</f>
        <v>3853.7099999999996</v>
      </c>
      <c r="R3" s="16">
        <f t="shared" ref="R3:R10" ca="1" si="2">SUM(L3:P3)</f>
        <v>3853.7099999999991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5811.64</v>
      </c>
      <c r="H4" s="14"/>
      <c r="I4" s="14"/>
      <c r="J4" s="14"/>
      <c r="K4" s="13"/>
      <c r="L4" s="16">
        <f t="shared" ca="1" si="0"/>
        <v>5811.64</v>
      </c>
      <c r="M4" s="16"/>
      <c r="N4" s="16">
        <f t="shared" ca="1" si="1"/>
        <v>0</v>
      </c>
      <c r="O4" s="11" cm="1">
        <f t="array" aca="1" ref="O4" ca="1">INDIRECT("'data'!$K$" &amp; $A$1)*parameters!$B$14</f>
        <v>110.4</v>
      </c>
      <c r="P4" s="13" cm="1">
        <f t="array" aca="1" ref="P4" ca="1">-INDIRECT("'data'!$L$" &amp; $A$1)*parameters!$B$14</f>
        <v>-158.24</v>
      </c>
      <c r="Q4" s="16" cm="1">
        <f t="array" aca="1" ref="Q4" ca="1">INDIRECT("'data'!$J$" &amp; $A$1)*parameters!$B$14</f>
        <v>5763.8</v>
      </c>
      <c r="R4" s="16">
        <f t="shared" ca="1" si="2"/>
        <v>5763.8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952.4179104477613</v>
      </c>
      <c r="G5" s="14">
        <f ca="1">Q7/parameters!$B$7-(G3+G4)</f>
        <v>7263.192801665653</v>
      </c>
      <c r="H5" s="14"/>
      <c r="I5" s="14"/>
      <c r="J5" s="14"/>
      <c r="K5" s="13"/>
      <c r="L5" s="16">
        <f t="shared" ca="1" si="0"/>
        <v>8215.6107121134137</v>
      </c>
      <c r="M5" s="16"/>
      <c r="N5" s="16"/>
      <c r="O5" s="11" cm="1">
        <f t="array" aca="1" ref="O5" ca="1">INDIRECT("'data'!$M$" &amp; $A$1)*parameters!$B$15</f>
        <v>796.74</v>
      </c>
      <c r="P5" s="13" cm="1">
        <f t="array" aca="1" ref="P5" ca="1">-INDIRECT("'data'!$N$" &amp; $A$1)*parameters!$B$15</f>
        <v>-1574.86</v>
      </c>
      <c r="Q5" s="16">
        <f ca="1">SUM(L5:P5)</f>
        <v>7437.4907121134138</v>
      </c>
      <c r="R5" s="16">
        <f t="shared" ca="1" si="2"/>
        <v>7437.4907121134138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4466.84</v>
      </c>
      <c r="I6" s="14"/>
      <c r="J6" s="14"/>
      <c r="K6" s="13"/>
      <c r="L6" s="16">
        <f t="shared" ca="1" si="0"/>
        <v>4466.84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4466.84</v>
      </c>
      <c r="R6" s="16">
        <f t="shared" ca="1" si="2"/>
        <v>4466.84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12753.72</v>
      </c>
      <c r="I7" s="14"/>
      <c r="J7" s="14"/>
      <c r="K7" s="13"/>
      <c r="L7" s="16">
        <f t="shared" ca="1" si="0"/>
        <v>12753.72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12753.72</v>
      </c>
      <c r="R7" s="16">
        <f t="shared" ca="1" si="2"/>
        <v>12753.72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8181.6612243316195</v>
      </c>
      <c r="J8" s="14">
        <f ca="1">Q10/J18</f>
        <v>7441.4987756683786</v>
      </c>
      <c r="K8" s="13"/>
      <c r="L8" s="16">
        <f t="shared" ca="1" si="0"/>
        <v>15623.159999999998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2617.58</v>
      </c>
      <c r="P8" s="13" cm="1">
        <f t="array" aca="1" ref="P8" ca="1">-INDIRECT("'data'!$S$" &amp; $A$1)*parameters!$B$15</f>
        <v>-1020.18</v>
      </c>
      <c r="Q8" s="16">
        <f ca="1">SUM(Q6:Q7)</f>
        <v>17220.559999999998</v>
      </c>
      <c r="R8" s="16">
        <f t="shared" ca="1" si="2"/>
        <v>17220.559999999998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7986.02</v>
      </c>
      <c r="L9" s="16">
        <f t="shared" ca="1" si="0"/>
        <v>7986.02</v>
      </c>
      <c r="M9" s="16"/>
      <c r="N9" s="16">
        <f t="shared" ca="1" si="3"/>
        <v>0</v>
      </c>
      <c r="O9" s="11" cm="1">
        <f t="array" aca="1" ref="O9" ca="1">INDIRECT("'data'!$U$" &amp; $A$1)*parameters!$B$15</f>
        <v>1066.24</v>
      </c>
      <c r="P9" s="13" cm="1">
        <f t="array" aca="1" ref="P9" ca="1">-INDIRECT("'data'!$V$" &amp; $A$1)*parameters!$B$15</f>
        <v>-1468.04</v>
      </c>
      <c r="Q9" s="16" cm="1">
        <f t="array" aca="1" ref="Q9" ca="1">INDIRECT("'data'!$T$" &amp; $A$1)*parameters!$B$15</f>
        <v>7584.22</v>
      </c>
      <c r="R9" s="16">
        <f t="shared" ca="1" si="2"/>
        <v>7584.22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9500.0056899004267</v>
      </c>
      <c r="L10" s="16">
        <f t="shared" ca="1" si="0"/>
        <v>9500.0056899004267</v>
      </c>
      <c r="M10" s="16"/>
      <c r="N10" s="16">
        <f t="shared" ca="1" si="3"/>
        <v>0</v>
      </c>
      <c r="O10" s="11" cm="1">
        <f t="array" aca="1" ref="O10" ca="1">INDIRECT("'data'!$X$" &amp; $A$1)*parameters!$B$15</f>
        <v>1054.48</v>
      </c>
      <c r="P10" s="13" cm="1">
        <f t="array" aca="1" ref="P10" ca="1">-INDIRECT("'data'!$Y$" &amp; $A$1)*parameters!$B$15</f>
        <v>-3656.38</v>
      </c>
      <c r="Q10" s="16" cm="1">
        <f t="array" aca="1" ref="Q10" ca="1">INDIRECT("'data'!$W$" &amp; $A$1)*parameters!$B$15</f>
        <v>6898.1056899004261</v>
      </c>
      <c r="R10" s="16">
        <f t="shared" ca="1" si="2"/>
        <v>6898.1056899004261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14704.703693314368</v>
      </c>
      <c r="N11" s="19"/>
      <c r="O11" s="21" cm="1">
        <f t="array" aca="1" ref="O11" ca="1">INDIRECT("'data'!$Z$" &amp; $A$1)*parameters!$B$15</f>
        <v>9024.82</v>
      </c>
      <c r="P11" s="27" cm="1">
        <f t="array" aca="1" ref="P11" ca="1">-INDIRECT("'data'!$AA$" &amp; $A$1)*parameters!$B$15</f>
        <v>-8052.66</v>
      </c>
      <c r="Q11" s="16">
        <f ca="1">K9*parameters!$B$10+K10*parameters!$B$11</f>
        <v>15676.863693314368</v>
      </c>
      <c r="R11" s="16">
        <f t="shared" ref="R11:R17" ca="1" si="4">SUM(L11:P11)</f>
        <v>15676.863693314368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-24.43229646774671</v>
      </c>
      <c r="D12" s="9">
        <f ca="1">-(D17-Q4)</f>
        <v>-36.54215558015494</v>
      </c>
      <c r="E12" s="9">
        <f ca="1">-(E17-Q5)</f>
        <v>-919.24042509266928</v>
      </c>
      <c r="F12" s="9">
        <f ca="1">-(F17-Q6)</f>
        <v>-295.24955223880625</v>
      </c>
      <c r="G12" s="9">
        <f ca="1">-(G17-Q7)</f>
        <v>-573.05115987460886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-1848.515589253986</v>
      </c>
      <c r="M12" s="17"/>
      <c r="N12" s="17"/>
      <c r="O12" s="10"/>
      <c r="P12" s="12"/>
      <c r="Q12" s="9">
        <f t="shared" ref="Q12:Q17" ca="1" si="6">SUM(L12:P12)</f>
        <v>-1848.515589253986</v>
      </c>
      <c r="R12" s="17">
        <f t="shared" ca="1" si="4"/>
        <v>-1848.515589253986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-597.4412243316192</v>
      </c>
      <c r="J13" s="14">
        <f ca="1">-(J17-Q10)</f>
        <v>-543.39308576795247</v>
      </c>
      <c r="K13" s="13">
        <f ca="1">-(K17-Q11)</f>
        <v>-1809.1619965860591</v>
      </c>
      <c r="L13" s="14">
        <f t="shared" ca="1" si="5"/>
        <v>-2949.9963066856308</v>
      </c>
      <c r="M13" s="16">
        <f ca="1">-E15</f>
        <v>-5406.7348305204523</v>
      </c>
      <c r="N13" s="16"/>
      <c r="O13" s="11"/>
      <c r="P13" s="13"/>
      <c r="Q13" s="14">
        <f t="shared" ca="1" si="6"/>
        <v>-8356.7311372060831</v>
      </c>
      <c r="R13" s="16">
        <f t="shared" ca="1" si="4"/>
        <v>-8356.7311372060831</v>
      </c>
    </row>
    <row r="14" spans="1:20">
      <c r="A14" s="18" t="s">
        <v>78</v>
      </c>
      <c r="B14" s="11"/>
      <c r="C14" s="14"/>
      <c r="D14" s="14"/>
      <c r="E14" s="14">
        <f ca="1">-(I13+J13)-K13</f>
        <v>2949.9963066856308</v>
      </c>
      <c r="F14" s="14"/>
      <c r="G14" s="14"/>
      <c r="H14" s="14"/>
      <c r="I14" s="14"/>
      <c r="J14" s="14"/>
      <c r="K14" s="13"/>
      <c r="L14" s="14">
        <f t="shared" ca="1" si="5"/>
        <v>2949.9963066856308</v>
      </c>
      <c r="M14" s="16"/>
      <c r="N14" s="16"/>
      <c r="O14" s="11"/>
      <c r="P14" s="13"/>
      <c r="Q14" s="14">
        <f t="shared" ca="1" si="6"/>
        <v>2949.9963066856308</v>
      </c>
      <c r="R14" s="16">
        <f t="shared" ca="1" si="4"/>
        <v>2949.9963066856308</v>
      </c>
    </row>
    <row r="15" spans="1:20">
      <c r="A15" s="18" t="s">
        <v>79</v>
      </c>
      <c r="B15" s="11"/>
      <c r="C15" s="14"/>
      <c r="D15" s="14"/>
      <c r="E15" s="14">
        <f ca="1">E17-E14</f>
        <v>5406.7348305204523</v>
      </c>
      <c r="F15" s="14"/>
      <c r="G15" s="14"/>
      <c r="H15" s="14"/>
      <c r="I15" s="14"/>
      <c r="J15" s="14"/>
      <c r="K15" s="13"/>
      <c r="L15" s="14">
        <f t="shared" ca="1" si="5"/>
        <v>5406.7348305204523</v>
      </c>
      <c r="M15" s="16"/>
      <c r="N15" s="16"/>
      <c r="O15" s="11"/>
      <c r="P15" s="13"/>
      <c r="Q15" s="14">
        <f t="shared" ca="1" si="6"/>
        <v>5406.7348305204523</v>
      </c>
      <c r="R15" s="16">
        <f t="shared" ca="1" si="4"/>
        <v>5406.7348305204523</v>
      </c>
    </row>
    <row r="16" spans="1:20">
      <c r="A16" s="30" t="s">
        <v>89</v>
      </c>
      <c r="B16" s="21">
        <f ca="1">Q2</f>
        <v>6550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6550</v>
      </c>
      <c r="M16" s="19"/>
      <c r="N16" s="19"/>
      <c r="O16" s="21"/>
      <c r="P16" s="27"/>
      <c r="Q16" s="22">
        <f t="shared" ca="1" si="6"/>
        <v>6550</v>
      </c>
      <c r="R16" s="19">
        <f t="shared" ca="1" si="4"/>
        <v>6550</v>
      </c>
    </row>
    <row r="17" spans="1:18">
      <c r="A17" s="29" t="s">
        <v>88</v>
      </c>
      <c r="B17" s="9">
        <f ca="1">B16</f>
        <v>6550</v>
      </c>
      <c r="C17" s="9">
        <f ca="1">SUM(C$2:C$11)</f>
        <v>3878.1422964677463</v>
      </c>
      <c r="D17" s="9">
        <f ca="1">SUM(D$2:D$11)</f>
        <v>5800.3421555801551</v>
      </c>
      <c r="E17" s="9">
        <f ca="1">$Q$5/parameters!$B$4</f>
        <v>8356.7311372060831</v>
      </c>
      <c r="F17" s="9">
        <f t="shared" ref="F17:K17" ca="1" si="7">SUM(F$2:F$11)</f>
        <v>4762.0895522388064</v>
      </c>
      <c r="G17" s="9">
        <f t="shared" ca="1" si="7"/>
        <v>13326.771159874608</v>
      </c>
      <c r="H17" s="9">
        <f t="shared" ca="1" si="7"/>
        <v>17220.559999999998</v>
      </c>
      <c r="I17" s="9">
        <f t="shared" ca="1" si="7"/>
        <v>8181.6612243316195</v>
      </c>
      <c r="J17" s="9">
        <f t="shared" ca="1" si="7"/>
        <v>7441.4987756683786</v>
      </c>
      <c r="K17" s="9">
        <f t="shared" ca="1" si="7"/>
        <v>17486.025689900427</v>
      </c>
      <c r="L17" s="17">
        <f t="shared" ca="1" si="5"/>
        <v>93003.821991267832</v>
      </c>
      <c r="M17" s="17"/>
      <c r="N17" s="17"/>
      <c r="O17" s="9"/>
      <c r="P17" s="14"/>
      <c r="Q17" s="11">
        <f t="shared" ca="1" si="6"/>
        <v>93003.821991267832</v>
      </c>
      <c r="R17" s="17">
        <f t="shared" ca="1" si="4"/>
        <v>93003.821991267832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0.92697800508350603</v>
      </c>
      <c r="J18" s="39">
        <f ca="1">I18</f>
        <v>0.92697800508350603</v>
      </c>
      <c r="K18" s="40">
        <f ca="1">1-(-K13)/K17</f>
        <v>0.89653669572091532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154.88812364865308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154.88812364865308</v>
      </c>
      <c r="M2" s="17"/>
      <c r="N2" s="17">
        <f ca="1">Q2-(L2+O2+P2)</f>
        <v>0</v>
      </c>
      <c r="O2" s="11" cm="1">
        <f t="array" aca="1" ref="O2" ca="1">INDIRECT("'data'!$F$" &amp; $A$1)</f>
        <v>780</v>
      </c>
      <c r="P2" s="13">
        <f ca="1">IF(-(L2-Q2+O2)&lt;0, -(L2-Q2+O2), 0)</f>
        <v>-427.11635838924894</v>
      </c>
      <c r="Q2" s="17" cm="1">
        <f t="array" aca="1" ref="Q2" ca="1">INDIRECT("'data'!$D$" &amp; $A$1)</f>
        <v>507.77176525940411</v>
      </c>
      <c r="R2" s="17">
        <f ca="1">SUM(L2:P2)</f>
        <v>507.77176525940411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180.37232846966657</v>
      </c>
      <c r="H3" s="14"/>
      <c r="I3" s="14"/>
      <c r="J3" s="14"/>
      <c r="K3" s="13"/>
      <c r="L3" s="16">
        <f t="shared" ca="1" si="0"/>
        <v>180.37232846966657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-26.459999999999997</v>
      </c>
      <c r="Q3" s="16" cm="1">
        <f t="array" aca="1" ref="Q3" ca="1">INDIRECT("'data'!$G$" &amp; $A$1)*parameters!$B$13</f>
        <v>153.91232846966656</v>
      </c>
      <c r="R3" s="16">
        <f t="shared" ref="R3:R10" ca="1" si="2">SUM(L3:P3)</f>
        <v>153.91232846966656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1892.2713496912529</v>
      </c>
      <c r="H5" s="14"/>
      <c r="I5" s="14"/>
      <c r="J5" s="14"/>
      <c r="K5" s="13"/>
      <c r="L5" s="16">
        <f t="shared" ca="1" si="0"/>
        <v>1892.2713496912529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-1029</v>
      </c>
      <c r="Q5" s="16">
        <f ca="1">SUM(L5:P5)</f>
        <v>863.27134969125291</v>
      </c>
      <c r="R5" s="16">
        <f t="shared" ca="1" si="2"/>
        <v>863.27134969125291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1983.52</v>
      </c>
      <c r="I7" s="14"/>
      <c r="J7" s="14"/>
      <c r="K7" s="13"/>
      <c r="L7" s="16">
        <f t="shared" ca="1" si="0"/>
        <v>1983.52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1983.52</v>
      </c>
      <c r="R7" s="16">
        <f t="shared" ca="1" si="2"/>
        <v>1983.52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3986.64</v>
      </c>
      <c r="J8" s="14">
        <f ca="1">Q10/J18</f>
        <v>0</v>
      </c>
      <c r="K8" s="13"/>
      <c r="L8" s="16">
        <f t="shared" ca="1" si="0"/>
        <v>3986.64</v>
      </c>
      <c r="M8" s="16"/>
      <c r="N8" s="16">
        <f t="shared" ca="1" si="3"/>
        <v>0</v>
      </c>
      <c r="O8" s="11" cm="1">
        <f t="array" aca="1" ref="O8" ca="1">INDIRECT("'data'!$R$" &amp; $A$1)*parameters!$B$15</f>
        <v>0.98</v>
      </c>
      <c r="P8" s="13" cm="1">
        <f t="array" aca="1" ref="P8" ca="1">-INDIRECT("'data'!$S$" &amp; $A$1)*parameters!$B$15</f>
        <v>-2004.1</v>
      </c>
      <c r="Q8" s="16">
        <f ca="1">SUM(Q6:Q7)</f>
        <v>1983.52</v>
      </c>
      <c r="R8" s="16">
        <f t="shared" ca="1" si="2"/>
        <v>1983.52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3875.9</v>
      </c>
      <c r="L9" s="16">
        <f t="shared" ca="1" si="0"/>
        <v>3875.9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3875.9</v>
      </c>
      <c r="R9" s="16">
        <f t="shared" ca="1" si="2"/>
        <v>3875.9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3379.5299999999997</v>
      </c>
      <c r="L10" s="16">
        <f t="shared" ca="1" si="0"/>
        <v>3379.5299999999997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-3379.5299999999997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7075.0217999999995</v>
      </c>
      <c r="N11" s="19"/>
      <c r="O11" s="21" cm="1">
        <f t="array" aca="1" ref="O11" ca="1">INDIRECT("'data'!$Z$" &amp; $A$1)*parameters!$B$15</f>
        <v>283.21999999999997</v>
      </c>
      <c r="P11" s="27" cm="1">
        <f t="array" aca="1" ref="P11" ca="1">-INDIRECT("'data'!$AA$" &amp; $A$1)*parameters!$B$15</f>
        <v>-808.5</v>
      </c>
      <c r="Q11" s="16">
        <f ca="1">K9*parameters!$B$10+K10*parameters!$B$11</f>
        <v>6549.7417999999998</v>
      </c>
      <c r="R11" s="16">
        <f t="shared" ref="R11:R17" ca="1" si="4">SUM(L11:P11)</f>
        <v>6549.7417999999998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-0.97579517898651602</v>
      </c>
      <c r="D12" s="9">
        <f ca="1">-(D17-Q4)</f>
        <v>0</v>
      </c>
      <c r="E12" s="9">
        <f ca="1">-(E17-Q5)</f>
        <v>-106.69645895060432</v>
      </c>
      <c r="F12" s="9">
        <f ca="1">-(F17-Q6)</f>
        <v>0</v>
      </c>
      <c r="G12" s="9">
        <f ca="1">-(G17-Q7)</f>
        <v>-89.123678160919553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-196.79593229051039</v>
      </c>
      <c r="M12" s="17"/>
      <c r="N12" s="17"/>
      <c r="O12" s="10"/>
      <c r="P12" s="12"/>
      <c r="Q12" s="9">
        <f t="shared" ref="Q12:Q17" ca="1" si="6">SUM(L12:P12)</f>
        <v>-196.79593229051039</v>
      </c>
      <c r="R12" s="17">
        <f t="shared" ca="1" si="4"/>
        <v>-196.79593229051039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-110.73999999999978</v>
      </c>
      <c r="J13" s="14">
        <f ca="1">-(J17-Q10)</f>
        <v>0</v>
      </c>
      <c r="K13" s="13">
        <f ca="1">-(K17-Q11)</f>
        <v>-705.68820000000051</v>
      </c>
      <c r="L13" s="14">
        <f t="shared" ca="1" si="5"/>
        <v>-816.42820000000029</v>
      </c>
      <c r="M13" s="16">
        <f ca="1">-E15</f>
        <v>-153.53960864185694</v>
      </c>
      <c r="N13" s="16"/>
      <c r="O13" s="11"/>
      <c r="P13" s="13"/>
      <c r="Q13" s="14">
        <f t="shared" ca="1" si="6"/>
        <v>-969.96780864185723</v>
      </c>
      <c r="R13" s="16">
        <f t="shared" ca="1" si="4"/>
        <v>-969.96780864185723</v>
      </c>
    </row>
    <row r="14" spans="1:20">
      <c r="A14" s="18" t="s">
        <v>78</v>
      </c>
      <c r="B14" s="11"/>
      <c r="C14" s="14"/>
      <c r="D14" s="14"/>
      <c r="E14" s="14">
        <f ca="1">-(I13+J13)-K13</f>
        <v>816.42820000000029</v>
      </c>
      <c r="F14" s="14"/>
      <c r="G14" s="14"/>
      <c r="H14" s="14"/>
      <c r="I14" s="14"/>
      <c r="J14" s="14"/>
      <c r="K14" s="13"/>
      <c r="L14" s="14">
        <f t="shared" ca="1" si="5"/>
        <v>816.42820000000029</v>
      </c>
      <c r="M14" s="16"/>
      <c r="N14" s="16"/>
      <c r="O14" s="11"/>
      <c r="P14" s="13"/>
      <c r="Q14" s="14">
        <f t="shared" ca="1" si="6"/>
        <v>816.42820000000029</v>
      </c>
      <c r="R14" s="16">
        <f t="shared" ca="1" si="4"/>
        <v>816.42820000000029</v>
      </c>
    </row>
    <row r="15" spans="1:20">
      <c r="A15" s="18" t="s">
        <v>79</v>
      </c>
      <c r="B15" s="11"/>
      <c r="C15" s="14"/>
      <c r="D15" s="14"/>
      <c r="E15" s="14">
        <f ca="1">E17-E14</f>
        <v>153.53960864185694</v>
      </c>
      <c r="F15" s="14"/>
      <c r="G15" s="14"/>
      <c r="H15" s="14"/>
      <c r="I15" s="14"/>
      <c r="J15" s="14"/>
      <c r="K15" s="13"/>
      <c r="L15" s="14">
        <f t="shared" ca="1" si="5"/>
        <v>153.53960864185694</v>
      </c>
      <c r="M15" s="16"/>
      <c r="N15" s="16"/>
      <c r="O15" s="11"/>
      <c r="P15" s="13"/>
      <c r="Q15" s="14">
        <f t="shared" ca="1" si="6"/>
        <v>153.53960864185694</v>
      </c>
      <c r="R15" s="16">
        <f t="shared" ca="1" si="4"/>
        <v>153.53960864185694</v>
      </c>
    </row>
    <row r="16" spans="1:20">
      <c r="A16" s="30" t="s">
        <v>89</v>
      </c>
      <c r="B16" s="21">
        <f ca="1">Q2</f>
        <v>507.77176525940411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507.77176525940411</v>
      </c>
      <c r="M16" s="19"/>
      <c r="N16" s="19"/>
      <c r="O16" s="21"/>
      <c r="P16" s="27"/>
      <c r="Q16" s="22">
        <f t="shared" ca="1" si="6"/>
        <v>507.77176525940411</v>
      </c>
      <c r="R16" s="19">
        <f t="shared" ca="1" si="4"/>
        <v>507.77176525940411</v>
      </c>
    </row>
    <row r="17" spans="1:18">
      <c r="A17" s="29" t="s">
        <v>88</v>
      </c>
      <c r="B17" s="9">
        <f ca="1">B16</f>
        <v>507.77176525940411</v>
      </c>
      <c r="C17" s="9">
        <f ca="1">SUM(C$2:C$11)</f>
        <v>154.88812364865308</v>
      </c>
      <c r="D17" s="9">
        <f ca="1">SUM(D$2:D$11)</f>
        <v>0</v>
      </c>
      <c r="E17" s="9">
        <f ca="1">$Q$5/parameters!$B$4</f>
        <v>969.96780864185723</v>
      </c>
      <c r="F17" s="9">
        <f t="shared" ref="F17:K17" ca="1" si="7">SUM(F$2:F$11)</f>
        <v>0</v>
      </c>
      <c r="G17" s="9">
        <f t="shared" ca="1" si="7"/>
        <v>2072.6436781609195</v>
      </c>
      <c r="H17" s="9">
        <f t="shared" ca="1" si="7"/>
        <v>1983.52</v>
      </c>
      <c r="I17" s="9">
        <f t="shared" ca="1" si="7"/>
        <v>3986.64</v>
      </c>
      <c r="J17" s="9">
        <f t="shared" ca="1" si="7"/>
        <v>0</v>
      </c>
      <c r="K17" s="9">
        <f t="shared" ca="1" si="7"/>
        <v>7255.43</v>
      </c>
      <c r="L17" s="17">
        <f t="shared" ca="1" si="5"/>
        <v>16930.861375710832</v>
      </c>
      <c r="M17" s="17"/>
      <c r="N17" s="17"/>
      <c r="O17" s="9"/>
      <c r="P17" s="14"/>
      <c r="Q17" s="11">
        <f t="shared" ca="1" si="6"/>
        <v>16930.861375710832</v>
      </c>
      <c r="R17" s="17">
        <f t="shared" ca="1" si="4"/>
        <v>16930.861375710832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0.97222222222222232</v>
      </c>
      <c r="J18" s="39">
        <f ca="1">I18</f>
        <v>0.97222222222222232</v>
      </c>
      <c r="K18" s="40">
        <f ca="1">1-(-K13)/K17</f>
        <v>0.90273654352671029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11817.017208413001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11817.017208413001</v>
      </c>
      <c r="M2" s="17"/>
      <c r="N2" s="17">
        <f ca="1">Q2-(L2+O2+P2)</f>
        <v>0</v>
      </c>
      <c r="O2" s="11" cm="1">
        <f t="array" aca="1" ref="O2" ca="1">INDIRECT("'data'!$F$" &amp; $A$1)</f>
        <v>44.85</v>
      </c>
      <c r="P2" s="13">
        <f ca="1">IF(-(L2-Q2+O2)&lt;0, -(L2-Q2+O2), 0)</f>
        <v>-11861.867208413001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9869.3731343283598</v>
      </c>
      <c r="G3" s="14">
        <f ca="1">Q3-O3-P3-F3</f>
        <v>1969.5868656716411</v>
      </c>
      <c r="H3" s="14"/>
      <c r="I3" s="14"/>
      <c r="J3" s="14"/>
      <c r="K3" s="13"/>
      <c r="L3" s="16">
        <f t="shared" ca="1" si="0"/>
        <v>11838.960000000001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85.05</v>
      </c>
      <c r="P3" s="13" cm="1">
        <f t="array" aca="1" ref="P3" ca="1">-INDIRECT("'data'!$I$" &amp; $A$1)*parameters!$B$13</f>
        <v>-181.44</v>
      </c>
      <c r="Q3" s="16" cm="1">
        <f t="array" aca="1" ref="Q3" ca="1">INDIRECT("'data'!$G$" &amp; $A$1)*parameters!$B$13</f>
        <v>11742.57</v>
      </c>
      <c r="R3" s="16">
        <f t="shared" ref="R3:R10" ca="1" si="2">SUM(L3:P3)</f>
        <v>11742.57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115</v>
      </c>
      <c r="H4" s="14"/>
      <c r="I4" s="14"/>
      <c r="J4" s="14"/>
      <c r="K4" s="13"/>
      <c r="L4" s="16">
        <f t="shared" ca="1" si="0"/>
        <v>115</v>
      </c>
      <c r="M4" s="16"/>
      <c r="N4" s="16">
        <f t="shared" ca="1" si="1"/>
        <v>0</v>
      </c>
      <c r="O4" s="11" cm="1">
        <f t="array" aca="1" ref="O4" ca="1">INDIRECT("'data'!$K$" &amp; $A$1)*parameters!$B$14</f>
        <v>8.2800000000000011</v>
      </c>
      <c r="P4" s="13" cm="1">
        <f t="array" aca="1" ref="P4" ca="1">-INDIRECT("'data'!$L$" &amp; $A$1)*parameters!$B$14</f>
        <v>-123.28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2467.34328358209</v>
      </c>
      <c r="G5" s="14">
        <f ca="1">Q7/parameters!$B$7-(G3+G4)</f>
        <v>5536.2699786334788</v>
      </c>
      <c r="H5" s="14"/>
      <c r="I5" s="14"/>
      <c r="J5" s="14"/>
      <c r="K5" s="13"/>
      <c r="L5" s="16">
        <f t="shared" ca="1" si="0"/>
        <v>8003.6132622155692</v>
      </c>
      <c r="M5" s="16"/>
      <c r="N5" s="16"/>
      <c r="O5" s="11" cm="1">
        <f t="array" aca="1" ref="O5" ca="1">INDIRECT("'data'!$M$" &amp; $A$1)*parameters!$B$15</f>
        <v>6030.92</v>
      </c>
      <c r="P5" s="13" cm="1">
        <f t="array" aca="1" ref="P5" ca="1">-INDIRECT("'data'!$N$" &amp; $A$1)*parameters!$B$15</f>
        <v>-3121.2999999999997</v>
      </c>
      <c r="Q5" s="16">
        <f ca="1">SUM(L5:P5)</f>
        <v>10913.23326221557</v>
      </c>
      <c r="R5" s="16">
        <f t="shared" ca="1" si="2"/>
        <v>10913.23326221557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11571.84</v>
      </c>
      <c r="I6" s="14"/>
      <c r="J6" s="14"/>
      <c r="K6" s="13"/>
      <c r="L6" s="16">
        <f t="shared" ca="1" si="0"/>
        <v>11571.84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11571.84</v>
      </c>
      <c r="R6" s="16">
        <f t="shared" ca="1" si="2"/>
        <v>11571.84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7293.16</v>
      </c>
      <c r="I7" s="14"/>
      <c r="J7" s="14"/>
      <c r="K7" s="13"/>
      <c r="L7" s="16">
        <f t="shared" ca="1" si="0"/>
        <v>7293.16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7293.16</v>
      </c>
      <c r="R7" s="16">
        <f t="shared" ca="1" si="2"/>
        <v>7293.16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6036.7747320833596</v>
      </c>
      <c r="J8" s="14">
        <f ca="1">Q10/J18</f>
        <v>12188.285267916643</v>
      </c>
      <c r="K8" s="13"/>
      <c r="L8" s="16">
        <f t="shared" ca="1" si="0"/>
        <v>18225.060000000001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2597</v>
      </c>
      <c r="P8" s="13" cm="1">
        <f t="array" aca="1" ref="P8" ca="1">-INDIRECT("'data'!$S$" &amp; $A$1)*parameters!$B$15</f>
        <v>-1957.06</v>
      </c>
      <c r="Q8" s="16">
        <f ca="1">SUM(Q6:Q7)</f>
        <v>18865</v>
      </c>
      <c r="R8" s="16">
        <f t="shared" ca="1" si="2"/>
        <v>18865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6640.4800000000005</v>
      </c>
      <c r="L9" s="16">
        <f t="shared" ca="1" si="0"/>
        <v>6640.4800000000005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2858.66</v>
      </c>
      <c r="P9" s="13" cm="1">
        <f t="array" aca="1" ref="P9" ca="1">-INDIRECT("'data'!$V$" &amp; $A$1)*parameters!$B$15</f>
        <v>-4117.96</v>
      </c>
      <c r="Q9" s="16" cm="1">
        <f t="array" aca="1" ref="Q9" ca="1">INDIRECT("'data'!$T$" &amp; $A$1)*parameters!$B$15</f>
        <v>5381.18</v>
      </c>
      <c r="R9" s="16">
        <f t="shared" ca="1" si="2"/>
        <v>5381.1799999999994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10205.095476529159</v>
      </c>
      <c r="L10" s="16">
        <f t="shared" ca="1" si="0"/>
        <v>10205.095476529159</v>
      </c>
      <c r="M10" s="16"/>
      <c r="N10" s="16">
        <f t="shared" ca="1" si="3"/>
        <v>0</v>
      </c>
      <c r="O10" s="11" cm="1">
        <f t="array" aca="1" ref="O10" ca="1">INDIRECT("'data'!$X$" &amp; $A$1)*parameters!$B$15</f>
        <v>10796.66</v>
      </c>
      <c r="P10" s="13" cm="1">
        <f t="array" aca="1" ref="P10" ca="1">-INDIRECT("'data'!$Y$" &amp; $A$1)*parameters!$B$15</f>
        <v>-10137.119999999999</v>
      </c>
      <c r="Q10" s="16" cm="1">
        <f t="array" aca="1" ref="Q10" ca="1">INDIRECT("'data'!$W$" &amp; $A$1)*parameters!$B$15</f>
        <v>10864.63547652916</v>
      </c>
      <c r="R10" s="16">
        <f t="shared" ca="1" si="2"/>
        <v>10864.635476529158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17377.293309815075</v>
      </c>
      <c r="N11" s="19"/>
      <c r="O11" s="21" cm="1">
        <f t="array" aca="1" ref="O11" ca="1">INDIRECT("'data'!$Z$" &amp; $A$1)*parameters!$B$15</f>
        <v>11794.3</v>
      </c>
      <c r="P11" s="27" cm="1">
        <f t="array" aca="1" ref="P11" ca="1">-INDIRECT("'data'!$AA$" &amp; $A$1)*parameters!$B$15</f>
        <v>-14153.16</v>
      </c>
      <c r="Q11" s="16">
        <f ca="1">K9*parameters!$B$10+K10*parameters!$B$11</f>
        <v>15018.433309815076</v>
      </c>
      <c r="R11" s="16">
        <f t="shared" ref="R11:R17" ca="1" si="4">SUM(L11:P11)</f>
        <v>15018.433309815075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-74.447208413001135</v>
      </c>
      <c r="D12" s="9">
        <f ca="1">-(D17-Q4)</f>
        <v>0</v>
      </c>
      <c r="E12" s="9">
        <f ca="1">-(E17-Q5)</f>
        <v>-1348.8265829704633</v>
      </c>
      <c r="F12" s="9">
        <f ca="1">-(F17-Q6)</f>
        <v>-764.87641791044916</v>
      </c>
      <c r="G12" s="9">
        <f ca="1">-(G17-Q7)</f>
        <v>-327.69684430512007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-2515.8470535990336</v>
      </c>
      <c r="M12" s="17"/>
      <c r="N12" s="17"/>
      <c r="O12" s="10"/>
      <c r="P12" s="12"/>
      <c r="Q12" s="9">
        <f t="shared" ref="Q12:Q17" ca="1" si="6">SUM(L12:P12)</f>
        <v>-2515.8470535990336</v>
      </c>
      <c r="R12" s="17">
        <f t="shared" ca="1" si="4"/>
        <v>-2515.8470535990336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-655.5947320833593</v>
      </c>
      <c r="J13" s="14">
        <f ca="1">-(J17-Q10)</f>
        <v>-1323.6497913874828</v>
      </c>
      <c r="K13" s="13">
        <f ca="1">-(K17-Q11)</f>
        <v>-1827.1421667140839</v>
      </c>
      <c r="L13" s="14">
        <f t="shared" ca="1" si="5"/>
        <v>-3806.386690184926</v>
      </c>
      <c r="M13" s="16">
        <f ca="1">-E15</f>
        <v>-8455.6731550011064</v>
      </c>
      <c r="N13" s="16"/>
      <c r="O13" s="11"/>
      <c r="P13" s="13"/>
      <c r="Q13" s="14">
        <f t="shared" ca="1" si="6"/>
        <v>-12262.059845186031</v>
      </c>
      <c r="R13" s="16">
        <f t="shared" ca="1" si="4"/>
        <v>-12262.059845186031</v>
      </c>
    </row>
    <row r="14" spans="1:20">
      <c r="A14" s="18" t="s">
        <v>78</v>
      </c>
      <c r="B14" s="11"/>
      <c r="C14" s="14"/>
      <c r="D14" s="14"/>
      <c r="E14" s="14">
        <f ca="1">-(I13+J13)-K13</f>
        <v>3806.386690184926</v>
      </c>
      <c r="F14" s="14"/>
      <c r="G14" s="14"/>
      <c r="H14" s="14"/>
      <c r="I14" s="14"/>
      <c r="J14" s="14"/>
      <c r="K14" s="13"/>
      <c r="L14" s="14">
        <f t="shared" ca="1" si="5"/>
        <v>3806.386690184926</v>
      </c>
      <c r="M14" s="16"/>
      <c r="N14" s="16"/>
      <c r="O14" s="11"/>
      <c r="P14" s="13"/>
      <c r="Q14" s="14">
        <f t="shared" ca="1" si="6"/>
        <v>3806.386690184926</v>
      </c>
      <c r="R14" s="16">
        <f t="shared" ca="1" si="4"/>
        <v>3806.386690184926</v>
      </c>
    </row>
    <row r="15" spans="1:20">
      <c r="A15" s="18" t="s">
        <v>79</v>
      </c>
      <c r="B15" s="11"/>
      <c r="C15" s="14"/>
      <c r="D15" s="14"/>
      <c r="E15" s="14">
        <f ca="1">E17-E14</f>
        <v>8455.6731550011064</v>
      </c>
      <c r="F15" s="14"/>
      <c r="G15" s="14"/>
      <c r="H15" s="14"/>
      <c r="I15" s="14"/>
      <c r="J15" s="14"/>
      <c r="K15" s="13"/>
      <c r="L15" s="14">
        <f t="shared" ca="1" si="5"/>
        <v>8455.6731550011064</v>
      </c>
      <c r="M15" s="16"/>
      <c r="N15" s="16"/>
      <c r="O15" s="11"/>
      <c r="P15" s="13"/>
      <c r="Q15" s="14">
        <f t="shared" ca="1" si="6"/>
        <v>8455.6731550011064</v>
      </c>
      <c r="R15" s="16">
        <f t="shared" ca="1" si="4"/>
        <v>8455.6731550011064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11817.017208413001</v>
      </c>
      <c r="D17" s="9">
        <f ca="1">SUM(D$2:D$11)</f>
        <v>0</v>
      </c>
      <c r="E17" s="9">
        <f ca="1">$Q$5/parameters!$B$4</f>
        <v>12262.059845186033</v>
      </c>
      <c r="F17" s="9">
        <f t="shared" ref="F17:K17" ca="1" si="7">SUM(F$2:F$11)</f>
        <v>12336.716417910449</v>
      </c>
      <c r="G17" s="9">
        <f t="shared" ca="1" si="7"/>
        <v>7620.8568443051199</v>
      </c>
      <c r="H17" s="9">
        <f t="shared" ca="1" si="7"/>
        <v>18865</v>
      </c>
      <c r="I17" s="9">
        <f t="shared" ca="1" si="7"/>
        <v>6036.7747320833596</v>
      </c>
      <c r="J17" s="9">
        <f t="shared" ca="1" si="7"/>
        <v>12188.285267916643</v>
      </c>
      <c r="K17" s="9">
        <f t="shared" ca="1" si="7"/>
        <v>16845.57547652916</v>
      </c>
      <c r="L17" s="17">
        <f t="shared" ca="1" si="5"/>
        <v>97972.28579234377</v>
      </c>
      <c r="M17" s="17"/>
      <c r="N17" s="17"/>
      <c r="O17" s="9"/>
      <c r="P17" s="14"/>
      <c r="Q17" s="11">
        <f t="shared" ca="1" si="6"/>
        <v>97972.28579234377</v>
      </c>
      <c r="R17" s="17">
        <f t="shared" ca="1" si="4"/>
        <v>97972.28579234377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0.89139983498156705</v>
      </c>
      <c r="J18" s="39">
        <f ca="1">I18</f>
        <v>0.89139983498156705</v>
      </c>
      <c r="K18" s="40">
        <f ca="1">1-(-K13)/K17</f>
        <v>0.89153578224384022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3781.1411894938105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3781.1411894938105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-3781.1411894938105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3502.0895522388064</v>
      </c>
      <c r="G3" s="14">
        <f ca="1">Q3-O3-P3-F3</f>
        <v>860.97544776119321</v>
      </c>
      <c r="H3" s="14"/>
      <c r="I3" s="14"/>
      <c r="J3" s="14"/>
      <c r="K3" s="13"/>
      <c r="L3" s="16">
        <f t="shared" ca="1" si="0"/>
        <v>4363.0649999999996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11.34</v>
      </c>
      <c r="P3" s="13" cm="1">
        <f t="array" aca="1" ref="P3" ca="1">-INDIRECT("'data'!$I$" &amp; $A$1)*parameters!$B$13</f>
        <v>-617.08499999999992</v>
      </c>
      <c r="Q3" s="16" cm="1">
        <f t="array" aca="1" ref="Q3" ca="1">INDIRECT("'data'!$G$" &amp; $A$1)*parameters!$B$13</f>
        <v>3757.3199999999997</v>
      </c>
      <c r="R3" s="16">
        <f t="shared" ref="R3:R10" ca="1" si="2">SUM(L3:P3)</f>
        <v>3757.3199999999997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502.32</v>
      </c>
      <c r="H4" s="14"/>
      <c r="I4" s="14"/>
      <c r="J4" s="14"/>
      <c r="K4" s="13"/>
      <c r="L4" s="16">
        <f t="shared" ca="1" si="0"/>
        <v>502.32</v>
      </c>
      <c r="M4" s="16"/>
      <c r="N4" s="16">
        <f t="shared" ca="1" si="1"/>
        <v>0</v>
      </c>
      <c r="O4" s="11" cm="1">
        <f t="array" aca="1" ref="O4" ca="1">INDIRECT("'data'!$K$" &amp; $A$1)*parameters!$B$14</f>
        <v>3.68</v>
      </c>
      <c r="P4" s="13" cm="1">
        <f t="array" aca="1" ref="P4" ca="1">-INDIRECT("'data'!$L$" &amp; $A$1)*parameters!$B$14</f>
        <v>-506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875.5223880597016</v>
      </c>
      <c r="G5" s="14">
        <f ca="1">Q7/parameters!$B$7-(G3+G4)</f>
        <v>13801.615733012057</v>
      </c>
      <c r="H5" s="14"/>
      <c r="I5" s="14"/>
      <c r="J5" s="14"/>
      <c r="K5" s="13"/>
      <c r="L5" s="16">
        <f t="shared" ca="1" si="0"/>
        <v>14677.138121071759</v>
      </c>
      <c r="M5" s="16"/>
      <c r="N5" s="16"/>
      <c r="O5" s="11" cm="1">
        <f t="array" aca="1" ref="O5" ca="1">INDIRECT("'data'!$M$" &amp; $A$1)*parameters!$B$15</f>
        <v>158.76</v>
      </c>
      <c r="P5" s="13" cm="1">
        <f t="array" aca="1" ref="P5" ca="1">-INDIRECT("'data'!$N$" &amp; $A$1)*parameters!$B$15</f>
        <v>-6190.66</v>
      </c>
      <c r="Q5" s="16">
        <f ca="1">SUM(L5:P5)</f>
        <v>8645.2381210717595</v>
      </c>
      <c r="R5" s="16">
        <f t="shared" ca="1" si="2"/>
        <v>8645.2381210717595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4106.2</v>
      </c>
      <c r="I6" s="14"/>
      <c r="J6" s="14"/>
      <c r="K6" s="13"/>
      <c r="L6" s="16">
        <f t="shared" ca="1" si="0"/>
        <v>4106.2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4106.2</v>
      </c>
      <c r="R6" s="16">
        <f t="shared" ca="1" si="2"/>
        <v>4106.2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14512.82</v>
      </c>
      <c r="I7" s="14"/>
      <c r="J7" s="14"/>
      <c r="K7" s="13"/>
      <c r="L7" s="16">
        <f t="shared" ca="1" si="0"/>
        <v>14512.82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14512.82</v>
      </c>
      <c r="R7" s="16">
        <f t="shared" ca="1" si="2"/>
        <v>14512.82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13771.858131210007</v>
      </c>
      <c r="J8" s="14">
        <f ca="1">Q10/J18</f>
        <v>6456.3218687899935</v>
      </c>
      <c r="K8" s="13"/>
      <c r="L8" s="16">
        <f t="shared" ca="1" si="0"/>
        <v>20228.18</v>
      </c>
      <c r="M8" s="16"/>
      <c r="N8" s="16">
        <f t="shared" ca="1" si="3"/>
        <v>0</v>
      </c>
      <c r="O8" s="11" cm="1">
        <f t="array" aca="1" ref="O8" ca="1">INDIRECT("'data'!$R$" &amp; $A$1)*parameters!$B$15</f>
        <v>89.179999999999993</v>
      </c>
      <c r="P8" s="13" cm="1">
        <f t="array" aca="1" ref="P8" ca="1">-INDIRECT("'data'!$S$" &amp; $A$1)*parameters!$B$15</f>
        <v>-1698.34</v>
      </c>
      <c r="Q8" s="16">
        <f ca="1">SUM(Q6:Q7)</f>
        <v>18619.02</v>
      </c>
      <c r="R8" s="16">
        <f t="shared" ca="1" si="2"/>
        <v>18619.02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12172.580000000002</v>
      </c>
      <c r="L9" s="16">
        <f t="shared" ca="1" si="0"/>
        <v>12172.580000000002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4237.5199999999995</v>
      </c>
      <c r="P9" s="13" cm="1">
        <f t="array" aca="1" ref="P9" ca="1">-INDIRECT("'data'!$V$" &amp; $A$1)*parameters!$B$15</f>
        <v>-3814.16</v>
      </c>
      <c r="Q9" s="16" cm="1">
        <f t="array" aca="1" ref="Q9" ca="1">INDIRECT("'data'!$T$" &amp; $A$1)*parameters!$B$15</f>
        <v>12595.94</v>
      </c>
      <c r="R9" s="16">
        <f t="shared" ca="1" si="2"/>
        <v>12595.940000000002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11608.64506401138</v>
      </c>
      <c r="L10" s="16">
        <f t="shared" ca="1" si="0"/>
        <v>11608.64506401138</v>
      </c>
      <c r="M10" s="16"/>
      <c r="N10" s="16">
        <f t="shared" ca="1" si="3"/>
        <v>0</v>
      </c>
      <c r="O10" s="11" cm="1">
        <f t="array" aca="1" ref="O10" ca="1">INDIRECT("'data'!$X$" &amp; $A$1)*parameters!$B$15</f>
        <v>2613.66</v>
      </c>
      <c r="P10" s="13" cm="1">
        <f t="array" aca="1" ref="P10" ca="1">-INDIRECT("'data'!$Y$" &amp; $A$1)*parameters!$B$15</f>
        <v>-8317.26</v>
      </c>
      <c r="Q10" s="16" cm="1">
        <f t="array" aca="1" ref="Q10" ca="1">INDIRECT("'data'!$W$" &amp; $A$1)*parameters!$B$15</f>
        <v>5905.0450640113795</v>
      </c>
      <c r="R10" s="16">
        <f t="shared" ca="1" si="2"/>
        <v>5905.0450640113795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21544.239955049787</v>
      </c>
      <c r="N11" s="19"/>
      <c r="O11" s="21" cm="1">
        <f t="array" aca="1" ref="O11" ca="1">INDIRECT("'data'!$Z$" &amp; $A$1)*parameters!$B$15</f>
        <v>7220.6399999999994</v>
      </c>
      <c r="P11" s="27" cm="1">
        <f t="array" aca="1" ref="P11" ca="1">-INDIRECT("'data'!$AA$" &amp; $A$1)*parameters!$B$15</f>
        <v>-7339.22</v>
      </c>
      <c r="Q11" s="16">
        <f ca="1">K9*parameters!$B$10+K10*parameters!$B$11</f>
        <v>21425.659955049785</v>
      </c>
      <c r="R11" s="16">
        <f t="shared" ref="R11:R17" ca="1" si="4">SUM(L11:P11)</f>
        <v>21425.659955049785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-23.821189493810834</v>
      </c>
      <c r="D12" s="9">
        <f ca="1">-(D17-Q4)</f>
        <v>0</v>
      </c>
      <c r="E12" s="9">
        <f ca="1">-(E17-Q5)</f>
        <v>-1068.5125767616773</v>
      </c>
      <c r="F12" s="9">
        <f ca="1">-(F17-Q6)</f>
        <v>-271.41194029850794</v>
      </c>
      <c r="G12" s="9">
        <f ca="1">-(G17-Q7)</f>
        <v>-652.09118077325002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-2015.8368873272461</v>
      </c>
      <c r="M12" s="17"/>
      <c r="N12" s="17"/>
      <c r="O12" s="10"/>
      <c r="P12" s="12"/>
      <c r="Q12" s="9">
        <f t="shared" ref="Q12:Q17" ca="1" si="6">SUM(L12:P12)</f>
        <v>-2015.8368873272461</v>
      </c>
      <c r="R12" s="17">
        <f t="shared" ca="1" si="4"/>
        <v>-2015.8368873272461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-1175.9181312100063</v>
      </c>
      <c r="J13" s="14">
        <f ca="1">-(J17-Q10)</f>
        <v>-551.27680477861395</v>
      </c>
      <c r="K13" s="13">
        <f ca="1">-(K17-Q11)</f>
        <v>-2355.5651089615967</v>
      </c>
      <c r="L13" s="14">
        <f t="shared" ca="1" si="5"/>
        <v>-4082.760044950217</v>
      </c>
      <c r="M13" s="16">
        <f ca="1">-E15</f>
        <v>-5630.9906528832198</v>
      </c>
      <c r="N13" s="16"/>
      <c r="O13" s="11"/>
      <c r="P13" s="13"/>
      <c r="Q13" s="14">
        <f t="shared" ca="1" si="6"/>
        <v>-9713.7506978334368</v>
      </c>
      <c r="R13" s="16">
        <f t="shared" ca="1" si="4"/>
        <v>-9713.7506978334368</v>
      </c>
    </row>
    <row r="14" spans="1:20">
      <c r="A14" s="18" t="s">
        <v>78</v>
      </c>
      <c r="B14" s="11"/>
      <c r="C14" s="14"/>
      <c r="D14" s="14"/>
      <c r="E14" s="14">
        <f ca="1">-(I13+J13)-K13</f>
        <v>4082.760044950217</v>
      </c>
      <c r="F14" s="14"/>
      <c r="G14" s="14"/>
      <c r="H14" s="14"/>
      <c r="I14" s="14"/>
      <c r="J14" s="14"/>
      <c r="K14" s="13"/>
      <c r="L14" s="14">
        <f t="shared" ca="1" si="5"/>
        <v>4082.760044950217</v>
      </c>
      <c r="M14" s="16"/>
      <c r="N14" s="16"/>
      <c r="O14" s="11"/>
      <c r="P14" s="13"/>
      <c r="Q14" s="14">
        <f t="shared" ca="1" si="6"/>
        <v>4082.760044950217</v>
      </c>
      <c r="R14" s="16">
        <f t="shared" ca="1" si="4"/>
        <v>4082.760044950217</v>
      </c>
    </row>
    <row r="15" spans="1:20">
      <c r="A15" s="18" t="s">
        <v>79</v>
      </c>
      <c r="B15" s="11"/>
      <c r="C15" s="14"/>
      <c r="D15" s="14"/>
      <c r="E15" s="14">
        <f ca="1">E17-E14</f>
        <v>5630.9906528832198</v>
      </c>
      <c r="F15" s="14"/>
      <c r="G15" s="14"/>
      <c r="H15" s="14"/>
      <c r="I15" s="14"/>
      <c r="J15" s="14"/>
      <c r="K15" s="13"/>
      <c r="L15" s="14">
        <f t="shared" ca="1" si="5"/>
        <v>5630.9906528832198</v>
      </c>
      <c r="M15" s="16"/>
      <c r="N15" s="16"/>
      <c r="O15" s="11"/>
      <c r="P15" s="13"/>
      <c r="Q15" s="14">
        <f t="shared" ca="1" si="6"/>
        <v>5630.9906528832198</v>
      </c>
      <c r="R15" s="16">
        <f t="shared" ca="1" si="4"/>
        <v>5630.9906528832198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3781.1411894938105</v>
      </c>
      <c r="D17" s="9">
        <f ca="1">SUM(D$2:D$11)</f>
        <v>0</v>
      </c>
      <c r="E17" s="9">
        <f ca="1">$Q$5/parameters!$B$4</f>
        <v>9713.7506978334368</v>
      </c>
      <c r="F17" s="9">
        <f t="shared" ref="F17:K17" ca="1" si="7">SUM(F$2:F$11)</f>
        <v>4377.6119402985078</v>
      </c>
      <c r="G17" s="9">
        <f t="shared" ca="1" si="7"/>
        <v>15164.91118077325</v>
      </c>
      <c r="H17" s="9">
        <f t="shared" ca="1" si="7"/>
        <v>18619.02</v>
      </c>
      <c r="I17" s="9">
        <f t="shared" ca="1" si="7"/>
        <v>13771.858131210007</v>
      </c>
      <c r="J17" s="9">
        <f t="shared" ca="1" si="7"/>
        <v>6456.3218687899935</v>
      </c>
      <c r="K17" s="9">
        <f t="shared" ca="1" si="7"/>
        <v>23781.225064011382</v>
      </c>
      <c r="L17" s="17">
        <f t="shared" ca="1" si="5"/>
        <v>95665.840072410385</v>
      </c>
      <c r="M17" s="17"/>
      <c r="N17" s="17"/>
      <c r="O17" s="9"/>
      <c r="P17" s="14"/>
      <c r="Q17" s="11">
        <f t="shared" ca="1" si="6"/>
        <v>95665.840072410385</v>
      </c>
      <c r="R17" s="17">
        <f t="shared" ca="1" si="4"/>
        <v>95665.840072410385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0.91461441731343995</v>
      </c>
      <c r="J18" s="39">
        <f ca="1">I18</f>
        <v>0.91461441731343995</v>
      </c>
      <c r="K18" s="40">
        <f ca="1">1-(-K13)/K17</f>
        <v>0.90094853807483943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8158.5538895038735</v>
      </c>
      <c r="D2" s="9">
        <f ca="1">Q4/parameters!$B$3</f>
        <v>843.43363188084936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9001.9875213847226</v>
      </c>
      <c r="M2" s="17"/>
      <c r="N2" s="17">
        <f ca="1">Q2-(L2+O2+P2)</f>
        <v>0</v>
      </c>
      <c r="O2" s="11" cm="1">
        <f t="array" aca="1" ref="O2" ca="1">INDIRECT("'data'!$F$" &amp; $A$1)</f>
        <v>18290.350000000002</v>
      </c>
      <c r="P2" s="13">
        <f ca="1">IF(-(L2-Q2+O2)&lt;0, -(L2-Q2+O2), 0)</f>
        <v>-6492.3375213847248</v>
      </c>
      <c r="Q2" s="17" cm="1">
        <f t="array" aca="1" ref="Q2" ca="1">INDIRECT("'data'!$D$" &amp; $A$1)</f>
        <v>20800</v>
      </c>
      <c r="R2" s="17">
        <f ca="1">SUM(L2:P2)</f>
        <v>20800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7662.805970149253</v>
      </c>
      <c r="G3" s="14">
        <f ca="1">Q3-O3-P3-F3</f>
        <v>369.69402985074703</v>
      </c>
      <c r="H3" s="14"/>
      <c r="I3" s="14"/>
      <c r="J3" s="14"/>
      <c r="K3" s="13"/>
      <c r="L3" s="16">
        <f t="shared" ca="1" si="0"/>
        <v>8032.5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107.72999999999999</v>
      </c>
      <c r="P3" s="13" cm="1">
        <f t="array" aca="1" ref="P3" ca="1">-INDIRECT("'data'!$I$" &amp; $A$1)*parameters!$B$13</f>
        <v>-33.074999999999996</v>
      </c>
      <c r="Q3" s="16" cm="1">
        <f t="array" aca="1" ref="Q3" ca="1">INDIRECT("'data'!$G$" &amp; $A$1)*parameters!$B$13</f>
        <v>8107.1549999999997</v>
      </c>
      <c r="R3" s="16">
        <f t="shared" ref="R3:R10" ca="1" si="2">SUM(L3:P3)</f>
        <v>8107.1549999999997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1022.1199999999999</v>
      </c>
      <c r="H4" s="14"/>
      <c r="I4" s="14"/>
      <c r="J4" s="14"/>
      <c r="K4" s="13"/>
      <c r="L4" s="16">
        <f t="shared" ca="1" si="0"/>
        <v>1022.1199999999999</v>
      </c>
      <c r="M4" s="16"/>
      <c r="N4" s="16">
        <f t="shared" ca="1" si="1"/>
        <v>0</v>
      </c>
      <c r="O4" s="11" cm="1">
        <f t="array" aca="1" ref="O4" ca="1">INDIRECT("'data'!$K$" &amp; $A$1)*parameters!$B$14</f>
        <v>6.44</v>
      </c>
      <c r="P4" s="13" cm="1">
        <f t="array" aca="1" ref="P4" ca="1">-INDIRECT("'data'!$L$" &amp; $A$1)*parameters!$B$14</f>
        <v>-190.44</v>
      </c>
      <c r="Q4" s="16" cm="1">
        <f t="array" aca="1" ref="Q4" ca="1">INDIRECT("'data'!$J$" &amp; $A$1)*parameters!$B$14</f>
        <v>838.12</v>
      </c>
      <c r="R4" s="16">
        <f t="shared" ca="1" si="2"/>
        <v>838.11999999999989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1915.7014925373132</v>
      </c>
      <c r="G5" s="14">
        <f ca="1">Q7/parameters!$B$7-(G3+G4)</f>
        <v>5091.3416650290865</v>
      </c>
      <c r="H5" s="14"/>
      <c r="I5" s="14"/>
      <c r="J5" s="14"/>
      <c r="K5" s="13"/>
      <c r="L5" s="16">
        <f t="shared" ca="1" si="0"/>
        <v>7007.0431575663997</v>
      </c>
      <c r="M5" s="16"/>
      <c r="N5" s="16"/>
      <c r="O5" s="11" cm="1">
        <f t="array" aca="1" ref="O5" ca="1">INDIRECT("'data'!$M$" &amp; $A$1)*parameters!$B$15</f>
        <v>4661.8599999999997</v>
      </c>
      <c r="P5" s="13" cm="1">
        <f t="array" aca="1" ref="P5" ca="1">-INDIRECT("'data'!$N$" &amp; $A$1)*parameters!$B$15</f>
        <v>-1441.58</v>
      </c>
      <c r="Q5" s="16">
        <f ca="1">SUM(L5:P5)</f>
        <v>10227.323157566399</v>
      </c>
      <c r="R5" s="16">
        <f t="shared" ca="1" si="2"/>
        <v>10227.323157566399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8984.64</v>
      </c>
      <c r="I6" s="14"/>
      <c r="J6" s="14"/>
      <c r="K6" s="13"/>
      <c r="L6" s="16">
        <f t="shared" ca="1" si="0"/>
        <v>8984.64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8984.64</v>
      </c>
      <c r="R6" s="16">
        <f t="shared" ca="1" si="2"/>
        <v>8984.64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6204.38</v>
      </c>
      <c r="I7" s="14"/>
      <c r="J7" s="14"/>
      <c r="K7" s="13"/>
      <c r="L7" s="16">
        <f t="shared" ca="1" si="0"/>
        <v>6204.38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6204.38</v>
      </c>
      <c r="R7" s="16">
        <f t="shared" ca="1" si="2"/>
        <v>6204.38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3516.6599604450103</v>
      </c>
      <c r="J8" s="14">
        <f ca="1">Q10/J18</f>
        <v>11190.200039554989</v>
      </c>
      <c r="K8" s="13"/>
      <c r="L8" s="16">
        <f t="shared" ca="1" si="0"/>
        <v>14706.86</v>
      </c>
      <c r="M8" s="16"/>
      <c r="N8" s="16">
        <f t="shared" ca="1" si="3"/>
        <v>0</v>
      </c>
      <c r="O8" s="11" cm="1">
        <f t="array" aca="1" ref="O8" ca="1">INDIRECT("'data'!$R$" &amp; $A$1)*parameters!$B$15</f>
        <v>820.26</v>
      </c>
      <c r="P8" s="13" cm="1">
        <f t="array" aca="1" ref="P8" ca="1">-INDIRECT("'data'!$S$" &amp; $A$1)*parameters!$B$15</f>
        <v>-338.09999999999997</v>
      </c>
      <c r="Q8" s="16">
        <f ca="1">SUM(Q6:Q7)</f>
        <v>15189.02</v>
      </c>
      <c r="R8" s="16">
        <f t="shared" ca="1" si="2"/>
        <v>15189.02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3835.7200000000003</v>
      </c>
      <c r="L9" s="16">
        <f t="shared" ca="1" si="0"/>
        <v>3835.7200000000003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1823.78</v>
      </c>
      <c r="P9" s="13" cm="1">
        <f t="array" aca="1" ref="P9" ca="1">-INDIRECT("'data'!$V$" &amp; $A$1)*parameters!$B$15</f>
        <v>-2494.1</v>
      </c>
      <c r="Q9" s="16" cm="1">
        <f t="array" aca="1" ref="Q9" ca="1">INDIRECT("'data'!$T$" &amp; $A$1)*parameters!$B$15</f>
        <v>3165.4</v>
      </c>
      <c r="R9" s="16">
        <f t="shared" ca="1" si="2"/>
        <v>3165.4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10639.892062588904</v>
      </c>
      <c r="L10" s="16">
        <f t="shared" ca="1" si="0"/>
        <v>10639.892062588904</v>
      </c>
      <c r="M10" s="16"/>
      <c r="N10" s="16">
        <f t="shared" ca="1" si="3"/>
        <v>0</v>
      </c>
      <c r="O10" s="11" cm="1">
        <f t="array" aca="1" ref="O10" ca="1">INDIRECT("'data'!$X$" &amp; $A$1)*parameters!$B$15</f>
        <v>3080.14</v>
      </c>
      <c r="P10" s="13" cm="1">
        <f t="array" aca="1" ref="P10" ca="1">-INDIRECT("'data'!$Y$" &amp; $A$1)*parameters!$B$15</f>
        <v>-3647.56</v>
      </c>
      <c r="Q10" s="16" cm="1">
        <f t="array" aca="1" ref="Q10" ca="1">INDIRECT("'data'!$W$" &amp; $A$1)*parameters!$B$15</f>
        <v>10072.472062588904</v>
      </c>
      <c r="R10" s="16">
        <f t="shared" ca="1" si="2"/>
        <v>10072.472062588904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17365.803973826456</v>
      </c>
      <c r="N11" s="19"/>
      <c r="O11" s="21" cm="1">
        <f t="array" aca="1" ref="O11" ca="1">INDIRECT("'data'!$Z$" &amp; $A$1)*parameters!$B$15</f>
        <v>7580.3</v>
      </c>
      <c r="P11" s="27" cm="1">
        <f t="array" aca="1" ref="P11" ca="1">-INDIRECT("'data'!$AA$" &amp; $A$1)*parameters!$B$15</f>
        <v>-12190.22</v>
      </c>
      <c r="Q11" s="16">
        <f ca="1">K9*parameters!$B$10+K10*parameters!$B$11</f>
        <v>12755.883973826458</v>
      </c>
      <c r="R11" s="16">
        <f t="shared" ref="R11:R17" ca="1" si="4">SUM(L11:P11)</f>
        <v>12755.883973826456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-51.398889503873761</v>
      </c>
      <c r="D12" s="9">
        <f ca="1">-(D17-Q4)</f>
        <v>-5.313631880849357</v>
      </c>
      <c r="E12" s="9">
        <f ca="1">-(E17-Q5)</f>
        <v>-1264.0511767778698</v>
      </c>
      <c r="F12" s="9">
        <f ca="1">-(F17-Q6)</f>
        <v>-593.8674626865668</v>
      </c>
      <c r="G12" s="9">
        <f ca="1">-(G17-Q7)</f>
        <v>-278.77569487983328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-2193.4068557289929</v>
      </c>
      <c r="M12" s="17"/>
      <c r="N12" s="17"/>
      <c r="O12" s="10"/>
      <c r="P12" s="12"/>
      <c r="Q12" s="9">
        <f t="shared" ref="Q12:Q17" ca="1" si="6">SUM(L12:P12)</f>
        <v>-2193.4068557289929</v>
      </c>
      <c r="R12" s="17">
        <f t="shared" ca="1" si="4"/>
        <v>-2193.4068557289929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-351.25996044501017</v>
      </c>
      <c r="J13" s="14">
        <f ca="1">-(J17-Q10)</f>
        <v>-1117.7279769660854</v>
      </c>
      <c r="K13" s="13">
        <f ca="1">-(K17-Q11)</f>
        <v>-1719.7280887624474</v>
      </c>
      <c r="L13" s="14">
        <f t="shared" ca="1" si="5"/>
        <v>-3188.716026173543</v>
      </c>
      <c r="M13" s="16">
        <f ca="1">-E15</f>
        <v>-8302.6583081707267</v>
      </c>
      <c r="N13" s="16"/>
      <c r="O13" s="11"/>
      <c r="P13" s="13"/>
      <c r="Q13" s="14">
        <f t="shared" ca="1" si="6"/>
        <v>-11491.374334344269</v>
      </c>
      <c r="R13" s="16">
        <f t="shared" ca="1" si="4"/>
        <v>-11491.374334344269</v>
      </c>
    </row>
    <row r="14" spans="1:20">
      <c r="A14" s="18" t="s">
        <v>78</v>
      </c>
      <c r="B14" s="11"/>
      <c r="C14" s="14"/>
      <c r="D14" s="14"/>
      <c r="E14" s="14">
        <f ca="1">-(I13+J13)-K13</f>
        <v>3188.716026173543</v>
      </c>
      <c r="F14" s="14"/>
      <c r="G14" s="14"/>
      <c r="H14" s="14"/>
      <c r="I14" s="14"/>
      <c r="J14" s="14"/>
      <c r="K14" s="13"/>
      <c r="L14" s="14">
        <f t="shared" ca="1" si="5"/>
        <v>3188.716026173543</v>
      </c>
      <c r="M14" s="16"/>
      <c r="N14" s="16"/>
      <c r="O14" s="11"/>
      <c r="P14" s="13"/>
      <c r="Q14" s="14">
        <f t="shared" ca="1" si="6"/>
        <v>3188.716026173543</v>
      </c>
      <c r="R14" s="16">
        <f t="shared" ca="1" si="4"/>
        <v>3188.716026173543</v>
      </c>
    </row>
    <row r="15" spans="1:20">
      <c r="A15" s="18" t="s">
        <v>79</v>
      </c>
      <c r="B15" s="11"/>
      <c r="C15" s="14"/>
      <c r="D15" s="14"/>
      <c r="E15" s="14">
        <f ca="1">E17-E14</f>
        <v>8302.6583081707267</v>
      </c>
      <c r="F15" s="14"/>
      <c r="G15" s="14"/>
      <c r="H15" s="14"/>
      <c r="I15" s="14"/>
      <c r="J15" s="14"/>
      <c r="K15" s="13"/>
      <c r="L15" s="14">
        <f t="shared" ca="1" si="5"/>
        <v>8302.6583081707267</v>
      </c>
      <c r="M15" s="16"/>
      <c r="N15" s="16"/>
      <c r="O15" s="11"/>
      <c r="P15" s="13"/>
      <c r="Q15" s="14">
        <f t="shared" ca="1" si="6"/>
        <v>8302.6583081707267</v>
      </c>
      <c r="R15" s="16">
        <f t="shared" ca="1" si="4"/>
        <v>8302.6583081707267</v>
      </c>
    </row>
    <row r="16" spans="1:20">
      <c r="A16" s="30" t="s">
        <v>89</v>
      </c>
      <c r="B16" s="21">
        <f ca="1">Q2</f>
        <v>20800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20800</v>
      </c>
      <c r="M16" s="19"/>
      <c r="N16" s="19"/>
      <c r="O16" s="21"/>
      <c r="P16" s="27"/>
      <c r="Q16" s="22">
        <f t="shared" ca="1" si="6"/>
        <v>20800</v>
      </c>
      <c r="R16" s="19">
        <f t="shared" ca="1" si="4"/>
        <v>20800</v>
      </c>
    </row>
    <row r="17" spans="1:18">
      <c r="A17" s="29" t="s">
        <v>88</v>
      </c>
      <c r="B17" s="9">
        <f ca="1">B16</f>
        <v>20800</v>
      </c>
      <c r="C17" s="9">
        <f ca="1">SUM(C$2:C$11)</f>
        <v>8158.5538895038735</v>
      </c>
      <c r="D17" s="9">
        <f ca="1">SUM(D$2:D$11)</f>
        <v>843.43363188084936</v>
      </c>
      <c r="E17" s="9">
        <f ca="1">$Q$5/parameters!$B$4</f>
        <v>11491.374334344269</v>
      </c>
      <c r="F17" s="9">
        <f t="shared" ref="F17:K17" ca="1" si="7">SUM(F$2:F$11)</f>
        <v>9578.5074626865662</v>
      </c>
      <c r="G17" s="9">
        <f t="shared" ca="1" si="7"/>
        <v>6483.1556948798334</v>
      </c>
      <c r="H17" s="9">
        <f t="shared" ca="1" si="7"/>
        <v>15189.02</v>
      </c>
      <c r="I17" s="9">
        <f t="shared" ca="1" si="7"/>
        <v>3516.6599604450103</v>
      </c>
      <c r="J17" s="9">
        <f t="shared" ca="1" si="7"/>
        <v>11190.200039554989</v>
      </c>
      <c r="K17" s="9">
        <f t="shared" ca="1" si="7"/>
        <v>14475.612062588905</v>
      </c>
      <c r="L17" s="17">
        <f t="shared" ca="1" si="5"/>
        <v>101726.51707588429</v>
      </c>
      <c r="M17" s="17"/>
      <c r="N17" s="17"/>
      <c r="O17" s="9"/>
      <c r="P17" s="14"/>
      <c r="Q17" s="11">
        <f t="shared" ca="1" si="6"/>
        <v>101726.51707588429</v>
      </c>
      <c r="R17" s="17">
        <f t="shared" ca="1" si="4"/>
        <v>101726.51707588429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0.90011546058022607</v>
      </c>
      <c r="J18" s="39">
        <f ca="1">I18</f>
        <v>0.90011546058022607</v>
      </c>
      <c r="K18" s="40">
        <f ca="1">1-(-K13)/K17</f>
        <v>0.88119824700145488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1223.0250578645469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1223.0250578645469</v>
      </c>
      <c r="M2" s="17"/>
      <c r="N2" s="17">
        <f ca="1">Q2-(L2+O2+P2)</f>
        <v>0</v>
      </c>
      <c r="O2" s="11" cm="1">
        <f t="array" aca="1" ref="O2" ca="1">INDIRECT("'data'!$F$" &amp; $A$1)</f>
        <v>458.90000000000003</v>
      </c>
      <c r="P2" s="13">
        <f ca="1">IF(-(L2-Q2+O2)&lt;0, -(L2-Q2+O2), 0)</f>
        <v>-1646.9250578645469</v>
      </c>
      <c r="Q2" s="17" cm="1">
        <f t="array" aca="1" ref="Q2" ca="1">INDIRECT("'data'!$D$" &amp; $A$1)</f>
        <v>35</v>
      </c>
      <c r="R2" s="17">
        <f ca="1">SUM(L2:P2)</f>
        <v>35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14.174999999999999</v>
      </c>
      <c r="H3" s="14"/>
      <c r="I3" s="14"/>
      <c r="J3" s="14"/>
      <c r="K3" s="13"/>
      <c r="L3" s="16">
        <f t="shared" ca="1" si="0"/>
        <v>14.174999999999999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-14.174999999999999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1523.5186137623959</v>
      </c>
      <c r="H4" s="14"/>
      <c r="I4" s="14"/>
      <c r="J4" s="14"/>
      <c r="K4" s="13"/>
      <c r="L4" s="16">
        <f t="shared" ca="1" si="0"/>
        <v>1523.5186137623959</v>
      </c>
      <c r="M4" s="16"/>
      <c r="N4" s="16">
        <f t="shared" ca="1" si="1"/>
        <v>46.001386237604265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-354.2</v>
      </c>
      <c r="Q4" s="16" cm="1">
        <f t="array" aca="1" ref="Q4" ca="1">INDIRECT("'data'!$J$" &amp; $A$1)*parameters!$B$14</f>
        <v>1215.3200000000002</v>
      </c>
      <c r="R4" s="16">
        <f t="shared" ca="1" si="2"/>
        <v>1215.3200000000002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2722.2854875960156</v>
      </c>
      <c r="H5" s="14"/>
      <c r="I5" s="14"/>
      <c r="J5" s="14"/>
      <c r="K5" s="13"/>
      <c r="L5" s="16">
        <f t="shared" ca="1" si="0"/>
        <v>2722.2854875960156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-1234.8</v>
      </c>
      <c r="Q5" s="16">
        <f ca="1">SUM(L5:P5)</f>
        <v>1487.4854875960157</v>
      </c>
      <c r="R5" s="16">
        <f t="shared" ca="1" si="2"/>
        <v>1487.4854875960157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4076.7999999999997</v>
      </c>
      <c r="I7" s="14"/>
      <c r="J7" s="14"/>
      <c r="K7" s="13"/>
      <c r="L7" s="16">
        <f t="shared" ca="1" si="0"/>
        <v>4076.7999999999997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4076.7999999999997</v>
      </c>
      <c r="R7" s="16">
        <f t="shared" ca="1" si="2"/>
        <v>4076.7999999999997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3198.4923182209518</v>
      </c>
      <c r="J8" s="14">
        <f ca="1">Q10/J18</f>
        <v>2866.7276817790466</v>
      </c>
      <c r="K8" s="13"/>
      <c r="L8" s="16">
        <f t="shared" ca="1" si="0"/>
        <v>6065.2199999999984</v>
      </c>
      <c r="M8" s="16"/>
      <c r="N8" s="16">
        <f t="shared" ca="1" si="3"/>
        <v>0</v>
      </c>
      <c r="O8" s="11" cm="1">
        <f t="array" aca="1" ref="O8" ca="1">INDIRECT("'data'!$R$" &amp; $A$1)*parameters!$B$15</f>
        <v>7.84</v>
      </c>
      <c r="P8" s="13" cm="1">
        <f t="array" aca="1" ref="P8" ca="1">-INDIRECT("'data'!$S$" &amp; $A$1)*parameters!$B$15</f>
        <v>-1996.26</v>
      </c>
      <c r="Q8" s="16">
        <f ca="1">SUM(Q6:Q7)</f>
        <v>4076.7999999999997</v>
      </c>
      <c r="R8" s="16">
        <f t="shared" ca="1" si="2"/>
        <v>4076.7999999999984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3274.18</v>
      </c>
      <c r="L9" s="16">
        <f t="shared" ca="1" si="0"/>
        <v>3274.18</v>
      </c>
      <c r="M9" s="16"/>
      <c r="N9" s="16">
        <f t="shared" ca="1" si="3"/>
        <v>0</v>
      </c>
      <c r="O9" s="11" cm="1">
        <f t="array" aca="1" ref="O9" ca="1">INDIRECT("'data'!$U$" &amp; $A$1)*parameters!$B$15</f>
        <v>263.62</v>
      </c>
      <c r="P9" s="13" cm="1">
        <f t="array" aca="1" ref="P9" ca="1">-INDIRECT("'data'!$V$" &amp; $A$1)*parameters!$B$15</f>
        <v>-831.04</v>
      </c>
      <c r="Q9" s="16" cm="1">
        <f t="array" aca="1" ref="Q9" ca="1">INDIRECT("'data'!$T$" &amp; $A$1)*parameters!$B$15</f>
        <v>2706.7599999999998</v>
      </c>
      <c r="R9" s="16">
        <f t="shared" ca="1" si="2"/>
        <v>2706.7599999999998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3874.4404551920334</v>
      </c>
      <c r="L10" s="16">
        <f t="shared" ca="1" si="0"/>
        <v>3874.4404551920334</v>
      </c>
      <c r="M10" s="16"/>
      <c r="N10" s="16">
        <f t="shared" ca="1" si="3"/>
        <v>0</v>
      </c>
      <c r="O10" s="11" cm="1">
        <f t="array" aca="1" ref="O10" ca="1">INDIRECT("'data'!$X$" &amp; $A$1)*parameters!$B$15</f>
        <v>967.26</v>
      </c>
      <c r="P10" s="13" cm="1">
        <f t="array" aca="1" ref="P10" ca="1">-INDIRECT("'data'!$Y$" &amp; $A$1)*parameters!$B$15</f>
        <v>-2415.6999999999998</v>
      </c>
      <c r="Q10" s="16" cm="1">
        <f t="array" aca="1" ref="Q10" ca="1">INDIRECT("'data'!$W$" &amp; $A$1)*parameters!$B$15</f>
        <v>2426.0004551920338</v>
      </c>
      <c r="R10" s="16">
        <f t="shared" ca="1" si="2"/>
        <v>2426.0004551920338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7147.687991465149</v>
      </c>
      <c r="N11" s="19"/>
      <c r="O11" s="21" cm="1">
        <f t="array" aca="1" ref="O11" ca="1">INDIRECT("'data'!$Z$" &amp; $A$1)*parameters!$B$15</f>
        <v>1425.8999999999999</v>
      </c>
      <c r="P11" s="27" cm="1">
        <f t="array" aca="1" ref="P11" ca="1">-INDIRECT("'data'!$AA$" &amp; $A$1)*parameters!$B$15</f>
        <v>-2163.84</v>
      </c>
      <c r="Q11" s="16">
        <f ca="1">K9*parameters!$B$10+K10*parameters!$B$11</f>
        <v>6409.7479914651485</v>
      </c>
      <c r="R11" s="16">
        <f t="shared" ref="R11:R17" ca="1" si="4">SUM(L11:P11)</f>
        <v>6409.7479914651485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-7.7050578645466885</v>
      </c>
      <c r="E12" s="9">
        <f ca="1">-(E17-Q5)</f>
        <v>-183.84652093883346</v>
      </c>
      <c r="F12" s="9">
        <f ca="1">-(F17-Q6)</f>
        <v>0</v>
      </c>
      <c r="G12" s="9">
        <f ca="1">-(G17-Q7)</f>
        <v>-183.17910135841203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-374.73068016179218</v>
      </c>
      <c r="M12" s="17"/>
      <c r="N12" s="17"/>
      <c r="O12" s="10"/>
      <c r="P12" s="12"/>
      <c r="Q12" s="9">
        <f t="shared" ref="Q12:Q17" ca="1" si="6">SUM(L12:P12)</f>
        <v>-374.73068016179218</v>
      </c>
      <c r="R12" s="17">
        <f t="shared" ca="1" si="4"/>
        <v>-374.73068016179218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-491.73231822095204</v>
      </c>
      <c r="J13" s="14">
        <f ca="1">-(J17-Q10)</f>
        <v>-440.72722658701286</v>
      </c>
      <c r="K13" s="13">
        <f ca="1">-(K17-Q11)</f>
        <v>-738.87246372688423</v>
      </c>
      <c r="L13" s="14">
        <f t="shared" ca="1" si="5"/>
        <v>-1671.3320085348491</v>
      </c>
      <c r="M13" s="16">
        <f ca="1">-E15</f>
        <v>0</v>
      </c>
      <c r="N13" s="16"/>
      <c r="O13" s="11"/>
      <c r="P13" s="13"/>
      <c r="Q13" s="14">
        <f t="shared" ca="1" si="6"/>
        <v>-1671.3320085348491</v>
      </c>
      <c r="R13" s="16">
        <f t="shared" ca="1" si="4"/>
        <v>-1671.3320085348491</v>
      </c>
    </row>
    <row r="14" spans="1:19">
      <c r="A14" s="18" t="s">
        <v>78</v>
      </c>
      <c r="B14" s="11"/>
      <c r="C14" s="14"/>
      <c r="D14" s="14"/>
      <c r="E14" s="14">
        <f ca="1">-(I13+J13)-K13</f>
        <v>1671.3320085348491</v>
      </c>
      <c r="F14" s="14"/>
      <c r="G14" s="14"/>
      <c r="H14" s="14"/>
      <c r="I14" s="14"/>
      <c r="J14" s="14"/>
      <c r="K14" s="13"/>
      <c r="L14" s="14">
        <f t="shared" ca="1" si="5"/>
        <v>1671.3320085348491</v>
      </c>
      <c r="M14" s="16"/>
      <c r="N14" s="16"/>
      <c r="O14" s="11"/>
      <c r="P14" s="13"/>
      <c r="Q14" s="14">
        <f t="shared" ca="1" si="6"/>
        <v>1671.3320085348491</v>
      </c>
      <c r="R14" s="16">
        <f t="shared" ca="1" si="4"/>
        <v>1671.3320085348491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35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35</v>
      </c>
      <c r="M16" s="19"/>
      <c r="N16" s="19"/>
      <c r="O16" s="21"/>
      <c r="P16" s="27"/>
      <c r="Q16" s="22">
        <f t="shared" ca="1" si="6"/>
        <v>35</v>
      </c>
      <c r="R16" s="19">
        <f t="shared" ca="1" si="4"/>
        <v>35</v>
      </c>
    </row>
    <row r="17" spans="1:18">
      <c r="A17" s="29" t="s">
        <v>88</v>
      </c>
      <c r="B17" s="9">
        <f ca="1">B16</f>
        <v>35</v>
      </c>
      <c r="C17" s="9">
        <f ca="1">SUM(C$2:C$11)</f>
        <v>0</v>
      </c>
      <c r="D17" s="9">
        <f ca="1">SUM(D$2:D$11)</f>
        <v>1223.0250578645469</v>
      </c>
      <c r="E17" s="9">
        <f ca="1">$Q$5/parameters!$B$4</f>
        <v>1671.3320085348491</v>
      </c>
      <c r="F17" s="9">
        <f t="shared" ref="F17:K17" ca="1" si="7">SUM(F$2:F$11)</f>
        <v>0</v>
      </c>
      <c r="G17" s="9">
        <f t="shared" ca="1" si="7"/>
        <v>4259.9791013584118</v>
      </c>
      <c r="H17" s="9">
        <f t="shared" ca="1" si="7"/>
        <v>4076.7999999999997</v>
      </c>
      <c r="I17" s="9">
        <f t="shared" ca="1" si="7"/>
        <v>3198.4923182209518</v>
      </c>
      <c r="J17" s="9">
        <f t="shared" ca="1" si="7"/>
        <v>2866.7276817790466</v>
      </c>
      <c r="K17" s="9">
        <f t="shared" ca="1" si="7"/>
        <v>7148.6204551920328</v>
      </c>
      <c r="L17" s="17">
        <f t="shared" ca="1" si="5"/>
        <v>24479.976622949842</v>
      </c>
      <c r="M17" s="17"/>
      <c r="N17" s="17"/>
      <c r="O17" s="9"/>
      <c r="P17" s="14"/>
      <c r="Q17" s="11">
        <f t="shared" ca="1" si="6"/>
        <v>24479.976622949842</v>
      </c>
      <c r="R17" s="17">
        <f t="shared" ca="1" si="4"/>
        <v>24479.976622949842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0.99369999999999992</v>
      </c>
      <c r="E18" s="39">
        <f t="shared" ref="E18:G18" ca="1" si="8">IFERROR(1-(-E12)/E17, "")</f>
        <v>0.8899999999999999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0.84626121644260799</v>
      </c>
      <c r="J18" s="39">
        <f ca="1">I18</f>
        <v>0.84626121644260799</v>
      </c>
      <c r="K18" s="40">
        <f ca="1">1-(-K13)/K17</f>
        <v>0.89664125150325447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5519.5531850659145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5519.5531850659145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-5519.5531850659145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5180.4179104477616</v>
      </c>
      <c r="G3" s="14">
        <f ca="1">Q3-O3-P3-F3</f>
        <v>512.26208955223774</v>
      </c>
      <c r="H3" s="14"/>
      <c r="I3" s="14"/>
      <c r="J3" s="14"/>
      <c r="K3" s="13"/>
      <c r="L3" s="16">
        <f t="shared" ca="1" si="0"/>
        <v>5692.6799999999994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7.56</v>
      </c>
      <c r="P3" s="13" cm="1">
        <f t="array" aca="1" ref="P3" ca="1">-INDIRECT("'data'!$I$" &amp; $A$1)*parameters!$B$13</f>
        <v>-215.45999999999998</v>
      </c>
      <c r="Q3" s="16" cm="1">
        <f t="array" aca="1" ref="Q3" ca="1">INDIRECT("'data'!$G$" &amp; $A$1)*parameters!$B$13</f>
        <v>5484.78</v>
      </c>
      <c r="R3" s="16">
        <f t="shared" ref="R3:R10" ca="1" si="2">SUM(L3:P3)</f>
        <v>5484.78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1295.1044776119406</v>
      </c>
      <c r="G5" s="14">
        <f ca="1">Q7/parameters!$B$7-(G3+G4)</f>
        <v>4028.3021737706458</v>
      </c>
      <c r="H5" s="14"/>
      <c r="I5" s="14"/>
      <c r="J5" s="14"/>
      <c r="K5" s="13"/>
      <c r="L5" s="16">
        <f t="shared" ca="1" si="0"/>
        <v>5323.4066513825865</v>
      </c>
      <c r="M5" s="16"/>
      <c r="N5" s="16"/>
      <c r="O5" s="11" cm="1">
        <f t="array" aca="1" ref="O5" ca="1">INDIRECT("'data'!$M$" &amp; $A$1)*parameters!$B$15</f>
        <v>1066.24</v>
      </c>
      <c r="P5" s="13" cm="1">
        <f t="array" aca="1" ref="P5" ca="1">-INDIRECT("'data'!$N$" &amp; $A$1)*parameters!$B$15</f>
        <v>-307.71999999999997</v>
      </c>
      <c r="Q5" s="16">
        <f ca="1">SUM(L5:P5)</f>
        <v>6081.926651382586</v>
      </c>
      <c r="R5" s="16">
        <f t="shared" ca="1" si="2"/>
        <v>6081.926651382586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6074.04</v>
      </c>
      <c r="I6" s="14"/>
      <c r="J6" s="14"/>
      <c r="K6" s="13"/>
      <c r="L6" s="16">
        <f t="shared" ca="1" si="0"/>
        <v>6074.04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6074.04</v>
      </c>
      <c r="R6" s="16">
        <f t="shared" ca="1" si="2"/>
        <v>6074.04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4345.32</v>
      </c>
      <c r="I7" s="14"/>
      <c r="J7" s="14"/>
      <c r="K7" s="13"/>
      <c r="L7" s="16">
        <f t="shared" ca="1" si="0"/>
        <v>4345.32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4345.32</v>
      </c>
      <c r="R7" s="16">
        <f t="shared" ca="1" si="2"/>
        <v>4345.32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6112.3734764334886</v>
      </c>
      <c r="J8" s="14">
        <f ca="1">Q10/J18</f>
        <v>3570.0265235665129</v>
      </c>
      <c r="K8" s="13"/>
      <c r="L8" s="16">
        <f t="shared" ca="1" si="0"/>
        <v>9682.4000000000015</v>
      </c>
      <c r="M8" s="16"/>
      <c r="N8" s="16">
        <f t="shared" ca="1" si="3"/>
        <v>0</v>
      </c>
      <c r="O8" s="11" cm="1">
        <f t="array" aca="1" ref="O8" ca="1">INDIRECT("'data'!$R$" &amp; $A$1)*parameters!$B$15</f>
        <v>1402.3799999999999</v>
      </c>
      <c r="P8" s="13" cm="1">
        <f t="array" aca="1" ref="P8" ca="1">-INDIRECT("'data'!$S$" &amp; $A$1)*parameters!$B$15</f>
        <v>-665.42</v>
      </c>
      <c r="Q8" s="16">
        <f ca="1">SUM(Q6:Q7)</f>
        <v>10419.36</v>
      </c>
      <c r="R8" s="16">
        <f t="shared" ca="1" si="2"/>
        <v>10419.36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5089.1400000000003</v>
      </c>
      <c r="L9" s="16">
        <f t="shared" ca="1" si="0"/>
        <v>5089.1400000000003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1972.74</v>
      </c>
      <c r="P9" s="13" cm="1">
        <f t="array" aca="1" ref="P9" ca="1">-INDIRECT("'data'!$V$" &amp; $A$1)*parameters!$B$15</f>
        <v>-2029.58</v>
      </c>
      <c r="Q9" s="16" cm="1">
        <f t="array" aca="1" ref="Q9" ca="1">INDIRECT("'data'!$T$" &amp; $A$1)*parameters!$B$15</f>
        <v>5032.3</v>
      </c>
      <c r="R9" s="16">
        <f t="shared" ca="1" si="2"/>
        <v>5032.3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6468.1728591749643</v>
      </c>
      <c r="L10" s="16">
        <f t="shared" ca="1" si="0"/>
        <v>6468.1728591749643</v>
      </c>
      <c r="M10" s="16"/>
      <c r="N10" s="16">
        <f t="shared" ca="1" si="3"/>
        <v>0</v>
      </c>
      <c r="O10" s="11" cm="1">
        <f t="array" aca="1" ref="O10" ca="1">INDIRECT("'data'!$X$" &amp; $A$1)*parameters!$B$15</f>
        <v>993.72</v>
      </c>
      <c r="P10" s="13" cm="1">
        <f t="array" aca="1" ref="P10" ca="1">-INDIRECT("'data'!$Y$" &amp; $A$1)*parameters!$B$15</f>
        <v>-4522.7</v>
      </c>
      <c r="Q10" s="16" cm="1">
        <f t="array" aca="1" ref="Q10" ca="1">INDIRECT("'data'!$W$" &amp; $A$1)*parameters!$B$15</f>
        <v>2939.1928591749647</v>
      </c>
      <c r="R10" s="16">
        <f t="shared" ca="1" si="2"/>
        <v>2939.1928591749647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8933.2602588904701</v>
      </c>
      <c r="N11" s="19"/>
      <c r="O11" s="21" cm="1">
        <f t="array" aca="1" ref="O11" ca="1">INDIRECT("'data'!$Z$" &amp; $A$1)*parameters!$B$15</f>
        <v>6909.98</v>
      </c>
      <c r="P11" s="27" cm="1">
        <f t="array" aca="1" ref="P11" ca="1">-INDIRECT("'data'!$AA$" &amp; $A$1)*parameters!$B$15</f>
        <v>-5496.82</v>
      </c>
      <c r="Q11" s="16">
        <f ca="1">K9*parameters!$B$10+K10*parameters!$B$11</f>
        <v>10346.42025889047</v>
      </c>
      <c r="R11" s="16">
        <f t="shared" ref="R11:R17" ca="1" si="4">SUM(L11:P11)</f>
        <v>10346.42025889047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-34.773185065914731</v>
      </c>
      <c r="D12" s="9">
        <f ca="1">-(D17-Q4)</f>
        <v>0</v>
      </c>
      <c r="E12" s="9">
        <f ca="1">-(E17-Q5)</f>
        <v>-751.69879960908384</v>
      </c>
      <c r="F12" s="9">
        <f ca="1">-(F17-Q6)</f>
        <v>-401.48238805970232</v>
      </c>
      <c r="G12" s="9">
        <f ca="1">-(G17-Q7)</f>
        <v>-195.24426332288385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-1383.1986360575847</v>
      </c>
      <c r="M12" s="17"/>
      <c r="N12" s="17"/>
      <c r="O12" s="10"/>
      <c r="P12" s="12"/>
      <c r="Q12" s="9">
        <f t="shared" ref="Q12:Q17" ca="1" si="6">SUM(L12:P12)</f>
        <v>-1383.1986360575847</v>
      </c>
      <c r="R12" s="17">
        <f t="shared" ca="1" si="4"/>
        <v>-1383.1986360575847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-1080.0734764334884</v>
      </c>
      <c r="J13" s="14">
        <f ca="1">-(J17-Q10)</f>
        <v>-630.83366439154815</v>
      </c>
      <c r="K13" s="13">
        <f ca="1">-(K17-Q11)</f>
        <v>-1210.8926002844946</v>
      </c>
      <c r="L13" s="14">
        <f t="shared" ca="1" si="5"/>
        <v>-2921.7997411095312</v>
      </c>
      <c r="M13" s="16">
        <f ca="1">-E15</f>
        <v>-3911.8257098821387</v>
      </c>
      <c r="N13" s="16"/>
      <c r="O13" s="11"/>
      <c r="P13" s="13"/>
      <c r="Q13" s="14">
        <f t="shared" ca="1" si="6"/>
        <v>-6833.6254509916698</v>
      </c>
      <c r="R13" s="16">
        <f t="shared" ca="1" si="4"/>
        <v>-6833.6254509916698</v>
      </c>
    </row>
    <row r="14" spans="1:20">
      <c r="A14" s="18" t="s">
        <v>78</v>
      </c>
      <c r="B14" s="11"/>
      <c r="C14" s="14"/>
      <c r="D14" s="14"/>
      <c r="E14" s="14">
        <f ca="1">-(I13+J13)-K13</f>
        <v>2921.7997411095312</v>
      </c>
      <c r="F14" s="14"/>
      <c r="G14" s="14"/>
      <c r="H14" s="14"/>
      <c r="I14" s="14"/>
      <c r="J14" s="14"/>
      <c r="K14" s="13"/>
      <c r="L14" s="14">
        <f t="shared" ca="1" si="5"/>
        <v>2921.7997411095312</v>
      </c>
      <c r="M14" s="16"/>
      <c r="N14" s="16"/>
      <c r="O14" s="11"/>
      <c r="P14" s="13"/>
      <c r="Q14" s="14">
        <f t="shared" ca="1" si="6"/>
        <v>2921.7997411095312</v>
      </c>
      <c r="R14" s="16">
        <f t="shared" ca="1" si="4"/>
        <v>2921.7997411095312</v>
      </c>
    </row>
    <row r="15" spans="1:20">
      <c r="A15" s="18" t="s">
        <v>79</v>
      </c>
      <c r="B15" s="11"/>
      <c r="C15" s="14"/>
      <c r="D15" s="14"/>
      <c r="E15" s="14">
        <f ca="1">E17-E14</f>
        <v>3911.8257098821387</v>
      </c>
      <c r="F15" s="14"/>
      <c r="G15" s="14"/>
      <c r="H15" s="14"/>
      <c r="I15" s="14"/>
      <c r="J15" s="14"/>
      <c r="K15" s="13"/>
      <c r="L15" s="14">
        <f t="shared" ca="1" si="5"/>
        <v>3911.8257098821387</v>
      </c>
      <c r="M15" s="16"/>
      <c r="N15" s="16"/>
      <c r="O15" s="11"/>
      <c r="P15" s="13"/>
      <c r="Q15" s="14">
        <f t="shared" ca="1" si="6"/>
        <v>3911.8257098821387</v>
      </c>
      <c r="R15" s="16">
        <f t="shared" ca="1" si="4"/>
        <v>3911.8257098821387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5519.5531850659145</v>
      </c>
      <c r="D17" s="9">
        <f ca="1">SUM(D$2:D$11)</f>
        <v>0</v>
      </c>
      <c r="E17" s="9">
        <f ca="1">$Q$5/parameters!$B$4</f>
        <v>6833.6254509916698</v>
      </c>
      <c r="F17" s="9">
        <f t="shared" ref="F17:K17" ca="1" si="7">SUM(F$2:F$11)</f>
        <v>6475.5223880597023</v>
      </c>
      <c r="G17" s="9">
        <f t="shared" ca="1" si="7"/>
        <v>4540.5642633228836</v>
      </c>
      <c r="H17" s="9">
        <f t="shared" ca="1" si="7"/>
        <v>10419.36</v>
      </c>
      <c r="I17" s="9">
        <f t="shared" ca="1" si="7"/>
        <v>6112.3734764334886</v>
      </c>
      <c r="J17" s="9">
        <f t="shared" ca="1" si="7"/>
        <v>3570.0265235665129</v>
      </c>
      <c r="K17" s="9">
        <f t="shared" ca="1" si="7"/>
        <v>11557.312859174965</v>
      </c>
      <c r="L17" s="17">
        <f t="shared" ca="1" si="5"/>
        <v>55028.338146615133</v>
      </c>
      <c r="M17" s="17"/>
      <c r="N17" s="17"/>
      <c r="O17" s="9"/>
      <c r="P17" s="14"/>
      <c r="Q17" s="11">
        <f t="shared" ca="1" si="6"/>
        <v>55028.338146615133</v>
      </c>
      <c r="R17" s="17">
        <f t="shared" ca="1" si="4"/>
        <v>55028.338146615133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0.82329720515316074</v>
      </c>
      <c r="J18" s="39">
        <f ca="1">I18</f>
        <v>0.82329720515316074</v>
      </c>
      <c r="K18" s="40">
        <f ca="1">1-(-K13)/K17</f>
        <v>0.89522715054622692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950.99124484250774</v>
      </c>
      <c r="D2" s="9">
        <f ca="1">Q4/parameters!$B$3</f>
        <v>2579.3700311965381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3530.3612760390461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-2430.3612760390461</v>
      </c>
      <c r="Q2" s="17" cm="1">
        <f t="array" aca="1" ref="Q2" ca="1">INDIRECT("'data'!$D$" &amp; $A$1)</f>
        <v>1100</v>
      </c>
      <c r="R2" s="17">
        <f ca="1">SUM(L2:P2)</f>
        <v>1100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835.82089552238813</v>
      </c>
      <c r="G3" s="14">
        <f ca="1">Q3-O3-P3-F3</f>
        <v>109.17910447761187</v>
      </c>
      <c r="H3" s="14"/>
      <c r="I3" s="14"/>
      <c r="J3" s="14"/>
      <c r="K3" s="13"/>
      <c r="L3" s="16">
        <f t="shared" ca="1" si="0"/>
        <v>945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945</v>
      </c>
      <c r="R3" s="16">
        <f t="shared" ref="R3:R10" ca="1" si="2">SUM(L3:P3)</f>
        <v>945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2196.4501797564781</v>
      </c>
      <c r="H4" s="14"/>
      <c r="I4" s="14"/>
      <c r="J4" s="14"/>
      <c r="K4" s="13"/>
      <c r="L4" s="16">
        <f t="shared" ca="1" si="0"/>
        <v>2196.4501797564781</v>
      </c>
      <c r="M4" s="16"/>
      <c r="N4" s="16">
        <f t="shared" ca="1" si="1"/>
        <v>482.5898202435219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-115.92</v>
      </c>
      <c r="Q4" s="16" cm="1">
        <f t="array" aca="1" ref="Q4" ca="1">INDIRECT("'data'!$J$" &amp; $A$1)*parameters!$B$14</f>
        <v>2563.12</v>
      </c>
      <c r="R4" s="16">
        <f t="shared" ca="1" si="2"/>
        <v>2563.12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208.95522388059703</v>
      </c>
      <c r="G5" s="38">
        <f ca="1">E14*parameters!$B$4-O5-P5-F5</f>
        <v>3044.9454284095882</v>
      </c>
      <c r="H5" s="14"/>
      <c r="I5" s="14"/>
      <c r="J5" s="14"/>
      <c r="K5" s="13"/>
      <c r="L5" s="16">
        <f t="shared" ca="1" si="0"/>
        <v>3253.9006522901855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-2228.52</v>
      </c>
      <c r="Q5" s="16">
        <f ca="1">SUM(L5:P5)</f>
        <v>1025.3806522901855</v>
      </c>
      <c r="R5" s="16">
        <f t="shared" ca="1" si="2"/>
        <v>1025.3806522901855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980</v>
      </c>
      <c r="I6" s="14"/>
      <c r="J6" s="14"/>
      <c r="K6" s="13"/>
      <c r="L6" s="16">
        <f t="shared" ca="1" si="0"/>
        <v>980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980</v>
      </c>
      <c r="R6" s="16">
        <f t="shared" ca="1" si="2"/>
        <v>980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5120.5</v>
      </c>
      <c r="I7" s="14"/>
      <c r="J7" s="14"/>
      <c r="K7" s="13"/>
      <c r="L7" s="16">
        <f t="shared" ca="1" si="0"/>
        <v>5120.5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5120.5</v>
      </c>
      <c r="R7" s="16">
        <f t="shared" ca="1" si="2"/>
        <v>5120.5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4897.7760667041366</v>
      </c>
      <c r="J8" s="14">
        <f ca="1">Q10/J18</f>
        <v>2120.0039332958631</v>
      </c>
      <c r="K8" s="13"/>
      <c r="L8" s="16">
        <f t="shared" ca="1" si="0"/>
        <v>7017.78</v>
      </c>
      <c r="M8" s="16"/>
      <c r="N8" s="16">
        <f t="shared" ca="1" si="3"/>
        <v>0</v>
      </c>
      <c r="O8" s="11" cm="1">
        <f t="array" aca="1" ref="O8" ca="1">INDIRECT("'data'!$R$" &amp; $A$1)*parameters!$B$15</f>
        <v>23.52</v>
      </c>
      <c r="P8" s="13" cm="1">
        <f t="array" aca="1" ref="P8" ca="1">-INDIRECT("'data'!$S$" &amp; $A$1)*parameters!$B$15</f>
        <v>-940.8</v>
      </c>
      <c r="Q8" s="16">
        <f ca="1">SUM(Q6:Q7)</f>
        <v>6100.5</v>
      </c>
      <c r="R8" s="16">
        <f t="shared" ca="1" si="2"/>
        <v>6100.5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4700.08</v>
      </c>
      <c r="L9" s="16">
        <f t="shared" ca="1" si="0"/>
        <v>4700.08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-166.6</v>
      </c>
      <c r="Q9" s="16" cm="1">
        <f t="array" aca="1" ref="Q9" ca="1">INDIRECT("'data'!$T$" &amp; $A$1)*parameters!$B$15</f>
        <v>4533.4799999999996</v>
      </c>
      <c r="R9" s="16">
        <f t="shared" ca="1" si="2"/>
        <v>4533.4799999999996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2486.6182645803697</v>
      </c>
      <c r="L10" s="16">
        <f t="shared" ca="1" si="0"/>
        <v>2486.6182645803697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-524.29999999999995</v>
      </c>
      <c r="Q10" s="16" cm="1">
        <f t="array" aca="1" ref="Q10" ca="1">INDIRECT("'data'!$W$" &amp; $A$1)*parameters!$B$15</f>
        <v>1962.3182645803697</v>
      </c>
      <c r="R10" s="16">
        <f t="shared" ca="1" si="2"/>
        <v>1962.3182645803697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6908.3869075391176</v>
      </c>
      <c r="N11" s="19"/>
      <c r="O11" s="21" cm="1">
        <f t="array" aca="1" ref="O11" ca="1">INDIRECT("'data'!$Z$" &amp; $A$1)*parameters!$B$15</f>
        <v>176.4</v>
      </c>
      <c r="P11" s="27" cm="1">
        <f t="array" aca="1" ref="P11" ca="1">-INDIRECT("'data'!$AA$" &amp; $A$1)*parameters!$B$15</f>
        <v>-528.22</v>
      </c>
      <c r="Q11" s="16">
        <f ca="1">K9*parameters!$B$10+K10*parameters!$B$11</f>
        <v>6556.566907539117</v>
      </c>
      <c r="R11" s="16">
        <f t="shared" ref="R11:R17" ca="1" si="4">SUM(L11:P11)</f>
        <v>6556.566907539117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-5.99124484250774</v>
      </c>
      <c r="D12" s="9">
        <f ca="1">-(D17-Q4)</f>
        <v>-16.250031196538202</v>
      </c>
      <c r="E12" s="9">
        <f ca="1">-(E17-Q5)</f>
        <v>-126.73244017069715</v>
      </c>
      <c r="F12" s="9">
        <f ca="1">-(F17-Q6)</f>
        <v>-64.776119402985159</v>
      </c>
      <c r="G12" s="9">
        <f ca="1">-(G17-Q7)</f>
        <v>-230.07471264367814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-443.82454825640639</v>
      </c>
      <c r="M12" s="17"/>
      <c r="N12" s="17"/>
      <c r="O12" s="10"/>
      <c r="P12" s="12"/>
      <c r="Q12" s="9">
        <f t="shared" ref="Q12:Q17" ca="1" si="6">SUM(L12:P12)</f>
        <v>-443.82454825640639</v>
      </c>
      <c r="R12" s="17">
        <f t="shared" ca="1" si="4"/>
        <v>-443.82454825640639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-364.29606670413705</v>
      </c>
      <c r="J13" s="14">
        <f ca="1">-(J17-Q10)</f>
        <v>-157.68566871549342</v>
      </c>
      <c r="K13" s="13">
        <f ca="1">-(K17-Q11)</f>
        <v>-630.13135704125216</v>
      </c>
      <c r="L13" s="14">
        <f t="shared" ca="1" si="5"/>
        <v>-1152.1130924608826</v>
      </c>
      <c r="M13" s="16">
        <f ca="1">-E15</f>
        <v>0</v>
      </c>
      <c r="N13" s="16"/>
      <c r="O13" s="11"/>
      <c r="P13" s="13"/>
      <c r="Q13" s="14">
        <f t="shared" ca="1" si="6"/>
        <v>-1152.1130924608826</v>
      </c>
      <c r="R13" s="16">
        <f t="shared" ca="1" si="4"/>
        <v>-1152.1130924608826</v>
      </c>
    </row>
    <row r="14" spans="1:19">
      <c r="A14" s="18" t="s">
        <v>78</v>
      </c>
      <c r="B14" s="11"/>
      <c r="C14" s="14"/>
      <c r="D14" s="14"/>
      <c r="E14" s="14">
        <f ca="1">-(I13+J13)-K13</f>
        <v>1152.1130924608826</v>
      </c>
      <c r="F14" s="14"/>
      <c r="G14" s="14"/>
      <c r="H14" s="14"/>
      <c r="I14" s="14"/>
      <c r="J14" s="14"/>
      <c r="K14" s="13"/>
      <c r="L14" s="14">
        <f t="shared" ca="1" si="5"/>
        <v>1152.1130924608826</v>
      </c>
      <c r="M14" s="16"/>
      <c r="N14" s="16"/>
      <c r="O14" s="11"/>
      <c r="P14" s="13"/>
      <c r="Q14" s="14">
        <f t="shared" ca="1" si="6"/>
        <v>1152.1130924608826</v>
      </c>
      <c r="R14" s="16">
        <f t="shared" ca="1" si="4"/>
        <v>1152.1130924608826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1100</v>
      </c>
      <c r="M16" s="19"/>
      <c r="N16" s="19"/>
      <c r="O16" s="21"/>
      <c r="P16" s="27"/>
      <c r="Q16" s="22">
        <f t="shared" ca="1" si="6"/>
        <v>1100</v>
      </c>
      <c r="R16" s="19">
        <f t="shared" ca="1" si="4"/>
        <v>1100</v>
      </c>
    </row>
    <row r="17" spans="1:18">
      <c r="A17" s="29" t="s">
        <v>88</v>
      </c>
      <c r="B17" s="9">
        <f ca="1">B16</f>
        <v>1100</v>
      </c>
      <c r="C17" s="9">
        <f ca="1">SUM(C$2:C$11)</f>
        <v>950.99124484250774</v>
      </c>
      <c r="D17" s="9">
        <f ca="1">SUM(D$2:D$11)</f>
        <v>2579.3700311965381</v>
      </c>
      <c r="E17" s="9">
        <f ca="1">$Q$5/parameters!$B$4</f>
        <v>1152.1130924608826</v>
      </c>
      <c r="F17" s="9">
        <f t="shared" ref="F17:K17" ca="1" si="7">SUM(F$2:F$11)</f>
        <v>1044.7761194029852</v>
      </c>
      <c r="G17" s="9">
        <f t="shared" ca="1" si="7"/>
        <v>5350.5747126436781</v>
      </c>
      <c r="H17" s="9">
        <f t="shared" ca="1" si="7"/>
        <v>6100.5</v>
      </c>
      <c r="I17" s="9">
        <f t="shared" ca="1" si="7"/>
        <v>4897.7760667041366</v>
      </c>
      <c r="J17" s="9">
        <f t="shared" ca="1" si="7"/>
        <v>2120.0039332958631</v>
      </c>
      <c r="K17" s="9">
        <f t="shared" ca="1" si="7"/>
        <v>7186.6982645803691</v>
      </c>
      <c r="L17" s="17">
        <f t="shared" ca="1" si="5"/>
        <v>32482.803465126959</v>
      </c>
      <c r="M17" s="17"/>
      <c r="N17" s="17"/>
      <c r="O17" s="9"/>
      <c r="P17" s="14"/>
      <c r="Q17" s="11">
        <f t="shared" ca="1" si="6"/>
        <v>32482.803465126959</v>
      </c>
      <c r="R17" s="17">
        <f t="shared" ca="1" si="4"/>
        <v>32482.803465126959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0.92562010558614971</v>
      </c>
      <c r="J18" s="39">
        <f ca="1">I18</f>
        <v>0.92562010558614971</v>
      </c>
      <c r="K18" s="40">
        <f ca="1">1-(-K13)/K17</f>
        <v>0.91231976996350972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3796.8400925832748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3796.8400925832748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-3796.8400925832748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7.56</v>
      </c>
      <c r="H3" s="14"/>
      <c r="I3" s="14"/>
      <c r="J3" s="14"/>
      <c r="K3" s="13"/>
      <c r="L3" s="16">
        <f t="shared" ca="1" si="0"/>
        <v>7.56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-7.56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3772.92</v>
      </c>
      <c r="H4" s="14"/>
      <c r="I4" s="14"/>
      <c r="J4" s="14"/>
      <c r="K4" s="13"/>
      <c r="L4" s="16">
        <f t="shared" ca="1" si="0"/>
        <v>3772.92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3772.92</v>
      </c>
      <c r="R4" s="16">
        <f t="shared" ca="1" si="2"/>
        <v>3772.92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975.13128526645733</v>
      </c>
      <c r="H5" s="14"/>
      <c r="I5" s="14"/>
      <c r="J5" s="14"/>
      <c r="K5" s="13"/>
      <c r="L5" s="16">
        <f t="shared" ca="1" si="0"/>
        <v>975.13128526645733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975.13128526645733</v>
      </c>
      <c r="R5" s="16">
        <f t="shared" ca="1" si="2"/>
        <v>975.13128526645733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4551.12</v>
      </c>
      <c r="I7" s="14"/>
      <c r="J7" s="14"/>
      <c r="K7" s="13"/>
      <c r="L7" s="16">
        <f t="shared" ca="1" si="0"/>
        <v>4551.12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4551.12</v>
      </c>
      <c r="R7" s="16">
        <f t="shared" ca="1" si="2"/>
        <v>4551.12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2690</v>
      </c>
      <c r="J8" s="14">
        <f ca="1">Q10/J18</f>
        <v>1552.8568900609696</v>
      </c>
      <c r="K8" s="13"/>
      <c r="L8" s="16">
        <f t="shared" ca="1" si="0"/>
        <v>4242.8568900609698</v>
      </c>
      <c r="M8" s="16"/>
      <c r="N8" s="16">
        <f t="shared" ca="1" si="3"/>
        <v>1065.80310993903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-757.54</v>
      </c>
      <c r="Q8" s="16">
        <f ca="1">SUM(Q6:Q7)</f>
        <v>4551.12</v>
      </c>
      <c r="R8" s="16">
        <f t="shared" ca="1" si="2"/>
        <v>4551.12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3753.3999999999996</v>
      </c>
      <c r="L9" s="16">
        <f t="shared" ca="1" si="0"/>
        <v>3753.3999999999996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-1117.2</v>
      </c>
      <c r="Q9" s="16" cm="1">
        <f t="array" aca="1" ref="Q9" ca="1">INDIRECT("'data'!$T$" &amp; $A$1)*parameters!$B$15</f>
        <v>2636.2</v>
      </c>
      <c r="R9" s="16">
        <f t="shared" ca="1" si="2"/>
        <v>2636.2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3553.3397522597502</v>
      </c>
      <c r="L10" s="16">
        <f t="shared" ca="1" si="0"/>
        <v>3553.3397522597502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-2031.54</v>
      </c>
      <c r="Q10" s="16" cm="1">
        <f t="array" aca="1" ref="Q10" ca="1">INDIRECT("'data'!$W$" &amp; $A$1)*parameters!$B$15</f>
        <v>1521.7997522597502</v>
      </c>
      <c r="R10" s="16">
        <f t="shared" ca="1" si="2"/>
        <v>1521.7997522597502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9073.2681869433854</v>
      </c>
      <c r="N11" s="19"/>
      <c r="O11" s="21" cm="1">
        <f t="array" aca="1" ref="O11" ca="1">INDIRECT("'data'!$Z$" &amp; $A$1)*parameters!$B$15</f>
        <v>129.35999999999999</v>
      </c>
      <c r="P11" s="27" cm="1">
        <f t="array" aca="1" ref="P11" ca="1">-INDIRECT("'data'!$AA$" &amp; $A$1)*parameters!$B$15</f>
        <v>-2618.56</v>
      </c>
      <c r="Q11" s="16">
        <f ca="1">K9*parameters!$B$10+K10*parameters!$B$11</f>
        <v>6584.0681869433847</v>
      </c>
      <c r="R11" s="16">
        <f t="shared" ref="R11:R17" ca="1" si="4">SUM(L11:P11)</f>
        <v>6584.0681869433865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-23.920092583274709</v>
      </c>
      <c r="E12" s="9">
        <f ca="1">-(E17-Q5)</f>
        <v>-120.52184424641609</v>
      </c>
      <c r="F12" s="9">
        <f ca="1">-(F17-Q6)</f>
        <v>0</v>
      </c>
      <c r="G12" s="9">
        <f ca="1">-(G17-Q7)</f>
        <v>-204.49128526645745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-348.93322209614826</v>
      </c>
      <c r="M12" s="17"/>
      <c r="N12" s="17"/>
      <c r="O12" s="10"/>
      <c r="P12" s="12"/>
      <c r="Q12" s="9">
        <f t="shared" ref="Q12:Q17" ca="1" si="6">SUM(L12:P12)</f>
        <v>-348.93322209614826</v>
      </c>
      <c r="R12" s="17">
        <f t="shared" ca="1" si="4"/>
        <v>-348.93322209614826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-53.800000000000182</v>
      </c>
      <c r="J13" s="14">
        <f ca="1">-(J17-Q10)</f>
        <v>-31.057137801219369</v>
      </c>
      <c r="K13" s="13">
        <f ca="1">-(K17-Q11)</f>
        <v>-722.67156531636465</v>
      </c>
      <c r="L13" s="14">
        <f t="shared" ca="1" si="5"/>
        <v>-807.5287031175842</v>
      </c>
      <c r="M13" s="16">
        <f ca="1">-E15</f>
        <v>-288.12442639528922</v>
      </c>
      <c r="N13" s="16"/>
      <c r="O13" s="11"/>
      <c r="P13" s="13"/>
      <c r="Q13" s="14">
        <f t="shared" ca="1" si="6"/>
        <v>-1095.6531295128734</v>
      </c>
      <c r="R13" s="16">
        <f t="shared" ca="1" si="4"/>
        <v>-1095.6531295128734</v>
      </c>
    </row>
    <row r="14" spans="1:22">
      <c r="A14" s="18" t="s">
        <v>78</v>
      </c>
      <c r="B14" s="11"/>
      <c r="C14" s="14"/>
      <c r="D14" s="14"/>
      <c r="E14" s="14">
        <f ca="1">-(I13+J13)-K13</f>
        <v>807.5287031175842</v>
      </c>
      <c r="F14" s="14"/>
      <c r="G14" s="14"/>
      <c r="H14" s="14"/>
      <c r="I14" s="14"/>
      <c r="J14" s="14"/>
      <c r="K14" s="13"/>
      <c r="L14" s="14">
        <f t="shared" ca="1" si="5"/>
        <v>807.5287031175842</v>
      </c>
      <c r="M14" s="16"/>
      <c r="N14" s="16"/>
      <c r="O14" s="11"/>
      <c r="P14" s="13"/>
      <c r="Q14" s="14">
        <f t="shared" ca="1" si="6"/>
        <v>807.5287031175842</v>
      </c>
      <c r="R14" s="16">
        <f t="shared" ca="1" si="4"/>
        <v>807.5287031175842</v>
      </c>
    </row>
    <row r="15" spans="1:22">
      <c r="A15" s="18" t="s">
        <v>79</v>
      </c>
      <c r="B15" s="11"/>
      <c r="C15" s="14"/>
      <c r="D15" s="14"/>
      <c r="E15" s="14">
        <f ca="1">E17-E14</f>
        <v>288.12442639528922</v>
      </c>
      <c r="F15" s="14"/>
      <c r="G15" s="14"/>
      <c r="H15" s="14"/>
      <c r="I15" s="14"/>
      <c r="J15" s="14"/>
      <c r="K15" s="13"/>
      <c r="L15" s="14">
        <f t="shared" ca="1" si="5"/>
        <v>288.12442639528922</v>
      </c>
      <c r="M15" s="16"/>
      <c r="N15" s="16"/>
      <c r="O15" s="11"/>
      <c r="P15" s="13"/>
      <c r="Q15" s="14">
        <f t="shared" ca="1" si="6"/>
        <v>288.12442639528922</v>
      </c>
      <c r="R15" s="16">
        <f t="shared" ca="1" si="4"/>
        <v>288.12442639528922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3796.8400925832748</v>
      </c>
      <c r="E17" s="9">
        <f ca="1">$Q$5/parameters!$B$4</f>
        <v>1095.6531295128734</v>
      </c>
      <c r="F17" s="9">
        <f t="shared" ref="F17:K17" ca="1" si="7">SUM(F$2:F$11)</f>
        <v>0</v>
      </c>
      <c r="G17" s="9">
        <f t="shared" ca="1" si="7"/>
        <v>4755.6112852664573</v>
      </c>
      <c r="H17" s="9">
        <f t="shared" ca="1" si="7"/>
        <v>4551.12</v>
      </c>
      <c r="I17" s="9">
        <f t="shared" ca="1" si="7"/>
        <v>2690</v>
      </c>
      <c r="J17" s="9">
        <f t="shared" ca="1" si="7"/>
        <v>1552.8568900609696</v>
      </c>
      <c r="K17" s="9">
        <f t="shared" ca="1" si="7"/>
        <v>7306.7397522597494</v>
      </c>
      <c r="L17" s="17">
        <f t="shared" ca="1" si="5"/>
        <v>25748.821149683321</v>
      </c>
      <c r="M17" s="17"/>
      <c r="N17" s="17"/>
      <c r="O17" s="9"/>
      <c r="P17" s="14"/>
      <c r="Q17" s="11">
        <f t="shared" ca="1" si="6"/>
        <v>25748.821149683321</v>
      </c>
      <c r="R17" s="17">
        <f t="shared" ca="1" si="4"/>
        <v>25748.821149683321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0.90109520937941379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5618.4562745295352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5618.4562745295352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-4929.5522745295348</v>
      </c>
      <c r="Q2" s="17" cm="1">
        <f t="array" aca="1" ref="Q2" ca="1">INDIRECT("'data'!$D$" &amp; $A$1)</f>
        <v>688.904</v>
      </c>
      <c r="R2" s="17">
        <f ca="1">SUM(L2:P2)</f>
        <v>688.90400000000045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5598.5373134328356</v>
      </c>
      <c r="G3" s="14">
        <f ca="1">Q3-O3-P3-F3</f>
        <v>39.332686567164274</v>
      </c>
      <c r="H3" s="14"/>
      <c r="I3" s="14"/>
      <c r="J3" s="14"/>
      <c r="K3" s="13"/>
      <c r="L3" s="16">
        <f t="shared" ca="1" si="0"/>
        <v>5637.87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6.6149999999999993</v>
      </c>
      <c r="P3" s="13" cm="1">
        <f t="array" aca="1" ref="P3" ca="1">-INDIRECT("'data'!$I$" &amp; $A$1)*parameters!$B$13</f>
        <v>-61.424999999999997</v>
      </c>
      <c r="Q3" s="16" cm="1">
        <f t="array" aca="1" ref="Q3" ca="1">INDIRECT("'data'!$G$" &amp; $A$1)*parameters!$B$13</f>
        <v>5583.0599999999995</v>
      </c>
      <c r="R3" s="16">
        <f t="shared" ref="R3:R10" ca="1" si="2">SUM(L3:P3)</f>
        <v>5583.0599999999995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11.040000000000001</v>
      </c>
      <c r="H4" s="14"/>
      <c r="I4" s="14"/>
      <c r="J4" s="14"/>
      <c r="K4" s="13"/>
      <c r="L4" s="16">
        <f t="shared" ca="1" si="0"/>
        <v>11.040000000000001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-11.040000000000001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Q6/parameters!$B$5*22%</f>
        <v>1579.0746268656715</v>
      </c>
      <c r="G5" s="14">
        <f ca="1">Q7/parameters!$B$7-(G3+G4)</f>
        <v>674.64298741402706</v>
      </c>
      <c r="H5" s="14"/>
      <c r="I5" s="14"/>
      <c r="J5" s="14"/>
      <c r="K5" s="13"/>
      <c r="L5" s="16">
        <f t="shared" ca="1" si="0"/>
        <v>2253.7176142796984</v>
      </c>
      <c r="M5" s="16"/>
      <c r="N5" s="16"/>
      <c r="O5" s="11" cm="1">
        <f t="array" aca="1" ref="O5" ca="1">INDIRECT("'data'!$M$" &amp; $A$1)*parameters!$B$15</f>
        <v>1241.6600000000001</v>
      </c>
      <c r="P5" s="13" cm="1">
        <f t="array" aca="1" ref="P5" ca="1">-INDIRECT("'data'!$N$" &amp; $A$1)*parameters!$B$15</f>
        <v>-1323.98</v>
      </c>
      <c r="Q5" s="16">
        <f ca="1">SUM(L5:P5)</f>
        <v>2171.3976142796987</v>
      </c>
      <c r="R5" s="16">
        <f t="shared" ca="1" si="2"/>
        <v>2171.3976142796987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6732.5999999999995</v>
      </c>
      <c r="I6" s="14"/>
      <c r="J6" s="14"/>
      <c r="K6" s="13"/>
      <c r="L6" s="16">
        <f t="shared" ca="1" si="0"/>
        <v>6732.5999999999995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6732.5999999999995</v>
      </c>
      <c r="R6" s="16">
        <f t="shared" ca="1" si="2"/>
        <v>6732.5999999999995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693.84</v>
      </c>
      <c r="I7" s="14"/>
      <c r="J7" s="14"/>
      <c r="K7" s="13"/>
      <c r="L7" s="16">
        <f t="shared" ca="1" si="0"/>
        <v>693.84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693.84</v>
      </c>
      <c r="R7" s="16">
        <f t="shared" ca="1" si="2"/>
        <v>693.84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2026.7907945188431</v>
      </c>
      <c r="J8" s="14">
        <f ca="1">Q10/J18</f>
        <v>5321.2492054811564</v>
      </c>
      <c r="K8" s="13"/>
      <c r="L8" s="16">
        <f t="shared" ca="1" si="0"/>
        <v>7348.0399999999991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286.15999999999997</v>
      </c>
      <c r="P8" s="13" cm="1">
        <f t="array" aca="1" ref="P8" ca="1">-INDIRECT("'data'!$S$" &amp; $A$1)*parameters!$B$15</f>
        <v>-207.76</v>
      </c>
      <c r="Q8" s="16">
        <f ca="1">SUM(Q6:Q7)</f>
        <v>7426.44</v>
      </c>
      <c r="R8" s="16">
        <f t="shared" ca="1" si="2"/>
        <v>7426.4399999999987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1573.8799999999999</v>
      </c>
      <c r="L9" s="16">
        <f t="shared" ca="1" si="0"/>
        <v>1573.8799999999999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1558.2</v>
      </c>
      <c r="P9" s="13" cm="1">
        <f t="array" aca="1" ref="P9" ca="1">-INDIRECT("'data'!$V$" &amp; $A$1)*parameters!$B$15</f>
        <v>-1327.8999999999999</v>
      </c>
      <c r="Q9" s="16" cm="1">
        <f t="array" aca="1" ref="Q9" ca="1">INDIRECT("'data'!$T$" &amp; $A$1)*parameters!$B$15</f>
        <v>1804.18</v>
      </c>
      <c r="R9" s="16">
        <f t="shared" ca="1" si="2"/>
        <v>1804.18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2703.2944523470833</v>
      </c>
      <c r="L10" s="16">
        <f t="shared" ca="1" si="0"/>
        <v>2703.2944523470833</v>
      </c>
      <c r="M10" s="16"/>
      <c r="N10" s="16">
        <f t="shared" ca="1" si="3"/>
        <v>0</v>
      </c>
      <c r="O10" s="11" cm="1">
        <f t="array" aca="1" ref="O10" ca="1">INDIRECT("'data'!$X$" &amp; $A$1)*parameters!$B$15</f>
        <v>4116</v>
      </c>
      <c r="P10" s="13" cm="1">
        <f t="array" aca="1" ref="P10" ca="1">-INDIRECT("'data'!$Y$" &amp; $A$1)*parameters!$B$15</f>
        <v>-2082.5</v>
      </c>
      <c r="Q10" s="16" cm="1">
        <f t="array" aca="1" ref="Q10" ca="1">INDIRECT("'data'!$W$" &amp; $A$1)*parameters!$B$15</f>
        <v>4736.7944523470833</v>
      </c>
      <c r="R10" s="16">
        <f t="shared" ca="1" si="2"/>
        <v>4736.7944523470833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3793.5004290184916</v>
      </c>
      <c r="N11" s="19"/>
      <c r="O11" s="21" cm="1">
        <f t="array" aca="1" ref="O11" ca="1">INDIRECT("'data'!$Z$" &amp; $A$1)*parameters!$B$15</f>
        <v>3763.2</v>
      </c>
      <c r="P11" s="27" cm="1">
        <f t="array" aca="1" ref="P11" ca="1">-INDIRECT("'data'!$AA$" &amp; $A$1)*parameters!$B$15</f>
        <v>-3752.42</v>
      </c>
      <c r="Q11" s="16">
        <f ca="1">K9*parameters!$B$10+K10*parameters!$B$11</f>
        <v>3804.2804290184913</v>
      </c>
      <c r="R11" s="16">
        <f t="shared" ref="R11:R17" ca="1" si="4">SUM(L11:P11)</f>
        <v>3804.2804290184913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-35.396274529535731</v>
      </c>
      <c r="D12" s="9">
        <f ca="1">-(D17-Q4)</f>
        <v>0</v>
      </c>
      <c r="E12" s="9">
        <f ca="1">-(E17-Q5)</f>
        <v>-268.37498603456925</v>
      </c>
      <c r="F12" s="9">
        <f ca="1">-(F17-Q6)</f>
        <v>-445.0119402985074</v>
      </c>
      <c r="G12" s="9">
        <f ca="1">-(G17-Q7)</f>
        <v>-31.175673981191267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-779.95887484380364</v>
      </c>
      <c r="M12" s="17"/>
      <c r="N12" s="17"/>
      <c r="O12" s="10"/>
      <c r="P12" s="12"/>
      <c r="Q12" s="9">
        <f t="shared" ref="Q12:Q17" ca="1" si="6">SUM(L12:P12)</f>
        <v>-779.95887484380364</v>
      </c>
      <c r="R12" s="17">
        <f t="shared" ca="1" si="4"/>
        <v>-779.95887484380364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-222.61079451884302</v>
      </c>
      <c r="J13" s="14">
        <f ca="1">-(J17-Q10)</f>
        <v>-584.45475313407314</v>
      </c>
      <c r="K13" s="13">
        <f ca="1">-(K17-Q11)</f>
        <v>-472.89402332859208</v>
      </c>
      <c r="L13" s="14">
        <f t="shared" ca="1" si="5"/>
        <v>-1279.9595709815083</v>
      </c>
      <c r="M13" s="16">
        <f ca="1">-E15</f>
        <v>-1159.8130293327597</v>
      </c>
      <c r="N13" s="16"/>
      <c r="O13" s="11"/>
      <c r="P13" s="13"/>
      <c r="Q13" s="14">
        <f t="shared" ca="1" si="6"/>
        <v>-2439.7726003142679</v>
      </c>
      <c r="R13" s="16">
        <f t="shared" ca="1" si="4"/>
        <v>-2439.7726003142679</v>
      </c>
    </row>
    <row r="14" spans="1:20">
      <c r="A14" s="18" t="s">
        <v>78</v>
      </c>
      <c r="B14" s="11"/>
      <c r="C14" s="14"/>
      <c r="D14" s="14"/>
      <c r="E14" s="14">
        <f ca="1">-(I13+J13)-K13</f>
        <v>1279.9595709815083</v>
      </c>
      <c r="F14" s="14"/>
      <c r="G14" s="14"/>
      <c r="H14" s="14"/>
      <c r="I14" s="14"/>
      <c r="J14" s="14"/>
      <c r="K14" s="13"/>
      <c r="L14" s="14">
        <f t="shared" ca="1" si="5"/>
        <v>1279.9595709815083</v>
      </c>
      <c r="M14" s="16"/>
      <c r="N14" s="16"/>
      <c r="O14" s="11"/>
      <c r="P14" s="13"/>
      <c r="Q14" s="14">
        <f t="shared" ca="1" si="6"/>
        <v>1279.9595709815083</v>
      </c>
      <c r="R14" s="16">
        <f t="shared" ca="1" si="4"/>
        <v>1279.9595709815083</v>
      </c>
    </row>
    <row r="15" spans="1:20">
      <c r="A15" s="18" t="s">
        <v>79</v>
      </c>
      <c r="B15" s="11"/>
      <c r="C15" s="14"/>
      <c r="D15" s="14"/>
      <c r="E15" s="14">
        <f ca="1">E17-E14</f>
        <v>1159.8130293327597</v>
      </c>
      <c r="F15" s="14"/>
      <c r="G15" s="14"/>
      <c r="H15" s="14"/>
      <c r="I15" s="14"/>
      <c r="J15" s="14"/>
      <c r="K15" s="13"/>
      <c r="L15" s="14">
        <f t="shared" ca="1" si="5"/>
        <v>1159.8130293327597</v>
      </c>
      <c r="M15" s="16"/>
      <c r="N15" s="16"/>
      <c r="O15" s="11"/>
      <c r="P15" s="13"/>
      <c r="Q15" s="14">
        <f t="shared" ca="1" si="6"/>
        <v>1159.8130293327597</v>
      </c>
      <c r="R15" s="16">
        <f t="shared" ca="1" si="4"/>
        <v>1159.8130293327597</v>
      </c>
    </row>
    <row r="16" spans="1:20">
      <c r="A16" s="30" t="s">
        <v>89</v>
      </c>
      <c r="B16" s="21">
        <f ca="1">Q2</f>
        <v>688.904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688.904</v>
      </c>
      <c r="M16" s="19"/>
      <c r="N16" s="19"/>
      <c r="O16" s="21"/>
      <c r="P16" s="27"/>
      <c r="Q16" s="22">
        <f t="shared" ca="1" si="6"/>
        <v>688.904</v>
      </c>
      <c r="R16" s="19">
        <f t="shared" ca="1" si="4"/>
        <v>688.904</v>
      </c>
    </row>
    <row r="17" spans="1:18">
      <c r="A17" s="29" t="s">
        <v>88</v>
      </c>
      <c r="B17" s="9">
        <f ca="1">B16</f>
        <v>688.904</v>
      </c>
      <c r="C17" s="9">
        <f ca="1">SUM(C$2:C$11)</f>
        <v>5618.4562745295352</v>
      </c>
      <c r="D17" s="9">
        <f ca="1">SUM(D$2:D$11)</f>
        <v>0</v>
      </c>
      <c r="E17" s="9">
        <f ca="1">$Q$5/parameters!$B$4</f>
        <v>2439.7726003142679</v>
      </c>
      <c r="F17" s="9">
        <f t="shared" ref="F17:K17" ca="1" si="7">SUM(F$2:F$11)</f>
        <v>7177.6119402985069</v>
      </c>
      <c r="G17" s="9">
        <f t="shared" ca="1" si="7"/>
        <v>725.0156739811913</v>
      </c>
      <c r="H17" s="9">
        <f t="shared" ca="1" si="7"/>
        <v>7426.44</v>
      </c>
      <c r="I17" s="9">
        <f t="shared" ca="1" si="7"/>
        <v>2026.7907945188431</v>
      </c>
      <c r="J17" s="9">
        <f t="shared" ca="1" si="7"/>
        <v>5321.2492054811564</v>
      </c>
      <c r="K17" s="9">
        <f t="shared" ca="1" si="7"/>
        <v>4277.1744523470834</v>
      </c>
      <c r="L17" s="17">
        <f t="shared" ca="1" si="5"/>
        <v>35701.414941470575</v>
      </c>
      <c r="M17" s="17"/>
      <c r="N17" s="17"/>
      <c r="O17" s="9"/>
      <c r="P17" s="14"/>
      <c r="Q17" s="11">
        <f t="shared" ca="1" si="6"/>
        <v>35701.414941470575</v>
      </c>
      <c r="R17" s="17">
        <f t="shared" ca="1" si="4"/>
        <v>35701.414941470575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0.8901658744844998</v>
      </c>
      <c r="J18" s="39">
        <f ca="1">I18</f>
        <v>0.8901658744844998</v>
      </c>
      <c r="K18" s="40">
        <f ca="1">1-(-K13)/K17</f>
        <v>0.88943775181554885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6254.6694173291735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6254.6694173291735</v>
      </c>
      <c r="M2" s="17"/>
      <c r="N2" s="17">
        <f ca="1">Q2-(L2+O2+P2)</f>
        <v>0</v>
      </c>
      <c r="O2" s="11" cm="1">
        <f t="array" aca="1" ref="O2" ca="1">INDIRECT("'data'!$F$" &amp; $A$1)</f>
        <v>27.95</v>
      </c>
      <c r="P2" s="13">
        <f ca="1">IF(-(L2-Q2+O2)&lt;0, -(L2-Q2+O2), 0)</f>
        <v>-6282.6194173291733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5973.6119402985078</v>
      </c>
      <c r="G3" s="14">
        <f ca="1">Q3-O3-P3-F3</f>
        <v>525.15305970149166</v>
      </c>
      <c r="H3" s="14"/>
      <c r="I3" s="14"/>
      <c r="J3" s="14"/>
      <c r="K3" s="13"/>
      <c r="L3" s="16">
        <f t="shared" ca="1" si="0"/>
        <v>6498.7649999999994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273.10499999999996</v>
      </c>
      <c r="P3" s="13" cm="1">
        <f t="array" aca="1" ref="P3" ca="1">-INDIRECT("'data'!$I$" &amp; $A$1)*parameters!$B$13</f>
        <v>-556.60500000000002</v>
      </c>
      <c r="Q3" s="16" cm="1">
        <f t="array" aca="1" ref="Q3" ca="1">INDIRECT("'data'!$G$" &amp; $A$1)*parameters!$B$13</f>
        <v>6215.2649999999994</v>
      </c>
      <c r="R3" s="16">
        <f t="shared" ref="R3:R10" ca="1" si="2">SUM(L3:P3)</f>
        <v>6215.2649999999994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10.120000000000001</v>
      </c>
      <c r="H4" s="14"/>
      <c r="I4" s="14"/>
      <c r="J4" s="14"/>
      <c r="K4" s="13"/>
      <c r="L4" s="16">
        <f t="shared" ca="1" si="0"/>
        <v>10.120000000000001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-11.040000000000001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1493.4029850746269</v>
      </c>
      <c r="G5" s="14">
        <f ca="1">Q7/parameters!$B$7-(G3+G4)</f>
        <v>3094.9254773935972</v>
      </c>
      <c r="H5" s="14"/>
      <c r="I5" s="14"/>
      <c r="J5" s="14"/>
      <c r="K5" s="13"/>
      <c r="L5" s="16">
        <f t="shared" ca="1" si="0"/>
        <v>4588.3284624682237</v>
      </c>
      <c r="M5" s="16"/>
      <c r="N5" s="16"/>
      <c r="O5" s="11" cm="1">
        <f t="array" aca="1" ref="O5" ca="1">INDIRECT("'data'!$M$" &amp; $A$1)*parameters!$B$15</f>
        <v>2940.98</v>
      </c>
      <c r="P5" s="13" cm="1">
        <f t="array" aca="1" ref="P5" ca="1">-INDIRECT("'data'!$N$" &amp; $A$1)*parameters!$B$15</f>
        <v>-4392.3599999999997</v>
      </c>
      <c r="Q5" s="16">
        <f ca="1">SUM(L5:P5)</f>
        <v>3136.9484624682236</v>
      </c>
      <c r="R5" s="16">
        <f t="shared" ca="1" si="2"/>
        <v>3136.9484624682236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7004.0599999999995</v>
      </c>
      <c r="I6" s="14"/>
      <c r="J6" s="14"/>
      <c r="K6" s="13"/>
      <c r="L6" s="16">
        <f t="shared" ca="1" si="0"/>
        <v>7004.0599999999995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7004.0599999999995</v>
      </c>
      <c r="R6" s="16">
        <f t="shared" ca="1" si="2"/>
        <v>7004.0599999999995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3474.1</v>
      </c>
      <c r="I7" s="14"/>
      <c r="J7" s="14"/>
      <c r="K7" s="13"/>
      <c r="L7" s="16">
        <f t="shared" ca="1" si="0"/>
        <v>3474.1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3474.1</v>
      </c>
      <c r="R7" s="16">
        <f t="shared" ca="1" si="2"/>
        <v>3474.1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1339.0629909179556</v>
      </c>
      <c r="J8" s="14">
        <f ca="1">Q10/J18</f>
        <v>10711.997009082042</v>
      </c>
      <c r="K8" s="13"/>
      <c r="L8" s="16">
        <f t="shared" ca="1" si="0"/>
        <v>12051.059999999998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1025.08</v>
      </c>
      <c r="P8" s="13" cm="1">
        <f t="array" aca="1" ref="P8" ca="1">-INDIRECT("'data'!$S$" &amp; $A$1)*parameters!$B$15</f>
        <v>-2597.98</v>
      </c>
      <c r="Q8" s="16">
        <f ca="1">SUM(Q6:Q7)</f>
        <v>10478.16</v>
      </c>
      <c r="R8" s="16">
        <f t="shared" ca="1" si="2"/>
        <v>10478.159999999998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1499.4000000000003</v>
      </c>
      <c r="L9" s="16">
        <f t="shared" ca="1" si="0"/>
        <v>1499.4000000000003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2634.24</v>
      </c>
      <c r="P9" s="13" cm="1">
        <f t="array" aca="1" ref="P9" ca="1">-INDIRECT("'data'!$V$" &amp; $A$1)*parameters!$B$15</f>
        <v>-2918.44</v>
      </c>
      <c r="Q9" s="16" cm="1">
        <f t="array" aca="1" ref="Q9" ca="1">INDIRECT("'data'!$T$" &amp; $A$1)*parameters!$B$15</f>
        <v>1215.2</v>
      </c>
      <c r="R9" s="16">
        <f t="shared" ca="1" si="2"/>
        <v>1215.2000000000003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2937.5799715505</v>
      </c>
      <c r="L10" s="16">
        <f t="shared" ca="1" si="0"/>
        <v>2937.5799715505</v>
      </c>
      <c r="M10" s="16"/>
      <c r="N10" s="16">
        <f t="shared" ca="1" si="3"/>
        <v>0</v>
      </c>
      <c r="O10" s="11" cm="1">
        <f t="array" aca="1" ref="O10" ca="1">INDIRECT("'data'!$X$" &amp; $A$1)*parameters!$B$15</f>
        <v>17285.239999999998</v>
      </c>
      <c r="P10" s="13" cm="1">
        <f t="array" aca="1" ref="P10" ca="1">-INDIRECT("'data'!$Y$" &amp; $A$1)*parameters!$B$15</f>
        <v>-10501.68</v>
      </c>
      <c r="Q10" s="16" cm="1">
        <f t="array" aca="1" ref="Q10" ca="1">INDIRECT("'data'!$W$" &amp; $A$1)*parameters!$B$15</f>
        <v>9721.1399715504976</v>
      </c>
      <c r="R10" s="16">
        <f t="shared" ca="1" si="2"/>
        <v>9721.1399715504958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4594.3147755334303</v>
      </c>
      <c r="N11" s="19"/>
      <c r="O11" s="21" cm="1">
        <f t="array" aca="1" ref="O11" ca="1">INDIRECT("'data'!$Z$" &amp; $A$1)*parameters!$B$15</f>
        <v>6617.94</v>
      </c>
      <c r="P11" s="27" cm="1">
        <f t="array" aca="1" ref="P11" ca="1">-INDIRECT("'data'!$AA$" &amp; $A$1)*parameters!$B$15</f>
        <v>-7276.5</v>
      </c>
      <c r="Q11" s="16">
        <f ca="1">K9*parameters!$B$10+K10*parameters!$B$11</f>
        <v>3935.7547755334299</v>
      </c>
      <c r="R11" s="16">
        <f t="shared" ref="R11:R17" ca="1" si="4">SUM(L11:P11)</f>
        <v>3935.7547755334308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-39.404417329174066</v>
      </c>
      <c r="D12" s="9">
        <f ca="1">-(D17-Q4)</f>
        <v>0</v>
      </c>
      <c r="E12" s="9">
        <f ca="1">-(E17-Q5)</f>
        <v>-387.71273131629732</v>
      </c>
      <c r="F12" s="9">
        <f ca="1">-(F17-Q6)</f>
        <v>-462.95492537313476</v>
      </c>
      <c r="G12" s="9">
        <f ca="1">-(G17-Q7)</f>
        <v>-156.09853709508889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-1046.170611113695</v>
      </c>
      <c r="M12" s="17"/>
      <c r="N12" s="17"/>
      <c r="O12" s="10"/>
      <c r="P12" s="12"/>
      <c r="Q12" s="9">
        <f t="shared" ref="Q12:Q17" ca="1" si="6">SUM(L12:P12)</f>
        <v>-1046.170611113695</v>
      </c>
      <c r="R12" s="17">
        <f t="shared" ca="1" si="4"/>
        <v>-1046.170611113695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-123.86299091795559</v>
      </c>
      <c r="J13" s="14">
        <f ca="1">-(J17-Q10)</f>
        <v>-990.85703753154485</v>
      </c>
      <c r="K13" s="13">
        <f ca="1">-(K17-Q11)</f>
        <v>-501.22519601707063</v>
      </c>
      <c r="L13" s="14">
        <f t="shared" ca="1" si="5"/>
        <v>-1615.9452244665711</v>
      </c>
      <c r="M13" s="16">
        <f ca="1">-E15</f>
        <v>-1908.7159693179499</v>
      </c>
      <c r="N13" s="16"/>
      <c r="O13" s="11"/>
      <c r="P13" s="13"/>
      <c r="Q13" s="14">
        <f t="shared" ca="1" si="6"/>
        <v>-3524.6611937845209</v>
      </c>
      <c r="R13" s="16">
        <f t="shared" ca="1" si="4"/>
        <v>-3524.6611937845209</v>
      </c>
    </row>
    <row r="14" spans="1:20">
      <c r="A14" s="18" t="s">
        <v>78</v>
      </c>
      <c r="B14" s="11"/>
      <c r="C14" s="14"/>
      <c r="D14" s="14"/>
      <c r="E14" s="14">
        <f ca="1">-(I13+J13)-K13</f>
        <v>1615.9452244665711</v>
      </c>
      <c r="F14" s="14"/>
      <c r="G14" s="14"/>
      <c r="H14" s="14"/>
      <c r="I14" s="14"/>
      <c r="J14" s="14"/>
      <c r="K14" s="13"/>
      <c r="L14" s="14">
        <f t="shared" ca="1" si="5"/>
        <v>1615.9452244665711</v>
      </c>
      <c r="M14" s="16"/>
      <c r="N14" s="16"/>
      <c r="O14" s="11"/>
      <c r="P14" s="13"/>
      <c r="Q14" s="14">
        <f t="shared" ca="1" si="6"/>
        <v>1615.9452244665711</v>
      </c>
      <c r="R14" s="16">
        <f t="shared" ca="1" si="4"/>
        <v>1615.9452244665711</v>
      </c>
    </row>
    <row r="15" spans="1:20">
      <c r="A15" s="18" t="s">
        <v>79</v>
      </c>
      <c r="B15" s="11"/>
      <c r="C15" s="14"/>
      <c r="D15" s="14"/>
      <c r="E15" s="14">
        <f ca="1">E17-E14</f>
        <v>1908.7159693179499</v>
      </c>
      <c r="F15" s="14"/>
      <c r="G15" s="14"/>
      <c r="H15" s="14"/>
      <c r="I15" s="14"/>
      <c r="J15" s="14"/>
      <c r="K15" s="13"/>
      <c r="L15" s="14">
        <f t="shared" ca="1" si="5"/>
        <v>1908.7159693179499</v>
      </c>
      <c r="M15" s="16"/>
      <c r="N15" s="16"/>
      <c r="O15" s="11"/>
      <c r="P15" s="13"/>
      <c r="Q15" s="14">
        <f t="shared" ca="1" si="6"/>
        <v>1908.7159693179499</v>
      </c>
      <c r="R15" s="16">
        <f t="shared" ca="1" si="4"/>
        <v>1908.7159693179499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6254.6694173291735</v>
      </c>
      <c r="D17" s="9">
        <f ca="1">SUM(D$2:D$11)</f>
        <v>0</v>
      </c>
      <c r="E17" s="9">
        <f ca="1">$Q$5/parameters!$B$4</f>
        <v>3524.6611937845209</v>
      </c>
      <c r="F17" s="9">
        <f t="shared" ref="F17:K17" ca="1" si="7">SUM(F$2:F$11)</f>
        <v>7467.0149253731342</v>
      </c>
      <c r="G17" s="9">
        <f t="shared" ca="1" si="7"/>
        <v>3630.1985370950888</v>
      </c>
      <c r="H17" s="9">
        <f t="shared" ca="1" si="7"/>
        <v>10478.16</v>
      </c>
      <c r="I17" s="9">
        <f t="shared" ca="1" si="7"/>
        <v>1339.0629909179556</v>
      </c>
      <c r="J17" s="9">
        <f t="shared" ca="1" si="7"/>
        <v>10711.997009082042</v>
      </c>
      <c r="K17" s="9">
        <f t="shared" ca="1" si="7"/>
        <v>4436.9799715505005</v>
      </c>
      <c r="L17" s="17">
        <f t="shared" ca="1" si="5"/>
        <v>47842.744045132415</v>
      </c>
      <c r="M17" s="17"/>
      <c r="N17" s="17"/>
      <c r="O17" s="9"/>
      <c r="P17" s="14"/>
      <c r="Q17" s="11">
        <f t="shared" ca="1" si="6"/>
        <v>47842.744045132415</v>
      </c>
      <c r="R17" s="17">
        <f t="shared" ca="1" si="4"/>
        <v>47842.744045132415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0.90750025072902296</v>
      </c>
      <c r="J18" s="39">
        <f ca="1">I18</f>
        <v>0.90750025072902296</v>
      </c>
      <c r="K18" s="40">
        <f ca="1">1-(-K13)/K17</f>
        <v>0.88703460479179996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10422.864043473885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10422.864043473885</v>
      </c>
      <c r="M2" s="17"/>
      <c r="N2" s="17">
        <f ca="1">Q2-(L2+O2+P2)</f>
        <v>0</v>
      </c>
      <c r="O2" s="11" cm="1">
        <f t="array" aca="1" ref="O2" ca="1">INDIRECT("'data'!$F$" &amp; $A$1)</f>
        <v>2.6</v>
      </c>
      <c r="P2" s="13">
        <f ca="1">IF(-(L2-Q2+O2)&lt;0, -(L2-Q2+O2), 0)</f>
        <v>-10425.464043473885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9901.2179104477618</v>
      </c>
      <c r="G3" s="14">
        <f ca="1">Q3-O3-P3-F3</f>
        <v>525.91208955223556</v>
      </c>
      <c r="H3" s="14"/>
      <c r="I3" s="14"/>
      <c r="J3" s="14"/>
      <c r="K3" s="13"/>
      <c r="L3" s="16">
        <f t="shared" ca="1" si="0"/>
        <v>10427.129999999997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15.12</v>
      </c>
      <c r="P3" s="13" cm="1">
        <f t="array" aca="1" ref="P3" ca="1">-INDIRECT("'data'!$I$" &amp; $A$1)*parameters!$B$13</f>
        <v>-85.05</v>
      </c>
      <c r="Q3" s="16" cm="1">
        <f t="array" aca="1" ref="Q3" ca="1">INDIRECT("'data'!$G$" &amp; $A$1)*parameters!$B$13</f>
        <v>10357.199999999999</v>
      </c>
      <c r="R3" s="16">
        <f t="shared" ref="R3:R10" ca="1" si="2">SUM(L3:P3)</f>
        <v>10357.199999999999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Q6/parameters!$B$5*16%</f>
        <v>1885.9462686567167</v>
      </c>
      <c r="G5" s="14">
        <f ca="1">Q7/parameters!$B$7-(G3+G4)</f>
        <v>2581.1093942513171</v>
      </c>
      <c r="H5" s="14"/>
      <c r="I5" s="14"/>
      <c r="J5" s="14"/>
      <c r="K5" s="13"/>
      <c r="L5" s="16">
        <f t="shared" ca="1" si="0"/>
        <v>4467.0556629080338</v>
      </c>
      <c r="M5" s="16"/>
      <c r="N5" s="16"/>
      <c r="O5" s="11" cm="1">
        <f t="array" aca="1" ref="O5" ca="1">INDIRECT("'data'!$M$" &amp; $A$1)*parameters!$B$15</f>
        <v>5893.72</v>
      </c>
      <c r="P5" s="13" cm="1">
        <f t="array" aca="1" ref="P5" ca="1">-INDIRECT("'data'!$N$" &amp; $A$1)*parameters!$B$15</f>
        <v>-201.88</v>
      </c>
      <c r="Q5" s="16">
        <f ca="1">SUM(L5:P5)</f>
        <v>10158.895662908035</v>
      </c>
      <c r="R5" s="16">
        <f t="shared" ca="1" si="2"/>
        <v>10158.895662908035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11056.36</v>
      </c>
      <c r="I6" s="14"/>
      <c r="J6" s="14"/>
      <c r="K6" s="13"/>
      <c r="L6" s="16">
        <f t="shared" ca="1" si="0"/>
        <v>11056.36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11056.36</v>
      </c>
      <c r="R6" s="16">
        <f t="shared" ca="1" si="2"/>
        <v>11056.36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2974.2999999999997</v>
      </c>
      <c r="I7" s="14"/>
      <c r="J7" s="14"/>
      <c r="K7" s="13"/>
      <c r="L7" s="16">
        <f t="shared" ca="1" si="0"/>
        <v>2974.2999999999997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2974.2999999999997</v>
      </c>
      <c r="R7" s="16">
        <f t="shared" ca="1" si="2"/>
        <v>2974.2999999999997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5103.2094701274191</v>
      </c>
      <c r="J8" s="14">
        <f ca="1">Q10/J18</f>
        <v>6349.0705298725816</v>
      </c>
      <c r="K8" s="13"/>
      <c r="L8" s="16">
        <f t="shared" ca="1" si="0"/>
        <v>11452.28</v>
      </c>
      <c r="M8" s="16"/>
      <c r="N8" s="16">
        <f t="shared" ca="1" si="3"/>
        <v>0</v>
      </c>
      <c r="O8" s="11" cm="1">
        <f t="array" aca="1" ref="O8" ca="1">INDIRECT("'data'!$R$" &amp; $A$1)*parameters!$B$15</f>
        <v>3451.56</v>
      </c>
      <c r="P8" s="13" cm="1">
        <f t="array" aca="1" ref="P8" ca="1">-INDIRECT("'data'!$S$" &amp; $A$1)*parameters!$B$15</f>
        <v>-873.18</v>
      </c>
      <c r="Q8" s="16">
        <f ca="1">SUM(Q6:Q7)</f>
        <v>14030.66</v>
      </c>
      <c r="R8" s="16">
        <f t="shared" ca="1" si="2"/>
        <v>14030.66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4163.04</v>
      </c>
      <c r="L9" s="16">
        <f t="shared" ca="1" si="0"/>
        <v>4163.04</v>
      </c>
      <c r="M9" s="16"/>
      <c r="N9" s="16">
        <f t="shared" ca="1" si="3"/>
        <v>0</v>
      </c>
      <c r="O9" s="11" cm="1">
        <f t="array" aca="1" ref="O9" ca="1">INDIRECT("'data'!$U$" &amp; $A$1)*parameters!$B$15</f>
        <v>2725.38</v>
      </c>
      <c r="P9" s="13" cm="1">
        <f t="array" aca="1" ref="P9" ca="1">-INDIRECT("'data'!$V$" &amp; $A$1)*parameters!$B$15</f>
        <v>-2511.7399999999998</v>
      </c>
      <c r="Q9" s="16" cm="1">
        <f t="array" aca="1" ref="Q9" ca="1">INDIRECT("'data'!$T$" &amp; $A$1)*parameters!$B$15</f>
        <v>4376.68</v>
      </c>
      <c r="R9" s="16">
        <f t="shared" ca="1" si="2"/>
        <v>4376.68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7778.5513513513515</v>
      </c>
      <c r="L10" s="16">
        <f t="shared" ca="1" si="0"/>
        <v>7778.5513513513515</v>
      </c>
      <c r="M10" s="16"/>
      <c r="N10" s="16">
        <f t="shared" ca="1" si="3"/>
        <v>0</v>
      </c>
      <c r="O10" s="11" cm="1">
        <f t="array" aca="1" ref="O10" ca="1">INDIRECT("'data'!$X$" &amp; $A$1)*parameters!$B$15</f>
        <v>2197.16</v>
      </c>
      <c r="P10" s="13" cm="1">
        <f t="array" aca="1" ref="P10" ca="1">-INDIRECT("'data'!$Y$" &amp; $A$1)*parameters!$B$15</f>
        <v>-4530.54</v>
      </c>
      <c r="Q10" s="16" cm="1">
        <f t="array" aca="1" ref="Q10" ca="1">INDIRECT("'data'!$W$" &amp; $A$1)*parameters!$B$15</f>
        <v>5445.1713513513514</v>
      </c>
      <c r="R10" s="16">
        <f t="shared" ca="1" si="2"/>
        <v>5445.1713513513505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15696.851762162161</v>
      </c>
      <c r="N11" s="19"/>
      <c r="O11" s="21" cm="1">
        <f t="array" aca="1" ref="O11" ca="1">INDIRECT("'data'!$Z$" &amp; $A$1)*parameters!$B$15</f>
        <v>6947.22</v>
      </c>
      <c r="P11" s="27" cm="1">
        <f t="array" aca="1" ref="P11" ca="1">-INDIRECT("'data'!$AA$" &amp; $A$1)*parameters!$B$15</f>
        <v>-12041.26</v>
      </c>
      <c r="Q11" s="16">
        <f ca="1">K9*parameters!$B$10+K10*parameters!$B$11</f>
        <v>10602.811762162162</v>
      </c>
      <c r="R11" s="16">
        <f t="shared" ref="R11:R17" ca="1" si="4">SUM(L11:P11)</f>
        <v>10602.811762162162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-65.664043473885613</v>
      </c>
      <c r="D12" s="9">
        <f ca="1">-(D17-Q4)</f>
        <v>0</v>
      </c>
      <c r="E12" s="9">
        <f ca="1">-(E17-Q5)</f>
        <v>-1255.593845977397</v>
      </c>
      <c r="F12" s="9">
        <f ca="1">-(F17-Q6)</f>
        <v>-730.80417910447795</v>
      </c>
      <c r="G12" s="9">
        <f ca="1">-(G17-Q7)</f>
        <v>-133.641483803553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-2185.7035523593136</v>
      </c>
      <c r="M12" s="17"/>
      <c r="N12" s="17"/>
      <c r="O12" s="10"/>
      <c r="P12" s="12"/>
      <c r="Q12" s="9">
        <f t="shared" ref="Q12:Q17" ca="1" si="6">SUM(L12:P12)</f>
        <v>-2185.7035523593136</v>
      </c>
      <c r="R12" s="17">
        <f t="shared" ca="1" si="4"/>
        <v>-2185.7035523593136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-726.52947012741879</v>
      </c>
      <c r="J13" s="14">
        <f ca="1">-(J17-Q10)</f>
        <v>-903.89917852123017</v>
      </c>
      <c r="K13" s="13">
        <f ca="1">-(K17-Q11)</f>
        <v>-1338.7795891891892</v>
      </c>
      <c r="L13" s="14">
        <f t="shared" ca="1" si="5"/>
        <v>-2969.2082378378382</v>
      </c>
      <c r="M13" s="16">
        <f ca="1">-E15</f>
        <v>-8445.2812710475937</v>
      </c>
      <c r="N13" s="16"/>
      <c r="O13" s="11"/>
      <c r="P13" s="13"/>
      <c r="Q13" s="14">
        <f t="shared" ca="1" si="6"/>
        <v>-11414.489508885432</v>
      </c>
      <c r="R13" s="16">
        <f t="shared" ca="1" si="4"/>
        <v>-11414.489508885432</v>
      </c>
    </row>
    <row r="14" spans="1:20">
      <c r="A14" s="18" t="s">
        <v>78</v>
      </c>
      <c r="B14" s="11"/>
      <c r="C14" s="14"/>
      <c r="D14" s="14"/>
      <c r="E14" s="14">
        <f ca="1">-(I13+J13)-K13</f>
        <v>2969.2082378378382</v>
      </c>
      <c r="F14" s="14"/>
      <c r="G14" s="14"/>
      <c r="H14" s="14"/>
      <c r="I14" s="14"/>
      <c r="J14" s="14"/>
      <c r="K14" s="13"/>
      <c r="L14" s="14">
        <f t="shared" ca="1" si="5"/>
        <v>2969.2082378378382</v>
      </c>
      <c r="M14" s="16"/>
      <c r="N14" s="16"/>
      <c r="O14" s="11"/>
      <c r="P14" s="13"/>
      <c r="Q14" s="14">
        <f t="shared" ca="1" si="6"/>
        <v>2969.2082378378382</v>
      </c>
      <c r="R14" s="16">
        <f t="shared" ca="1" si="4"/>
        <v>2969.2082378378382</v>
      </c>
    </row>
    <row r="15" spans="1:20">
      <c r="A15" s="18" t="s">
        <v>79</v>
      </c>
      <c r="B15" s="11"/>
      <c r="C15" s="14"/>
      <c r="D15" s="14"/>
      <c r="E15" s="14">
        <f ca="1">E17-E14</f>
        <v>8445.2812710475937</v>
      </c>
      <c r="F15" s="14"/>
      <c r="G15" s="14"/>
      <c r="H15" s="14"/>
      <c r="I15" s="14"/>
      <c r="J15" s="14"/>
      <c r="K15" s="13"/>
      <c r="L15" s="14">
        <f t="shared" ca="1" si="5"/>
        <v>8445.2812710475937</v>
      </c>
      <c r="M15" s="16"/>
      <c r="N15" s="16"/>
      <c r="O15" s="11"/>
      <c r="P15" s="13"/>
      <c r="Q15" s="14">
        <f t="shared" ca="1" si="6"/>
        <v>8445.2812710475937</v>
      </c>
      <c r="R15" s="16">
        <f t="shared" ca="1" si="4"/>
        <v>8445.2812710475937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10422.864043473885</v>
      </c>
      <c r="D17" s="9">
        <f ca="1">SUM(D$2:D$11)</f>
        <v>0</v>
      </c>
      <c r="E17" s="9">
        <f ca="1">$Q$5/parameters!$B$4</f>
        <v>11414.489508885432</v>
      </c>
      <c r="F17" s="9">
        <f t="shared" ref="F17:K17" ca="1" si="7">SUM(F$2:F$11)</f>
        <v>11787.164179104479</v>
      </c>
      <c r="G17" s="9">
        <f t="shared" ca="1" si="7"/>
        <v>3107.9414838035527</v>
      </c>
      <c r="H17" s="9">
        <f t="shared" ca="1" si="7"/>
        <v>14030.66</v>
      </c>
      <c r="I17" s="9">
        <f t="shared" ca="1" si="7"/>
        <v>5103.2094701274191</v>
      </c>
      <c r="J17" s="9">
        <f t="shared" ca="1" si="7"/>
        <v>6349.0705298725816</v>
      </c>
      <c r="K17" s="9">
        <f t="shared" ca="1" si="7"/>
        <v>11941.591351351351</v>
      </c>
      <c r="L17" s="17">
        <f t="shared" ca="1" si="5"/>
        <v>74156.990566618697</v>
      </c>
      <c r="M17" s="17"/>
      <c r="N17" s="17"/>
      <c r="O17" s="9"/>
      <c r="P17" s="14"/>
      <c r="Q17" s="11">
        <f t="shared" ca="1" si="6"/>
        <v>74156.990566618697</v>
      </c>
      <c r="R17" s="17">
        <f t="shared" ca="1" si="4"/>
        <v>74156.990566618697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0.85763283392925693</v>
      </c>
      <c r="J18" s="39">
        <f ca="1">I18</f>
        <v>0.85763283392925693</v>
      </c>
      <c r="K18" s="40">
        <f ca="1">1-(-K13)/K17</f>
        <v>0.88788934826197274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5718.5285008068422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5718.5285008068422</v>
      </c>
      <c r="M2" s="17"/>
      <c r="N2" s="17">
        <f ca="1">Q2-(L2+O2+P2)</f>
        <v>0</v>
      </c>
      <c r="O2" s="11" cm="1">
        <f t="array" aca="1" ref="O2" ca="1">INDIRECT("'data'!$F$" &amp; $A$1)</f>
        <v>16853.2</v>
      </c>
      <c r="P2" s="13">
        <f ca="1">IF(-(L2-Q2+O2)&lt;0, -(L2-Q2+O2), 0)</f>
        <v>-22571.728500806843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5869.9074626865668</v>
      </c>
      <c r="G3" s="14">
        <f ca="1">Q3-O3-P3-F3</f>
        <v>6.3193085651928413</v>
      </c>
      <c r="H3" s="14"/>
      <c r="I3" s="14"/>
      <c r="J3" s="14"/>
      <c r="K3" s="13"/>
      <c r="L3" s="16">
        <f t="shared" ca="1" si="0"/>
        <v>5876.2267712517596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187.10999999999999</v>
      </c>
      <c r="P3" s="13" cm="1">
        <f t="array" aca="1" ref="P3" ca="1">-INDIRECT("'data'!$I$" &amp; $A$1)*parameters!$B$13</f>
        <v>-380.83499999999998</v>
      </c>
      <c r="Q3" s="16" cm="1">
        <f t="array" aca="1" ref="Q3" ca="1">INDIRECT("'data'!$G$" &amp; $A$1)*parameters!$B$13</f>
        <v>5682.5017712517592</v>
      </c>
      <c r="R3" s="16">
        <f t="shared" ref="R3:R10" ca="1" si="2">SUM(L3:P3)</f>
        <v>5682.5017712517592</v>
      </c>
    </row>
    <row r="4" spans="1:19">
      <c r="A4" s="18" t="s">
        <v>65</v>
      </c>
      <c r="B4" s="11"/>
      <c r="C4" s="14"/>
      <c r="D4" s="14"/>
      <c r="E4" s="14"/>
      <c r="F4" s="14"/>
      <c r="G4" s="49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220.8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-220.8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108</v>
      </c>
      <c r="B5" s="11"/>
      <c r="C5" s="14"/>
      <c r="D5" s="14"/>
      <c r="E5" s="14"/>
      <c r="F5" s="14">
        <f ca="1">Q6/parameters!$B$5*22%</f>
        <v>1655.6149253731344</v>
      </c>
      <c r="G5" s="14">
        <f ca="1">Q7/parameters!$B$7-(G3+G4)</f>
        <v>162.64620867618646</v>
      </c>
      <c r="H5" s="14"/>
      <c r="I5" s="14"/>
      <c r="J5" s="14"/>
      <c r="K5" s="13"/>
      <c r="L5" s="16">
        <f t="shared" ca="1" si="0"/>
        <v>1818.2611340493208</v>
      </c>
      <c r="M5" s="16"/>
      <c r="N5" s="16"/>
      <c r="O5" s="11" cm="1">
        <f t="array" aca="1" ref="O5" ca="1">INDIRECT("'data'!$M$" &amp; $A$1)*parameters!$B$15</f>
        <v>4252.22</v>
      </c>
      <c r="P5" s="13" cm="1">
        <f t="array" aca="1" ref="P5" ca="1">-INDIRECT("'data'!$N$" &amp; $A$1)*parameters!$B$15</f>
        <v>-1685.6</v>
      </c>
      <c r="Q5" s="16">
        <f ca="1">SUM(L5:P5)</f>
        <v>4384.8811340493212</v>
      </c>
      <c r="R5" s="16">
        <f t="shared" ca="1" si="2"/>
        <v>4384.8811340493212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48"/>
      <c r="H6" s="14">
        <f ca="1">Q6</f>
        <v>7058.94</v>
      </c>
      <c r="I6" s="14"/>
      <c r="J6" s="14"/>
      <c r="K6" s="13"/>
      <c r="L6" s="16">
        <f t="shared" ca="1" si="0"/>
        <v>7058.94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7058.94</v>
      </c>
      <c r="R6" s="16">
        <f t="shared" ca="1" si="2"/>
        <v>7058.94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161.69999999999999</v>
      </c>
      <c r="I7" s="14"/>
      <c r="J7" s="14"/>
      <c r="K7" s="13"/>
      <c r="L7" s="16">
        <f t="shared" ca="1" si="0"/>
        <v>161.69999999999999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161.69999999999999</v>
      </c>
      <c r="R7" s="16">
        <f t="shared" ca="1" si="2"/>
        <v>161.69999999999999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256.60740125290704</v>
      </c>
      <c r="J8" s="14">
        <f ca="1">Q10/J18</f>
        <v>6300.5725987470923</v>
      </c>
      <c r="K8" s="13"/>
      <c r="L8" s="16">
        <f t="shared" ca="1" si="0"/>
        <v>6557.1799999999994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1027.04</v>
      </c>
      <c r="P8" s="13" cm="1">
        <f t="array" aca="1" ref="P8" ca="1">-INDIRECT("'data'!$S$" &amp; $A$1)*parameters!$B$15</f>
        <v>-363.58</v>
      </c>
      <c r="Q8" s="16">
        <f ca="1">SUM(Q6:Q7)</f>
        <v>7220.6399999999994</v>
      </c>
      <c r="R8" s="16">
        <f t="shared" ca="1" si="2"/>
        <v>7220.6399999999994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2019.78</v>
      </c>
      <c r="L9" s="16">
        <f t="shared" ca="1" si="0"/>
        <v>2019.78</v>
      </c>
      <c r="M9" s="16"/>
      <c r="N9" s="16">
        <f t="shared" ca="1" si="3"/>
        <v>0</v>
      </c>
      <c r="O9" s="11" cm="1">
        <f t="array" aca="1" ref="O9" ca="1">INDIRECT("'data'!$U$" &amp; $A$1)*parameters!$B$15</f>
        <v>1146.5999999999999</v>
      </c>
      <c r="P9" s="13" cm="1">
        <f t="array" aca="1" ref="P9" ca="1">-INDIRECT("'data'!$V$" &amp; $A$1)*parameters!$B$15</f>
        <v>-2936.08</v>
      </c>
      <c r="Q9" s="16" cm="1">
        <f t="array" aca="1" ref="Q9" ca="1">INDIRECT("'data'!$T$" &amp; $A$1)*parameters!$B$15</f>
        <v>230.29999999999998</v>
      </c>
      <c r="R9" s="16">
        <f t="shared" ca="1" si="2"/>
        <v>230.30000000000018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2550.9776386913236</v>
      </c>
      <c r="L10" s="16">
        <f t="shared" ca="1" si="0"/>
        <v>2550.9776386913236</v>
      </c>
      <c r="M10" s="16"/>
      <c r="N10" s="16">
        <f t="shared" ca="1" si="3"/>
        <v>0</v>
      </c>
      <c r="O10" s="11" cm="1">
        <f t="array" aca="1" ref="O10" ca="1">INDIRECT("'data'!$X$" &amp; $A$1)*parameters!$B$15</f>
        <v>7517.58</v>
      </c>
      <c r="P10" s="13" cm="1">
        <f t="array" aca="1" ref="P10" ca="1">-INDIRECT("'data'!$Y$" &amp; $A$1)*parameters!$B$15</f>
        <v>-4413.92</v>
      </c>
      <c r="Q10" s="16" cm="1">
        <f t="array" aca="1" ref="Q10" ca="1">INDIRECT("'data'!$W$" &amp; $A$1)*parameters!$B$15</f>
        <v>5654.6376386913234</v>
      </c>
      <c r="R10" s="16">
        <f t="shared" ca="1" si="2"/>
        <v>5654.6376386913234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4530.4939692745374</v>
      </c>
      <c r="N11" s="19"/>
      <c r="O11" s="21" cm="1">
        <f t="array" aca="1" ref="O11" ca="1">INDIRECT("'data'!$Z$" &amp; $A$1)*parameters!$B$15</f>
        <v>6142.64</v>
      </c>
      <c r="P11" s="27" cm="1">
        <f t="array" aca="1" ref="P11" ca="1">-INDIRECT("'data'!$AA$" &amp; $A$1)*parameters!$B$15</f>
        <v>-6580.7</v>
      </c>
      <c r="Q11" s="16">
        <f ca="1">K9*parameters!$B$10+K10*parameters!$B$11</f>
        <v>4092.433969274538</v>
      </c>
      <c r="R11" s="16">
        <f t="shared" ref="R11:R17" ca="1" si="4">SUM(L11:P11)</f>
        <v>4092.4339692745389</v>
      </c>
    </row>
    <row r="12" spans="1:19">
      <c r="A12" s="29" t="s">
        <v>86</v>
      </c>
      <c r="B12" s="10">
        <f ca="1">-(B17-Q2)</f>
        <v>0</v>
      </c>
      <c r="C12" s="9">
        <f ca="1">-(C17-Q3)</f>
        <v>-36.026729555082966</v>
      </c>
      <c r="D12" s="9">
        <f ca="1">-(D17-Q4)</f>
        <v>0</v>
      </c>
      <c r="E12" s="9">
        <f ca="1">-(E17-Q5)</f>
        <v>-541.95160083755673</v>
      </c>
      <c r="F12" s="9">
        <f ca="1">-(F17-Q6)</f>
        <v>-466.58238805970177</v>
      </c>
      <c r="G12" s="9">
        <f ca="1">-(G17-Q7)</f>
        <v>-7.2655172413793139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-1051.8262356937207</v>
      </c>
      <c r="M12" s="17"/>
      <c r="N12" s="17"/>
      <c r="O12" s="10"/>
      <c r="P12" s="12"/>
      <c r="Q12" s="9">
        <f t="shared" ref="Q12:Q17" ca="1" si="6">SUM(L12:P12)</f>
        <v>-1051.8262356937207</v>
      </c>
      <c r="R12" s="17">
        <f t="shared" ca="1" si="4"/>
        <v>-1051.8262356937207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-26.307401252907056</v>
      </c>
      <c r="J13" s="14">
        <f ca="1">-(J17-Q10)</f>
        <v>-645.9349600557689</v>
      </c>
      <c r="K13" s="13">
        <f ca="1">-(K17-Q11)</f>
        <v>-478.32366941678538</v>
      </c>
      <c r="L13" s="14">
        <f t="shared" ca="1" si="5"/>
        <v>-1150.5660307254614</v>
      </c>
      <c r="M13" s="16">
        <f ca="1">-E15</f>
        <v>-3776.2667041614168</v>
      </c>
      <c r="N13" s="16"/>
      <c r="O13" s="11"/>
      <c r="P13" s="13"/>
      <c r="Q13" s="14">
        <f t="shared" ca="1" si="6"/>
        <v>-4926.8327348868779</v>
      </c>
      <c r="R13" s="16">
        <f t="shared" ca="1" si="4"/>
        <v>-4926.8327348868779</v>
      </c>
    </row>
    <row r="14" spans="1:19">
      <c r="A14" s="18" t="s">
        <v>78</v>
      </c>
      <c r="B14" s="11"/>
      <c r="C14" s="14"/>
      <c r="D14" s="14"/>
      <c r="E14" s="14">
        <f ca="1">-(I13+J13)-K13</f>
        <v>1150.5660307254614</v>
      </c>
      <c r="F14" s="14"/>
      <c r="G14" s="14"/>
      <c r="H14" s="14"/>
      <c r="I14" s="14"/>
      <c r="J14" s="14"/>
      <c r="K14" s="13"/>
      <c r="L14" s="14">
        <f t="shared" ca="1" si="5"/>
        <v>1150.5660307254614</v>
      </c>
      <c r="M14" s="16"/>
      <c r="N14" s="16"/>
      <c r="O14" s="11"/>
      <c r="P14" s="13"/>
      <c r="Q14" s="14">
        <f t="shared" ca="1" si="6"/>
        <v>1150.5660307254614</v>
      </c>
      <c r="R14" s="16">
        <f t="shared" ca="1" si="4"/>
        <v>1150.5660307254614</v>
      </c>
    </row>
    <row r="15" spans="1:19">
      <c r="A15" s="18" t="s">
        <v>79</v>
      </c>
      <c r="B15" s="11"/>
      <c r="C15" s="14"/>
      <c r="D15" s="14"/>
      <c r="E15" s="14">
        <f ca="1">E17-E14</f>
        <v>3776.2667041614168</v>
      </c>
      <c r="F15" s="14"/>
      <c r="G15" s="14"/>
      <c r="H15" s="14"/>
      <c r="I15" s="14"/>
      <c r="J15" s="14"/>
      <c r="K15" s="13"/>
      <c r="L15" s="14">
        <f t="shared" ca="1" si="5"/>
        <v>3776.2667041614168</v>
      </c>
      <c r="M15" s="16"/>
      <c r="N15" s="16"/>
      <c r="O15" s="11"/>
      <c r="P15" s="13"/>
      <c r="Q15" s="14">
        <f t="shared" ca="1" si="6"/>
        <v>3776.2667041614168</v>
      </c>
      <c r="R15" s="16">
        <f t="shared" ca="1" si="4"/>
        <v>3776.2667041614168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5718.5285008068422</v>
      </c>
      <c r="D17" s="9">
        <f ca="1">SUM(D$2:D$11)</f>
        <v>0</v>
      </c>
      <c r="E17" s="9">
        <f ca="1">$Q$5/parameters!$B$4</f>
        <v>4926.8327348868779</v>
      </c>
      <c r="F17" s="9">
        <f t="shared" ref="F17:K17" ca="1" si="7">SUM(F$2:F$11)</f>
        <v>7525.5223880597014</v>
      </c>
      <c r="G17" s="9">
        <f t="shared" ca="1" si="7"/>
        <v>168.9655172413793</v>
      </c>
      <c r="H17" s="9">
        <f t="shared" ca="1" si="7"/>
        <v>7220.6399999999994</v>
      </c>
      <c r="I17" s="9">
        <f t="shared" ca="1" si="7"/>
        <v>256.60740125290704</v>
      </c>
      <c r="J17" s="9">
        <f t="shared" ca="1" si="7"/>
        <v>6300.5725987470923</v>
      </c>
      <c r="K17" s="9">
        <f t="shared" ca="1" si="7"/>
        <v>4570.7576386913233</v>
      </c>
      <c r="L17" s="17">
        <f t="shared" ca="1" si="5"/>
        <v>36688.426779686117</v>
      </c>
      <c r="M17" s="17"/>
      <c r="N17" s="17"/>
      <c r="O17" s="9"/>
      <c r="P17" s="14"/>
      <c r="Q17" s="11">
        <f t="shared" ca="1" si="6"/>
        <v>36688.426779686117</v>
      </c>
      <c r="R17" s="17">
        <f t="shared" ca="1" si="4"/>
        <v>36688.426779686117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0.89747995917320011</v>
      </c>
      <c r="J18" s="39">
        <f ca="1">I18</f>
        <v>0.89747995917320011</v>
      </c>
      <c r="K18" s="40">
        <f ca="1">1-(-K13)/K17</f>
        <v>0.89535133839348857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6056.863238401932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6056.863238401932</v>
      </c>
      <c r="M2" s="17"/>
      <c r="N2" s="17">
        <f ca="1">Q2-(L2+O2+P2)</f>
        <v>13370.03676159805</v>
      </c>
      <c r="O2" s="11" cm="1">
        <f t="array" aca="1" ref="O2" ca="1">INDIRECT("'data'!$F$" &amp; $A$1)</f>
        <v>174573.1</v>
      </c>
      <c r="P2" s="13">
        <f ca="1">IF(-(L2-Q2+O2)&lt;0, -(L2-Q2+O2), 0)</f>
        <v>0</v>
      </c>
      <c r="Q2" s="17" cm="1">
        <f t="array" aca="1" ref="Q2" ca="1">INDIRECT("'data'!$D$" &amp; $A$1)</f>
        <v>194000</v>
      </c>
      <c r="R2" s="17">
        <f ca="1">SUM(L2:P2)</f>
        <v>194000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5364.2985074626868</v>
      </c>
      <c r="G3" s="14">
        <f ca="1">Q3-O3-P3-F3</f>
        <v>635.50649253731262</v>
      </c>
      <c r="H3" s="14"/>
      <c r="I3" s="14"/>
      <c r="J3" s="14"/>
      <c r="K3" s="13"/>
      <c r="L3" s="16">
        <f t="shared" ca="1" si="0"/>
        <v>5999.8049999999994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90.72</v>
      </c>
      <c r="P3" s="13" cm="1">
        <f t="array" aca="1" ref="P3" ca="1">-INDIRECT("'data'!$I$" &amp; $A$1)*parameters!$B$13</f>
        <v>-71.819999999999993</v>
      </c>
      <c r="Q3" s="16" cm="1">
        <f t="array" aca="1" ref="Q3" ca="1">INDIRECT("'data'!$G$" &amp; $A$1)*parameters!$B$13</f>
        <v>6018.7049999999999</v>
      </c>
      <c r="R3" s="16">
        <f t="shared" ref="R3:R10" ca="1" si="2">SUM(L3:P3)</f>
        <v>6018.7049999999999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-1.84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1341.0746268656719</v>
      </c>
      <c r="G5" s="14">
        <f ca="1">Q7/parameters!$B$7-(G3+G4)</f>
        <v>921.02433295903006</v>
      </c>
      <c r="H5" s="14"/>
      <c r="I5" s="14"/>
      <c r="J5" s="14"/>
      <c r="K5" s="13"/>
      <c r="L5" s="16">
        <f t="shared" ca="1" si="0"/>
        <v>2262.098959824702</v>
      </c>
      <c r="M5" s="16"/>
      <c r="N5" s="16"/>
      <c r="O5" s="11" cm="1">
        <f t="array" aca="1" ref="O5" ca="1">INDIRECT("'data'!$M$" &amp; $A$1)*parameters!$B$15</f>
        <v>1470.98</v>
      </c>
      <c r="P5" s="13" cm="1">
        <f t="array" aca="1" ref="P5" ca="1">-INDIRECT("'data'!$N$" &amp; $A$1)*parameters!$B$15</f>
        <v>-20.58</v>
      </c>
      <c r="Q5" s="16">
        <f ca="1">SUM(L5:P5)</f>
        <v>3712.4989598247021</v>
      </c>
      <c r="R5" s="16">
        <f t="shared" ca="1" si="2"/>
        <v>3712.4989598247021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6289.64</v>
      </c>
      <c r="I6" s="14"/>
      <c r="J6" s="14"/>
      <c r="K6" s="13"/>
      <c r="L6" s="16">
        <f t="shared" ca="1" si="0"/>
        <v>6289.64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6289.64</v>
      </c>
      <c r="R6" s="16">
        <f t="shared" ca="1" si="2"/>
        <v>6289.64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1489.6</v>
      </c>
      <c r="I7" s="14"/>
      <c r="J7" s="14"/>
      <c r="K7" s="13"/>
      <c r="L7" s="16">
        <f t="shared" ca="1" si="0"/>
        <v>1489.6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1489.6</v>
      </c>
      <c r="R7" s="16">
        <f t="shared" ca="1" si="2"/>
        <v>1489.6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2769.852393894851</v>
      </c>
      <c r="J8" s="14">
        <f ca="1">Q10/J18</f>
        <v>5019.187606105148</v>
      </c>
      <c r="K8" s="13"/>
      <c r="L8" s="16">
        <f t="shared" ca="1" si="0"/>
        <v>7789.0399999999991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1.96</v>
      </c>
      <c r="P8" s="13" cm="1">
        <f t="array" aca="1" ref="P8" ca="1">-INDIRECT("'data'!$S$" &amp; $A$1)*parameters!$B$15</f>
        <v>-11.76</v>
      </c>
      <c r="Q8" s="16">
        <f ca="1">SUM(Q6:Q7)</f>
        <v>7779.24</v>
      </c>
      <c r="R8" s="16">
        <f t="shared" ca="1" si="2"/>
        <v>7779.2399999999989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2972.34</v>
      </c>
      <c r="L9" s="16">
        <f t="shared" ca="1" si="0"/>
        <v>2972.34</v>
      </c>
      <c r="M9" s="16"/>
      <c r="N9" s="16">
        <f t="shared" ca="1" si="3"/>
        <v>0</v>
      </c>
      <c r="O9" s="11" cm="1">
        <f t="array" aca="1" ref="O9" ca="1">INDIRECT("'data'!$U$" &amp; $A$1)*parameters!$B$15</f>
        <v>169.54</v>
      </c>
      <c r="P9" s="13" cm="1">
        <f t="array" aca="1" ref="P9" ca="1">-INDIRECT("'data'!$V$" &amp; $A$1)*parameters!$B$15</f>
        <v>-831.04</v>
      </c>
      <c r="Q9" s="16" cm="1">
        <f t="array" aca="1" ref="Q9" ca="1">INDIRECT("'data'!$T$" &amp; $A$1)*parameters!$B$15</f>
        <v>2310.84</v>
      </c>
      <c r="R9" s="16">
        <f t="shared" ca="1" si="2"/>
        <v>2310.84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4303.0615078236133</v>
      </c>
      <c r="L10" s="16">
        <f t="shared" ca="1" si="0"/>
        <v>4303.0615078236133</v>
      </c>
      <c r="M10" s="16"/>
      <c r="N10" s="16">
        <f t="shared" ca="1" si="3"/>
        <v>0</v>
      </c>
      <c r="O10" s="11" cm="1">
        <f t="array" aca="1" ref="O10" ca="1">INDIRECT("'data'!$X$" &amp; $A$1)*parameters!$B$15</f>
        <v>1000.5799999999999</v>
      </c>
      <c r="P10" s="13" cm="1">
        <f t="array" aca="1" ref="P10" ca="1">-INDIRECT("'data'!$Y$" &amp; $A$1)*parameters!$B$15</f>
        <v>-1116.22</v>
      </c>
      <c r="Q10" s="16" cm="1">
        <f t="array" aca="1" ref="Q10" ca="1">INDIRECT("'data'!$W$" &amp; $A$1)*parameters!$B$15</f>
        <v>4187.421507823613</v>
      </c>
      <c r="R10" s="16">
        <f t="shared" ca="1" si="2"/>
        <v>4187.421507823613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9838.3924967283074</v>
      </c>
      <c r="N11" s="19"/>
      <c r="O11" s="21" cm="1">
        <f t="array" aca="1" ref="O11" ca="1">INDIRECT("'data'!$Z$" &amp; $A$1)*parameters!$B$15</f>
        <v>669.34</v>
      </c>
      <c r="P11" s="27" cm="1">
        <f t="array" aca="1" ref="P11" ca="1">-INDIRECT("'data'!$AA$" &amp; $A$1)*parameters!$B$15</f>
        <v>-4013.1</v>
      </c>
      <c r="Q11" s="16">
        <f ca="1">K9*parameters!$B$10+K10*parameters!$B$11</f>
        <v>6494.6324967283072</v>
      </c>
      <c r="R11" s="16">
        <f t="shared" ref="R11:R17" ca="1" si="4">SUM(L11:P11)</f>
        <v>6494.6324967283072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-38.158238401932067</v>
      </c>
      <c r="D12" s="9">
        <f ca="1">-(D17-Q4)</f>
        <v>0</v>
      </c>
      <c r="E12" s="9">
        <f ca="1">-(E17-Q5)</f>
        <v>-458.84818604574957</v>
      </c>
      <c r="F12" s="9">
        <f ca="1">-(F17-Q6)</f>
        <v>-415.73313432835857</v>
      </c>
      <c r="G12" s="9">
        <f ca="1">-(G17-Q7)</f>
        <v>-66.930825496342777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-979.67038427238299</v>
      </c>
      <c r="M12" s="17"/>
      <c r="N12" s="17"/>
      <c r="O12" s="10"/>
      <c r="P12" s="12"/>
      <c r="Q12" s="9">
        <f t="shared" ref="Q12:Q17" ca="1" si="6">SUM(L12:P12)</f>
        <v>-979.67038427238299</v>
      </c>
      <c r="R12" s="17">
        <f t="shared" ca="1" si="4"/>
        <v>-979.67038427238299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-459.0123938948509</v>
      </c>
      <c r="J13" s="14">
        <f ca="1">-(J17-Q10)</f>
        <v>-831.76609828153505</v>
      </c>
      <c r="K13" s="13">
        <f ca="1">-(K17-Q11)</f>
        <v>-780.76901109530627</v>
      </c>
      <c r="L13" s="14">
        <f t="shared" ca="1" si="5"/>
        <v>-2071.5475032716922</v>
      </c>
      <c r="M13" s="16">
        <f ca="1">-E15</f>
        <v>-2099.7996425987594</v>
      </c>
      <c r="N13" s="16"/>
      <c r="O13" s="11"/>
      <c r="P13" s="13"/>
      <c r="Q13" s="14">
        <f t="shared" ca="1" si="6"/>
        <v>-4171.3471458704516</v>
      </c>
      <c r="R13" s="16">
        <f t="shared" ca="1" si="4"/>
        <v>-4171.3471458704516</v>
      </c>
    </row>
    <row r="14" spans="1:19">
      <c r="A14" s="18" t="s">
        <v>78</v>
      </c>
      <c r="B14" s="11"/>
      <c r="C14" s="14"/>
      <c r="D14" s="14"/>
      <c r="E14" s="14">
        <f ca="1">-(I13+J13)-K13</f>
        <v>2071.5475032716922</v>
      </c>
      <c r="F14" s="14"/>
      <c r="G14" s="14"/>
      <c r="H14" s="14"/>
      <c r="I14" s="14"/>
      <c r="J14" s="14"/>
      <c r="K14" s="13"/>
      <c r="L14" s="14">
        <f t="shared" ca="1" si="5"/>
        <v>2071.5475032716922</v>
      </c>
      <c r="M14" s="16"/>
      <c r="N14" s="16"/>
      <c r="O14" s="11"/>
      <c r="P14" s="13"/>
      <c r="Q14" s="14">
        <f t="shared" ca="1" si="6"/>
        <v>2071.5475032716922</v>
      </c>
      <c r="R14" s="16">
        <f t="shared" ca="1" si="4"/>
        <v>2071.5475032716922</v>
      </c>
    </row>
    <row r="15" spans="1:19">
      <c r="A15" s="18" t="s">
        <v>79</v>
      </c>
      <c r="B15" s="11"/>
      <c r="C15" s="14"/>
      <c r="D15" s="14"/>
      <c r="E15" s="14">
        <f ca="1">E17-E14</f>
        <v>2099.7996425987594</v>
      </c>
      <c r="F15" s="14"/>
      <c r="G15" s="14"/>
      <c r="H15" s="14"/>
      <c r="I15" s="14"/>
      <c r="J15" s="14"/>
      <c r="K15" s="13"/>
      <c r="L15" s="14">
        <f t="shared" ca="1" si="5"/>
        <v>2099.7996425987594</v>
      </c>
      <c r="M15" s="16"/>
      <c r="N15" s="16"/>
      <c r="O15" s="11"/>
      <c r="P15" s="13"/>
      <c r="Q15" s="14">
        <f t="shared" ca="1" si="6"/>
        <v>2099.7996425987594</v>
      </c>
      <c r="R15" s="16">
        <f t="shared" ca="1" si="4"/>
        <v>2099.7996425987594</v>
      </c>
    </row>
    <row r="16" spans="1:19">
      <c r="A16" s="30" t="s">
        <v>89</v>
      </c>
      <c r="B16" s="21">
        <f ca="1">Q2</f>
        <v>194000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194000</v>
      </c>
      <c r="M16" s="19"/>
      <c r="N16" s="19"/>
      <c r="O16" s="21"/>
      <c r="P16" s="27"/>
      <c r="Q16" s="22">
        <f t="shared" ca="1" si="6"/>
        <v>194000</v>
      </c>
      <c r="R16" s="19">
        <f t="shared" ca="1" si="4"/>
        <v>194000</v>
      </c>
    </row>
    <row r="17" spans="1:18">
      <c r="A17" s="29" t="s">
        <v>88</v>
      </c>
      <c r="B17" s="9">
        <f ca="1">B16</f>
        <v>194000</v>
      </c>
      <c r="C17" s="9">
        <f ca="1">SUM(C$2:C$11)</f>
        <v>6056.863238401932</v>
      </c>
      <c r="D17" s="9">
        <f ca="1">SUM(D$2:D$11)</f>
        <v>0</v>
      </c>
      <c r="E17" s="9">
        <f ca="1">$Q$5/parameters!$B$4</f>
        <v>4171.3471458704516</v>
      </c>
      <c r="F17" s="9">
        <f t="shared" ref="F17:K17" ca="1" si="7">SUM(F$2:F$11)</f>
        <v>6705.3731343283589</v>
      </c>
      <c r="G17" s="9">
        <f t="shared" ca="1" si="7"/>
        <v>1556.5308254963427</v>
      </c>
      <c r="H17" s="9">
        <f t="shared" ca="1" si="7"/>
        <v>7779.24</v>
      </c>
      <c r="I17" s="9">
        <f t="shared" ca="1" si="7"/>
        <v>2769.852393894851</v>
      </c>
      <c r="J17" s="9">
        <f t="shared" ca="1" si="7"/>
        <v>5019.187606105148</v>
      </c>
      <c r="K17" s="9">
        <f t="shared" ca="1" si="7"/>
        <v>7275.4015078236134</v>
      </c>
      <c r="L17" s="17">
        <f t="shared" ca="1" si="5"/>
        <v>235333.7958519207</v>
      </c>
      <c r="M17" s="17"/>
      <c r="N17" s="17"/>
      <c r="O17" s="9"/>
      <c r="P17" s="14"/>
      <c r="Q17" s="11">
        <f t="shared" ca="1" si="6"/>
        <v>235333.7958519207</v>
      </c>
      <c r="R17" s="17">
        <f t="shared" ca="1" si="4"/>
        <v>235333.7958519207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0.83428272390738956</v>
      </c>
      <c r="J18" s="39">
        <f ca="1">I18</f>
        <v>0.83428272390738956</v>
      </c>
      <c r="K18" s="40">
        <f ca="1">1-(-K13)/K17</f>
        <v>0.89268372195600409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5095.4110898661565</v>
      </c>
      <c r="D2" s="9">
        <f ca="1">Q4/parameters!$B$3</f>
        <v>1607.2456475797526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6702.6567374459091</v>
      </c>
      <c r="M2" s="17"/>
      <c r="N2" s="17">
        <f ca="1">Q2-(L2+O2+P2)</f>
        <v>178.94326255409032</v>
      </c>
      <c r="O2" s="11" cm="1">
        <f t="array" aca="1" ref="O2" ca="1">INDIRECT("'data'!$F$" &amp; $A$1)</f>
        <v>19718.400000000001</v>
      </c>
      <c r="P2" s="13">
        <f ca="1">IF(-(L2-Q2+O2)&lt;0, -(L2-Q2+O2), 0)</f>
        <v>0</v>
      </c>
      <c r="Q2" s="17" cm="1">
        <f t="array" aca="1" ref="Q2" ca="1">INDIRECT("'data'!$D$" &amp; $A$1)</f>
        <v>26600</v>
      </c>
      <c r="R2" s="17">
        <f ca="1">SUM(L2:P2)</f>
        <v>26600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3778.7462686567169</v>
      </c>
      <c r="G3" s="14">
        <f ca="1">Q3-O3-P3-F3</f>
        <v>737.40873134328194</v>
      </c>
      <c r="H3" s="14"/>
      <c r="I3" s="14"/>
      <c r="J3" s="14"/>
      <c r="K3" s="13"/>
      <c r="L3" s="16">
        <f t="shared" ca="1" si="0"/>
        <v>4516.1549999999988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548.1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5063.3099999999995</v>
      </c>
      <c r="R3" s="16">
        <f t="shared" ref="R3:R10" ca="1" si="2">SUM(L3:P3)</f>
        <v>5063.3099999999995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1666.1200000000001</v>
      </c>
      <c r="H4" s="14"/>
      <c r="I4" s="14"/>
      <c r="J4" s="14"/>
      <c r="K4" s="13"/>
      <c r="L4" s="16">
        <f t="shared" ca="1" si="0"/>
        <v>1666.1200000000001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-69.92</v>
      </c>
      <c r="Q4" s="16" cm="1">
        <f t="array" aca="1" ref="Q4" ca="1">INDIRECT("'data'!$J$" &amp; $A$1)*parameters!$B$14</f>
        <v>1597.1200000000001</v>
      </c>
      <c r="R4" s="16">
        <f t="shared" ca="1" si="2"/>
        <v>1597.1200000000001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944.68656716417922</v>
      </c>
      <c r="G5" s="14">
        <f ca="1">Q7/parameters!$B$7-(G3+G4)</f>
        <v>2283.472313588798</v>
      </c>
      <c r="H5" s="14"/>
      <c r="I5" s="14"/>
      <c r="J5" s="14"/>
      <c r="K5" s="13"/>
      <c r="L5" s="16">
        <f t="shared" ca="1" si="0"/>
        <v>3228.158880752977</v>
      </c>
      <c r="M5" s="16"/>
      <c r="N5" s="16"/>
      <c r="O5" s="11" cm="1">
        <f t="array" aca="1" ref="O5" ca="1">INDIRECT("'data'!$M$" &amp; $A$1)*parameters!$B$15</f>
        <v>736.96</v>
      </c>
      <c r="P5" s="13" cm="1">
        <f t="array" aca="1" ref="P5" ca="1">-INDIRECT("'data'!$N$" &amp; $A$1)*parameters!$B$15</f>
        <v>-77.42</v>
      </c>
      <c r="Q5" s="16">
        <f ca="1">SUM(L5:P5)</f>
        <v>3887.6988807529769</v>
      </c>
      <c r="R5" s="16">
        <f t="shared" ca="1" si="2"/>
        <v>3887.6988807529769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4430.58</v>
      </c>
      <c r="I6" s="14"/>
      <c r="J6" s="14"/>
      <c r="K6" s="13"/>
      <c r="L6" s="16">
        <f t="shared" ca="1" si="0"/>
        <v>4430.58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4430.58</v>
      </c>
      <c r="R6" s="16">
        <f t="shared" ca="1" si="2"/>
        <v>4430.58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4485.46</v>
      </c>
      <c r="I7" s="14"/>
      <c r="J7" s="14"/>
      <c r="K7" s="13"/>
      <c r="L7" s="16">
        <f t="shared" ca="1" si="0"/>
        <v>4485.46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4485.46</v>
      </c>
      <c r="R7" s="16">
        <f t="shared" ca="1" si="2"/>
        <v>4485.46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3744.1331276626197</v>
      </c>
      <c r="J8" s="14">
        <f ca="1">Q10/J18</f>
        <v>5114.0868723373824</v>
      </c>
      <c r="K8" s="13"/>
      <c r="L8" s="16">
        <f t="shared" ca="1" si="0"/>
        <v>8858.2200000000012</v>
      </c>
      <c r="M8" s="16"/>
      <c r="N8" s="16">
        <f t="shared" ca="1" si="3"/>
        <v>0</v>
      </c>
      <c r="O8" s="11" cm="1">
        <f t="array" aca="1" ref="O8" ca="1">INDIRECT("'data'!$R$" &amp; $A$1)*parameters!$B$15</f>
        <v>142.1</v>
      </c>
      <c r="P8" s="13" cm="1">
        <f t="array" aca="1" ref="P8" ca="1">-INDIRECT("'data'!$S$" &amp; $A$1)*parameters!$B$15</f>
        <v>-84.28</v>
      </c>
      <c r="Q8" s="16">
        <f ca="1">SUM(Q6:Q7)</f>
        <v>8916.0400000000009</v>
      </c>
      <c r="R8" s="16">
        <f t="shared" ca="1" si="2"/>
        <v>8916.0400000000009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2292.2199999999998</v>
      </c>
      <c r="L9" s="16">
        <f t="shared" ca="1" si="0"/>
        <v>2292.2199999999998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739.9</v>
      </c>
      <c r="P9" s="13" cm="1">
        <f t="array" aca="1" ref="P9" ca="1">-INDIRECT("'data'!$V$" &amp; $A$1)*parameters!$B$15</f>
        <v>-137.19999999999999</v>
      </c>
      <c r="Q9" s="16" cm="1">
        <f t="array" aca="1" ref="Q9" ca="1">INDIRECT("'data'!$T$" &amp; $A$1)*parameters!$B$15</f>
        <v>2894.92</v>
      </c>
      <c r="R9" s="16">
        <f t="shared" ca="1" si="2"/>
        <v>2894.92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2150.9522332859169</v>
      </c>
      <c r="L10" s="16">
        <f t="shared" ca="1" si="0"/>
        <v>2150.9522332859169</v>
      </c>
      <c r="M10" s="16"/>
      <c r="N10" s="16">
        <f t="shared" ca="1" si="3"/>
        <v>0</v>
      </c>
      <c r="O10" s="11" cm="1">
        <f t="array" aca="1" ref="O10" ca="1">INDIRECT("'data'!$X$" &amp; $A$1)*parameters!$B$15</f>
        <v>2160.9</v>
      </c>
      <c r="P10" s="13" cm="1">
        <f t="array" aca="1" ref="P10" ca="1">-INDIRECT("'data'!$Y$" &amp; $A$1)*parameters!$B$15</f>
        <v>-357.7</v>
      </c>
      <c r="Q10" s="16" cm="1">
        <f t="array" aca="1" ref="Q10" ca="1">INDIRECT("'data'!$W$" &amp; $A$1)*parameters!$B$15</f>
        <v>3954.1522332859172</v>
      </c>
      <c r="R10" s="16">
        <f t="shared" ca="1" si="2"/>
        <v>3954.1522332859176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4599.3657206258877</v>
      </c>
      <c r="N11" s="19"/>
      <c r="O11" s="21" cm="1">
        <f t="array" aca="1" ref="O11" ca="1">INDIRECT("'data'!$Z$" &amp; $A$1)*parameters!$B$15</f>
        <v>1312.22</v>
      </c>
      <c r="P11" s="27" cm="1">
        <f t="array" aca="1" ref="P11" ca="1">-INDIRECT("'data'!$AA$" &amp; $A$1)*parameters!$B$15</f>
        <v>-1907.08</v>
      </c>
      <c r="Q11" s="16">
        <f ca="1">K9*parameters!$B$10+K10*parameters!$B$11</f>
        <v>4004.505720625888</v>
      </c>
      <c r="R11" s="16">
        <f t="shared" ref="R11:R17" ca="1" si="4">SUM(L11:P11)</f>
        <v>4004.505720625888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-32.101089866157054</v>
      </c>
      <c r="D12" s="9">
        <f ca="1">-(D17-Q4)</f>
        <v>-10.125647579752467</v>
      </c>
      <c r="E12" s="9">
        <f ca="1">-(E17-Q5)</f>
        <v>-480.50210885710931</v>
      </c>
      <c r="F12" s="9">
        <f ca="1">-(F17-Q6)</f>
        <v>-292.85283582089596</v>
      </c>
      <c r="G12" s="9">
        <f ca="1">-(G17-Q7)</f>
        <v>-201.54104493207979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-1017.1227270559946</v>
      </c>
      <c r="M12" s="17"/>
      <c r="N12" s="17"/>
      <c r="O12" s="10"/>
      <c r="P12" s="12"/>
      <c r="Q12" s="9">
        <f t="shared" ref="Q12:Q17" ca="1" si="6">SUM(L12:P12)</f>
        <v>-1017.1227270559946</v>
      </c>
      <c r="R12" s="17">
        <f t="shared" ca="1" si="4"/>
        <v>-1017.1227270559946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-849.21312766261963</v>
      </c>
      <c r="J13" s="14">
        <f ca="1">-(J17-Q10)</f>
        <v>-1159.9346390514652</v>
      </c>
      <c r="K13" s="13">
        <f ca="1">-(K17-Q11)</f>
        <v>-438.66651266002918</v>
      </c>
      <c r="L13" s="14">
        <f t="shared" ca="1" si="5"/>
        <v>-2447.814279374114</v>
      </c>
      <c r="M13" s="16">
        <f ca="1">-E15</f>
        <v>-1920.3867102359723</v>
      </c>
      <c r="N13" s="16"/>
      <c r="O13" s="11"/>
      <c r="P13" s="13"/>
      <c r="Q13" s="14">
        <f t="shared" ca="1" si="6"/>
        <v>-4368.2009896100863</v>
      </c>
      <c r="R13" s="16">
        <f t="shared" ca="1" si="4"/>
        <v>-4368.2009896100863</v>
      </c>
    </row>
    <row r="14" spans="1:20">
      <c r="A14" s="18" t="s">
        <v>78</v>
      </c>
      <c r="B14" s="11"/>
      <c r="C14" s="14"/>
      <c r="D14" s="14"/>
      <c r="E14" s="14">
        <f ca="1">-(I13+J13)-K13</f>
        <v>2447.814279374114</v>
      </c>
      <c r="F14" s="14"/>
      <c r="G14" s="14"/>
      <c r="H14" s="14"/>
      <c r="I14" s="14"/>
      <c r="J14" s="14"/>
      <c r="K14" s="13"/>
      <c r="L14" s="14">
        <f t="shared" ca="1" si="5"/>
        <v>2447.814279374114</v>
      </c>
      <c r="M14" s="16"/>
      <c r="N14" s="16"/>
      <c r="O14" s="11"/>
      <c r="P14" s="13"/>
      <c r="Q14" s="14">
        <f t="shared" ca="1" si="6"/>
        <v>2447.814279374114</v>
      </c>
      <c r="R14" s="16">
        <f t="shared" ca="1" si="4"/>
        <v>2447.814279374114</v>
      </c>
    </row>
    <row r="15" spans="1:20">
      <c r="A15" s="18" t="s">
        <v>79</v>
      </c>
      <c r="B15" s="11"/>
      <c r="C15" s="14"/>
      <c r="D15" s="14"/>
      <c r="E15" s="14">
        <f ca="1">E17-E14</f>
        <v>1920.3867102359723</v>
      </c>
      <c r="F15" s="14"/>
      <c r="G15" s="14"/>
      <c r="H15" s="14"/>
      <c r="I15" s="14"/>
      <c r="J15" s="14"/>
      <c r="K15" s="13"/>
      <c r="L15" s="14">
        <f t="shared" ca="1" si="5"/>
        <v>1920.3867102359723</v>
      </c>
      <c r="M15" s="16"/>
      <c r="N15" s="16"/>
      <c r="O15" s="11"/>
      <c r="P15" s="13"/>
      <c r="Q15" s="14">
        <f t="shared" ca="1" si="6"/>
        <v>1920.3867102359723</v>
      </c>
      <c r="R15" s="16">
        <f t="shared" ca="1" si="4"/>
        <v>1920.3867102359723</v>
      </c>
    </row>
    <row r="16" spans="1:20">
      <c r="A16" s="30" t="s">
        <v>89</v>
      </c>
      <c r="B16" s="21">
        <f ca="1">Q2</f>
        <v>26600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26600</v>
      </c>
      <c r="M16" s="19"/>
      <c r="N16" s="19"/>
      <c r="O16" s="21"/>
      <c r="P16" s="27"/>
      <c r="Q16" s="22">
        <f t="shared" ca="1" si="6"/>
        <v>26600</v>
      </c>
      <c r="R16" s="19">
        <f t="shared" ca="1" si="4"/>
        <v>26600</v>
      </c>
    </row>
    <row r="17" spans="1:18">
      <c r="A17" s="29" t="s">
        <v>88</v>
      </c>
      <c r="B17" s="9">
        <f ca="1">B16</f>
        <v>26600</v>
      </c>
      <c r="C17" s="9">
        <f ca="1">SUM(C$2:C$11)</f>
        <v>5095.4110898661565</v>
      </c>
      <c r="D17" s="9">
        <f ca="1">SUM(D$2:D$11)</f>
        <v>1607.2456475797526</v>
      </c>
      <c r="E17" s="9">
        <f ca="1">$Q$5/parameters!$B$4</f>
        <v>4368.2009896100863</v>
      </c>
      <c r="F17" s="9">
        <f t="shared" ref="F17:K17" ca="1" si="7">SUM(F$2:F$11)</f>
        <v>4723.4328358208959</v>
      </c>
      <c r="G17" s="9">
        <f t="shared" ca="1" si="7"/>
        <v>4687.0010449320798</v>
      </c>
      <c r="H17" s="9">
        <f t="shared" ca="1" si="7"/>
        <v>8916.0400000000009</v>
      </c>
      <c r="I17" s="9">
        <f t="shared" ca="1" si="7"/>
        <v>3744.1331276626197</v>
      </c>
      <c r="J17" s="9">
        <f t="shared" ca="1" si="7"/>
        <v>5114.0868723373824</v>
      </c>
      <c r="K17" s="9">
        <f t="shared" ca="1" si="7"/>
        <v>4443.1722332859172</v>
      </c>
      <c r="L17" s="17">
        <f t="shared" ca="1" si="5"/>
        <v>69298.723841094907</v>
      </c>
      <c r="M17" s="17"/>
      <c r="N17" s="17"/>
      <c r="O17" s="9"/>
      <c r="P17" s="14"/>
      <c r="Q17" s="11">
        <f t="shared" ca="1" si="6"/>
        <v>69298.723841094907</v>
      </c>
      <c r="R17" s="17">
        <f t="shared" ca="1" si="4"/>
        <v>69298.723841094907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0.77318831924313414</v>
      </c>
      <c r="J18" s="39">
        <f ca="1">I18</f>
        <v>0.77318831924313414</v>
      </c>
      <c r="K18" s="40">
        <f ca="1">1-(-K13)/K17</f>
        <v>0.90127177394255176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1733.1589010767836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1733.1589010767836</v>
      </c>
      <c r="M2" s="17"/>
      <c r="N2" s="17">
        <f ca="1">Q2-(L2+O2+P2)</f>
        <v>0</v>
      </c>
      <c r="O2" s="11" cm="1">
        <f t="array" aca="1" ref="O2" ca="1">INDIRECT("'data'!$F$" &amp; $A$1)</f>
        <v>538.20000000000005</v>
      </c>
      <c r="P2" s="13">
        <f ca="1">IF(-(L2-Q2+O2)&lt;0, -(L2-Q2+O2), 0)</f>
        <v>-1814.3589010767837</v>
      </c>
      <c r="Q2" s="17" cm="1">
        <f t="array" aca="1" ref="Q2" ca="1">INDIRECT("'data'!$D$" &amp; $A$1)</f>
        <v>457</v>
      </c>
      <c r="R2" s="17">
        <f ca="1">SUM(L2:P2)</f>
        <v>457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183.32999999999998</v>
      </c>
      <c r="H3" s="14"/>
      <c r="I3" s="14"/>
      <c r="J3" s="14"/>
      <c r="K3" s="13"/>
      <c r="L3" s="16">
        <f t="shared" ca="1" si="0"/>
        <v>183.32999999999998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-184.27499999999998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1722.24</v>
      </c>
      <c r="H4" s="14"/>
      <c r="I4" s="14"/>
      <c r="J4" s="14"/>
      <c r="K4" s="13"/>
      <c r="L4" s="16">
        <f t="shared" ca="1" si="0"/>
        <v>1722.24</v>
      </c>
      <c r="M4" s="16"/>
      <c r="N4" s="16">
        <f t="shared" ca="1" si="1"/>
        <v>0</v>
      </c>
      <c r="O4" s="11" cm="1">
        <f t="array" aca="1" ref="O4" ca="1">INDIRECT("'data'!$K$" &amp; $A$1)*parameters!$B$14</f>
        <v>295.32</v>
      </c>
      <c r="P4" s="13" cm="1">
        <f t="array" aca="1" ref="P4" ca="1">-INDIRECT("'data'!$L$" &amp; $A$1)*parameters!$B$14</f>
        <v>-295.32</v>
      </c>
      <c r="Q4" s="16" cm="1">
        <f t="array" aca="1" ref="Q4" ca="1">INDIRECT("'data'!$J$" &amp; $A$1)*parameters!$B$14</f>
        <v>1722.24</v>
      </c>
      <c r="R4" s="16">
        <f t="shared" ca="1" si="2"/>
        <v>1722.24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5155.1405538140025</v>
      </c>
      <c r="H5" s="14"/>
      <c r="I5" s="14"/>
      <c r="J5" s="14"/>
      <c r="K5" s="13"/>
      <c r="L5" s="16">
        <f t="shared" ca="1" si="0"/>
        <v>5155.1405538140025</v>
      </c>
      <c r="M5" s="16"/>
      <c r="N5" s="16"/>
      <c r="O5" s="11" cm="1">
        <f t="array" aca="1" ref="O5" ca="1">INDIRECT("'data'!$M$" &amp; $A$1)*parameters!$B$15</f>
        <v>58.8</v>
      </c>
      <c r="P5" s="13" cm="1">
        <f t="array" aca="1" ref="P5" ca="1">-INDIRECT("'data'!$N$" &amp; $A$1)*parameters!$B$15</f>
        <v>-2151.1</v>
      </c>
      <c r="Q5" s="16">
        <f ca="1">SUM(L5:P5)</f>
        <v>3062.8405538140028</v>
      </c>
      <c r="R5" s="16">
        <f t="shared" ca="1" si="2"/>
        <v>3062.8405538140028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6757.0999999999995</v>
      </c>
      <c r="I7" s="14"/>
      <c r="J7" s="14"/>
      <c r="K7" s="13"/>
      <c r="L7" s="16">
        <f t="shared" ca="1" si="0"/>
        <v>6757.0999999999995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6757.0999999999995</v>
      </c>
      <c r="R7" s="16">
        <f t="shared" ca="1" si="2"/>
        <v>6757.0999999999995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3741.8631642037517</v>
      </c>
      <c r="J8" s="14">
        <f ca="1">Q10/J18</f>
        <v>2411.5568357962479</v>
      </c>
      <c r="K8" s="13"/>
      <c r="L8" s="16">
        <f t="shared" ca="1" si="0"/>
        <v>6153.42</v>
      </c>
      <c r="M8" s="16"/>
      <c r="N8" s="16">
        <f t="shared" ca="1" si="3"/>
        <v>0</v>
      </c>
      <c r="O8" s="11" cm="1">
        <f t="array" aca="1" ref="O8" ca="1">INDIRECT("'data'!$R$" &amp; $A$1)*parameters!$B$15</f>
        <v>997.64</v>
      </c>
      <c r="P8" s="13" cm="1">
        <f t="array" aca="1" ref="P8" ca="1">-INDIRECT("'data'!$S$" &amp; $A$1)*parameters!$B$15</f>
        <v>-393.96</v>
      </c>
      <c r="Q8" s="16">
        <f ca="1">SUM(Q6:Q7)</f>
        <v>6757.0999999999995</v>
      </c>
      <c r="R8" s="16">
        <f t="shared" ca="1" si="2"/>
        <v>6757.1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3796.5199999999995</v>
      </c>
      <c r="L9" s="16">
        <f t="shared" ca="1" si="0"/>
        <v>3796.5199999999995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627.20000000000005</v>
      </c>
      <c r="P9" s="13" cm="1">
        <f t="array" aca="1" ref="P9" ca="1">-INDIRECT("'data'!$V$" &amp; $A$1)*parameters!$B$15</f>
        <v>-974.12</v>
      </c>
      <c r="Q9" s="16" cm="1">
        <f t="array" aca="1" ref="Q9" ca="1">INDIRECT("'data'!$T$" &amp; $A$1)*parameters!$B$15</f>
        <v>3449.6</v>
      </c>
      <c r="R9" s="16">
        <f t="shared" ca="1" si="2"/>
        <v>3449.5999999999995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3747.0990042674248</v>
      </c>
      <c r="L10" s="16">
        <f t="shared" ca="1" si="0"/>
        <v>3747.0990042674248</v>
      </c>
      <c r="M10" s="16"/>
      <c r="N10" s="16">
        <f t="shared" ca="1" si="3"/>
        <v>0</v>
      </c>
      <c r="O10" s="11" cm="1">
        <f t="array" aca="1" ref="O10" ca="1">INDIRECT("'data'!$X$" &amp; $A$1)*parameters!$B$15</f>
        <v>1307.32</v>
      </c>
      <c r="P10" s="13" cm="1">
        <f t="array" aca="1" ref="P10" ca="1">-INDIRECT("'data'!$Y$" &amp; $A$1)*parameters!$B$15</f>
        <v>-2831.22</v>
      </c>
      <c r="Q10" s="16" cm="1">
        <f t="array" aca="1" ref="Q10" ca="1">INDIRECT("'data'!$W$" &amp; $A$1)*parameters!$B$15</f>
        <v>2223.1990042674252</v>
      </c>
      <c r="R10" s="16">
        <f t="shared" ca="1" si="2"/>
        <v>2223.1990042674247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6963.7139436699845</v>
      </c>
      <c r="N11" s="19"/>
      <c r="O11" s="21" cm="1">
        <f t="array" aca="1" ref="O11" ca="1">INDIRECT("'data'!$Z$" &amp; $A$1)*parameters!$B$15</f>
        <v>1476.86</v>
      </c>
      <c r="P11" s="27" cm="1">
        <f t="array" aca="1" ref="P11" ca="1">-INDIRECT("'data'!$AA$" &amp; $A$1)*parameters!$B$15</f>
        <v>-1649.34</v>
      </c>
      <c r="Q11" s="16">
        <f ca="1">K9*parameters!$B$10+K10*parameters!$B$11</f>
        <v>6791.233943669984</v>
      </c>
      <c r="R11" s="16">
        <f t="shared" ref="R11:R17" ca="1" si="4">SUM(L11:P11)</f>
        <v>6791.233943669984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-10.918901076783641</v>
      </c>
      <c r="E12" s="9">
        <f ca="1">-(E17-Q5)</f>
        <v>-378.55332687588771</v>
      </c>
      <c r="F12" s="9">
        <f ca="1">-(F17-Q6)</f>
        <v>0</v>
      </c>
      <c r="G12" s="9">
        <f ca="1">-(G17-Q7)</f>
        <v>-303.61055381400274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-693.08278176667409</v>
      </c>
      <c r="M12" s="17"/>
      <c r="N12" s="17"/>
      <c r="O12" s="10"/>
      <c r="P12" s="12"/>
      <c r="Q12" s="9">
        <f t="shared" ref="Q12:Q17" ca="1" si="6">SUM(L12:P12)</f>
        <v>-693.08278176667409</v>
      </c>
      <c r="R12" s="17">
        <f t="shared" ca="1" si="4"/>
        <v>-693.08278176667409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-292.26316420375178</v>
      </c>
      <c r="J13" s="14">
        <f ca="1">-(J17-Q10)</f>
        <v>-188.35783152882277</v>
      </c>
      <c r="K13" s="13">
        <f ca="1">-(K17-Q11)</f>
        <v>-752.38506059744032</v>
      </c>
      <c r="L13" s="14">
        <f t="shared" ca="1" si="5"/>
        <v>-1233.0060563300149</v>
      </c>
      <c r="M13" s="16">
        <f ca="1">-E15</f>
        <v>-2208.3878243598756</v>
      </c>
      <c r="N13" s="16"/>
      <c r="O13" s="11"/>
      <c r="P13" s="13"/>
      <c r="Q13" s="14">
        <f t="shared" ca="1" si="6"/>
        <v>-3441.3938806898905</v>
      </c>
      <c r="R13" s="16">
        <f t="shared" ca="1" si="4"/>
        <v>-3441.3938806898905</v>
      </c>
    </row>
    <row r="14" spans="1:19">
      <c r="A14" s="18" t="s">
        <v>78</v>
      </c>
      <c r="B14" s="11"/>
      <c r="C14" s="14"/>
      <c r="D14" s="14"/>
      <c r="E14" s="14">
        <f ca="1">-(I13+J13)-K13</f>
        <v>1233.0060563300149</v>
      </c>
      <c r="F14" s="14"/>
      <c r="G14" s="14"/>
      <c r="H14" s="14"/>
      <c r="I14" s="14"/>
      <c r="J14" s="14"/>
      <c r="K14" s="13"/>
      <c r="L14" s="14">
        <f t="shared" ca="1" si="5"/>
        <v>1233.0060563300149</v>
      </c>
      <c r="M14" s="16"/>
      <c r="N14" s="16"/>
      <c r="O14" s="11"/>
      <c r="P14" s="13"/>
      <c r="Q14" s="14">
        <f t="shared" ca="1" si="6"/>
        <v>1233.0060563300149</v>
      </c>
      <c r="R14" s="16">
        <f t="shared" ca="1" si="4"/>
        <v>1233.0060563300149</v>
      </c>
    </row>
    <row r="15" spans="1:19">
      <c r="A15" s="18" t="s">
        <v>79</v>
      </c>
      <c r="B15" s="11"/>
      <c r="C15" s="14"/>
      <c r="D15" s="14"/>
      <c r="E15" s="14">
        <f ca="1">E17-E14</f>
        <v>2208.3878243598756</v>
      </c>
      <c r="F15" s="14"/>
      <c r="G15" s="14"/>
      <c r="H15" s="14"/>
      <c r="I15" s="14"/>
      <c r="J15" s="14"/>
      <c r="K15" s="13"/>
      <c r="L15" s="14">
        <f t="shared" ca="1" si="5"/>
        <v>2208.3878243598756</v>
      </c>
      <c r="M15" s="16"/>
      <c r="N15" s="16"/>
      <c r="O15" s="11"/>
      <c r="P15" s="13"/>
      <c r="Q15" s="14">
        <f t="shared" ca="1" si="6"/>
        <v>2208.3878243598756</v>
      </c>
      <c r="R15" s="16">
        <f t="shared" ca="1" si="4"/>
        <v>2208.3878243598756</v>
      </c>
    </row>
    <row r="16" spans="1:19">
      <c r="A16" s="30" t="s">
        <v>89</v>
      </c>
      <c r="B16" s="21">
        <f ca="1">Q2</f>
        <v>457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457</v>
      </c>
      <c r="M16" s="19"/>
      <c r="N16" s="19"/>
      <c r="O16" s="21"/>
      <c r="P16" s="27"/>
      <c r="Q16" s="22">
        <f t="shared" ca="1" si="6"/>
        <v>457</v>
      </c>
      <c r="R16" s="19">
        <f t="shared" ca="1" si="4"/>
        <v>457</v>
      </c>
    </row>
    <row r="17" spans="1:18">
      <c r="A17" s="29" t="s">
        <v>88</v>
      </c>
      <c r="B17" s="9">
        <f ca="1">B16</f>
        <v>457</v>
      </c>
      <c r="C17" s="9">
        <f ca="1">SUM(C$2:C$11)</f>
        <v>0</v>
      </c>
      <c r="D17" s="9">
        <f ca="1">SUM(D$2:D$11)</f>
        <v>1733.1589010767836</v>
      </c>
      <c r="E17" s="9">
        <f ca="1">$Q$5/parameters!$B$4</f>
        <v>3441.3938806898905</v>
      </c>
      <c r="F17" s="9">
        <f t="shared" ref="F17:K17" ca="1" si="7">SUM(F$2:F$11)</f>
        <v>0</v>
      </c>
      <c r="G17" s="9">
        <f t="shared" ca="1" si="7"/>
        <v>7060.7105538140022</v>
      </c>
      <c r="H17" s="9">
        <f t="shared" ca="1" si="7"/>
        <v>6757.0999999999995</v>
      </c>
      <c r="I17" s="9">
        <f t="shared" ca="1" si="7"/>
        <v>3741.8631642037517</v>
      </c>
      <c r="J17" s="9">
        <f t="shared" ca="1" si="7"/>
        <v>2411.5568357962479</v>
      </c>
      <c r="K17" s="9">
        <f t="shared" ca="1" si="7"/>
        <v>7543.6190042674243</v>
      </c>
      <c r="L17" s="17">
        <f t="shared" ca="1" si="5"/>
        <v>33146.402339848093</v>
      </c>
      <c r="M17" s="17"/>
      <c r="N17" s="17"/>
      <c r="O17" s="9"/>
      <c r="P17" s="14"/>
      <c r="Q17" s="11">
        <f t="shared" ca="1" si="6"/>
        <v>33146.402339848093</v>
      </c>
      <c r="R17" s="17">
        <f t="shared" ca="1" si="4"/>
        <v>33146.402339848093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0.92189367933075028</v>
      </c>
      <c r="J18" s="39">
        <f ca="1">I18</f>
        <v>0.92189367933075028</v>
      </c>
      <c r="K18" s="40">
        <f ca="1">1-(-K13)/K17</f>
        <v>0.90026205456932329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779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779</v>
      </c>
      <c r="R2" s="17">
        <f ca="1">SUM(L2:P2)</f>
        <v>779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801.36</v>
      </c>
      <c r="H3" s="14"/>
      <c r="I3" s="14"/>
      <c r="J3" s="14"/>
      <c r="K3" s="13"/>
      <c r="L3" s="16">
        <f t="shared" ca="1" si="0"/>
        <v>801.36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-803.25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4897.3860815047028</v>
      </c>
      <c r="H5" s="14"/>
      <c r="I5" s="14"/>
      <c r="J5" s="14"/>
      <c r="K5" s="13"/>
      <c r="L5" s="16">
        <f t="shared" ca="1" si="0"/>
        <v>4897.3860815047028</v>
      </c>
      <c r="M5" s="16"/>
      <c r="N5" s="16"/>
      <c r="O5" s="11" cm="1">
        <f t="array" aca="1" ref="O5" ca="1">INDIRECT("'data'!$M$" &amp; $A$1)*parameters!$B$15</f>
        <v>295.95999999999998</v>
      </c>
      <c r="P5" s="13" cm="1">
        <f t="array" aca="1" ref="P5" ca="1">-INDIRECT("'data'!$N$" &amp; $A$1)*parameters!$B$15</f>
        <v>-1768.8999999999999</v>
      </c>
      <c r="Q5" s="16">
        <f ca="1">SUM(L5:P5)</f>
        <v>3424.4460815047032</v>
      </c>
      <c r="R5" s="16">
        <f t="shared" ca="1" si="2"/>
        <v>3424.4460815047032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5453.7</v>
      </c>
      <c r="I7" s="14"/>
      <c r="J7" s="14"/>
      <c r="K7" s="13"/>
      <c r="L7" s="16">
        <f t="shared" ca="1" si="0"/>
        <v>5453.7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5453.7</v>
      </c>
      <c r="R7" s="16">
        <f t="shared" ca="1" si="2"/>
        <v>5453.7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3974.0684639282022</v>
      </c>
      <c r="J8" s="14">
        <f ca="1">Q10/J18</f>
        <v>3872.7915360717984</v>
      </c>
      <c r="K8" s="13"/>
      <c r="L8" s="16">
        <f t="shared" ca="1" si="0"/>
        <v>7846.8600000000006</v>
      </c>
      <c r="M8" s="16"/>
      <c r="N8" s="16">
        <f t="shared" ca="1" si="3"/>
        <v>0</v>
      </c>
      <c r="O8" s="11" cm="1">
        <f t="array" aca="1" ref="O8" ca="1">INDIRECT("'data'!$R$" &amp; $A$1)*parameters!$B$15</f>
        <v>129.35999999999999</v>
      </c>
      <c r="P8" s="13" cm="1">
        <f t="array" aca="1" ref="P8" ca="1">-INDIRECT("'data'!$S$" &amp; $A$1)*parameters!$B$15</f>
        <v>-2522.52</v>
      </c>
      <c r="Q8" s="16">
        <f ca="1">SUM(Q6:Q7)</f>
        <v>5453.7</v>
      </c>
      <c r="R8" s="16">
        <f t="shared" ca="1" si="2"/>
        <v>5453.7000000000007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4592.28</v>
      </c>
      <c r="L9" s="16">
        <f t="shared" ca="1" si="0"/>
        <v>4592.28</v>
      </c>
      <c r="M9" s="16"/>
      <c r="N9" s="16">
        <f t="shared" ca="1" si="3"/>
        <v>0</v>
      </c>
      <c r="O9" s="11" cm="1">
        <f t="array" aca="1" ref="O9" ca="1">INDIRECT("'data'!$U$" &amp; $A$1)*parameters!$B$15</f>
        <v>591.91999999999996</v>
      </c>
      <c r="P9" s="13" cm="1">
        <f t="array" aca="1" ref="P9" ca="1">-INDIRECT("'data'!$V$" &amp; $A$1)*parameters!$B$15</f>
        <v>-1330.84</v>
      </c>
      <c r="Q9" s="16" cm="1">
        <f t="array" aca="1" ref="Q9" ca="1">INDIRECT("'data'!$T$" &amp; $A$1)*parameters!$B$15</f>
        <v>3853.36</v>
      </c>
      <c r="R9" s="16">
        <f t="shared" ca="1" si="2"/>
        <v>3853.3599999999997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7168.4992603129449</v>
      </c>
      <c r="L10" s="16">
        <f t="shared" ca="1" si="0"/>
        <v>7168.4992603129449</v>
      </c>
      <c r="M10" s="16"/>
      <c r="N10" s="16">
        <f t="shared" ca="1" si="3"/>
        <v>0</v>
      </c>
      <c r="O10" s="11" cm="1">
        <f t="array" aca="1" ref="O10" ca="1">INDIRECT("'data'!$X$" &amp; $A$1)*parameters!$B$15</f>
        <v>1756.1599999999999</v>
      </c>
      <c r="P10" s="13" cm="1">
        <f t="array" aca="1" ref="P10" ca="1">-INDIRECT("'data'!$Y$" &amp; $A$1)*parameters!$B$15</f>
        <v>-5169.5</v>
      </c>
      <c r="Q10" s="16" cm="1">
        <f t="array" aca="1" ref="Q10" ca="1">INDIRECT("'data'!$W$" &amp; $A$1)*parameters!$B$15</f>
        <v>3755.1592603129443</v>
      </c>
      <c r="R10" s="16">
        <f t="shared" ca="1" si="2"/>
        <v>3755.1592603129448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9281.1525638691328</v>
      </c>
      <c r="N11" s="19"/>
      <c r="O11" s="21" cm="1">
        <f t="array" aca="1" ref="O11" ca="1">INDIRECT("'data'!$Z$" &amp; $A$1)*parameters!$B$15</f>
        <v>3071.32</v>
      </c>
      <c r="P11" s="27" cm="1">
        <f t="array" aca="1" ref="P11" ca="1">-INDIRECT("'data'!$AA$" &amp; $A$1)*parameters!$B$15</f>
        <v>-1870.82</v>
      </c>
      <c r="Q11" s="16">
        <f ca="1">K9*parameters!$B$10+K10*parameters!$B$11</f>
        <v>10481.652563869133</v>
      </c>
      <c r="R11" s="16">
        <f t="shared" ref="R11:R17" ca="1" si="4">SUM(L11:P11)</f>
        <v>10481.652563869133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-423.24614490507565</v>
      </c>
      <c r="F12" s="9">
        <f ca="1">-(F17-Q6)</f>
        <v>0</v>
      </c>
      <c r="G12" s="9">
        <f ca="1">-(G17-Q7)</f>
        <v>-245.04608150470267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-668.29222640977832</v>
      </c>
      <c r="M12" s="17"/>
      <c r="N12" s="17"/>
      <c r="O12" s="10"/>
      <c r="P12" s="12"/>
      <c r="Q12" s="9">
        <f t="shared" ref="Q12:Q17" ca="1" si="6">SUM(L12:P12)</f>
        <v>-668.29222640977832</v>
      </c>
      <c r="R12" s="17">
        <f t="shared" ca="1" si="4"/>
        <v>-668.29222640977832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-120.70846392820204</v>
      </c>
      <c r="J13" s="14">
        <f ca="1">-(J17-Q10)</f>
        <v>-117.63227575885412</v>
      </c>
      <c r="K13" s="13">
        <f ca="1">-(K17-Q11)</f>
        <v>-1279.1266964438128</v>
      </c>
      <c r="L13" s="14">
        <f t="shared" ca="1" si="5"/>
        <v>-1517.4674361308689</v>
      </c>
      <c r="M13" s="16">
        <f ca="1">-E15</f>
        <v>-2330.2247902789099</v>
      </c>
      <c r="N13" s="16"/>
      <c r="O13" s="11"/>
      <c r="P13" s="13"/>
      <c r="Q13" s="14">
        <f t="shared" ca="1" si="6"/>
        <v>-3847.6922264097789</v>
      </c>
      <c r="R13" s="16">
        <f t="shared" ca="1" si="4"/>
        <v>-3847.6922264097789</v>
      </c>
    </row>
    <row r="14" spans="1:20">
      <c r="A14" s="18" t="s">
        <v>78</v>
      </c>
      <c r="B14" s="11"/>
      <c r="C14" s="14"/>
      <c r="D14" s="14"/>
      <c r="E14" s="14">
        <f ca="1">-(I13+J13)-K13</f>
        <v>1517.4674361308689</v>
      </c>
      <c r="F14" s="14"/>
      <c r="G14" s="14"/>
      <c r="H14" s="14"/>
      <c r="I14" s="14"/>
      <c r="J14" s="14"/>
      <c r="K14" s="13"/>
      <c r="L14" s="14">
        <f t="shared" ca="1" si="5"/>
        <v>1517.4674361308689</v>
      </c>
      <c r="M14" s="16"/>
      <c r="N14" s="16"/>
      <c r="O14" s="11"/>
      <c r="P14" s="13"/>
      <c r="Q14" s="14">
        <f t="shared" ca="1" si="6"/>
        <v>1517.4674361308689</v>
      </c>
      <c r="R14" s="16">
        <f t="shared" ca="1" si="4"/>
        <v>1517.4674361308689</v>
      </c>
    </row>
    <row r="15" spans="1:20">
      <c r="A15" s="18" t="s">
        <v>79</v>
      </c>
      <c r="B15" s="11"/>
      <c r="C15" s="14"/>
      <c r="D15" s="14"/>
      <c r="E15" s="14">
        <f ca="1">E17-E14</f>
        <v>2330.2247902789099</v>
      </c>
      <c r="F15" s="14"/>
      <c r="G15" s="14"/>
      <c r="H15" s="14"/>
      <c r="I15" s="14"/>
      <c r="J15" s="14"/>
      <c r="K15" s="13"/>
      <c r="L15" s="14">
        <f t="shared" ca="1" si="5"/>
        <v>2330.2247902789099</v>
      </c>
      <c r="M15" s="16"/>
      <c r="N15" s="16"/>
      <c r="O15" s="11"/>
      <c r="P15" s="13"/>
      <c r="Q15" s="14">
        <f t="shared" ca="1" si="6"/>
        <v>2330.2247902789099</v>
      </c>
      <c r="R15" s="16">
        <f t="shared" ca="1" si="4"/>
        <v>2330.2247902789099</v>
      </c>
    </row>
    <row r="16" spans="1:20">
      <c r="A16" s="30" t="s">
        <v>89</v>
      </c>
      <c r="B16" s="21">
        <f ca="1">Q2</f>
        <v>779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779</v>
      </c>
      <c r="M16" s="19"/>
      <c r="N16" s="19"/>
      <c r="O16" s="21"/>
      <c r="P16" s="27"/>
      <c r="Q16" s="22">
        <f t="shared" ca="1" si="6"/>
        <v>779</v>
      </c>
      <c r="R16" s="19">
        <f t="shared" ca="1" si="4"/>
        <v>779</v>
      </c>
    </row>
    <row r="17" spans="1:18">
      <c r="A17" s="29" t="s">
        <v>88</v>
      </c>
      <c r="B17" s="9">
        <f ca="1">B16</f>
        <v>779</v>
      </c>
      <c r="C17" s="9">
        <f ca="1">SUM(C$2:C$11)</f>
        <v>0</v>
      </c>
      <c r="D17" s="9">
        <f ca="1">SUM(D$2:D$11)</f>
        <v>0</v>
      </c>
      <c r="E17" s="9">
        <f ca="1">$Q$5/parameters!$B$4</f>
        <v>3847.6922264097789</v>
      </c>
      <c r="F17" s="9">
        <f t="shared" ref="F17:K17" ca="1" si="7">SUM(F$2:F$11)</f>
        <v>0</v>
      </c>
      <c r="G17" s="9">
        <f t="shared" ca="1" si="7"/>
        <v>5698.7460815047025</v>
      </c>
      <c r="H17" s="9">
        <f t="shared" ca="1" si="7"/>
        <v>5453.7</v>
      </c>
      <c r="I17" s="9">
        <f t="shared" ca="1" si="7"/>
        <v>3974.0684639282022</v>
      </c>
      <c r="J17" s="9">
        <f t="shared" ca="1" si="7"/>
        <v>3872.7915360717984</v>
      </c>
      <c r="K17" s="9">
        <f t="shared" ca="1" si="7"/>
        <v>11760.779260312946</v>
      </c>
      <c r="L17" s="17">
        <f t="shared" ca="1" si="5"/>
        <v>35386.77756822743</v>
      </c>
      <c r="M17" s="17"/>
      <c r="N17" s="17"/>
      <c r="O17" s="9"/>
      <c r="P17" s="14"/>
      <c r="Q17" s="11">
        <f t="shared" ca="1" si="6"/>
        <v>35386.77756822743</v>
      </c>
      <c r="R17" s="17">
        <f t="shared" ca="1" si="4"/>
        <v>35386.77756822743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0.96962597272194784</v>
      </c>
      <c r="J18" s="39">
        <f ca="1">I18</f>
        <v>0.96962597272194784</v>
      </c>
      <c r="K18" s="40">
        <f ca="1">1-(-K13)/K17</f>
        <v>0.89123793006129626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3628.9825903190094</v>
      </c>
      <c r="D2" s="9">
        <f ca="1">Q4/parameters!$B$3</f>
        <v>121.28408976552279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3750.2666800845323</v>
      </c>
      <c r="M2" s="17"/>
      <c r="N2" s="17">
        <f ca="1">Q2-(L2+O2+P2)</f>
        <v>0</v>
      </c>
      <c r="O2" s="11" cm="1">
        <f t="array" aca="1" ref="O2" ca="1">INDIRECT("'data'!$F$" &amp; $A$1)</f>
        <v>12372.1</v>
      </c>
      <c r="P2" s="13">
        <f ca="1">IF(-(L2-Q2+O2)&lt;0, -(L2-Q2+O2), 0)</f>
        <v>-122.36668008453307</v>
      </c>
      <c r="Q2" s="17" cm="1">
        <f t="array" aca="1" ref="Q2" ca="1">INDIRECT("'data'!$D$" &amp; $A$1)</f>
        <v>16000</v>
      </c>
      <c r="R2" s="17">
        <f ca="1">SUM(L2:P2)</f>
        <v>16000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3134.3283582089553</v>
      </c>
      <c r="G3" s="14">
        <f ca="1">Q3-O3-P3-F3</f>
        <v>383.90664179104442</v>
      </c>
      <c r="H3" s="14"/>
      <c r="I3" s="14"/>
      <c r="J3" s="14"/>
      <c r="K3" s="13"/>
      <c r="L3" s="16">
        <f t="shared" ca="1" si="0"/>
        <v>3518.2349999999997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144.58499999999998</v>
      </c>
      <c r="P3" s="13" cm="1">
        <f t="array" aca="1" ref="P3" ca="1">-INDIRECT("'data'!$I$" &amp; $A$1)*parameters!$B$13</f>
        <v>-56.699999999999996</v>
      </c>
      <c r="Q3" s="16" cm="1">
        <f t="array" aca="1" ref="Q3" ca="1">INDIRECT("'data'!$G$" &amp; $A$1)*parameters!$B$13</f>
        <v>3606.12</v>
      </c>
      <c r="R3" s="16">
        <f t="shared" ref="R3:R10" ca="1" si="2">SUM(L3:P3)</f>
        <v>3606.12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108.56</v>
      </c>
      <c r="H4" s="14"/>
      <c r="I4" s="14"/>
      <c r="J4" s="14"/>
      <c r="K4" s="13"/>
      <c r="L4" s="16">
        <f t="shared" ca="1" si="0"/>
        <v>108.56</v>
      </c>
      <c r="M4" s="16"/>
      <c r="N4" s="16">
        <f t="shared" ca="1" si="1"/>
        <v>0</v>
      </c>
      <c r="O4" s="11" cm="1">
        <f t="array" aca="1" ref="O4" ca="1">INDIRECT("'data'!$K$" &amp; $A$1)*parameters!$B$14</f>
        <v>11.96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120.52000000000001</v>
      </c>
      <c r="R4" s="16">
        <f t="shared" ca="1" si="2"/>
        <v>120.52000000000001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783.58208955223881</v>
      </c>
      <c r="G5" s="14">
        <f ca="1">Q7/parameters!$B$7-(G3+G4)</f>
        <v>1476.7496591493946</v>
      </c>
      <c r="H5" s="14"/>
      <c r="I5" s="14"/>
      <c r="J5" s="14"/>
      <c r="K5" s="13"/>
      <c r="L5" s="16">
        <f t="shared" ca="1" si="0"/>
        <v>2260.3317487016334</v>
      </c>
      <c r="M5" s="16"/>
      <c r="N5" s="16"/>
      <c r="O5" s="11" cm="1">
        <f t="array" aca="1" ref="O5" ca="1">INDIRECT("'data'!$M$" &amp; $A$1)*parameters!$B$15</f>
        <v>1047.6199999999999</v>
      </c>
      <c r="P5" s="13" cm="1">
        <f t="array" aca="1" ref="P5" ca="1">-INDIRECT("'data'!$N$" &amp; $A$1)*parameters!$B$15</f>
        <v>-237.16</v>
      </c>
      <c r="Q5" s="16">
        <f ca="1">SUM(L5:P5)</f>
        <v>3070.7917487016334</v>
      </c>
      <c r="R5" s="16">
        <f t="shared" ca="1" si="2"/>
        <v>3070.7917487016334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3675</v>
      </c>
      <c r="I6" s="14"/>
      <c r="J6" s="14"/>
      <c r="K6" s="13"/>
      <c r="L6" s="16">
        <f t="shared" ca="1" si="0"/>
        <v>3675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3675</v>
      </c>
      <c r="R6" s="16">
        <f t="shared" ca="1" si="2"/>
        <v>3675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1884.54</v>
      </c>
      <c r="I7" s="14"/>
      <c r="J7" s="14"/>
      <c r="K7" s="13"/>
      <c r="L7" s="16">
        <f t="shared" ca="1" si="0"/>
        <v>1884.54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1884.54</v>
      </c>
      <c r="R7" s="16">
        <f t="shared" ca="1" si="2"/>
        <v>1884.54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822.0005225005782</v>
      </c>
      <c r="J8" s="14">
        <f ca="1">Q10/J18</f>
        <v>4739.499477499422</v>
      </c>
      <c r="K8" s="13"/>
      <c r="L8" s="16">
        <f t="shared" ca="1" si="0"/>
        <v>5561.5</v>
      </c>
      <c r="M8" s="16"/>
      <c r="N8" s="16">
        <f t="shared" ca="1" si="3"/>
        <v>0</v>
      </c>
      <c r="O8" s="11" cm="1">
        <f t="array" aca="1" ref="O8" ca="1">INDIRECT("'data'!$R$" &amp; $A$1)*parameters!$B$15</f>
        <v>132.30000000000001</v>
      </c>
      <c r="P8" s="13" cm="1">
        <f t="array" aca="1" ref="P8" ca="1">-INDIRECT("'data'!$S$" &amp; $A$1)*parameters!$B$15</f>
        <v>-134.26</v>
      </c>
      <c r="Q8" s="16">
        <f ca="1">SUM(Q6:Q7)</f>
        <v>5559.54</v>
      </c>
      <c r="R8" s="16">
        <f t="shared" ca="1" si="2"/>
        <v>5559.54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998.62</v>
      </c>
      <c r="L9" s="16">
        <f t="shared" ca="1" si="0"/>
        <v>998.62</v>
      </c>
      <c r="M9" s="16"/>
      <c r="N9" s="16">
        <f t="shared" ca="1" si="3"/>
        <v>0</v>
      </c>
      <c r="O9" s="11" cm="1">
        <f t="array" aca="1" ref="O9" ca="1">INDIRECT("'data'!$U$" &amp; $A$1)*parameters!$B$15</f>
        <v>826.14</v>
      </c>
      <c r="P9" s="13" cm="1">
        <f t="array" aca="1" ref="P9" ca="1">-INDIRECT("'data'!$V$" &amp; $A$1)*parameters!$B$15</f>
        <v>-1029.98</v>
      </c>
      <c r="Q9" s="16" cm="1">
        <f t="array" aca="1" ref="Q9" ca="1">INDIRECT("'data'!$T$" &amp; $A$1)*parameters!$B$15</f>
        <v>794.78</v>
      </c>
      <c r="R9" s="16">
        <f t="shared" ca="1" si="2"/>
        <v>794.78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4294.4310953058321</v>
      </c>
      <c r="L10" s="16">
        <f t="shared" ca="1" si="0"/>
        <v>4294.4310953058321</v>
      </c>
      <c r="M10" s="16"/>
      <c r="N10" s="16">
        <f t="shared" ca="1" si="3"/>
        <v>0</v>
      </c>
      <c r="O10" s="11" cm="1">
        <f t="array" aca="1" ref="O10" ca="1">INDIRECT("'data'!$X$" &amp; $A$1)*parameters!$B$15</f>
        <v>2694.02</v>
      </c>
      <c r="P10" s="13" cm="1">
        <f t="array" aca="1" ref="P10" ca="1">-INDIRECT("'data'!$Y$" &amp; $A$1)*parameters!$B$15</f>
        <v>-2405.9</v>
      </c>
      <c r="Q10" s="16" cm="1">
        <f t="array" aca="1" ref="Q10" ca="1">INDIRECT("'data'!$W$" &amp; $A$1)*parameters!$B$15</f>
        <v>4582.551095305832</v>
      </c>
      <c r="R10" s="16">
        <f t="shared" ca="1" si="2"/>
        <v>4582.5510953058329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4941.593541963015</v>
      </c>
      <c r="N11" s="19"/>
      <c r="O11" s="21" cm="1">
        <f t="array" aca="1" ref="O11" ca="1">INDIRECT("'data'!$Z$" &amp; $A$1)*parameters!$B$15</f>
        <v>3206.56</v>
      </c>
      <c r="P11" s="27" cm="1">
        <f t="array" aca="1" ref="P11" ca="1">-INDIRECT("'data'!$AA$" &amp; $A$1)*parameters!$B$15</f>
        <v>-3516.24</v>
      </c>
      <c r="Q11" s="16">
        <f ca="1">K9*parameters!$B$10+K10*parameters!$B$11</f>
        <v>4631.9135419630156</v>
      </c>
      <c r="R11" s="16">
        <f t="shared" ref="R11:R17" ca="1" si="4">SUM(L11:P11)</f>
        <v>4631.9135419630147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-22.862590319009541</v>
      </c>
      <c r="D12" s="9">
        <f ca="1">-(D17-Q4)</f>
        <v>-0.76408976552278318</v>
      </c>
      <c r="E12" s="9">
        <f ca="1">-(E17-Q5)</f>
        <v>-379.53605882829152</v>
      </c>
      <c r="F12" s="9">
        <f ca="1">-(F17-Q6)</f>
        <v>-242.91044776119406</v>
      </c>
      <c r="G12" s="9">
        <f ca="1">-(G17-Q7)</f>
        <v>-84.676300940438978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-730.74948761445694</v>
      </c>
      <c r="M12" s="17"/>
      <c r="N12" s="17"/>
      <c r="O12" s="10"/>
      <c r="P12" s="12"/>
      <c r="Q12" s="9">
        <f t="shared" ref="Q12:Q17" ca="1" si="6">SUM(L12:P12)</f>
        <v>-730.74948761445694</v>
      </c>
      <c r="R12" s="17">
        <f t="shared" ca="1" si="4"/>
        <v>-730.74948761445694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-27.220522500578227</v>
      </c>
      <c r="J13" s="14">
        <f ca="1">-(J17-Q10)</f>
        <v>-156.94838219359008</v>
      </c>
      <c r="K13" s="13">
        <f ca="1">-(K17-Q11)</f>
        <v>-661.13755334281632</v>
      </c>
      <c r="L13" s="14">
        <f t="shared" ca="1" si="5"/>
        <v>-845.30645803698462</v>
      </c>
      <c r="M13" s="16">
        <f ca="1">-E15</f>
        <v>-2605.0213494929403</v>
      </c>
      <c r="N13" s="16"/>
      <c r="O13" s="11"/>
      <c r="P13" s="13"/>
      <c r="Q13" s="14">
        <f t="shared" ca="1" si="6"/>
        <v>-3450.3278075299249</v>
      </c>
      <c r="R13" s="16">
        <f t="shared" ca="1" si="4"/>
        <v>-3450.3278075299249</v>
      </c>
    </row>
    <row r="14" spans="1:20">
      <c r="A14" s="18" t="s">
        <v>78</v>
      </c>
      <c r="B14" s="11"/>
      <c r="C14" s="14"/>
      <c r="D14" s="14"/>
      <c r="E14" s="14">
        <f ca="1">-(I13+J13)-K13</f>
        <v>845.30645803698462</v>
      </c>
      <c r="F14" s="14"/>
      <c r="G14" s="14"/>
      <c r="H14" s="14"/>
      <c r="I14" s="14"/>
      <c r="J14" s="14"/>
      <c r="K14" s="13"/>
      <c r="L14" s="14">
        <f t="shared" ca="1" si="5"/>
        <v>845.30645803698462</v>
      </c>
      <c r="M14" s="16"/>
      <c r="N14" s="16"/>
      <c r="O14" s="11"/>
      <c r="P14" s="13"/>
      <c r="Q14" s="14">
        <f t="shared" ca="1" si="6"/>
        <v>845.30645803698462</v>
      </c>
      <c r="R14" s="16">
        <f t="shared" ca="1" si="4"/>
        <v>845.30645803698462</v>
      </c>
    </row>
    <row r="15" spans="1:20">
      <c r="A15" s="18" t="s">
        <v>79</v>
      </c>
      <c r="B15" s="11"/>
      <c r="C15" s="14"/>
      <c r="D15" s="14"/>
      <c r="E15" s="14">
        <f ca="1">E17-E14</f>
        <v>2605.0213494929403</v>
      </c>
      <c r="F15" s="14"/>
      <c r="G15" s="14"/>
      <c r="H15" s="14"/>
      <c r="I15" s="14"/>
      <c r="J15" s="14"/>
      <c r="K15" s="13"/>
      <c r="L15" s="14">
        <f t="shared" ca="1" si="5"/>
        <v>2605.0213494929403</v>
      </c>
      <c r="M15" s="16"/>
      <c r="N15" s="16"/>
      <c r="O15" s="11"/>
      <c r="P15" s="13"/>
      <c r="Q15" s="14">
        <f t="shared" ca="1" si="6"/>
        <v>2605.0213494929403</v>
      </c>
      <c r="R15" s="16">
        <f t="shared" ca="1" si="4"/>
        <v>2605.0213494929403</v>
      </c>
    </row>
    <row r="16" spans="1:20">
      <c r="A16" s="30" t="s">
        <v>89</v>
      </c>
      <c r="B16" s="21">
        <f ca="1">Q2</f>
        <v>16000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16000</v>
      </c>
      <c r="M16" s="19"/>
      <c r="N16" s="19"/>
      <c r="O16" s="21"/>
      <c r="P16" s="27"/>
      <c r="Q16" s="22">
        <f t="shared" ca="1" si="6"/>
        <v>16000</v>
      </c>
      <c r="R16" s="19">
        <f t="shared" ca="1" si="4"/>
        <v>16000</v>
      </c>
    </row>
    <row r="17" spans="1:18">
      <c r="A17" s="29" t="s">
        <v>88</v>
      </c>
      <c r="B17" s="9">
        <f ca="1">B16</f>
        <v>16000</v>
      </c>
      <c r="C17" s="9">
        <f ca="1">SUM(C$2:C$11)</f>
        <v>3628.9825903190094</v>
      </c>
      <c r="D17" s="9">
        <f ca="1">SUM(D$2:D$11)</f>
        <v>121.28408976552279</v>
      </c>
      <c r="E17" s="9">
        <f ca="1">$Q$5/parameters!$B$4</f>
        <v>3450.3278075299249</v>
      </c>
      <c r="F17" s="9">
        <f t="shared" ref="F17:K17" ca="1" si="7">SUM(F$2:F$11)</f>
        <v>3917.9104477611941</v>
      </c>
      <c r="G17" s="9">
        <f t="shared" ca="1" si="7"/>
        <v>1969.2163009404389</v>
      </c>
      <c r="H17" s="9">
        <f t="shared" ca="1" si="7"/>
        <v>5559.54</v>
      </c>
      <c r="I17" s="9">
        <f t="shared" ca="1" si="7"/>
        <v>822.0005225005782</v>
      </c>
      <c r="J17" s="9">
        <f t="shared" ca="1" si="7"/>
        <v>4739.499477499422</v>
      </c>
      <c r="K17" s="9">
        <f t="shared" ca="1" si="7"/>
        <v>5293.051095305832</v>
      </c>
      <c r="L17" s="17">
        <f t="shared" ca="1" si="5"/>
        <v>45501.812331621921</v>
      </c>
      <c r="M17" s="17"/>
      <c r="N17" s="17"/>
      <c r="O17" s="9"/>
      <c r="P17" s="14"/>
      <c r="Q17" s="11">
        <f t="shared" ca="1" si="6"/>
        <v>45501.812331621921</v>
      </c>
      <c r="R17" s="17">
        <f t="shared" ca="1" si="4"/>
        <v>45501.812331621921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0.96688503017276484</v>
      </c>
      <c r="J18" s="39">
        <f ca="1">I18</f>
        <v>0.96688503017276484</v>
      </c>
      <c r="K18" s="40">
        <f ca="1">1-(-K13)/K17</f>
        <v>0.87509329847030015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2024-08-12T09:08:06Z</dcterms:modified>
</cp:coreProperties>
</file>