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B92169BF-91BD-B14A-A679-936626B055CB}" xr6:coauthVersionLast="47" xr6:coauthVersionMax="47" xr10:uidLastSave="{00000000-0000-0000-0000-000000000000}"/>
  <bookViews>
    <workbookView xWindow="0" yWindow="500" windowWidth="38400" windowHeight="21100" firstSheet="7" activeTab="22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27" l="1"/>
  <c r="J18" i="27" s="1"/>
  <c r="I18" i="15"/>
  <c r="J18" i="15"/>
  <c r="I18" i="21"/>
  <c r="J18" i="21" s="1"/>
  <c r="Q4" i="49" l="1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C4" i="49"/>
  <c r="D4" i="49"/>
  <c r="C5" i="49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D3" i="49"/>
  <c r="C3" i="49"/>
  <c r="J4" i="49"/>
  <c r="J5" i="49"/>
  <c r="J6" i="49"/>
  <c r="J7" i="49"/>
  <c r="J8" i="49"/>
  <c r="J9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2" i="49"/>
  <c r="J23" i="49"/>
  <c r="J24" i="49"/>
  <c r="J25" i="49"/>
  <c r="J26" i="49"/>
  <c r="J27" i="49"/>
  <c r="J28" i="49"/>
  <c r="J29" i="49"/>
  <c r="J30" i="49"/>
  <c r="J31" i="49"/>
  <c r="J32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" i="49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Q6" i="20" a="1"/>
  <c r="P5" i="37" a="1"/>
  <c r="O5" i="17" a="1"/>
  <c r="Q10" i="41" a="1"/>
  <c r="Q7" i="22" a="1"/>
  <c r="O5" i="22" a="1"/>
  <c r="O5" i="28" a="1"/>
  <c r="Q4" i="16" a="1"/>
  <c r="Q2" i="20" a="1"/>
  <c r="Q4" i="30" a="1"/>
  <c r="O8" i="33" a="1"/>
  <c r="O3" i="15" a="1"/>
  <c r="Q9" i="28" a="1"/>
  <c r="Q10" i="27" a="1"/>
  <c r="O4" i="32" a="1"/>
  <c r="P3" i="33" a="1"/>
  <c r="O3" i="31" a="1"/>
  <c r="O5" i="31" a="1"/>
  <c r="P3" i="30" a="1"/>
  <c r="Q3" i="36" a="1"/>
  <c r="Q9" i="37" a="1"/>
  <c r="Q9" i="30" a="1"/>
  <c r="Q9" i="42" a="1"/>
  <c r="Q4" i="41" a="1"/>
  <c r="Q6" i="38" a="1"/>
  <c r="P10" i="37" a="1"/>
  <c r="O10" i="36" a="1"/>
  <c r="Q4" i="14" a="1"/>
  <c r="P3" i="15" a="1"/>
  <c r="O2" i="42" a="1"/>
  <c r="Q10" i="14" a="1"/>
  <c r="O5" i="15" a="1"/>
  <c r="Q10" i="38" a="1"/>
  <c r="P4" i="31" a="1"/>
  <c r="Q9" i="32" a="1"/>
  <c r="O3" i="36" a="1"/>
  <c r="O10" i="31" a="1"/>
  <c r="Q6" i="11" a="1"/>
  <c r="Q4" i="24" a="1"/>
  <c r="P10" i="23" a="1"/>
  <c r="O2" i="15" a="1"/>
  <c r="P10" i="24" a="1"/>
  <c r="O5" i="19" a="1"/>
  <c r="O4" i="23" a="1"/>
  <c r="Q2" i="29" a="1"/>
  <c r="P11" i="41" a="1"/>
  <c r="Q10" i="37" a="1"/>
  <c r="P5" i="33" a="1"/>
  <c r="P9" i="20" a="1"/>
  <c r="P9" i="21" a="1"/>
  <c r="O9" i="32" a="1"/>
  <c r="Q9" i="36" a="1"/>
  <c r="P8" i="17" a="1"/>
  <c r="O10" i="16" a="1"/>
  <c r="Q2" i="23" a="1"/>
  <c r="P8" i="40" a="1"/>
  <c r="Q10" i="20" a="1"/>
  <c r="P5" i="24" a="1"/>
  <c r="P10" i="36" a="1"/>
  <c r="Q9" i="41" a="1"/>
  <c r="P3" i="19" a="1"/>
  <c r="P5" i="11" a="1"/>
  <c r="O2" i="20" a="1"/>
  <c r="Q10" i="22" a="1"/>
  <c r="Q6" i="33" a="1"/>
  <c r="P5" i="29" a="1"/>
  <c r="O9" i="33" a="1"/>
  <c r="Q7" i="15" a="1"/>
  <c r="O8" i="39" a="1"/>
  <c r="P4" i="37" a="1"/>
  <c r="Q3" i="14" a="1"/>
  <c r="O5" i="20" a="1"/>
  <c r="O10" i="38" a="1"/>
  <c r="O4" i="14" a="1"/>
  <c r="Q7" i="42" a="1"/>
  <c r="O2" i="31" a="1"/>
  <c r="P5" i="16" a="1"/>
  <c r="O10" i="19" a="1"/>
  <c r="Q2" i="19" a="1"/>
  <c r="O4" i="42" a="1"/>
  <c r="Q7" i="19" a="1"/>
  <c r="P11" i="14" a="1"/>
  <c r="O11" i="40" a="1"/>
  <c r="P9" i="31" a="1"/>
  <c r="Q2" i="28" a="1"/>
  <c r="P5" i="28" a="1"/>
  <c r="O10" i="33" a="1"/>
  <c r="Q9" i="29" a="1"/>
  <c r="Q7" i="17" a="1"/>
  <c r="P3" i="38" a="1"/>
  <c r="P11" i="34" a="1"/>
  <c r="O2" i="29" a="1"/>
  <c r="Q3" i="24" a="1"/>
  <c r="O9" i="35" a="1"/>
  <c r="P4" i="28" a="1"/>
  <c r="O3" i="35" a="1"/>
  <c r="P10" i="32" a="1"/>
  <c r="P3" i="22" a="1"/>
  <c r="P5" i="19" a="1"/>
  <c r="Q7" i="16" a="1"/>
  <c r="Q2" i="40" a="1"/>
  <c r="P8" i="36" a="1"/>
  <c r="Q3" i="39" a="1"/>
  <c r="P4" i="15" a="1"/>
  <c r="O5" i="42" a="1"/>
  <c r="P10" i="27" a="1"/>
  <c r="P11" i="37" a="1"/>
  <c r="Q6" i="17" a="1"/>
  <c r="O8" i="24" a="1"/>
  <c r="Q9" i="31" a="1"/>
  <c r="Q4" i="40" a="1"/>
  <c r="Q9" i="38" a="1"/>
  <c r="Q10" i="26" a="1"/>
  <c r="P10" i="21" a="1"/>
  <c r="P4" i="18" a="1"/>
  <c r="P3" i="23" a="1"/>
  <c r="Q3" i="35" a="1"/>
  <c r="P11" i="15" a="1"/>
  <c r="O10" i="23" a="1"/>
  <c r="O8" i="34" a="1"/>
  <c r="Q6" i="41" a="1"/>
  <c r="Q2" i="33" a="1"/>
  <c r="P11" i="28" a="1"/>
  <c r="P9" i="16" a="1"/>
  <c r="P8" i="15" a="1"/>
  <c r="O8" i="40" a="1"/>
  <c r="P3" i="11" a="1"/>
  <c r="O4" i="35" a="1"/>
  <c r="P4" i="11" a="1"/>
  <c r="P9" i="17" a="1"/>
  <c r="O9" i="28" a="1"/>
  <c r="P9" i="41" a="1"/>
  <c r="O9" i="20" a="1"/>
  <c r="O8" i="29" a="1"/>
  <c r="O11" i="33" a="1"/>
  <c r="P3" i="41" a="1"/>
  <c r="O10" i="32" a="1"/>
  <c r="Q2" i="17" a="1"/>
  <c r="O2" i="26" a="1"/>
  <c r="O5" i="16" a="1"/>
  <c r="P11" i="38" a="1"/>
  <c r="P9" i="29" a="1"/>
  <c r="Q4" i="32" a="1"/>
  <c r="Q2" i="24" a="1"/>
  <c r="Q3" i="18" a="1"/>
  <c r="Q7" i="31" a="1"/>
  <c r="O2" i="36" a="1"/>
  <c r="Q6" i="15" a="1"/>
  <c r="O2" i="34" a="1"/>
  <c r="Q2" i="42" a="1"/>
  <c r="Q10" i="31" a="1"/>
  <c r="Q3" i="17" a="1"/>
  <c r="P5" i="35" a="1"/>
  <c r="Q7" i="33" a="1"/>
  <c r="O4" i="43" a="1"/>
  <c r="O4" i="33" a="1"/>
  <c r="O11" i="31" a="1"/>
  <c r="O3" i="28" a="1"/>
  <c r="Q10" i="24" a="1"/>
  <c r="Q6" i="39" a="1"/>
  <c r="Q2" i="11" a="1"/>
  <c r="P3" i="32" a="1"/>
  <c r="O11" i="39" a="1"/>
  <c r="O9" i="15" a="1"/>
  <c r="O9" i="22" a="1"/>
  <c r="P5" i="43" a="1"/>
  <c r="Q3" i="22" a="1"/>
  <c r="Q3" i="40" a="1"/>
  <c r="O9" i="17" a="1"/>
  <c r="O4" i="26" a="1"/>
  <c r="Q4" i="20" a="1"/>
  <c r="O8" i="23" a="1"/>
  <c r="P3" i="18" a="1"/>
  <c r="O9" i="38" a="1"/>
  <c r="P3" i="24" a="1"/>
  <c r="P11" i="36" a="1"/>
  <c r="O4" i="41" a="1"/>
  <c r="P10" i="39" a="1"/>
  <c r="P8" i="16" a="1"/>
  <c r="P5" i="20" a="1"/>
  <c r="Q6" i="35" a="1"/>
  <c r="O4" i="18" a="1"/>
  <c r="P9" i="40" a="1"/>
  <c r="Q7" i="30" a="1"/>
  <c r="Q6" i="21" a="1"/>
  <c r="O3" i="16" a="1"/>
  <c r="O8" i="27" a="1"/>
  <c r="O3" i="19" a="1"/>
  <c r="P5" i="17" a="1"/>
  <c r="P8" i="37" a="1"/>
  <c r="Q4" i="17" a="1"/>
  <c r="P8" i="20" a="1"/>
  <c r="P9" i="14" a="1"/>
  <c r="O2" i="28" a="1"/>
  <c r="O10" i="22" a="1"/>
  <c r="O3" i="17" a="1"/>
  <c r="O3" i="29" a="1"/>
  <c r="P9" i="26" a="1"/>
  <c r="Q6" i="29" a="1"/>
  <c r="O8" i="38" a="1"/>
  <c r="O10" i="40" a="1"/>
  <c r="O5" i="23" a="1"/>
  <c r="O2" i="41" a="1"/>
  <c r="O5" i="41" a="1"/>
  <c r="Q6" i="31" a="1"/>
  <c r="O4" i="40" a="1"/>
  <c r="O2" i="19" a="1"/>
  <c r="P8" i="31" a="1"/>
  <c r="O11" i="37" a="1"/>
  <c r="Q10" i="43" a="1"/>
  <c r="Q4" i="28" a="1"/>
  <c r="O4" i="22" a="1"/>
  <c r="Q3" i="27" a="1"/>
  <c r="O9" i="26" a="1"/>
  <c r="P3" i="26" a="1"/>
  <c r="Q2" i="36" a="1"/>
  <c r="Q2" i="38" a="1"/>
  <c r="P8" i="11" a="1"/>
  <c r="P8" i="27" a="1"/>
  <c r="O2" i="14" a="1"/>
  <c r="Q4" i="22" a="1"/>
  <c r="O2" i="33" a="1"/>
  <c r="Q3" i="41" a="1"/>
  <c r="P8" i="29" a="1"/>
  <c r="O11" i="38" a="1"/>
  <c r="P9" i="38" a="1"/>
  <c r="O3" i="11" a="1"/>
  <c r="P4" i="33" a="1"/>
  <c r="P11" i="33" a="1"/>
  <c r="Q10" i="33" a="1"/>
  <c r="Q4" i="11" a="1"/>
  <c r="O9" i="24" a="1"/>
  <c r="P5" i="22" a="1"/>
  <c r="O4" i="28" a="1"/>
  <c r="O4" i="39" a="1"/>
  <c r="P9" i="19" a="1"/>
  <c r="O2" i="18" a="1"/>
  <c r="Q9" i="15" a="1"/>
  <c r="P9" i="30" a="1"/>
  <c r="P10" i="22" a="1"/>
  <c r="Q6" i="27" a="1"/>
  <c r="O9" i="39" a="1"/>
  <c r="P4" i="39" a="1"/>
  <c r="Q10" i="29" a="1"/>
  <c r="Q4" i="26" a="1"/>
  <c r="O4" i="30" a="1"/>
  <c r="P9" i="18" a="1"/>
  <c r="P5" i="21" a="1"/>
  <c r="O11" i="26" a="1"/>
  <c r="O8" i="37" a="1"/>
  <c r="P8" i="41" a="1"/>
  <c r="P4" i="21" a="1"/>
  <c r="P8" i="34" a="1"/>
  <c r="O4" i="21" a="1"/>
  <c r="P11" i="29" a="1"/>
  <c r="O4" i="31" a="1"/>
  <c r="O11" i="18" a="1"/>
  <c r="O5" i="35" a="1"/>
  <c r="Q7" i="14" a="1"/>
  <c r="P4" i="22" a="1"/>
  <c r="O9" i="16" a="1"/>
  <c r="O10" i="21" a="1"/>
  <c r="P11" i="17" a="1"/>
  <c r="P5" i="26" a="1"/>
  <c r="Q10" i="42" a="1"/>
  <c r="O11" i="27" a="1"/>
  <c r="O3" i="21" a="1"/>
  <c r="Q4" i="19" a="1"/>
  <c r="P9" i="36" a="1"/>
  <c r="Q6" i="18" a="1"/>
  <c r="Q2" i="37" a="1"/>
  <c r="O3" i="43" a="1"/>
  <c r="Q3" i="33" a="1"/>
  <c r="Q3" i="32" a="1"/>
  <c r="Q7" i="26" a="1"/>
  <c r="P9" i="24" a="1"/>
  <c r="P4" i="32" a="1"/>
  <c r="Q10" i="28" a="1"/>
  <c r="O11" i="36" a="1"/>
  <c r="P8" i="19" a="1"/>
  <c r="Q3" i="30" a="1"/>
  <c r="O3" i="26" a="1"/>
  <c r="O8" i="15" a="1"/>
  <c r="Q3" i="29" a="1"/>
  <c r="P10" i="35" a="1"/>
  <c r="O5" i="26" a="1"/>
  <c r="P8" i="22" a="1"/>
  <c r="O9" i="14" a="1"/>
  <c r="P3" i="14" a="1"/>
  <c r="P4" i="38" a="1"/>
  <c r="O8" i="16" a="1"/>
  <c r="Q4" i="18" a="1"/>
  <c r="Q2" i="21" a="1"/>
  <c r="O5" i="40" a="1"/>
  <c r="O5" i="29" a="1"/>
  <c r="P4" i="30" a="1"/>
  <c r="P3" i="31" a="1"/>
  <c r="P3" i="21" a="1"/>
  <c r="Q4" i="42" a="1"/>
  <c r="O10" i="27" a="1"/>
  <c r="O11" i="41" a="1"/>
  <c r="O2" i="16" a="1"/>
  <c r="Q10" i="39" a="1"/>
  <c r="Q10" i="34" a="1"/>
  <c r="O4" i="38" a="1"/>
  <c r="O5" i="21" a="1"/>
  <c r="O2" i="21" a="1"/>
  <c r="Q3" i="19" a="1"/>
  <c r="P3" i="16" a="1"/>
  <c r="Q7" i="29" a="1"/>
  <c r="P10" i="41" a="1"/>
  <c r="P10" i="43" a="1"/>
  <c r="O8" i="42" a="1"/>
  <c r="Q3" i="31" a="1"/>
  <c r="Q6" i="22" a="1"/>
  <c r="P4" i="27" a="1"/>
  <c r="O8" i="20" a="1"/>
  <c r="O5" i="43" a="1"/>
  <c r="O5" i="39" a="1"/>
  <c r="Q3" i="23" a="1"/>
  <c r="O11" i="22" a="1"/>
  <c r="O5" i="34" a="1"/>
  <c r="P5" i="41" a="1"/>
  <c r="Q2" i="16" a="1"/>
  <c r="P11" i="11" a="1"/>
  <c r="O8" i="26" a="1"/>
  <c r="P9" i="23" a="1"/>
  <c r="Q7" i="38" a="1"/>
  <c r="O10" i="17" a="1"/>
  <c r="Q9" i="19" a="1"/>
  <c r="Q3" i="38" a="1"/>
  <c r="P5" i="32" a="1"/>
  <c r="Q2" i="27" a="1"/>
  <c r="Q7" i="35" a="1"/>
  <c r="Q3" i="15" a="1"/>
  <c r="O2" i="39" a="1"/>
  <c r="O5" i="14" a="1"/>
  <c r="Q9" i="34" a="1"/>
  <c r="P11" i="22" a="1"/>
  <c r="O9" i="18" a="1"/>
  <c r="O2" i="37" a="1"/>
  <c r="Q6" i="16" a="1"/>
  <c r="O4" i="29" a="1"/>
  <c r="O8" i="35" a="1"/>
  <c r="O3" i="14" a="1"/>
  <c r="O3" i="38" a="1"/>
  <c r="Q7" i="36" a="1"/>
  <c r="P4" i="40" a="1"/>
  <c r="Q6" i="26" a="1"/>
  <c r="O4" i="11" a="1"/>
  <c r="O8" i="21" a="1"/>
  <c r="P11" i="18" a="1"/>
  <c r="P4" i="17" a="1"/>
  <c r="O11" i="14" a="1"/>
  <c r="O11" i="43" a="1"/>
  <c r="P8" i="18" a="1"/>
  <c r="Q3" i="42" a="1"/>
  <c r="P9" i="35" a="1"/>
  <c r="O4" i="24" a="1"/>
  <c r="P5" i="27" a="1"/>
  <c r="P4" i="34" a="1"/>
  <c r="P11" i="19" a="1"/>
  <c r="Q7" i="21" a="1"/>
  <c r="P3" i="29" a="1"/>
  <c r="Q10" i="23" a="1"/>
  <c r="Q4" i="38" a="1"/>
  <c r="Q9" i="23" a="1"/>
  <c r="P11" i="20" a="1"/>
  <c r="P3" i="34" a="1"/>
  <c r="P3" i="39" a="1"/>
  <c r="P9" i="15" a="1"/>
  <c r="O3" i="34" a="1"/>
  <c r="P4" i="14" a="1"/>
  <c r="Q10" i="19" a="1"/>
  <c r="P5" i="15" a="1"/>
  <c r="O10" i="35" a="1"/>
  <c r="O10" i="39" a="1"/>
  <c r="Q9" i="21" a="1"/>
  <c r="P10" i="29" a="1"/>
  <c r="Q9" i="22" a="1"/>
  <c r="O8" i="43" a="1"/>
  <c r="Q7" i="39" a="1"/>
  <c r="O5" i="18" a="1"/>
  <c r="O8" i="14" a="1"/>
  <c r="Q6" i="37" a="1"/>
  <c r="P11" i="27" a="1"/>
  <c r="O8" i="19" a="1"/>
  <c r="O3" i="23" a="1"/>
  <c r="O3" i="24" a="1"/>
  <c r="O11" i="42" a="1"/>
  <c r="O11" i="29" a="1"/>
  <c r="Q4" i="31" a="1"/>
  <c r="P8" i="33" a="1"/>
  <c r="Q6" i="14" a="1"/>
  <c r="O10" i="15" a="1"/>
  <c r="P11" i="16" a="1"/>
  <c r="O5" i="37" a="1"/>
  <c r="O5" i="38" a="1"/>
  <c r="Q3" i="16" a="1"/>
  <c r="O9" i="30" a="1"/>
  <c r="O2" i="38" a="1"/>
  <c r="O8" i="28" a="1"/>
  <c r="Q9" i="43" a="1"/>
  <c r="Q10" i="11" a="1"/>
  <c r="O8" i="17" a="1"/>
  <c r="Q7" i="32" a="1"/>
  <c r="P11" i="40" a="1"/>
  <c r="O11" i="11" a="1"/>
  <c r="O11" i="16" a="1"/>
  <c r="Q9" i="35" a="1"/>
  <c r="O2" i="35" a="1"/>
  <c r="P4" i="26" a="1"/>
  <c r="P8" i="28" a="1"/>
  <c r="O8" i="30" a="1"/>
  <c r="P8" i="43" a="1"/>
  <c r="P5" i="38" a="1"/>
  <c r="P3" i="40" a="1"/>
  <c r="P9" i="11" a="1"/>
  <c r="O9" i="41" a="1"/>
  <c r="O8" i="36" a="1"/>
  <c r="P8" i="21" a="1"/>
  <c r="Q4" i="39" a="1"/>
  <c r="O9" i="43" a="1"/>
  <c r="Q4" i="23" a="1"/>
  <c r="O11" i="34" a="1"/>
  <c r="O2" i="24" a="1"/>
  <c r="P11" i="23" a="1"/>
  <c r="P3" i="36" a="1"/>
  <c r="O3" i="22" a="1"/>
  <c r="O3" i="39" a="1"/>
  <c r="P10" i="26" a="1"/>
  <c r="Q2" i="43" a="1"/>
  <c r="P10" i="34" a="1"/>
  <c r="Q6" i="30" a="1"/>
  <c r="Q2" i="14" a="1"/>
  <c r="O4" i="17" a="1"/>
  <c r="Q2" i="39" a="1"/>
  <c r="Q4" i="36" a="1"/>
  <c r="Q9" i="18" a="1"/>
  <c r="Q4" i="37" a="1"/>
  <c r="O9" i="36" a="1"/>
  <c r="Q10" i="18" a="1"/>
  <c r="O2" i="40" a="1"/>
  <c r="O11" i="30" a="1"/>
  <c r="O3" i="32" a="1"/>
  <c r="Q6" i="34" a="1"/>
  <c r="P8" i="32" a="1"/>
  <c r="O2" i="32" a="1"/>
  <c r="P10" i="14" a="1"/>
  <c r="O8" i="31" a="1"/>
  <c r="Q6" i="24" a="1"/>
  <c r="Q2" i="15" a="1"/>
  <c r="Q7" i="24" a="1"/>
  <c r="O2" i="22" a="1"/>
  <c r="P10" i="16" a="1"/>
  <c r="P9" i="33" a="1"/>
  <c r="Q4" i="35" a="1"/>
  <c r="O2" i="17" a="1"/>
  <c r="P4" i="36" a="1"/>
  <c r="P5" i="30" a="1"/>
  <c r="Q3" i="43" a="1"/>
  <c r="O11" i="23" a="1"/>
  <c r="P5" i="36" a="1"/>
  <c r="Q3" i="11" a="1"/>
  <c r="Q6" i="23" a="1"/>
  <c r="Q7" i="37" a="1"/>
  <c r="O10" i="30" a="1"/>
  <c r="P11" i="30" a="1"/>
  <c r="O11" i="20" a="1"/>
  <c r="P10" i="11" a="1"/>
  <c r="Q10" i="16" a="1"/>
  <c r="P3" i="27" a="1"/>
  <c r="Q2" i="32" a="1"/>
  <c r="P9" i="27" a="1"/>
  <c r="P8" i="26" a="1"/>
  <c r="Q4" i="33" a="1"/>
  <c r="Q4" i="43" a="1"/>
  <c r="Q9" i="14" a="1"/>
  <c r="Q9" i="20" a="1"/>
  <c r="Q6" i="43" a="1"/>
  <c r="P10" i="30" a="1"/>
  <c r="O8" i="41" a="1"/>
  <c r="P8" i="42" a="1"/>
  <c r="P9" i="34" a="1"/>
  <c r="O9" i="40" a="1"/>
  <c r="P4" i="23" a="1"/>
  <c r="P5" i="40" a="1"/>
  <c r="P11" i="32" a="1"/>
  <c r="P5" i="31" a="1"/>
  <c r="Q9" i="27" a="1"/>
  <c r="P8" i="23" a="1"/>
  <c r="O2" i="23" a="1"/>
  <c r="Q7" i="28" a="1"/>
  <c r="O10" i="20" a="1"/>
  <c r="Q10" i="32" a="1"/>
  <c r="O3" i="27" a="1"/>
  <c r="O11" i="32" a="1"/>
  <c r="O9" i="34" a="1"/>
  <c r="P3" i="43" a="1"/>
  <c r="Q6" i="36" a="1"/>
  <c r="P10" i="19" a="1"/>
  <c r="O5" i="33" a="1"/>
  <c r="O3" i="30" a="1"/>
  <c r="P5" i="34" a="1"/>
  <c r="O5" i="32" a="1"/>
  <c r="P4" i="41" a="1"/>
  <c r="O5" i="27" a="1"/>
  <c r="P11" i="43" a="1"/>
  <c r="O11" i="28" a="1"/>
  <c r="Q3" i="26" a="1"/>
  <c r="O10" i="43" a="1"/>
  <c r="Q6" i="40" a="1"/>
  <c r="O8" i="22" a="1"/>
  <c r="O5" i="36" a="1"/>
  <c r="P5" i="14" a="1"/>
  <c r="Q9" i="33" a="1"/>
  <c r="O11" i="21" a="1"/>
  <c r="P9" i="37" a="1"/>
  <c r="O10" i="41" a="1"/>
  <c r="O10" i="26" a="1"/>
  <c r="Q10" i="21" a="1"/>
  <c r="O3" i="41" a="1"/>
  <c r="O10" i="11" a="1"/>
  <c r="P4" i="29" a="1"/>
  <c r="O10" i="14" a="1"/>
  <c r="Q4" i="34" a="1"/>
  <c r="P9" i="39" a="1"/>
  <c r="Q7" i="34" a="1"/>
  <c r="Q9" i="40" a="1"/>
  <c r="O9" i="21" a="1"/>
  <c r="O9" i="31" a="1"/>
  <c r="O4" i="19" a="1"/>
  <c r="O11" i="15" a="1"/>
  <c r="P3" i="42" a="1"/>
  <c r="Q9" i="16" a="1"/>
  <c r="O11" i="19" a="1"/>
  <c r="O4" i="16" a="1"/>
  <c r="Q10" i="35" a="1"/>
  <c r="O9" i="42" a="1"/>
  <c r="Q3" i="37" a="1"/>
  <c r="Q10" i="36" a="1"/>
  <c r="O2" i="11" a="1"/>
  <c r="P11" i="39" a="1"/>
  <c r="Q9" i="24" a="1"/>
  <c r="O9" i="23" a="1"/>
  <c r="P11" i="24" a="1"/>
  <c r="Q7" i="20" a="1"/>
  <c r="P10" i="40" a="1"/>
  <c r="O9" i="19" a="1"/>
  <c r="Q3" i="28" a="1"/>
  <c r="Q3" i="34" a="1"/>
  <c r="O4" i="27" a="1"/>
  <c r="Q7" i="11" a="1"/>
  <c r="P10" i="42" a="1"/>
  <c r="P9" i="42" a="1"/>
  <c r="O10" i="18" a="1"/>
  <c r="P9" i="28" a="1"/>
  <c r="Q3" i="20" a="1"/>
  <c r="O10" i="42" a="1"/>
  <c r="Q2" i="34" a="1"/>
  <c r="O5" i="11" a="1"/>
  <c r="Q2" i="31" a="1"/>
  <c r="P4" i="35" a="1"/>
  <c r="O3" i="20" a="1"/>
  <c r="Q7" i="40" a="1"/>
  <c r="O2" i="30" a="1"/>
  <c r="P8" i="30" a="1"/>
  <c r="Q4" i="29" a="1"/>
  <c r="P10" i="31" a="1"/>
  <c r="O10" i="24" a="1"/>
  <c r="O10" i="28" a="1"/>
  <c r="P8" i="24" a="1"/>
  <c r="P4" i="20" a="1"/>
  <c r="O11" i="24" a="1"/>
  <c r="O10" i="34" a="1"/>
  <c r="P3" i="35" a="1"/>
  <c r="O10" i="29" a="1"/>
  <c r="O9" i="37" a="1"/>
  <c r="P3" i="28" a="1"/>
  <c r="O3" i="37" a="1"/>
  <c r="Q9" i="17" a="1"/>
  <c r="O11" i="35" a="1"/>
  <c r="P11" i="42" a="1"/>
  <c r="O3" i="33" a="1"/>
  <c r="Q2" i="22" a="1"/>
  <c r="Q6" i="28" a="1"/>
  <c r="O4" i="20" a="1"/>
  <c r="O8" i="18" a="1"/>
  <c r="P4" i="24" a="1"/>
  <c r="Q2" i="26" a="1"/>
  <c r="P10" i="20" a="1"/>
  <c r="Q10" i="40" a="1"/>
  <c r="O4" i="34" a="1"/>
  <c r="P9" i="32" a="1"/>
  <c r="P10" i="28" a="1"/>
  <c r="P4" i="43" a="1"/>
  <c r="P11" i="26" a="1"/>
  <c r="Q2" i="35" a="1"/>
  <c r="O5" i="24" a="1"/>
  <c r="P8" i="35" a="1"/>
  <c r="Q7" i="23" a="1"/>
  <c r="O8" i="32" a="1"/>
  <c r="Q4" i="27" a="1"/>
  <c r="O9" i="11" a="1"/>
  <c r="Q6" i="32" a="1"/>
  <c r="Q3" i="21" a="1"/>
  <c r="P10" i="17" a="1"/>
  <c r="O4" i="15" a="1"/>
  <c r="O2" i="27" a="1"/>
  <c r="O8" i="11" a="1"/>
  <c r="P10" i="15" a="1"/>
  <c r="Q7" i="18" a="1"/>
  <c r="P11" i="35" a="1"/>
  <c r="O4" i="36" a="1"/>
  <c r="P8" i="14" a="1"/>
  <c r="Q6" i="42" a="1"/>
  <c r="Q10" i="30" a="1"/>
  <c r="O3" i="18" a="1"/>
  <c r="Q4" i="21" a="1"/>
  <c r="Q2" i="18" a="1"/>
  <c r="P9" i="43" a="1"/>
  <c r="P8" i="39" a="1"/>
  <c r="Q9" i="26" a="1"/>
  <c r="O2" i="43" a="1"/>
  <c r="P5" i="42" a="1"/>
  <c r="P11" i="21" a="1"/>
  <c r="Q2" i="30" a="1"/>
  <c r="P3" i="20" a="1"/>
  <c r="P4" i="16" a="1"/>
  <c r="Q10" i="15" a="1"/>
  <c r="P4" i="19" a="1"/>
  <c r="P11" i="31" a="1"/>
  <c r="P10" i="18" a="1"/>
  <c r="Q2" i="41" a="1"/>
  <c r="Q7" i="43" a="1"/>
  <c r="Q7" i="27" a="1"/>
  <c r="Q10" i="17" a="1"/>
  <c r="O9" i="29" a="1"/>
  <c r="P3" i="17" a="1"/>
  <c r="O10" i="37" a="1"/>
  <c r="O3" i="40" a="1"/>
  <c r="P8" i="38" a="1"/>
  <c r="Q7" i="41" a="1"/>
  <c r="P4" i="42" a="1"/>
  <c r="O3" i="42" a="1"/>
  <c r="P5" i="23" a="1"/>
  <c r="P5" i="18" a="1"/>
  <c r="P10" i="33" a="1"/>
  <c r="O4" i="37" a="1"/>
  <c r="P10" i="38" a="1"/>
  <c r="Q9" i="39" a="1"/>
  <c r="O5" i="30" a="1"/>
  <c r="Q9" i="11" a="1"/>
  <c r="O11" i="17" a="1"/>
  <c r="P3" i="37" a="1"/>
  <c r="Q6" i="19" a="1"/>
  <c r="Q4" i="15" a="1"/>
  <c r="P5" i="39" a="1"/>
  <c r="P9" i="22" a="1"/>
  <c r="O9" i="27" a="1"/>
  <c r="Q6" i="19" l="1"/>
  <c r="Q6" i="35"/>
  <c r="Q6" i="26"/>
  <c r="Q6" i="43"/>
  <c r="Q6" i="34"/>
  <c r="Q6" i="15"/>
  <c r="Q6" i="42"/>
  <c r="Q6" i="33"/>
  <c r="Q6" i="14"/>
  <c r="F5" i="14" s="1"/>
  <c r="Q6" i="41"/>
  <c r="Q6" i="18"/>
  <c r="Q6" i="24"/>
  <c r="Q6" i="40"/>
  <c r="Q6" i="32"/>
  <c r="Q6" i="23"/>
  <c r="Q6" i="16"/>
  <c r="F5" i="16" s="1"/>
  <c r="Q6" i="31"/>
  <c r="Q6" i="22"/>
  <c r="Q6" i="39"/>
  <c r="F5" i="39" s="1"/>
  <c r="Q6" i="30"/>
  <c r="Q6" i="21"/>
  <c r="F5" i="21" s="1"/>
  <c r="Q6" i="38"/>
  <c r="Q6" i="29"/>
  <c r="Q6" i="11"/>
  <c r="F5" i="11" s="1"/>
  <c r="Q6" i="37"/>
  <c r="Q6" i="28"/>
  <c r="Q6" i="17"/>
  <c r="F5" i="17" s="1"/>
  <c r="Q6" i="36"/>
  <c r="F5" i="36" s="1"/>
  <c r="Q6" i="27"/>
  <c r="F5" i="27" s="1"/>
  <c r="Q6" i="20"/>
  <c r="P10" i="42"/>
  <c r="O4" i="41"/>
  <c r="P10" i="40"/>
  <c r="O4" i="16"/>
  <c r="O10" i="16"/>
  <c r="O3" i="38"/>
  <c r="O10" i="38"/>
  <c r="O2" i="35"/>
  <c r="P9" i="34"/>
  <c r="Q3" i="38"/>
  <c r="P10" i="38"/>
  <c r="O8" i="37"/>
  <c r="Q10" i="35"/>
  <c r="P10" i="34"/>
  <c r="Q2" i="43"/>
  <c r="O9" i="43"/>
  <c r="Q2" i="42"/>
  <c r="Q10" i="42"/>
  <c r="P4" i="41"/>
  <c r="O9" i="41"/>
  <c r="Q2" i="40"/>
  <c r="Q10" i="40"/>
  <c r="Q4" i="16"/>
  <c r="P10" i="16"/>
  <c r="O3" i="20"/>
  <c r="O11" i="20"/>
  <c r="Q4" i="43"/>
  <c r="P9" i="43"/>
  <c r="O3" i="42"/>
  <c r="O11" i="42"/>
  <c r="Q4" i="41"/>
  <c r="P9" i="41"/>
  <c r="O3" i="40"/>
  <c r="O11" i="40"/>
  <c r="P5" i="16"/>
  <c r="O11" i="16"/>
  <c r="O4" i="38"/>
  <c r="O11" i="38"/>
  <c r="O9" i="37"/>
  <c r="P11" i="35"/>
  <c r="Q10" i="33"/>
  <c r="P3" i="32"/>
  <c r="P5" i="43"/>
  <c r="O10" i="43"/>
  <c r="Q3" i="42"/>
  <c r="P5" i="41"/>
  <c r="O10" i="41"/>
  <c r="Q3" i="40"/>
  <c r="Q4" i="38"/>
  <c r="O2" i="37"/>
  <c r="P9" i="37"/>
  <c r="O4" i="35"/>
  <c r="P11" i="33"/>
  <c r="O4" i="20"/>
  <c r="Q10" i="43"/>
  <c r="P4" i="42"/>
  <c r="P10" i="20"/>
  <c r="O4" i="43"/>
  <c r="Q2" i="20"/>
  <c r="Q10" i="20"/>
  <c r="P4" i="43"/>
  <c r="Q3" i="20"/>
  <c r="P8" i="20"/>
  <c r="O2" i="43"/>
  <c r="P8" i="42"/>
  <c r="O2" i="41"/>
  <c r="P8" i="40"/>
  <c r="O2" i="16"/>
  <c r="P9" i="39"/>
  <c r="P5" i="38"/>
  <c r="P4" i="35"/>
  <c r="O3" i="33"/>
  <c r="P10" i="41"/>
  <c r="O4" i="40"/>
  <c r="O3" i="39"/>
  <c r="O10" i="39"/>
  <c r="P8" i="36"/>
  <c r="O5" i="35"/>
  <c r="P4" i="34"/>
  <c r="P3" i="33"/>
  <c r="O4" i="37"/>
  <c r="Q4" i="18"/>
  <c r="Q4" i="34"/>
  <c r="D2" i="34" s="1"/>
  <c r="D17" i="34" s="1"/>
  <c r="D12" i="34" s="1"/>
  <c r="D18" i="34" s="1"/>
  <c r="Q4" i="20"/>
  <c r="P9" i="20"/>
  <c r="O3" i="43"/>
  <c r="O11" i="43"/>
  <c r="Q4" i="42"/>
  <c r="P9" i="42"/>
  <c r="O3" i="41"/>
  <c r="O11" i="41"/>
  <c r="Q4" i="40"/>
  <c r="P9" i="40"/>
  <c r="O3" i="16"/>
  <c r="P8" i="16"/>
  <c r="O4" i="39"/>
  <c r="O11" i="39"/>
  <c r="P4" i="37"/>
  <c r="O9" i="20"/>
  <c r="Q10" i="41"/>
  <c r="P4" i="40"/>
  <c r="O9" i="40"/>
  <c r="Q2" i="16"/>
  <c r="Q3" i="39"/>
  <c r="P10" i="39"/>
  <c r="P5" i="20"/>
  <c r="O10" i="20"/>
  <c r="Q3" i="43"/>
  <c r="P5" i="42"/>
  <c r="O10" i="42"/>
  <c r="Q3" i="41"/>
  <c r="P5" i="40"/>
  <c r="O10" i="40"/>
  <c r="Q3" i="16"/>
  <c r="Q4" i="39"/>
  <c r="O5" i="37"/>
  <c r="O3" i="36"/>
  <c r="P10" i="36"/>
  <c r="O8" i="35"/>
  <c r="Q7" i="34"/>
  <c r="O8" i="18"/>
  <c r="Q4" i="31"/>
  <c r="P10" i="43"/>
  <c r="O4" i="42"/>
  <c r="P4" i="20"/>
  <c r="O9" i="42"/>
  <c r="Q2" i="41"/>
  <c r="O2" i="20"/>
  <c r="P8" i="43"/>
  <c r="O2" i="42"/>
  <c r="P8" i="41"/>
  <c r="O2" i="40"/>
  <c r="P9" i="16"/>
  <c r="P5" i="39"/>
  <c r="P9" i="38"/>
  <c r="P3" i="36"/>
  <c r="O11" i="36"/>
  <c r="O8" i="34"/>
  <c r="P9" i="18"/>
  <c r="O8" i="31"/>
  <c r="Q10" i="32"/>
  <c r="P9" i="31"/>
  <c r="Q7" i="20"/>
  <c r="O8" i="20"/>
  <c r="O8" i="43"/>
  <c r="O8" i="42"/>
  <c r="O8" i="41"/>
  <c r="O8" i="40"/>
  <c r="O8" i="16"/>
  <c r="O8" i="39"/>
  <c r="O8" i="38"/>
  <c r="Q10" i="37"/>
  <c r="Q4" i="36"/>
  <c r="Q7" i="36"/>
  <c r="Q9" i="36"/>
  <c r="O9" i="35"/>
  <c r="O4" i="34"/>
  <c r="O5" i="33"/>
  <c r="O9" i="33"/>
  <c r="O4" i="18"/>
  <c r="O5" i="32"/>
  <c r="O9" i="32"/>
  <c r="O4" i="31"/>
  <c r="O5" i="30"/>
  <c r="O9" i="30"/>
  <c r="P10" i="29"/>
  <c r="O4" i="28"/>
  <c r="Q2" i="27"/>
  <c r="Q7" i="27"/>
  <c r="P4" i="18"/>
  <c r="Q7" i="18"/>
  <c r="P10" i="18"/>
  <c r="O3" i="32"/>
  <c r="P11" i="32"/>
  <c r="P4" i="31"/>
  <c r="Q7" i="31"/>
  <c r="P10" i="31"/>
  <c r="O3" i="30"/>
  <c r="Q2" i="29"/>
  <c r="Q10" i="29"/>
  <c r="P4" i="28"/>
  <c r="O9" i="28"/>
  <c r="O4" i="26"/>
  <c r="O2" i="39"/>
  <c r="P8" i="39"/>
  <c r="O2" i="38"/>
  <c r="P8" i="38"/>
  <c r="O11" i="37"/>
  <c r="O5" i="36"/>
  <c r="O8" i="36"/>
  <c r="P9" i="35"/>
  <c r="Q10" i="34"/>
  <c r="P9" i="33"/>
  <c r="Q10" i="18"/>
  <c r="P9" i="32"/>
  <c r="Q10" i="31"/>
  <c r="P9" i="30"/>
  <c r="O9" i="27"/>
  <c r="P4" i="26"/>
  <c r="P3" i="30"/>
  <c r="O3" i="29"/>
  <c r="O11" i="29"/>
  <c r="Q4" i="28"/>
  <c r="P9" i="28"/>
  <c r="O4" i="27"/>
  <c r="Q2" i="37"/>
  <c r="P11" i="37"/>
  <c r="Q2" i="35"/>
  <c r="B16" i="35" s="1"/>
  <c r="B17" i="35" s="1"/>
  <c r="B12" i="35" s="1"/>
  <c r="B18" i="35" s="1"/>
  <c r="Q9" i="35"/>
  <c r="Q2" i="34"/>
  <c r="B16" i="34" s="1"/>
  <c r="B17" i="34" s="1"/>
  <c r="B12" i="34" s="1"/>
  <c r="B18" i="34" s="1"/>
  <c r="O11" i="34"/>
  <c r="Q9" i="33"/>
  <c r="Q2" i="18"/>
  <c r="B16" i="18" s="1"/>
  <c r="B17" i="18" s="1"/>
  <c r="B12" i="18" s="1"/>
  <c r="B18" i="18" s="1"/>
  <c r="O11" i="18"/>
  <c r="Q9" i="32"/>
  <c r="Q2" i="31"/>
  <c r="O11" i="31"/>
  <c r="Q7" i="29"/>
  <c r="P4" i="27"/>
  <c r="O9" i="38"/>
  <c r="Q10" i="36"/>
  <c r="Q4" i="35"/>
  <c r="D2" i="35" s="1"/>
  <c r="D17" i="35" s="1"/>
  <c r="D12" i="35" s="1"/>
  <c r="D18" i="35" s="1"/>
  <c r="Q7" i="35"/>
  <c r="O5" i="34"/>
  <c r="O9" i="34"/>
  <c r="O4" i="33"/>
  <c r="O5" i="18"/>
  <c r="O9" i="18"/>
  <c r="O4" i="32"/>
  <c r="O5" i="31"/>
  <c r="O9" i="31"/>
  <c r="O4" i="30"/>
  <c r="P10" i="30"/>
  <c r="O4" i="29"/>
  <c r="P10" i="28"/>
  <c r="P10" i="27"/>
  <c r="P4" i="16"/>
  <c r="O9" i="16"/>
  <c r="Q10" i="16"/>
  <c r="Q2" i="39"/>
  <c r="P4" i="39"/>
  <c r="O9" i="39"/>
  <c r="Q10" i="39"/>
  <c r="Q2" i="38"/>
  <c r="P4" i="38"/>
  <c r="Q10" i="38"/>
  <c r="Q4" i="37"/>
  <c r="Q7" i="37"/>
  <c r="Q9" i="37"/>
  <c r="O3" i="37"/>
  <c r="O2" i="36"/>
  <c r="O4" i="36"/>
  <c r="O9" i="36"/>
  <c r="O3" i="35"/>
  <c r="P10" i="35"/>
  <c r="O3" i="34"/>
  <c r="P11" i="34"/>
  <c r="P4" i="33"/>
  <c r="Q7" i="33"/>
  <c r="P10" i="33"/>
  <c r="O3" i="18"/>
  <c r="P11" i="18"/>
  <c r="P4" i="32"/>
  <c r="Q7" i="32"/>
  <c r="P10" i="32"/>
  <c r="O3" i="31"/>
  <c r="P11" i="31"/>
  <c r="P4" i="30"/>
  <c r="Q7" i="30"/>
  <c r="Q10" i="30"/>
  <c r="P4" i="29"/>
  <c r="O9" i="29"/>
  <c r="Q2" i="28"/>
  <c r="Q10" i="28"/>
  <c r="Q10" i="27"/>
  <c r="Q7" i="43"/>
  <c r="Q7" i="42"/>
  <c r="Q7" i="41"/>
  <c r="Q7" i="40"/>
  <c r="Q7" i="16"/>
  <c r="Q7" i="39"/>
  <c r="Q7" i="38"/>
  <c r="P3" i="37"/>
  <c r="P8" i="37"/>
  <c r="P10" i="37"/>
  <c r="P4" i="36"/>
  <c r="P9" i="36"/>
  <c r="P3" i="35"/>
  <c r="P3" i="34"/>
  <c r="Q4" i="33"/>
  <c r="O8" i="33"/>
  <c r="P3" i="18"/>
  <c r="Q4" i="32"/>
  <c r="O8" i="32"/>
  <c r="P3" i="31"/>
  <c r="Q4" i="30"/>
  <c r="O8" i="30"/>
  <c r="O11" i="30"/>
  <c r="Q4" i="29"/>
  <c r="P9" i="29"/>
  <c r="O3" i="28"/>
  <c r="O9" i="26"/>
  <c r="P3" i="20"/>
  <c r="O5" i="20"/>
  <c r="Q9" i="20"/>
  <c r="P11" i="20"/>
  <c r="P3" i="43"/>
  <c r="O5" i="43"/>
  <c r="Q9" i="43"/>
  <c r="P11" i="43"/>
  <c r="P3" i="42"/>
  <c r="O5" i="42"/>
  <c r="Q9" i="42"/>
  <c r="P11" i="42"/>
  <c r="P3" i="41"/>
  <c r="O5" i="41"/>
  <c r="Q9" i="41"/>
  <c r="P11" i="41"/>
  <c r="P3" i="40"/>
  <c r="O5" i="40"/>
  <c r="Q9" i="40"/>
  <c r="P11" i="40"/>
  <c r="P3" i="16"/>
  <c r="O5" i="16"/>
  <c r="Q9" i="16"/>
  <c r="P11" i="16"/>
  <c r="P3" i="39"/>
  <c r="O5" i="39"/>
  <c r="Q9" i="39"/>
  <c r="P11" i="39"/>
  <c r="P3" i="38"/>
  <c r="O5" i="38"/>
  <c r="Q9" i="38"/>
  <c r="P11" i="38"/>
  <c r="Q2" i="36"/>
  <c r="P11" i="36"/>
  <c r="O11" i="35"/>
  <c r="Q9" i="34"/>
  <c r="Q2" i="33"/>
  <c r="O11" i="33"/>
  <c r="Q9" i="18"/>
  <c r="Q2" i="32"/>
  <c r="O11" i="32"/>
  <c r="Q9" i="31"/>
  <c r="Q2" i="30"/>
  <c r="Q7" i="28"/>
  <c r="Q2" i="26"/>
  <c r="P8" i="35"/>
  <c r="O2" i="34"/>
  <c r="P8" i="34"/>
  <c r="O2" i="33"/>
  <c r="P8" i="33"/>
  <c r="O2" i="18"/>
  <c r="P8" i="18"/>
  <c r="O2" i="32"/>
  <c r="P8" i="32"/>
  <c r="O2" i="31"/>
  <c r="P8" i="31"/>
  <c r="O2" i="30"/>
  <c r="P8" i="30"/>
  <c r="O2" i="29"/>
  <c r="P8" i="29"/>
  <c r="O2" i="28"/>
  <c r="P8" i="28"/>
  <c r="O2" i="27"/>
  <c r="P8" i="27"/>
  <c r="O2" i="26"/>
  <c r="P8" i="26"/>
  <c r="O2" i="15"/>
  <c r="P8" i="15"/>
  <c r="O2" i="14"/>
  <c r="P8" i="14"/>
  <c r="O2" i="24"/>
  <c r="P8" i="24"/>
  <c r="O2" i="23"/>
  <c r="P8" i="23"/>
  <c r="O2" i="22"/>
  <c r="P8" i="22"/>
  <c r="O2" i="21"/>
  <c r="P8" i="21"/>
  <c r="O2" i="11"/>
  <c r="P8" i="11"/>
  <c r="O2" i="17"/>
  <c r="P8" i="17"/>
  <c r="P10" i="26"/>
  <c r="O4" i="15"/>
  <c r="P10" i="15"/>
  <c r="O4" i="14"/>
  <c r="P10" i="14"/>
  <c r="O4" i="24"/>
  <c r="P10" i="24"/>
  <c r="O4" i="23"/>
  <c r="P10" i="23"/>
  <c r="O4" i="22"/>
  <c r="P10" i="22"/>
  <c r="O4" i="21"/>
  <c r="P10" i="21"/>
  <c r="O4" i="11"/>
  <c r="P10" i="11"/>
  <c r="O4" i="17"/>
  <c r="P10" i="17"/>
  <c r="Q10" i="26"/>
  <c r="Q2" i="15"/>
  <c r="B16" i="15" s="1"/>
  <c r="B17" i="15" s="1"/>
  <c r="B12" i="15" s="1"/>
  <c r="B18" i="15" s="1"/>
  <c r="P4" i="15"/>
  <c r="O9" i="15"/>
  <c r="Q10" i="15"/>
  <c r="Q2" i="14"/>
  <c r="P4" i="14"/>
  <c r="O9" i="14"/>
  <c r="Q10" i="14"/>
  <c r="Q2" i="24"/>
  <c r="P4" i="24"/>
  <c r="O9" i="24"/>
  <c r="Q10" i="24"/>
  <c r="Q2" i="23"/>
  <c r="P4" i="23"/>
  <c r="O9" i="23"/>
  <c r="Q10" i="23"/>
  <c r="Q2" i="22"/>
  <c r="P4" i="22"/>
  <c r="O9" i="22"/>
  <c r="Q10" i="22"/>
  <c r="Q2" i="21"/>
  <c r="P4" i="21"/>
  <c r="O9" i="21"/>
  <c r="Q10" i="21"/>
  <c r="Q2" i="11"/>
  <c r="P4" i="11"/>
  <c r="O9" i="11"/>
  <c r="Q10" i="11"/>
  <c r="Q2" i="17"/>
  <c r="P4" i="17"/>
  <c r="O9" i="17"/>
  <c r="Q10" i="17"/>
  <c r="O11" i="28"/>
  <c r="O3" i="27"/>
  <c r="Q4" i="27"/>
  <c r="P9" i="27"/>
  <c r="O11" i="27"/>
  <c r="O3" i="26"/>
  <c r="Q4" i="26"/>
  <c r="P9" i="26"/>
  <c r="O11" i="26"/>
  <c r="O3" i="15"/>
  <c r="Q4" i="15"/>
  <c r="P9" i="15"/>
  <c r="O11" i="15"/>
  <c r="O3" i="14"/>
  <c r="Q4" i="14"/>
  <c r="P9" i="14"/>
  <c r="O11" i="14"/>
  <c r="O3" i="24"/>
  <c r="Q4" i="24"/>
  <c r="P9" i="24"/>
  <c r="O11" i="24"/>
  <c r="O3" i="23"/>
  <c r="Q4" i="23"/>
  <c r="P9" i="23"/>
  <c r="O11" i="23"/>
  <c r="O3" i="22"/>
  <c r="Q4" i="22"/>
  <c r="P9" i="22"/>
  <c r="O11" i="22"/>
  <c r="O3" i="21"/>
  <c r="Q4" i="21"/>
  <c r="P9" i="21"/>
  <c r="O11" i="21"/>
  <c r="O3" i="11"/>
  <c r="Q4" i="11"/>
  <c r="P9" i="11"/>
  <c r="O11" i="11"/>
  <c r="O3" i="17"/>
  <c r="Q4" i="17"/>
  <c r="P9" i="17"/>
  <c r="O11" i="17"/>
  <c r="Q7" i="26"/>
  <c r="Q7" i="15"/>
  <c r="Q7" i="14"/>
  <c r="Q7" i="24"/>
  <c r="Q7" i="23"/>
  <c r="Q7" i="22"/>
  <c r="Q7" i="21"/>
  <c r="Q7" i="11"/>
  <c r="Q7" i="17"/>
  <c r="Q9" i="30"/>
  <c r="P11" i="30"/>
  <c r="P3" i="29"/>
  <c r="O5" i="29"/>
  <c r="Q9" i="29"/>
  <c r="P11" i="29"/>
  <c r="P3" i="28"/>
  <c r="O5" i="28"/>
  <c r="Q9" i="28"/>
  <c r="P11" i="28"/>
  <c r="P3" i="27"/>
  <c r="O5" i="27"/>
  <c r="Q9" i="27"/>
  <c r="P11" i="27"/>
  <c r="P3" i="26"/>
  <c r="O5" i="26"/>
  <c r="Q9" i="26"/>
  <c r="P11" i="26"/>
  <c r="P3" i="15"/>
  <c r="O5" i="15"/>
  <c r="Q9" i="15"/>
  <c r="P11" i="15"/>
  <c r="P3" i="14"/>
  <c r="O5" i="14"/>
  <c r="Q9" i="14"/>
  <c r="P11" i="14"/>
  <c r="P3" i="24"/>
  <c r="O5" i="24"/>
  <c r="Q9" i="24"/>
  <c r="P11" i="24"/>
  <c r="P3" i="23"/>
  <c r="O5" i="23"/>
  <c r="Q9" i="23"/>
  <c r="P11" i="23"/>
  <c r="P3" i="22"/>
  <c r="O5" i="22"/>
  <c r="Q9" i="22"/>
  <c r="P11" i="22"/>
  <c r="P3" i="21"/>
  <c r="O5" i="21"/>
  <c r="Q9" i="21"/>
  <c r="P11" i="21"/>
  <c r="P3" i="11"/>
  <c r="O5" i="11"/>
  <c r="Q9" i="11"/>
  <c r="P11" i="11"/>
  <c r="P3" i="17"/>
  <c r="O5" i="17"/>
  <c r="Q9" i="17"/>
  <c r="P11" i="17"/>
  <c r="O8" i="29"/>
  <c r="O8" i="28"/>
  <c r="O8" i="27"/>
  <c r="O8" i="26"/>
  <c r="O8" i="15"/>
  <c r="O8" i="14"/>
  <c r="O8" i="24"/>
  <c r="O8" i="23"/>
  <c r="O8" i="22"/>
  <c r="O8" i="21"/>
  <c r="O8" i="11"/>
  <c r="O8" i="17"/>
  <c r="Q3" i="37"/>
  <c r="P5" i="37"/>
  <c r="O10" i="37"/>
  <c r="Q3" i="36"/>
  <c r="P5" i="36"/>
  <c r="O10" i="36"/>
  <c r="Q3" i="35"/>
  <c r="P5" i="35"/>
  <c r="O10" i="35"/>
  <c r="Q3" i="34"/>
  <c r="P5" i="34"/>
  <c r="O10" i="34"/>
  <c r="Q3" i="33"/>
  <c r="P5" i="33"/>
  <c r="O10" i="33"/>
  <c r="Q3" i="18"/>
  <c r="P5" i="18"/>
  <c r="O10" i="18"/>
  <c r="Q3" i="32"/>
  <c r="P5" i="32"/>
  <c r="O10" i="32"/>
  <c r="Q3" i="31"/>
  <c r="P5" i="31"/>
  <c r="O10" i="31"/>
  <c r="Q3" i="30"/>
  <c r="P5" i="30"/>
  <c r="O10" i="30"/>
  <c r="Q3" i="29"/>
  <c r="P5" i="29"/>
  <c r="O10" i="29"/>
  <c r="Q3" i="28"/>
  <c r="P5" i="28"/>
  <c r="O10" i="28"/>
  <c r="Q3" i="27"/>
  <c r="P5" i="27"/>
  <c r="O10" i="27"/>
  <c r="Q3" i="26"/>
  <c r="P5" i="26"/>
  <c r="O10" i="26"/>
  <c r="Q3" i="15"/>
  <c r="P5" i="15"/>
  <c r="O10" i="15"/>
  <c r="Q3" i="14"/>
  <c r="P5" i="14"/>
  <c r="O10" i="14"/>
  <c r="Q3" i="24"/>
  <c r="P5" i="24"/>
  <c r="O10" i="24"/>
  <c r="Q3" i="23"/>
  <c r="P5" i="23"/>
  <c r="O10" i="23"/>
  <c r="Q3" i="22"/>
  <c r="P5" i="22"/>
  <c r="O10" i="22"/>
  <c r="Q3" i="21"/>
  <c r="P5" i="21"/>
  <c r="O10" i="21"/>
  <c r="Q3" i="11"/>
  <c r="P5" i="11"/>
  <c r="O10" i="11"/>
  <c r="Q3" i="17"/>
  <c r="P5" i="17"/>
  <c r="O10" i="17"/>
  <c r="P11" i="19"/>
  <c r="O11" i="19"/>
  <c r="P10" i="19"/>
  <c r="O10" i="19"/>
  <c r="P9" i="19"/>
  <c r="O9" i="19"/>
  <c r="Q10" i="19"/>
  <c r="P8" i="19"/>
  <c r="O8" i="19"/>
  <c r="P5" i="19"/>
  <c r="O5" i="19"/>
  <c r="P4" i="19"/>
  <c r="O4" i="19"/>
  <c r="P3" i="19"/>
  <c r="O3" i="19"/>
  <c r="O2" i="19"/>
  <c r="Q9" i="19"/>
  <c r="Q7" i="19"/>
  <c r="Q4" i="19"/>
  <c r="Q3" i="19"/>
  <c r="Q2" i="19"/>
  <c r="H7" i="34" l="1"/>
  <c r="K9" i="34"/>
  <c r="I18" i="34"/>
  <c r="J18" i="34" s="1"/>
  <c r="J8" i="34" s="1"/>
  <c r="J17" i="34" s="1"/>
  <c r="J13" i="34" s="1"/>
  <c r="C2" i="34"/>
  <c r="C17" i="34" s="1"/>
  <c r="C12" i="34" s="1"/>
  <c r="C18" i="34" s="1"/>
  <c r="H6" i="34"/>
  <c r="F5" i="34"/>
  <c r="F3" i="34" s="1"/>
  <c r="K10" i="34"/>
  <c r="K9" i="35"/>
  <c r="C2" i="35"/>
  <c r="C17" i="35" s="1"/>
  <c r="C12" i="35" s="1"/>
  <c r="C18" i="35" s="1"/>
  <c r="H7" i="35"/>
  <c r="K10" i="35"/>
  <c r="H6" i="35"/>
  <c r="F5" i="35"/>
  <c r="F3" i="35" s="1"/>
  <c r="F17" i="35" s="1"/>
  <c r="F12" i="35" s="1"/>
  <c r="F18" i="35" s="1"/>
  <c r="F5" i="18"/>
  <c r="F3" i="18" s="1"/>
  <c r="G3" i="18" s="1"/>
  <c r="F3" i="39"/>
  <c r="G3" i="39" s="1"/>
  <c r="G5" i="39" s="1"/>
  <c r="F5" i="20"/>
  <c r="F3" i="20" s="1"/>
  <c r="G3" i="20" s="1"/>
  <c r="K10" i="18"/>
  <c r="D2" i="18"/>
  <c r="D17" i="18" s="1"/>
  <c r="D12" i="18" s="1"/>
  <c r="D18" i="18" s="1"/>
  <c r="C2" i="18"/>
  <c r="C17" i="18" s="1"/>
  <c r="C12" i="18" s="1"/>
  <c r="C18" i="18" s="1"/>
  <c r="K9" i="18"/>
  <c r="H7" i="18"/>
  <c r="H6" i="18"/>
  <c r="K9" i="15"/>
  <c r="H7" i="15"/>
  <c r="G4" i="15"/>
  <c r="D2" i="15"/>
  <c r="D17" i="15" s="1"/>
  <c r="D12" i="15" s="1"/>
  <c r="D18" i="15" s="1"/>
  <c r="C2" i="15"/>
  <c r="C17" i="15" s="1"/>
  <c r="C12" i="15" s="1"/>
  <c r="C18" i="15" s="1"/>
  <c r="K10" i="15"/>
  <c r="F5" i="15"/>
  <c r="F3" i="15" s="1"/>
  <c r="F17" i="15" s="1"/>
  <c r="F12" i="15" s="1"/>
  <c r="F18" i="15" s="1"/>
  <c r="H6" i="15"/>
  <c r="G4" i="19"/>
  <c r="G4" i="24"/>
  <c r="F5" i="24"/>
  <c r="F3" i="24" s="1"/>
  <c r="G3" i="24" s="1"/>
  <c r="F5" i="26"/>
  <c r="F5" i="37"/>
  <c r="F5" i="40"/>
  <c r="F5" i="28"/>
  <c r="F5" i="41"/>
  <c r="F5" i="42"/>
  <c r="F5" i="30"/>
  <c r="F5" i="43"/>
  <c r="F5" i="19"/>
  <c r="F5" i="22"/>
  <c r="F5" i="31"/>
  <c r="F5" i="32"/>
  <c r="F5" i="23"/>
  <c r="F5" i="29"/>
  <c r="F5" i="33"/>
  <c r="F5" i="38"/>
  <c r="Q8" i="17"/>
  <c r="Q8" i="23"/>
  <c r="Q8" i="32"/>
  <c r="Q8" i="15"/>
  <c r="Q8" i="18"/>
  <c r="I18" i="18" s="1"/>
  <c r="Q8" i="14"/>
  <c r="Q8" i="36"/>
  <c r="Q8" i="39"/>
  <c r="Q8" i="34"/>
  <c r="Q8" i="26"/>
  <c r="Q8" i="16"/>
  <c r="Q8" i="37"/>
  <c r="Q8" i="27"/>
  <c r="Q8" i="40"/>
  <c r="Q8" i="41"/>
  <c r="I18" i="41" s="1"/>
  <c r="J18" i="41" s="1"/>
  <c r="Q8" i="11"/>
  <c r="Q8" i="29"/>
  <c r="Q8" i="42"/>
  <c r="Q8" i="21"/>
  <c r="Q8" i="30"/>
  <c r="Q8" i="43"/>
  <c r="I18" i="43" s="1"/>
  <c r="J18" i="43" s="1"/>
  <c r="Q8" i="28"/>
  <c r="Q8" i="22"/>
  <c r="Q8" i="31"/>
  <c r="Q8" i="20"/>
  <c r="Q8" i="35"/>
  <c r="I18" i="35" s="1"/>
  <c r="Q8" i="24"/>
  <c r="Q8" i="33"/>
  <c r="Q8" i="38"/>
  <c r="F17" i="34" l="1"/>
  <c r="F12" i="34" s="1"/>
  <c r="F18" i="34" s="1"/>
  <c r="G3" i="34"/>
  <c r="H17" i="34"/>
  <c r="H12" i="34" s="1"/>
  <c r="H18" i="34" s="1"/>
  <c r="K17" i="34"/>
  <c r="I8" i="34"/>
  <c r="I17" i="34" s="1"/>
  <c r="I13" i="34" s="1"/>
  <c r="J18" i="35"/>
  <c r="J8" i="35" s="1"/>
  <c r="J17" i="35" s="1"/>
  <c r="J13" i="35" s="1"/>
  <c r="I8" i="35"/>
  <c r="I17" i="35" s="1"/>
  <c r="I13" i="35" s="1"/>
  <c r="G3" i="35"/>
  <c r="H17" i="35"/>
  <c r="H12" i="35" s="1"/>
  <c r="H18" i="35" s="1"/>
  <c r="K17" i="35"/>
  <c r="F17" i="18"/>
  <c r="F12" i="18" s="1"/>
  <c r="F18" i="18" s="1"/>
  <c r="K17" i="18"/>
  <c r="J18" i="18"/>
  <c r="J8" i="18" s="1"/>
  <c r="J17" i="18" s="1"/>
  <c r="J13" i="18" s="1"/>
  <c r="I8" i="18"/>
  <c r="I17" i="18" s="1"/>
  <c r="I13" i="18" s="1"/>
  <c r="H17" i="18"/>
  <c r="H12" i="18" s="1"/>
  <c r="H18" i="18" s="1"/>
  <c r="G3" i="15"/>
  <c r="G5" i="15" s="1"/>
  <c r="J8" i="15"/>
  <c r="J17" i="15" s="1"/>
  <c r="J13" i="15" s="1"/>
  <c r="I8" i="15"/>
  <c r="I17" i="15" s="1"/>
  <c r="I13" i="15" s="1"/>
  <c r="H17" i="15"/>
  <c r="H12" i="15" s="1"/>
  <c r="H18" i="15" s="1"/>
  <c r="K17" i="15"/>
  <c r="G5" i="24"/>
  <c r="I18" i="24"/>
  <c r="I18" i="14"/>
  <c r="J18" i="14" s="1"/>
  <c r="L2" i="35"/>
  <c r="P2" i="35" s="1"/>
  <c r="G17" i="15" l="1"/>
  <c r="G12" i="15" s="1"/>
  <c r="G18" i="15" s="1"/>
  <c r="N2" i="35"/>
  <c r="R2" i="35" s="1"/>
  <c r="L6" i="35" l="1"/>
  <c r="N6" i="35" s="1"/>
  <c r="R6" i="35" l="1"/>
  <c r="L7" i="35" l="1"/>
  <c r="L3" i="35" l="1"/>
  <c r="N7" i="35"/>
  <c r="R7" i="35" s="1"/>
  <c r="N3" i="35" l="1"/>
  <c r="R3" i="35" s="1"/>
  <c r="L9" i="35" l="1"/>
  <c r="N9" i="35" s="1"/>
  <c r="R9" i="35" l="1"/>
  <c r="L10" i="35" l="1"/>
  <c r="N10" i="35" s="1"/>
  <c r="R10" i="35" s="1"/>
  <c r="Q11" i="35"/>
  <c r="K13" i="35" s="1"/>
  <c r="L16" i="35"/>
  <c r="R16" i="35" s="1"/>
  <c r="K18" i="35" l="1"/>
  <c r="E14" i="35"/>
  <c r="G5" i="35" s="1"/>
  <c r="G4" i="35" s="1"/>
  <c r="G17" i="35" s="1"/>
  <c r="G12" i="35" s="1"/>
  <c r="G18" i="35" s="1"/>
  <c r="Q16" i="35"/>
  <c r="M11" i="35"/>
  <c r="R11" i="35" l="1"/>
  <c r="L8" i="35"/>
  <c r="N8" i="35" s="1"/>
  <c r="R8" i="35" s="1"/>
  <c r="L13" i="35"/>
  <c r="L14" i="35" l="1"/>
  <c r="R14" i="35" l="1"/>
  <c r="Q14" i="35"/>
  <c r="L5" i="35"/>
  <c r="Q5" i="35" l="1"/>
  <c r="E17" i="35" s="1"/>
  <c r="L4" i="35"/>
  <c r="R5" i="35"/>
  <c r="E15" i="35" l="1"/>
  <c r="E12" i="35"/>
  <c r="E18" i="35" s="1"/>
  <c r="L17" i="35"/>
  <c r="N4" i="35"/>
  <c r="R4" i="35" s="1"/>
  <c r="M13" i="35" l="1"/>
  <c r="L15" i="35"/>
  <c r="L12" i="35"/>
  <c r="Q17" i="35"/>
  <c r="R17" i="35"/>
  <c r="Q12" i="35" l="1"/>
  <c r="R12" i="35"/>
  <c r="R15" i="35"/>
  <c r="Q15" i="35"/>
  <c r="Q13" i="35"/>
  <c r="R13" i="35"/>
  <c r="C2" i="20"/>
  <c r="D2" i="20" l="1"/>
  <c r="L2" i="20" s="1"/>
  <c r="P2" i="20" s="1"/>
  <c r="H6" i="20" l="1"/>
  <c r="L6" i="20" s="1"/>
  <c r="N6" i="20" s="1"/>
  <c r="R6" i="20" l="1"/>
  <c r="C17" i="20" l="1"/>
  <c r="C12" i="20" s="1"/>
  <c r="C18" i="20" s="1"/>
  <c r="D17" i="20"/>
  <c r="F17" i="20"/>
  <c r="F12" i="20" s="1"/>
  <c r="F18" i="20" s="1"/>
  <c r="D12" i="20" l="1"/>
  <c r="D18" i="20" l="1"/>
  <c r="K10" i="20" l="1"/>
  <c r="L10" i="20" s="1"/>
  <c r="N10" i="20" l="1"/>
  <c r="R10" i="20" s="1"/>
  <c r="D2" i="43"/>
  <c r="G4" i="43"/>
  <c r="L4" i="43" s="1"/>
  <c r="C2" i="43"/>
  <c r="C17" i="43" s="1"/>
  <c r="K10" i="43"/>
  <c r="L10" i="43" s="1"/>
  <c r="C2" i="42"/>
  <c r="C17" i="42" s="1"/>
  <c r="K10" i="42"/>
  <c r="L10" i="42" s="1"/>
  <c r="N10" i="42" s="1"/>
  <c r="D2" i="42"/>
  <c r="G4" i="42"/>
  <c r="L4" i="42" s="1"/>
  <c r="D2" i="41"/>
  <c r="G4" i="41"/>
  <c r="L4" i="41" s="1"/>
  <c r="K10" i="41"/>
  <c r="L10" i="41" s="1"/>
  <c r="N10" i="41" s="1"/>
  <c r="C2" i="41"/>
  <c r="C17" i="41" s="1"/>
  <c r="G4" i="40"/>
  <c r="L4" i="40" s="1"/>
  <c r="D2" i="40"/>
  <c r="K10" i="40"/>
  <c r="L10" i="40" s="1"/>
  <c r="N10" i="40" s="1"/>
  <c r="C2" i="40"/>
  <c r="C17" i="40" s="1"/>
  <c r="D2" i="39"/>
  <c r="K10" i="39"/>
  <c r="L10" i="39" s="1"/>
  <c r="N10" i="39" s="1"/>
  <c r="C2" i="39"/>
  <c r="C17" i="39" s="1"/>
  <c r="K10" i="38"/>
  <c r="L10" i="38" s="1"/>
  <c r="N10" i="38" s="1"/>
  <c r="D2" i="38"/>
  <c r="G4" i="38"/>
  <c r="L4" i="38" s="1"/>
  <c r="C2" i="38"/>
  <c r="C17" i="38" s="1"/>
  <c r="C2" i="37"/>
  <c r="C17" i="37" s="1"/>
  <c r="K10" i="36"/>
  <c r="L10" i="36" s="1"/>
  <c r="C2" i="36"/>
  <c r="C17" i="36" s="1"/>
  <c r="G4" i="36"/>
  <c r="L4" i="36" s="1"/>
  <c r="D2" i="36"/>
  <c r="D17" i="39" l="1"/>
  <c r="D12" i="39" s="1"/>
  <c r="D17" i="38"/>
  <c r="D12" i="38" s="1"/>
  <c r="D17" i="40"/>
  <c r="D17" i="41"/>
  <c r="D12" i="41" s="1"/>
  <c r="D17" i="36"/>
  <c r="D12" i="36" s="1"/>
  <c r="D17" i="42"/>
  <c r="D17" i="43"/>
  <c r="N4" i="41"/>
  <c r="R4" i="41" s="1"/>
  <c r="N4" i="40"/>
  <c r="R4" i="40" s="1"/>
  <c r="N4" i="38"/>
  <c r="R4" i="38" s="1"/>
  <c r="N4" i="42"/>
  <c r="R4" i="42" s="1"/>
  <c r="N4" i="43"/>
  <c r="R4" i="43" s="1"/>
  <c r="C12" i="43"/>
  <c r="C18" i="43" s="1"/>
  <c r="L2" i="43"/>
  <c r="P2" i="43" s="1"/>
  <c r="N10" i="43"/>
  <c r="R10" i="43" s="1"/>
  <c r="R10" i="42"/>
  <c r="C12" i="42"/>
  <c r="C18" i="42" s="1"/>
  <c r="L2" i="42"/>
  <c r="P2" i="42" s="1"/>
  <c r="C12" i="41"/>
  <c r="C18" i="41" s="1"/>
  <c r="L2" i="41"/>
  <c r="P2" i="41" s="1"/>
  <c r="R10" i="41"/>
  <c r="R10" i="40"/>
  <c r="C12" i="40"/>
  <c r="C18" i="40" s="1"/>
  <c r="L2" i="40"/>
  <c r="P2" i="40" s="1"/>
  <c r="R10" i="39"/>
  <c r="L2" i="39"/>
  <c r="P2" i="39" s="1"/>
  <c r="C12" i="39"/>
  <c r="C18" i="39" s="1"/>
  <c r="R10" i="38"/>
  <c r="C12" i="38"/>
  <c r="C18" i="38" s="1"/>
  <c r="L2" i="38"/>
  <c r="P2" i="38" s="1"/>
  <c r="C12" i="37"/>
  <c r="C18" i="37" s="1"/>
  <c r="N4" i="36"/>
  <c r="R4" i="36" s="1"/>
  <c r="C12" i="36"/>
  <c r="C18" i="36" s="1"/>
  <c r="L2" i="36"/>
  <c r="P2" i="36" s="1"/>
  <c r="N10" i="36"/>
  <c r="R10" i="36" s="1"/>
  <c r="D18" i="36" l="1"/>
  <c r="D18" i="38"/>
  <c r="D18" i="41"/>
  <c r="D18" i="39"/>
  <c r="D12" i="43"/>
  <c r="D12" i="42"/>
  <c r="D12" i="40"/>
  <c r="D18" i="42" l="1"/>
  <c r="D18" i="43"/>
  <c r="D18" i="40"/>
  <c r="L2" i="34" l="1"/>
  <c r="P2" i="34" s="1"/>
  <c r="L10" i="34" l="1"/>
  <c r="N10" i="34" s="1"/>
  <c r="R10" i="34" l="1"/>
  <c r="D2" i="33" l="1"/>
  <c r="G4" i="33"/>
  <c r="L4" i="33" s="1"/>
  <c r="K10" i="33"/>
  <c r="L10" i="33" s="1"/>
  <c r="N10" i="33" s="1"/>
  <c r="C2" i="33"/>
  <c r="C17" i="33" s="1"/>
  <c r="D2" i="32"/>
  <c r="G4" i="32"/>
  <c r="L4" i="32" s="1"/>
  <c r="C2" i="32"/>
  <c r="C17" i="32" s="1"/>
  <c r="K10" i="32"/>
  <c r="L10" i="32" s="1"/>
  <c r="G4" i="31"/>
  <c r="L4" i="31" s="1"/>
  <c r="D2" i="31"/>
  <c r="K10" i="31"/>
  <c r="L10" i="31" s="1"/>
  <c r="N10" i="31" s="1"/>
  <c r="C2" i="31"/>
  <c r="C17" i="31" s="1"/>
  <c r="K10" i="30"/>
  <c r="L10" i="30" s="1"/>
  <c r="G4" i="30"/>
  <c r="L4" i="30" s="1"/>
  <c r="D2" i="30"/>
  <c r="C2" i="30"/>
  <c r="C17" i="30" s="1"/>
  <c r="K10" i="29"/>
  <c r="L10" i="29" s="1"/>
  <c r="N10" i="29" s="1"/>
  <c r="D2" i="29"/>
  <c r="C2" i="29"/>
  <c r="C17" i="29" s="1"/>
  <c r="K10" i="28"/>
  <c r="L10" i="28" s="1"/>
  <c r="D2" i="28"/>
  <c r="G4" i="28"/>
  <c r="L4" i="28" s="1"/>
  <c r="C2" i="28"/>
  <c r="C17" i="28" s="1"/>
  <c r="K10" i="27"/>
  <c r="L10" i="27" s="1"/>
  <c r="N10" i="27" s="1"/>
  <c r="D2" i="27"/>
  <c r="G4" i="27"/>
  <c r="L4" i="27" s="1"/>
  <c r="C2" i="27"/>
  <c r="C17" i="27" s="1"/>
  <c r="G4" i="26"/>
  <c r="L4" i="26" s="1"/>
  <c r="D2" i="26"/>
  <c r="K10" i="26"/>
  <c r="L10" i="26" s="1"/>
  <c r="N10" i="26" s="1"/>
  <c r="C2" i="26"/>
  <c r="C17" i="26" s="1"/>
  <c r="K10" i="24"/>
  <c r="L10" i="24" s="1"/>
  <c r="N10" i="24" s="1"/>
  <c r="C2" i="24"/>
  <c r="C17" i="24" s="1"/>
  <c r="L4" i="24"/>
  <c r="D2" i="24"/>
  <c r="C2" i="23"/>
  <c r="C17" i="23" s="1"/>
  <c r="K10" i="23"/>
  <c r="L10" i="23" s="1"/>
  <c r="N10" i="23" s="1"/>
  <c r="G4" i="23"/>
  <c r="L4" i="23" s="1"/>
  <c r="D2" i="23"/>
  <c r="G4" i="22"/>
  <c r="L4" i="22" s="1"/>
  <c r="D2" i="22"/>
  <c r="C2" i="22"/>
  <c r="C17" i="22" s="1"/>
  <c r="G4" i="21"/>
  <c r="L4" i="21" s="1"/>
  <c r="D2" i="21"/>
  <c r="C2" i="21"/>
  <c r="C17" i="21" s="1"/>
  <c r="C2" i="19"/>
  <c r="C17" i="19" s="1"/>
  <c r="L4" i="19"/>
  <c r="N4" i="19" s="1"/>
  <c r="D2" i="19"/>
  <c r="C2" i="17"/>
  <c r="C17" i="17" s="1"/>
  <c r="G4" i="17"/>
  <c r="L4" i="17" s="1"/>
  <c r="D2" i="17"/>
  <c r="D17" i="22" l="1"/>
  <c r="D12" i="22" s="1"/>
  <c r="D17" i="28"/>
  <c r="D12" i="28" s="1"/>
  <c r="D17" i="30"/>
  <c r="D17" i="27"/>
  <c r="D17" i="31"/>
  <c r="D17" i="19"/>
  <c r="D12" i="19" s="1"/>
  <c r="D17" i="17"/>
  <c r="D12" i="17" s="1"/>
  <c r="D17" i="23"/>
  <c r="D12" i="23" s="1"/>
  <c r="D17" i="21"/>
  <c r="D12" i="21" s="1"/>
  <c r="D17" i="24"/>
  <c r="D17" i="26"/>
  <c r="D12" i="26" s="1"/>
  <c r="D17" i="29"/>
  <c r="D12" i="29" s="1"/>
  <c r="D17" i="33"/>
  <c r="D17" i="32"/>
  <c r="N4" i="31"/>
  <c r="R4" i="31" s="1"/>
  <c r="N4" i="33"/>
  <c r="R4" i="33" s="1"/>
  <c r="N4" i="17"/>
  <c r="R4" i="17" s="1"/>
  <c r="N4" i="22"/>
  <c r="R4" i="22" s="1"/>
  <c r="N4" i="21"/>
  <c r="R4" i="21" s="1"/>
  <c r="N4" i="32"/>
  <c r="R4" i="32" s="1"/>
  <c r="N4" i="24"/>
  <c r="R4" i="24" s="1"/>
  <c r="N4" i="30"/>
  <c r="R4" i="30" s="1"/>
  <c r="L2" i="33"/>
  <c r="P2" i="33" s="1"/>
  <c r="C12" i="33"/>
  <c r="C18" i="33" s="1"/>
  <c r="R10" i="33"/>
  <c r="N10" i="32"/>
  <c r="R10" i="32" s="1"/>
  <c r="L2" i="32"/>
  <c r="P2" i="32" s="1"/>
  <c r="C12" i="32"/>
  <c r="C18" i="32" s="1"/>
  <c r="C12" i="31"/>
  <c r="C18" i="31" s="1"/>
  <c r="L2" i="31"/>
  <c r="P2" i="31" s="1"/>
  <c r="R10" i="31"/>
  <c r="N10" i="30"/>
  <c r="R10" i="30" s="1"/>
  <c r="C12" i="30"/>
  <c r="C18" i="30" s="1"/>
  <c r="L2" i="30"/>
  <c r="P2" i="30" s="1"/>
  <c r="R10" i="29"/>
  <c r="C12" i="29"/>
  <c r="C18" i="29" s="1"/>
  <c r="L2" i="29"/>
  <c r="P2" i="29" s="1"/>
  <c r="C12" i="28"/>
  <c r="C18" i="28" s="1"/>
  <c r="L2" i="28"/>
  <c r="P2" i="28" s="1"/>
  <c r="N10" i="28"/>
  <c r="R10" i="28" s="1"/>
  <c r="N4" i="28"/>
  <c r="R4" i="28" s="1"/>
  <c r="N4" i="27"/>
  <c r="R4" i="27" s="1"/>
  <c r="C12" i="27"/>
  <c r="C18" i="27" s="1"/>
  <c r="L2" i="27"/>
  <c r="P2" i="27" s="1"/>
  <c r="R10" i="27"/>
  <c r="L2" i="26"/>
  <c r="P2" i="26" s="1"/>
  <c r="C12" i="26"/>
  <c r="C18" i="26" s="1"/>
  <c r="N4" i="26"/>
  <c r="R4" i="26" s="1"/>
  <c r="R10" i="26"/>
  <c r="L2" i="24"/>
  <c r="P2" i="24" s="1"/>
  <c r="C12" i="24"/>
  <c r="C18" i="24" s="1"/>
  <c r="R10" i="24"/>
  <c r="C12" i="23"/>
  <c r="C18" i="23" s="1"/>
  <c r="L2" i="23"/>
  <c r="P2" i="23" s="1"/>
  <c r="N4" i="23"/>
  <c r="R4" i="23" s="1"/>
  <c r="R10" i="23"/>
  <c r="L2" i="22"/>
  <c r="P2" i="22" s="1"/>
  <c r="C12" i="22"/>
  <c r="C18" i="22" s="1"/>
  <c r="C12" i="21"/>
  <c r="C18" i="21" s="1"/>
  <c r="L2" i="21"/>
  <c r="P2" i="21" s="1"/>
  <c r="R4" i="19"/>
  <c r="C12" i="19"/>
  <c r="C18" i="19" s="1"/>
  <c r="L2" i="19"/>
  <c r="L2" i="18"/>
  <c r="P2" i="18" s="1"/>
  <c r="C12" i="17"/>
  <c r="C18" i="17" s="1"/>
  <c r="L2" i="17"/>
  <c r="P2" i="17" s="1"/>
  <c r="D18" i="21" l="1"/>
  <c r="D18" i="23"/>
  <c r="D18" i="17"/>
  <c r="D18" i="19"/>
  <c r="D18" i="29"/>
  <c r="D18" i="26"/>
  <c r="D18" i="28"/>
  <c r="D18" i="22"/>
  <c r="D12" i="27"/>
  <c r="D12" i="30"/>
  <c r="D12" i="32"/>
  <c r="D12" i="24"/>
  <c r="D12" i="31"/>
  <c r="D12" i="33"/>
  <c r="D18" i="30" l="1"/>
  <c r="D18" i="27"/>
  <c r="D18" i="31"/>
  <c r="D18" i="24"/>
  <c r="D18" i="33"/>
  <c r="D18" i="32"/>
  <c r="G4" i="16"/>
  <c r="L4" i="16" s="1"/>
  <c r="D2" i="16"/>
  <c r="D17" i="16" s="1"/>
  <c r="C2" i="16"/>
  <c r="C17" i="16" s="1"/>
  <c r="G4" i="11"/>
  <c r="L4" i="11" s="1"/>
  <c r="D2" i="11"/>
  <c r="D17" i="11" s="1"/>
  <c r="C2" i="11"/>
  <c r="C17" i="11" s="1"/>
  <c r="D12" i="16" l="1"/>
  <c r="L2" i="16"/>
  <c r="P2" i="16" s="1"/>
  <c r="N4" i="16"/>
  <c r="R4" i="16" s="1"/>
  <c r="D12" i="11"/>
  <c r="N4" i="11"/>
  <c r="R4" i="11" s="1"/>
  <c r="L2" i="11"/>
  <c r="P2" i="11" s="1"/>
  <c r="D18" i="11" l="1"/>
  <c r="D18" i="16"/>
  <c r="C12" i="16"/>
  <c r="C18" i="16" s="1"/>
  <c r="K9" i="37" l="1"/>
  <c r="K9" i="20"/>
  <c r="Q11" i="20" s="1"/>
  <c r="H7" i="20"/>
  <c r="I18" i="20"/>
  <c r="N2" i="20"/>
  <c r="R2" i="20" s="1"/>
  <c r="B16" i="20"/>
  <c r="Q11" i="34"/>
  <c r="K13" i="34" s="1"/>
  <c r="G4" i="29"/>
  <c r="L4" i="29" s="1"/>
  <c r="F3" i="16"/>
  <c r="F3" i="17"/>
  <c r="F3" i="22"/>
  <c r="F3" i="11"/>
  <c r="B16" i="37"/>
  <c r="B17" i="37" s="1"/>
  <c r="B12" i="37" s="1"/>
  <c r="B18" i="37" s="1"/>
  <c r="B16" i="39"/>
  <c r="L16" i="39" s="1"/>
  <c r="F17" i="39"/>
  <c r="F12" i="39" s="1"/>
  <c r="F18" i="39" s="1"/>
  <c r="H6" i="39"/>
  <c r="L6" i="39" s="1"/>
  <c r="N6" i="39" s="1"/>
  <c r="R6" i="39" s="1"/>
  <c r="F3" i="33"/>
  <c r="G3" i="33" s="1"/>
  <c r="H6" i="33"/>
  <c r="L6" i="33" s="1"/>
  <c r="N6" i="33" s="1"/>
  <c r="R6" i="33" s="1"/>
  <c r="L6" i="34"/>
  <c r="N6" i="34" s="1"/>
  <c r="R6" i="34" s="1"/>
  <c r="F3" i="31"/>
  <c r="G3" i="31" s="1"/>
  <c r="H6" i="31"/>
  <c r="L6" i="31" s="1"/>
  <c r="N6" i="31" s="1"/>
  <c r="R6" i="31" s="1"/>
  <c r="F3" i="42"/>
  <c r="G3" i="42" s="1"/>
  <c r="H6" i="42"/>
  <c r="L6" i="42" s="1"/>
  <c r="N6" i="42" s="1"/>
  <c r="R6" i="42" s="1"/>
  <c r="H6" i="24"/>
  <c r="L6" i="24" s="1"/>
  <c r="N6" i="24" s="1"/>
  <c r="R6" i="24" s="1"/>
  <c r="F3" i="38"/>
  <c r="G3" i="38" s="1"/>
  <c r="H6" i="38"/>
  <c r="L6" i="38" s="1"/>
  <c r="N6" i="38" s="1"/>
  <c r="R6" i="38" s="1"/>
  <c r="F3" i="32"/>
  <c r="G3" i="32" s="1"/>
  <c r="H6" i="32"/>
  <c r="L6" i="32" s="1"/>
  <c r="N6" i="32" s="1"/>
  <c r="R6" i="32" s="1"/>
  <c r="F3" i="27"/>
  <c r="G3" i="27" s="1"/>
  <c r="H6" i="27"/>
  <c r="L6" i="27" s="1"/>
  <c r="N6" i="27" s="1"/>
  <c r="R6" i="27" s="1"/>
  <c r="F3" i="43"/>
  <c r="G3" i="43" s="1"/>
  <c r="H6" i="43"/>
  <c r="L6" i="43" s="1"/>
  <c r="N6" i="43" s="1"/>
  <c r="R6" i="43" s="1"/>
  <c r="F3" i="41"/>
  <c r="G3" i="41" s="1"/>
  <c r="H6" i="41"/>
  <c r="L6" i="41" s="1"/>
  <c r="N6" i="41" s="1"/>
  <c r="R6" i="41" s="1"/>
  <c r="F3" i="40"/>
  <c r="G3" i="40" s="1"/>
  <c r="H6" i="40"/>
  <c r="L6" i="40" s="1"/>
  <c r="N6" i="40" s="1"/>
  <c r="R6" i="40" s="1"/>
  <c r="F3" i="30"/>
  <c r="G3" i="30" s="1"/>
  <c r="H6" i="30"/>
  <c r="L6" i="30" s="1"/>
  <c r="N6" i="30" s="1"/>
  <c r="R6" i="30" s="1"/>
  <c r="F3" i="28"/>
  <c r="G3" i="28" s="1"/>
  <c r="H6" i="28"/>
  <c r="L6" i="28" s="1"/>
  <c r="N6" i="28" s="1"/>
  <c r="R6" i="28" s="1"/>
  <c r="F3" i="23"/>
  <c r="G3" i="23" s="1"/>
  <c r="H6" i="23"/>
  <c r="L6" i="23" s="1"/>
  <c r="N6" i="23" s="1"/>
  <c r="R6" i="23" s="1"/>
  <c r="F3" i="36"/>
  <c r="G3" i="36" s="1"/>
  <c r="H6" i="36"/>
  <c r="L6" i="36" s="1"/>
  <c r="N6" i="36" s="1"/>
  <c r="R6" i="36" s="1"/>
  <c r="F3" i="26"/>
  <c r="G3" i="26" s="1"/>
  <c r="H6" i="26"/>
  <c r="L6" i="26" s="1"/>
  <c r="N6" i="26" s="1"/>
  <c r="R6" i="26" s="1"/>
  <c r="K9" i="27"/>
  <c r="Q11" i="27" s="1"/>
  <c r="B16" i="40"/>
  <c r="H7" i="33"/>
  <c r="H7" i="41"/>
  <c r="K9" i="30"/>
  <c r="Q11" i="30" s="1"/>
  <c r="B16" i="38"/>
  <c r="H7" i="30"/>
  <c r="H7" i="28"/>
  <c r="K9" i="41"/>
  <c r="Q11" i="41" s="1"/>
  <c r="K9" i="39"/>
  <c r="Q11" i="39" s="1"/>
  <c r="K9" i="40"/>
  <c r="Q11" i="40" s="1"/>
  <c r="K9" i="26"/>
  <c r="Q11" i="26" s="1"/>
  <c r="K9" i="23"/>
  <c r="Q11" i="23" s="1"/>
  <c r="B16" i="41"/>
  <c r="K9" i="29"/>
  <c r="Q11" i="29" s="1"/>
  <c r="H7" i="36"/>
  <c r="B16" i="28"/>
  <c r="H7" i="42"/>
  <c r="H7" i="26"/>
  <c r="K9" i="33"/>
  <c r="Q11" i="33" s="1"/>
  <c r="H7" i="23"/>
  <c r="H7" i="38"/>
  <c r="K9" i="42"/>
  <c r="Q11" i="42" s="1"/>
  <c r="K9" i="38"/>
  <c r="Q11" i="38" s="1"/>
  <c r="K9" i="28"/>
  <c r="Q11" i="28" s="1"/>
  <c r="B16" i="30"/>
  <c r="B16" i="26"/>
  <c r="B16" i="29"/>
  <c r="B16" i="33"/>
  <c r="H7" i="24"/>
  <c r="H7" i="39"/>
  <c r="B16" i="42"/>
  <c r="H7" i="32"/>
  <c r="H7" i="27"/>
  <c r="B16" i="32"/>
  <c r="H7" i="43"/>
  <c r="B16" i="27"/>
  <c r="H7" i="31"/>
  <c r="B16" i="24"/>
  <c r="K9" i="32"/>
  <c r="Q11" i="32" s="1"/>
  <c r="K9" i="24"/>
  <c r="Q11" i="24" s="1"/>
  <c r="H7" i="40"/>
  <c r="B16" i="43"/>
  <c r="K9" i="31"/>
  <c r="Q11" i="31" s="1"/>
  <c r="B16" i="31"/>
  <c r="K9" i="36"/>
  <c r="Q11" i="36" s="1"/>
  <c r="G4" i="37"/>
  <c r="D2" i="37"/>
  <c r="K10" i="37"/>
  <c r="L10" i="37" s="1"/>
  <c r="N10" i="37" s="1"/>
  <c r="R10" i="37" s="1"/>
  <c r="B16" i="11"/>
  <c r="B16" i="22"/>
  <c r="B16" i="21"/>
  <c r="B16" i="14"/>
  <c r="B16" i="16"/>
  <c r="B16" i="17"/>
  <c r="B16" i="19"/>
  <c r="L10" i="15"/>
  <c r="N10" i="15" s="1"/>
  <c r="K10" i="11"/>
  <c r="L10" i="11" s="1"/>
  <c r="N10" i="11" s="1"/>
  <c r="R10" i="11" s="1"/>
  <c r="K10" i="21"/>
  <c r="L10" i="21" s="1"/>
  <c r="N10" i="21" s="1"/>
  <c r="R10" i="21" s="1"/>
  <c r="K10" i="17"/>
  <c r="L10" i="17" s="1"/>
  <c r="N10" i="17" s="1"/>
  <c r="R10" i="17" s="1"/>
  <c r="K10" i="22"/>
  <c r="L10" i="22" s="1"/>
  <c r="N10" i="22" s="1"/>
  <c r="R10" i="22" s="1"/>
  <c r="K9" i="16"/>
  <c r="L10" i="18"/>
  <c r="N10" i="18" s="1"/>
  <c r="R10" i="18" s="1"/>
  <c r="K10" i="16"/>
  <c r="L10" i="16" s="1"/>
  <c r="N10" i="16" s="1"/>
  <c r="R10" i="16" s="1"/>
  <c r="K9" i="11"/>
  <c r="K10" i="19"/>
  <c r="L10" i="19" s="1"/>
  <c r="N10" i="19" s="1"/>
  <c r="R10" i="19" s="1"/>
  <c r="L7" i="15"/>
  <c r="N7" i="15" s="1"/>
  <c r="R7" i="15" s="1"/>
  <c r="H7" i="22"/>
  <c r="L7" i="22" s="1"/>
  <c r="N7" i="22" s="1"/>
  <c r="R7" i="22" s="1"/>
  <c r="L7" i="18"/>
  <c r="N7" i="18" s="1"/>
  <c r="R7" i="18" s="1"/>
  <c r="H7" i="21"/>
  <c r="L7" i="21" s="1"/>
  <c r="N7" i="21" s="1"/>
  <c r="R7" i="21" s="1"/>
  <c r="H7" i="19"/>
  <c r="L7" i="19" s="1"/>
  <c r="N7" i="19" s="1"/>
  <c r="R7" i="19" s="1"/>
  <c r="H6" i="17"/>
  <c r="H6" i="16"/>
  <c r="H6" i="19"/>
  <c r="K9" i="21"/>
  <c r="P2" i="19"/>
  <c r="K9" i="19"/>
  <c r="H6" i="11"/>
  <c r="H6" i="21"/>
  <c r="K9" i="22"/>
  <c r="H6" i="22"/>
  <c r="K9" i="17"/>
  <c r="H7" i="11"/>
  <c r="L7" i="11" s="1"/>
  <c r="N7" i="11" s="1"/>
  <c r="R7" i="11" s="1"/>
  <c r="H7" i="16"/>
  <c r="H7" i="17"/>
  <c r="L2" i="15"/>
  <c r="P2" i="15" s="1"/>
  <c r="G4" i="14"/>
  <c r="L4" i="14" s="1"/>
  <c r="D2" i="14"/>
  <c r="D17" i="14" s="1"/>
  <c r="H6" i="14"/>
  <c r="K10" i="14"/>
  <c r="L10" i="14" s="1"/>
  <c r="K9" i="14"/>
  <c r="H7" i="14"/>
  <c r="L7" i="14" s="1"/>
  <c r="C2" i="14"/>
  <c r="K18" i="34" l="1"/>
  <c r="E14" i="34"/>
  <c r="G5" i="34" s="1"/>
  <c r="G4" i="34" s="1"/>
  <c r="G17" i="34" s="1"/>
  <c r="G12" i="34" s="1"/>
  <c r="G18" i="34" s="1"/>
  <c r="F17" i="17"/>
  <c r="F12" i="17" s="1"/>
  <c r="F18" i="17" s="1"/>
  <c r="G3" i="17"/>
  <c r="F17" i="16"/>
  <c r="F12" i="16" s="1"/>
  <c r="F18" i="16" s="1"/>
  <c r="G3" i="16"/>
  <c r="F17" i="11"/>
  <c r="F12" i="11" s="1"/>
  <c r="F18" i="11" s="1"/>
  <c r="G3" i="11"/>
  <c r="F17" i="22"/>
  <c r="F12" i="22" s="1"/>
  <c r="F18" i="22" s="1"/>
  <c r="G3" i="22"/>
  <c r="Q11" i="15"/>
  <c r="K13" i="15" s="1"/>
  <c r="Q11" i="11"/>
  <c r="Q11" i="17"/>
  <c r="Q11" i="18"/>
  <c r="K13" i="18" s="1"/>
  <c r="Q11" i="22"/>
  <c r="Q11" i="16"/>
  <c r="Q11" i="21"/>
  <c r="Q11" i="14"/>
  <c r="Q11" i="37"/>
  <c r="L9" i="20"/>
  <c r="M11" i="20"/>
  <c r="K17" i="20"/>
  <c r="B17" i="20"/>
  <c r="L16" i="20"/>
  <c r="I8" i="20"/>
  <c r="J18" i="20"/>
  <c r="J8" i="20" s="1"/>
  <c r="J17" i="20" s="1"/>
  <c r="J13" i="20" s="1"/>
  <c r="L7" i="20"/>
  <c r="H17" i="20"/>
  <c r="H12" i="20" s="1"/>
  <c r="H18" i="20" s="1"/>
  <c r="Q11" i="19"/>
  <c r="L9" i="34"/>
  <c r="N9" i="34" s="1"/>
  <c r="R9" i="34" s="1"/>
  <c r="N4" i="29"/>
  <c r="R4" i="29" s="1"/>
  <c r="M11" i="34"/>
  <c r="H6" i="29"/>
  <c r="L6" i="29" s="1"/>
  <c r="N6" i="29" s="1"/>
  <c r="R6" i="29" s="1"/>
  <c r="H7" i="29"/>
  <c r="L7" i="29" s="1"/>
  <c r="N7" i="29" s="1"/>
  <c r="R7" i="29" s="1"/>
  <c r="Q8" i="19"/>
  <c r="I18" i="19" s="1"/>
  <c r="J18" i="19" s="1"/>
  <c r="N2" i="33"/>
  <c r="R2" i="33" s="1"/>
  <c r="N2" i="28"/>
  <c r="R2" i="28" s="1"/>
  <c r="N2" i="40"/>
  <c r="R2" i="40" s="1"/>
  <c r="N2" i="39"/>
  <c r="R2" i="39" s="1"/>
  <c r="N2" i="31"/>
  <c r="R2" i="31" s="1"/>
  <c r="N2" i="34"/>
  <c r="R2" i="34" s="1"/>
  <c r="N2" i="26"/>
  <c r="R2" i="26" s="1"/>
  <c r="N2" i="38"/>
  <c r="R2" i="38" s="1"/>
  <c r="N2" i="27"/>
  <c r="R2" i="27" s="1"/>
  <c r="N2" i="42"/>
  <c r="N2" i="41"/>
  <c r="R2" i="41" s="1"/>
  <c r="N2" i="32"/>
  <c r="R2" i="32" s="1"/>
  <c r="N2" i="24"/>
  <c r="R2" i="24" s="1"/>
  <c r="N2" i="29"/>
  <c r="R2" i="29" s="1"/>
  <c r="N2" i="43"/>
  <c r="N2" i="30"/>
  <c r="R2" i="30" s="1"/>
  <c r="L16" i="37"/>
  <c r="R16" i="37" s="1"/>
  <c r="B17" i="39"/>
  <c r="B12" i="39" s="1"/>
  <c r="B18" i="39" s="1"/>
  <c r="B16" i="36"/>
  <c r="L16" i="36" s="1"/>
  <c r="F3" i="29"/>
  <c r="F17" i="33"/>
  <c r="F12" i="33" s="1"/>
  <c r="F18" i="33" s="1"/>
  <c r="F17" i="42"/>
  <c r="F12" i="42" s="1"/>
  <c r="F18" i="42" s="1"/>
  <c r="F17" i="38"/>
  <c r="F12" i="38" s="1"/>
  <c r="F18" i="38" s="1"/>
  <c r="F17" i="26"/>
  <c r="F12" i="26" s="1"/>
  <c r="F18" i="26" s="1"/>
  <c r="F17" i="30"/>
  <c r="F12" i="30" s="1"/>
  <c r="F18" i="30" s="1"/>
  <c r="F17" i="36"/>
  <c r="F12" i="36" s="1"/>
  <c r="F18" i="36" s="1"/>
  <c r="F17" i="32"/>
  <c r="F12" i="32" s="1"/>
  <c r="F18" i="32" s="1"/>
  <c r="F17" i="43"/>
  <c r="F12" i="43" s="1"/>
  <c r="F18" i="43" s="1"/>
  <c r="F17" i="23"/>
  <c r="F12" i="23" s="1"/>
  <c r="F18" i="23" s="1"/>
  <c r="F17" i="27"/>
  <c r="F12" i="27" s="1"/>
  <c r="F18" i="27" s="1"/>
  <c r="F17" i="31"/>
  <c r="F12" i="31" s="1"/>
  <c r="F18" i="31" s="1"/>
  <c r="F17" i="41"/>
  <c r="F12" i="41" s="1"/>
  <c r="F18" i="41" s="1"/>
  <c r="F17" i="24"/>
  <c r="F12" i="24" s="1"/>
  <c r="F18" i="24" s="1"/>
  <c r="F3" i="37"/>
  <c r="G3" i="37" s="1"/>
  <c r="H6" i="37"/>
  <c r="L6" i="37" s="1"/>
  <c r="N6" i="37" s="1"/>
  <c r="R6" i="37" s="1"/>
  <c r="F17" i="28"/>
  <c r="F12" i="28" s="1"/>
  <c r="F18" i="28" s="1"/>
  <c r="F17" i="40"/>
  <c r="F12" i="40" s="1"/>
  <c r="F18" i="40" s="1"/>
  <c r="L9" i="31"/>
  <c r="N9" i="31" s="1"/>
  <c r="R9" i="31" s="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N9" i="40" s="1"/>
  <c r="R9" i="40" s="1"/>
  <c r="K17" i="40"/>
  <c r="L7" i="33"/>
  <c r="N7" i="33" s="1"/>
  <c r="R7" i="33" s="1"/>
  <c r="K17" i="27"/>
  <c r="L9" i="27"/>
  <c r="N9" i="27" s="1"/>
  <c r="R9" i="27" s="1"/>
  <c r="L7" i="32"/>
  <c r="N7" i="32" s="1"/>
  <c r="R7" i="32" s="1"/>
  <c r="L16" i="34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N9" i="28" s="1"/>
  <c r="R9" i="28" s="1"/>
  <c r="K17" i="23"/>
  <c r="L9" i="23"/>
  <c r="N9" i="23" s="1"/>
  <c r="R9" i="23" s="1"/>
  <c r="L7" i="30"/>
  <c r="N7" i="30" s="1"/>
  <c r="R7" i="30" s="1"/>
  <c r="K17" i="30"/>
  <c r="L9" i="30"/>
  <c r="N9" i="30" s="1"/>
  <c r="R9" i="30" s="1"/>
  <c r="L9" i="32"/>
  <c r="N9" i="32" s="1"/>
  <c r="R9" i="32" s="1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N9" i="39" s="1"/>
  <c r="R9" i="39" s="1"/>
  <c r="B17" i="42"/>
  <c r="B12" i="42" s="1"/>
  <c r="B18" i="42" s="1"/>
  <c r="L16" i="42"/>
  <c r="L7" i="34"/>
  <c r="L9" i="29"/>
  <c r="N9" i="29" s="1"/>
  <c r="R9" i="29" s="1"/>
  <c r="K17" i="29"/>
  <c r="L7" i="41"/>
  <c r="N7" i="41" s="1"/>
  <c r="R7" i="41" s="1"/>
  <c r="K17" i="24"/>
  <c r="L9" i="24"/>
  <c r="N9" i="24" s="1"/>
  <c r="R9" i="24" s="1"/>
  <c r="L7" i="39"/>
  <c r="N7" i="39" s="1"/>
  <c r="R7" i="39" s="1"/>
  <c r="B17" i="29"/>
  <c r="B12" i="29" s="1"/>
  <c r="B18" i="29" s="1"/>
  <c r="L16" i="29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N9" i="26" s="1"/>
  <c r="R9" i="26" s="1"/>
  <c r="K17" i="41"/>
  <c r="L9" i="41"/>
  <c r="N9" i="41" s="1"/>
  <c r="R9" i="41" s="1"/>
  <c r="B17" i="38"/>
  <c r="B12" i="38" s="1"/>
  <c r="B18" i="38" s="1"/>
  <c r="L16" i="38"/>
  <c r="K17" i="36"/>
  <c r="L9" i="36"/>
  <c r="N9" i="36" s="1"/>
  <c r="R9" i="36" s="1"/>
  <c r="B17" i="28"/>
  <c r="B12" i="28" s="1"/>
  <c r="B18" i="28" s="1"/>
  <c r="L16" i="28"/>
  <c r="R16" i="39"/>
  <c r="Q16" i="39"/>
  <c r="B17" i="30"/>
  <c r="B12" i="30" s="1"/>
  <c r="B18" i="30" s="1"/>
  <c r="L16" i="30"/>
  <c r="K17" i="38"/>
  <c r="L9" i="38"/>
  <c r="N9" i="38" s="1"/>
  <c r="R9" i="38" s="1"/>
  <c r="L9" i="42"/>
  <c r="N9" i="42" s="1"/>
  <c r="R9" i="42" s="1"/>
  <c r="K17" i="42"/>
  <c r="L9" i="33"/>
  <c r="N9" i="33" s="1"/>
  <c r="R9" i="33" s="1"/>
  <c r="K17" i="33"/>
  <c r="B17" i="41"/>
  <c r="B12" i="41" s="1"/>
  <c r="B18" i="41" s="1"/>
  <c r="L16" i="41"/>
  <c r="L7" i="28"/>
  <c r="H7" i="37"/>
  <c r="L9" i="37"/>
  <c r="N9" i="37" s="1"/>
  <c r="R9" i="37" s="1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4"/>
  <c r="B12" i="14" s="1"/>
  <c r="B18" i="14" s="1"/>
  <c r="L16" i="14"/>
  <c r="L16" i="18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9"/>
  <c r="B12" i="19" s="1"/>
  <c r="B18" i="19" s="1"/>
  <c r="L16" i="19"/>
  <c r="B17" i="17"/>
  <c r="B12" i="17" s="1"/>
  <c r="B18" i="17" s="1"/>
  <c r="L16" i="17"/>
  <c r="K17" i="19"/>
  <c r="K17" i="14"/>
  <c r="K17" i="21"/>
  <c r="K17" i="17"/>
  <c r="L9" i="16"/>
  <c r="N9" i="16" s="1"/>
  <c r="R9" i="16" s="1"/>
  <c r="K17" i="16"/>
  <c r="L9" i="15"/>
  <c r="N9" i="15" s="1"/>
  <c r="R9" i="15" s="1"/>
  <c r="L9" i="11"/>
  <c r="N9" i="11" s="1"/>
  <c r="R9" i="11" s="1"/>
  <c r="K17" i="11"/>
  <c r="L6" i="11"/>
  <c r="N6" i="11" s="1"/>
  <c r="R6" i="11" s="1"/>
  <c r="L6" i="17"/>
  <c r="N6" i="17" s="1"/>
  <c r="R6" i="17" s="1"/>
  <c r="L6" i="16"/>
  <c r="N6" i="16" s="1"/>
  <c r="R6" i="16" s="1"/>
  <c r="C17" i="14"/>
  <c r="R10" i="15"/>
  <c r="N2" i="16"/>
  <c r="N2" i="11"/>
  <c r="R2" i="11" s="1"/>
  <c r="N2" i="17"/>
  <c r="R2" i="17" s="1"/>
  <c r="N2" i="21"/>
  <c r="R2" i="21" s="1"/>
  <c r="N2" i="18"/>
  <c r="R2" i="18" s="1"/>
  <c r="N2" i="19"/>
  <c r="R2" i="19" s="1"/>
  <c r="L6" i="15"/>
  <c r="N6" i="15" s="1"/>
  <c r="R6" i="15" s="1"/>
  <c r="L9" i="22"/>
  <c r="N9" i="22" s="1"/>
  <c r="R9" i="22" s="1"/>
  <c r="F3" i="21"/>
  <c r="L9" i="21"/>
  <c r="N9" i="21" s="1"/>
  <c r="R9" i="21" s="1"/>
  <c r="L9" i="18"/>
  <c r="N9" i="18" s="1"/>
  <c r="R9" i="18" s="1"/>
  <c r="L6" i="21"/>
  <c r="N6" i="21" s="1"/>
  <c r="R6" i="21" s="1"/>
  <c r="L6" i="22"/>
  <c r="N6" i="22" s="1"/>
  <c r="R6" i="22" s="1"/>
  <c r="L6" i="18"/>
  <c r="N6" i="18" s="1"/>
  <c r="R6" i="18" s="1"/>
  <c r="L9" i="19"/>
  <c r="N9" i="19" s="1"/>
  <c r="R9" i="19" s="1"/>
  <c r="L6" i="19"/>
  <c r="N6" i="19" s="1"/>
  <c r="R6" i="19" s="1"/>
  <c r="L9" i="17"/>
  <c r="N9" i="17" s="1"/>
  <c r="R9" i="17" s="1"/>
  <c r="L7" i="17"/>
  <c r="L7" i="16"/>
  <c r="N7" i="16" s="1"/>
  <c r="R7" i="16" s="1"/>
  <c r="D12" i="14"/>
  <c r="N10" i="14"/>
  <c r="R10" i="14" s="1"/>
  <c r="L6" i="14"/>
  <c r="N7" i="14"/>
  <c r="R7" i="14" s="1"/>
  <c r="F3" i="14"/>
  <c r="L9" i="14"/>
  <c r="N4" i="14"/>
  <c r="R4" i="14" s="1"/>
  <c r="K18" i="18" l="1"/>
  <c r="E14" i="18"/>
  <c r="G5" i="18" s="1"/>
  <c r="G4" i="18" s="1"/>
  <c r="K18" i="15"/>
  <c r="E14" i="15"/>
  <c r="F17" i="29"/>
  <c r="F12" i="29" s="1"/>
  <c r="F18" i="29" s="1"/>
  <c r="G3" i="29"/>
  <c r="L3" i="29" s="1"/>
  <c r="F17" i="21"/>
  <c r="F12" i="21" s="1"/>
  <c r="F18" i="21" s="1"/>
  <c r="G3" i="21"/>
  <c r="F17" i="14"/>
  <c r="F12" i="14" s="1"/>
  <c r="F18" i="14" s="1"/>
  <c r="G3" i="14"/>
  <c r="R11" i="34"/>
  <c r="R11" i="20"/>
  <c r="L3" i="15"/>
  <c r="K13" i="19"/>
  <c r="K18" i="19" s="1"/>
  <c r="D18" i="37"/>
  <c r="D18" i="14"/>
  <c r="K13" i="20"/>
  <c r="K18" i="20" s="1"/>
  <c r="N9" i="20"/>
  <c r="R9" i="20" s="1"/>
  <c r="N7" i="20"/>
  <c r="R7" i="20" s="1"/>
  <c r="I17" i="20"/>
  <c r="I13" i="20" s="1"/>
  <c r="L8" i="20"/>
  <c r="N8" i="20" s="1"/>
  <c r="R8" i="20" s="1"/>
  <c r="Q16" i="20"/>
  <c r="R16" i="20"/>
  <c r="B12" i="20"/>
  <c r="B18" i="20" s="1"/>
  <c r="G5" i="23"/>
  <c r="L5" i="23" s="1"/>
  <c r="I18" i="11"/>
  <c r="J18" i="11" s="1"/>
  <c r="J8" i="11" s="1"/>
  <c r="J17" i="11" s="1"/>
  <c r="J13" i="11" s="1"/>
  <c r="I18" i="31"/>
  <c r="J18" i="31" s="1"/>
  <c r="J8" i="31" s="1"/>
  <c r="J17" i="31" s="1"/>
  <c r="J13" i="31" s="1"/>
  <c r="R2" i="42"/>
  <c r="I18" i="17"/>
  <c r="I8" i="17" s="1"/>
  <c r="I17" i="17" s="1"/>
  <c r="I8" i="19"/>
  <c r="I17" i="19" s="1"/>
  <c r="I13" i="19" s="1"/>
  <c r="J8" i="21"/>
  <c r="J17" i="21" s="1"/>
  <c r="J13" i="21" s="1"/>
  <c r="I18" i="33"/>
  <c r="I8" i="33" s="1"/>
  <c r="I18" i="16"/>
  <c r="I8" i="16" s="1"/>
  <c r="I17" i="16" s="1"/>
  <c r="I13" i="16" s="1"/>
  <c r="I18" i="22"/>
  <c r="J18" i="22" s="1"/>
  <c r="J8" i="22" s="1"/>
  <c r="I18" i="26"/>
  <c r="I8" i="26" s="1"/>
  <c r="R2" i="43"/>
  <c r="H17" i="14"/>
  <c r="H12" i="14" s="1"/>
  <c r="H18" i="14" s="1"/>
  <c r="N4" i="37"/>
  <c r="R4" i="37" s="1"/>
  <c r="M11" i="36"/>
  <c r="M11" i="24"/>
  <c r="M11" i="38"/>
  <c r="M11" i="29"/>
  <c r="M11" i="11"/>
  <c r="M11" i="26"/>
  <c r="M11" i="30"/>
  <c r="M11" i="27"/>
  <c r="M11" i="37"/>
  <c r="M11" i="33"/>
  <c r="M11" i="23"/>
  <c r="M11" i="31"/>
  <c r="M11" i="42"/>
  <c r="M11" i="41"/>
  <c r="M11" i="39"/>
  <c r="M11" i="40"/>
  <c r="M11" i="32"/>
  <c r="M11" i="28"/>
  <c r="G5" i="11"/>
  <c r="G17" i="11" s="1"/>
  <c r="H17" i="17"/>
  <c r="H12" i="17" s="1"/>
  <c r="H18" i="17" s="1"/>
  <c r="I18" i="29"/>
  <c r="J18" i="29" s="1"/>
  <c r="J8" i="29" s="1"/>
  <c r="J17" i="29" s="1"/>
  <c r="J13" i="29" s="1"/>
  <c r="I18" i="39"/>
  <c r="I18" i="30"/>
  <c r="I18" i="38"/>
  <c r="I18" i="36"/>
  <c r="I18" i="28"/>
  <c r="I18" i="32"/>
  <c r="I18" i="42"/>
  <c r="I18" i="40"/>
  <c r="I18" i="23"/>
  <c r="Q16" i="37"/>
  <c r="N2" i="36"/>
  <c r="R2" i="36" s="1"/>
  <c r="B17" i="36"/>
  <c r="B12" i="36" s="1"/>
  <c r="B18" i="36" s="1"/>
  <c r="H17" i="11"/>
  <c r="L3" i="17"/>
  <c r="H17" i="23"/>
  <c r="H12" i="23" s="1"/>
  <c r="H18" i="23" s="1"/>
  <c r="H17" i="21"/>
  <c r="H12" i="21" s="1"/>
  <c r="H18" i="21" s="1"/>
  <c r="G5" i="22"/>
  <c r="L5" i="22" s="1"/>
  <c r="H17" i="36"/>
  <c r="H12" i="36" s="1"/>
  <c r="H18" i="36" s="1"/>
  <c r="H17" i="24"/>
  <c r="H12" i="24" s="1"/>
  <c r="H18" i="24" s="1"/>
  <c r="H17" i="19"/>
  <c r="H12" i="19" s="1"/>
  <c r="H18" i="19" s="1"/>
  <c r="H17" i="28"/>
  <c r="H12" i="28" s="1"/>
  <c r="H18" i="28" s="1"/>
  <c r="H17" i="32"/>
  <c r="H12" i="32" s="1"/>
  <c r="H18" i="32" s="1"/>
  <c r="H17" i="27"/>
  <c r="H12" i="27" s="1"/>
  <c r="H18" i="27" s="1"/>
  <c r="G5" i="40"/>
  <c r="L5" i="40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G5" i="30"/>
  <c r="L5" i="30" s="1"/>
  <c r="H17" i="38"/>
  <c r="H12" i="38" s="1"/>
  <c r="H18" i="38" s="1"/>
  <c r="K13" i="30"/>
  <c r="K18" i="30" s="1"/>
  <c r="G5" i="31"/>
  <c r="L5" i="31" s="1"/>
  <c r="H17" i="41"/>
  <c r="H12" i="41" s="1"/>
  <c r="H18" i="41" s="1"/>
  <c r="L3" i="33"/>
  <c r="H17" i="43"/>
  <c r="H12" i="43" s="1"/>
  <c r="H18" i="43" s="1"/>
  <c r="L3" i="26"/>
  <c r="L3" i="32"/>
  <c r="H17" i="30"/>
  <c r="H12" i="30" s="1"/>
  <c r="H18" i="30" s="1"/>
  <c r="G5" i="28"/>
  <c r="L5" i="28" s="1"/>
  <c r="L3" i="34"/>
  <c r="L3" i="42"/>
  <c r="H17" i="29"/>
  <c r="H12" i="29" s="1"/>
  <c r="H18" i="29" s="1"/>
  <c r="K13" i="29"/>
  <c r="K18" i="29" s="1"/>
  <c r="L3" i="38"/>
  <c r="H17" i="26"/>
  <c r="H12" i="26" s="1"/>
  <c r="H18" i="26" s="1"/>
  <c r="H17" i="42"/>
  <c r="H12" i="42" s="1"/>
  <c r="H18" i="42" s="1"/>
  <c r="L3" i="36"/>
  <c r="L3" i="43"/>
  <c r="K13" i="38"/>
  <c r="K18" i="38" s="1"/>
  <c r="K13" i="36"/>
  <c r="K18" i="36" s="1"/>
  <c r="K13" i="26"/>
  <c r="K18" i="26" s="1"/>
  <c r="K13" i="24"/>
  <c r="K18" i="24" s="1"/>
  <c r="L3" i="39"/>
  <c r="K13" i="39"/>
  <c r="K18" i="39" s="1"/>
  <c r="K13" i="32"/>
  <c r="K18" i="32" s="1"/>
  <c r="K13" i="28"/>
  <c r="K18" i="28" s="1"/>
  <c r="K13" i="33"/>
  <c r="K18" i="33" s="1"/>
  <c r="K13" i="42"/>
  <c r="K18" i="42" s="1"/>
  <c r="F17" i="37"/>
  <c r="F12" i="37" s="1"/>
  <c r="F18" i="37" s="1"/>
  <c r="N7" i="34"/>
  <c r="R7" i="34" s="1"/>
  <c r="R16" i="29"/>
  <c r="Q16" i="29"/>
  <c r="R16" i="42"/>
  <c r="Q16" i="42"/>
  <c r="K13" i="31"/>
  <c r="K18" i="31" s="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K18" i="40" s="1"/>
  <c r="R16" i="41"/>
  <c r="Q16" i="41"/>
  <c r="R16" i="27"/>
  <c r="Q16" i="27"/>
  <c r="Q16" i="43"/>
  <c r="R16" i="43"/>
  <c r="K13" i="27"/>
  <c r="K18" i="27" s="1"/>
  <c r="K13" i="41"/>
  <c r="K18" i="41" s="1"/>
  <c r="N7" i="23"/>
  <c r="R7" i="23" s="1"/>
  <c r="K9" i="43"/>
  <c r="Q11" i="43" s="1"/>
  <c r="J8" i="43"/>
  <c r="J17" i="43" s="1"/>
  <c r="J13" i="43" s="1"/>
  <c r="R16" i="30"/>
  <c r="Q16" i="30"/>
  <c r="R16" i="24"/>
  <c r="Q16" i="24"/>
  <c r="R16" i="36"/>
  <c r="Q16" i="36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K18" i="23" s="1"/>
  <c r="R16" i="34"/>
  <c r="Q16" i="34"/>
  <c r="K13" i="37"/>
  <c r="K18" i="37" s="1"/>
  <c r="B16" i="23"/>
  <c r="J8" i="41"/>
  <c r="J17" i="41" s="1"/>
  <c r="J13" i="41" s="1"/>
  <c r="I8" i="41"/>
  <c r="R16" i="21"/>
  <c r="Q16" i="21"/>
  <c r="R16" i="17"/>
  <c r="Q16" i="17"/>
  <c r="R16" i="18"/>
  <c r="Q16" i="18"/>
  <c r="R16" i="19"/>
  <c r="Q16" i="19"/>
  <c r="R16" i="14"/>
  <c r="Q16" i="14"/>
  <c r="R16" i="11"/>
  <c r="Q16" i="11"/>
  <c r="R16" i="16"/>
  <c r="Q16" i="16"/>
  <c r="R16" i="22"/>
  <c r="Q16" i="22"/>
  <c r="L16" i="15"/>
  <c r="C12" i="14"/>
  <c r="C18" i="14" s="1"/>
  <c r="R2" i="16"/>
  <c r="K13" i="11"/>
  <c r="K18" i="11" s="1"/>
  <c r="K13" i="16"/>
  <c r="K18" i="16" s="1"/>
  <c r="M11" i="17"/>
  <c r="M11" i="18"/>
  <c r="M11" i="16"/>
  <c r="M11" i="22"/>
  <c r="M11" i="15"/>
  <c r="M11" i="21"/>
  <c r="M11" i="14"/>
  <c r="M11" i="19"/>
  <c r="N2" i="15"/>
  <c r="N2" i="22"/>
  <c r="R2" i="22" s="1"/>
  <c r="K13" i="21"/>
  <c r="K18" i="21" s="1"/>
  <c r="K13" i="22"/>
  <c r="K18" i="22" s="1"/>
  <c r="K13" i="17"/>
  <c r="K18" i="17" s="1"/>
  <c r="N7" i="17"/>
  <c r="R7" i="17" s="1"/>
  <c r="K13" i="14"/>
  <c r="K18" i="14" s="1"/>
  <c r="N9" i="14"/>
  <c r="R9" i="14" s="1"/>
  <c r="N6" i="14"/>
  <c r="R6" i="14" s="1"/>
  <c r="G17" i="18" l="1"/>
  <c r="G12" i="18" s="1"/>
  <c r="G18" i="18" s="1"/>
  <c r="R11" i="32"/>
  <c r="R11" i="30"/>
  <c r="R11" i="40"/>
  <c r="R11" i="26"/>
  <c r="R11" i="11"/>
  <c r="R11" i="41"/>
  <c r="R11" i="29"/>
  <c r="R11" i="21"/>
  <c r="R11" i="42"/>
  <c r="R11" i="38"/>
  <c r="R11" i="14"/>
  <c r="R11" i="39"/>
  <c r="R11" i="31"/>
  <c r="R11" i="24"/>
  <c r="R11" i="15"/>
  <c r="R11" i="22"/>
  <c r="R11" i="16"/>
  <c r="R11" i="18"/>
  <c r="R11" i="23"/>
  <c r="R11" i="36"/>
  <c r="R11" i="17"/>
  <c r="R11" i="33"/>
  <c r="R11" i="37"/>
  <c r="R11" i="28"/>
  <c r="R11" i="27"/>
  <c r="R11" i="19"/>
  <c r="Q5" i="28"/>
  <c r="E17" i="28" s="1"/>
  <c r="E12" i="28" s="1"/>
  <c r="E18" i="28" s="1"/>
  <c r="Q5" i="30"/>
  <c r="E17" i="30" s="1"/>
  <c r="E12" i="30" s="1"/>
  <c r="E18" i="30" s="1"/>
  <c r="Q5" i="22"/>
  <c r="Q5" i="40"/>
  <c r="Q5" i="31"/>
  <c r="G5" i="16"/>
  <c r="G17" i="16" s="1"/>
  <c r="L3" i="18"/>
  <c r="R5" i="23"/>
  <c r="Q5" i="23"/>
  <c r="E17" i="23" s="1"/>
  <c r="E12" i="23" s="1"/>
  <c r="E18" i="23" s="1"/>
  <c r="E14" i="20"/>
  <c r="G5" i="20" s="1"/>
  <c r="G4" i="20" s="1"/>
  <c r="L13" i="20"/>
  <c r="L8" i="15"/>
  <c r="N8" i="15" s="1"/>
  <c r="R8" i="15" s="1"/>
  <c r="J18" i="17"/>
  <c r="J8" i="17" s="1"/>
  <c r="L8" i="17" s="1"/>
  <c r="N8" i="17" s="1"/>
  <c r="R8" i="17" s="1"/>
  <c r="I8" i="11"/>
  <c r="I17" i="11" s="1"/>
  <c r="I13" i="11" s="1"/>
  <c r="L13" i="11" s="1"/>
  <c r="J18" i="33"/>
  <c r="J8" i="33" s="1"/>
  <c r="J17" i="33" s="1"/>
  <c r="J13" i="33" s="1"/>
  <c r="G17" i="23"/>
  <c r="G12" i="23" s="1"/>
  <c r="G18" i="23" s="1"/>
  <c r="L3" i="23"/>
  <c r="J18" i="16"/>
  <c r="J8" i="16" s="1"/>
  <c r="J17" i="16" s="1"/>
  <c r="J13" i="16" s="1"/>
  <c r="I8" i="22"/>
  <c r="I17" i="22" s="1"/>
  <c r="I13" i="22" s="1"/>
  <c r="J8" i="19"/>
  <c r="J17" i="19" s="1"/>
  <c r="J13" i="19" s="1"/>
  <c r="I8" i="21"/>
  <c r="I17" i="21" s="1"/>
  <c r="I13" i="21" s="1"/>
  <c r="J18" i="26"/>
  <c r="J8" i="26" s="1"/>
  <c r="J17" i="26" s="1"/>
  <c r="J13" i="26" s="1"/>
  <c r="I8" i="31"/>
  <c r="I17" i="31" s="1"/>
  <c r="I13" i="31" s="1"/>
  <c r="L13" i="31" s="1"/>
  <c r="N3" i="38"/>
  <c r="R3" i="38" s="1"/>
  <c r="N3" i="32"/>
  <c r="R3" i="32" s="1"/>
  <c r="N3" i="26"/>
  <c r="R3" i="26" s="1"/>
  <c r="N3" i="43"/>
  <c r="R3" i="43" s="1"/>
  <c r="N3" i="33"/>
  <c r="R3" i="33" s="1"/>
  <c r="N3" i="39"/>
  <c r="R3" i="39" s="1"/>
  <c r="N3" i="36"/>
  <c r="R3" i="36" s="1"/>
  <c r="N3" i="42"/>
  <c r="R3" i="42" s="1"/>
  <c r="R5" i="31"/>
  <c r="N3" i="34"/>
  <c r="R3" i="34" s="1"/>
  <c r="R5" i="40"/>
  <c r="N3" i="29"/>
  <c r="R3" i="29" s="1"/>
  <c r="I8" i="29"/>
  <c r="I17" i="29" s="1"/>
  <c r="I13" i="29" s="1"/>
  <c r="E14" i="29" s="1"/>
  <c r="I18" i="37"/>
  <c r="J18" i="39"/>
  <c r="J8" i="39" s="1"/>
  <c r="J17" i="39" s="1"/>
  <c r="J13" i="39" s="1"/>
  <c r="I8" i="39"/>
  <c r="J18" i="42"/>
  <c r="J8" i="42" s="1"/>
  <c r="J17" i="42" s="1"/>
  <c r="J13" i="42" s="1"/>
  <c r="I8" i="42"/>
  <c r="J18" i="24"/>
  <c r="J8" i="24" s="1"/>
  <c r="J17" i="24" s="1"/>
  <c r="J13" i="24" s="1"/>
  <c r="I8" i="24"/>
  <c r="J18" i="32"/>
  <c r="J8" i="32" s="1"/>
  <c r="J17" i="32" s="1"/>
  <c r="J13" i="32" s="1"/>
  <c r="I8" i="32"/>
  <c r="J18" i="28"/>
  <c r="J8" i="28" s="1"/>
  <c r="J17" i="28" s="1"/>
  <c r="J13" i="28" s="1"/>
  <c r="I8" i="28"/>
  <c r="J18" i="36"/>
  <c r="J8" i="36" s="1"/>
  <c r="J17" i="36" s="1"/>
  <c r="J13" i="36" s="1"/>
  <c r="I8" i="36"/>
  <c r="I8" i="27"/>
  <c r="J8" i="27"/>
  <c r="J17" i="27" s="1"/>
  <c r="J13" i="27" s="1"/>
  <c r="J18" i="23"/>
  <c r="J8" i="23" s="1"/>
  <c r="J17" i="23" s="1"/>
  <c r="J13" i="23" s="1"/>
  <c r="I8" i="23"/>
  <c r="J18" i="38"/>
  <c r="J8" i="38" s="1"/>
  <c r="J17" i="38" s="1"/>
  <c r="J13" i="38" s="1"/>
  <c r="I8" i="38"/>
  <c r="J18" i="40"/>
  <c r="J8" i="40" s="1"/>
  <c r="J17" i="40" s="1"/>
  <c r="J13" i="40" s="1"/>
  <c r="I8" i="40"/>
  <c r="J18" i="30"/>
  <c r="J8" i="30" s="1"/>
  <c r="J17" i="30" s="1"/>
  <c r="J13" i="30" s="1"/>
  <c r="I8" i="30"/>
  <c r="G5" i="17"/>
  <c r="L5" i="17" s="1"/>
  <c r="N2" i="37"/>
  <c r="R2" i="37" s="1"/>
  <c r="R2" i="23"/>
  <c r="L3" i="22"/>
  <c r="R5" i="30"/>
  <c r="L3" i="16"/>
  <c r="R5" i="28"/>
  <c r="H17" i="37"/>
  <c r="H12" i="37" s="1"/>
  <c r="H18" i="37" s="1"/>
  <c r="L3" i="40"/>
  <c r="L3" i="30"/>
  <c r="G17" i="40"/>
  <c r="G12" i="40" s="1"/>
  <c r="G18" i="40" s="1"/>
  <c r="G17" i="30"/>
  <c r="G12" i="30" s="1"/>
  <c r="G18" i="30" s="1"/>
  <c r="L3" i="31"/>
  <c r="G17" i="31"/>
  <c r="G12" i="31" s="1"/>
  <c r="G18" i="31" s="1"/>
  <c r="L3" i="28"/>
  <c r="G5" i="26"/>
  <c r="L5" i="26" s="1"/>
  <c r="G5" i="33"/>
  <c r="G5" i="41"/>
  <c r="L5" i="41" s="1"/>
  <c r="G5" i="42"/>
  <c r="L5" i="42" s="1"/>
  <c r="L3" i="41"/>
  <c r="G17" i="28"/>
  <c r="G12" i="28" s="1"/>
  <c r="G18" i="28" s="1"/>
  <c r="G5" i="32"/>
  <c r="L5" i="32" s="1"/>
  <c r="G5" i="27"/>
  <c r="L5" i="27" s="1"/>
  <c r="L3" i="27"/>
  <c r="L3" i="37"/>
  <c r="G5" i="29"/>
  <c r="L5" i="29" s="1"/>
  <c r="G5" i="38"/>
  <c r="L5" i="38" s="1"/>
  <c r="G5" i="36"/>
  <c r="L5" i="36" s="1"/>
  <c r="I8" i="43"/>
  <c r="I17" i="43" s="1"/>
  <c r="I13" i="43" s="1"/>
  <c r="G5" i="43"/>
  <c r="L5" i="43" s="1"/>
  <c r="I17" i="26"/>
  <c r="I13" i="26" s="1"/>
  <c r="K17" i="43"/>
  <c r="L9" i="43"/>
  <c r="N9" i="43" s="1"/>
  <c r="R9" i="43" s="1"/>
  <c r="I17" i="33"/>
  <c r="I13" i="33" s="1"/>
  <c r="B17" i="23"/>
  <c r="L16" i="23"/>
  <c r="I17" i="41"/>
  <c r="L8" i="41"/>
  <c r="R16" i="15"/>
  <c r="Q16" i="15"/>
  <c r="J17" i="22"/>
  <c r="J13" i="22" s="1"/>
  <c r="L3" i="21"/>
  <c r="G17" i="22"/>
  <c r="G12" i="22" s="1"/>
  <c r="G18" i="22" s="1"/>
  <c r="G12" i="11"/>
  <c r="G18" i="11" s="1"/>
  <c r="R2" i="15"/>
  <c r="N3" i="17"/>
  <c r="R3" i="17" s="1"/>
  <c r="R5" i="22"/>
  <c r="G5" i="21"/>
  <c r="L5" i="21" s="1"/>
  <c r="I13" i="17"/>
  <c r="N3" i="15"/>
  <c r="R3" i="15" s="1"/>
  <c r="G5" i="14"/>
  <c r="L5" i="14" s="1"/>
  <c r="L3" i="14"/>
  <c r="N5" i="29" l="1"/>
  <c r="Q5" i="29" s="1"/>
  <c r="L4" i="20"/>
  <c r="Q5" i="38"/>
  <c r="Q5" i="27"/>
  <c r="Q5" i="41"/>
  <c r="Q5" i="14"/>
  <c r="Q5" i="26"/>
  <c r="N3" i="18"/>
  <c r="R3" i="18" s="1"/>
  <c r="Q5" i="32"/>
  <c r="L5" i="16"/>
  <c r="Q5" i="43"/>
  <c r="N3" i="23"/>
  <c r="R3" i="23" s="1"/>
  <c r="Q5" i="21"/>
  <c r="Q5" i="17"/>
  <c r="E17" i="17" s="1"/>
  <c r="E12" i="17" s="1"/>
  <c r="E18" i="17" s="1"/>
  <c r="Q5" i="36"/>
  <c r="Q5" i="42"/>
  <c r="G12" i="16"/>
  <c r="G18" i="16" s="1"/>
  <c r="L5" i="33"/>
  <c r="H17" i="33"/>
  <c r="H12" i="33" s="1"/>
  <c r="H18" i="33" s="1"/>
  <c r="L14" i="20"/>
  <c r="J17" i="17"/>
  <c r="J13" i="17" s="1"/>
  <c r="E14" i="17" s="1"/>
  <c r="L8" i="11"/>
  <c r="N8" i="11" s="1"/>
  <c r="R8" i="11" s="1"/>
  <c r="L8" i="34"/>
  <c r="N8" i="34" s="1"/>
  <c r="L8" i="33"/>
  <c r="N8" i="33" s="1"/>
  <c r="R8" i="33" s="1"/>
  <c r="L8" i="22"/>
  <c r="N8" i="22" s="1"/>
  <c r="R8" i="22" s="1"/>
  <c r="L13" i="33"/>
  <c r="L8" i="16"/>
  <c r="N8" i="16" s="1"/>
  <c r="R8" i="16" s="1"/>
  <c r="L8" i="18"/>
  <c r="N8" i="18" s="1"/>
  <c r="R8" i="18" s="1"/>
  <c r="L8" i="19"/>
  <c r="N8" i="19" s="1"/>
  <c r="R8" i="19" s="1"/>
  <c r="L13" i="26"/>
  <c r="L8" i="21"/>
  <c r="N8" i="21" s="1"/>
  <c r="R8" i="21" s="1"/>
  <c r="L8" i="26"/>
  <c r="N8" i="26" s="1"/>
  <c r="R8" i="26" s="1"/>
  <c r="L8" i="31"/>
  <c r="N8" i="31" s="1"/>
  <c r="R8" i="31" s="1"/>
  <c r="L14" i="29"/>
  <c r="R14" i="29" s="1"/>
  <c r="N3" i="27"/>
  <c r="R3" i="27" s="1"/>
  <c r="N3" i="28"/>
  <c r="R3" i="28" s="1"/>
  <c r="N3" i="31"/>
  <c r="R3" i="31" s="1"/>
  <c r="N3" i="16"/>
  <c r="R3" i="16" s="1"/>
  <c r="N3" i="41"/>
  <c r="R3" i="41" s="1"/>
  <c r="N3" i="30"/>
  <c r="R3" i="30" s="1"/>
  <c r="N3" i="22"/>
  <c r="R3" i="22" s="1"/>
  <c r="N3" i="21"/>
  <c r="R3" i="21" s="1"/>
  <c r="N3" i="40"/>
  <c r="R3" i="40" s="1"/>
  <c r="N3" i="37"/>
  <c r="R3" i="37" s="1"/>
  <c r="M11" i="43"/>
  <c r="L8" i="29"/>
  <c r="N8" i="29" s="1"/>
  <c r="R8" i="29" s="1"/>
  <c r="L13" i="29"/>
  <c r="G17" i="17"/>
  <c r="G12" i="17" s="1"/>
  <c r="G18" i="17" s="1"/>
  <c r="L8" i="40"/>
  <c r="N8" i="40" s="1"/>
  <c r="R8" i="40" s="1"/>
  <c r="I17" i="40"/>
  <c r="I13" i="40" s="1"/>
  <c r="I17" i="28"/>
  <c r="I13" i="28" s="1"/>
  <c r="L8" i="28"/>
  <c r="N8" i="28" s="1"/>
  <c r="R8" i="28" s="1"/>
  <c r="I17" i="39"/>
  <c r="I13" i="39" s="1"/>
  <c r="L8" i="39"/>
  <c r="N8" i="39" s="1"/>
  <c r="R8" i="39" s="1"/>
  <c r="L8" i="38"/>
  <c r="N8" i="38" s="1"/>
  <c r="R8" i="38" s="1"/>
  <c r="I17" i="38"/>
  <c r="I13" i="38" s="1"/>
  <c r="I17" i="32"/>
  <c r="I13" i="32" s="1"/>
  <c r="L8" i="32"/>
  <c r="N8" i="32" s="1"/>
  <c r="R8" i="32" s="1"/>
  <c r="J18" i="37"/>
  <c r="J8" i="37" s="1"/>
  <c r="J17" i="37" s="1"/>
  <c r="J13" i="37" s="1"/>
  <c r="I8" i="37"/>
  <c r="E17" i="40"/>
  <c r="E12" i="40" s="1"/>
  <c r="L8" i="23"/>
  <c r="N8" i="23" s="1"/>
  <c r="R8" i="23" s="1"/>
  <c r="I17" i="23"/>
  <c r="I13" i="23" s="1"/>
  <c r="I17" i="24"/>
  <c r="I13" i="24" s="1"/>
  <c r="L8" i="24"/>
  <c r="N8" i="24" s="1"/>
  <c r="R8" i="24" s="1"/>
  <c r="E17" i="31"/>
  <c r="E12" i="31" s="1"/>
  <c r="E18" i="31" s="1"/>
  <c r="I17" i="27"/>
  <c r="I13" i="27" s="1"/>
  <c r="L8" i="27"/>
  <c r="N8" i="27" s="1"/>
  <c r="R8" i="27" s="1"/>
  <c r="L8" i="30"/>
  <c r="N8" i="30" s="1"/>
  <c r="R8" i="30" s="1"/>
  <c r="I17" i="30"/>
  <c r="I13" i="30" s="1"/>
  <c r="I17" i="36"/>
  <c r="I13" i="36" s="1"/>
  <c r="L8" i="36"/>
  <c r="N8" i="36" s="1"/>
  <c r="R8" i="36" s="1"/>
  <c r="I17" i="42"/>
  <c r="I13" i="42" s="1"/>
  <c r="L8" i="42"/>
  <c r="N8" i="42" s="1"/>
  <c r="R8" i="42" s="1"/>
  <c r="R5" i="17"/>
  <c r="G17" i="41"/>
  <c r="G12" i="41" s="1"/>
  <c r="G18" i="41" s="1"/>
  <c r="G17" i="32"/>
  <c r="G12" i="32" s="1"/>
  <c r="G18" i="32" s="1"/>
  <c r="G17" i="26"/>
  <c r="G12" i="26" s="1"/>
  <c r="G18" i="26" s="1"/>
  <c r="G17" i="27"/>
  <c r="G12" i="27" s="1"/>
  <c r="G18" i="27" s="1"/>
  <c r="G17" i="38"/>
  <c r="G12" i="38" s="1"/>
  <c r="G18" i="38" s="1"/>
  <c r="G17" i="33"/>
  <c r="G12" i="33" s="1"/>
  <c r="G18" i="33" s="1"/>
  <c r="G17" i="42"/>
  <c r="G12" i="42" s="1"/>
  <c r="G18" i="42" s="1"/>
  <c r="G17" i="43"/>
  <c r="G12" i="43" s="1"/>
  <c r="G18" i="43" s="1"/>
  <c r="G17" i="29"/>
  <c r="G12" i="29" s="1"/>
  <c r="G18" i="29" s="1"/>
  <c r="R5" i="26"/>
  <c r="G17" i="36"/>
  <c r="G12" i="36" s="1"/>
  <c r="G18" i="36" s="1"/>
  <c r="R5" i="42"/>
  <c r="E14" i="33"/>
  <c r="R5" i="32"/>
  <c r="R5" i="41"/>
  <c r="R5" i="38"/>
  <c r="L8" i="43"/>
  <c r="N8" i="43" s="1"/>
  <c r="R8" i="43" s="1"/>
  <c r="G5" i="37"/>
  <c r="L5" i="37" s="1"/>
  <c r="R5" i="36"/>
  <c r="E14" i="26"/>
  <c r="R5" i="27"/>
  <c r="R5" i="43"/>
  <c r="E14" i="31"/>
  <c r="L12" i="28"/>
  <c r="K13" i="43"/>
  <c r="K18" i="43" s="1"/>
  <c r="L12" i="30"/>
  <c r="R16" i="23"/>
  <c r="Q16" i="23"/>
  <c r="B12" i="23"/>
  <c r="B18" i="23" s="1"/>
  <c r="L13" i="34"/>
  <c r="N8" i="41"/>
  <c r="I13" i="41"/>
  <c r="E14" i="16"/>
  <c r="L13" i="16"/>
  <c r="L13" i="21"/>
  <c r="E14" i="21"/>
  <c r="G17" i="21"/>
  <c r="G12" i="21" s="1"/>
  <c r="G18" i="21" s="1"/>
  <c r="G17" i="14"/>
  <c r="E14" i="11"/>
  <c r="E17" i="22"/>
  <c r="L17" i="22" s="1"/>
  <c r="L13" i="19"/>
  <c r="E14" i="19"/>
  <c r="E14" i="22"/>
  <c r="L13" i="22"/>
  <c r="L13" i="18"/>
  <c r="R5" i="21"/>
  <c r="N3" i="14"/>
  <c r="R3" i="14" s="1"/>
  <c r="R5" i="14"/>
  <c r="R5" i="29" l="1"/>
  <c r="L5" i="34"/>
  <c r="R5" i="16"/>
  <c r="R11" i="43"/>
  <c r="Q5" i="16"/>
  <c r="E17" i="16" s="1"/>
  <c r="L17" i="16" s="1"/>
  <c r="Q5" i="37"/>
  <c r="N4" i="20"/>
  <c r="R4" i="20" s="1"/>
  <c r="Q5" i="33"/>
  <c r="E17" i="33" s="1"/>
  <c r="E12" i="33" s="1"/>
  <c r="E18" i="33" s="1"/>
  <c r="G12" i="14"/>
  <c r="G18" i="14" s="1"/>
  <c r="R5" i="33"/>
  <c r="L12" i="40"/>
  <c r="Q12" i="40" s="1"/>
  <c r="E18" i="40"/>
  <c r="L5" i="20"/>
  <c r="Q14" i="20"/>
  <c r="R14" i="20"/>
  <c r="L13" i="15"/>
  <c r="L13" i="17"/>
  <c r="Q14" i="29"/>
  <c r="L14" i="11"/>
  <c r="Q14" i="11" s="1"/>
  <c r="L14" i="33"/>
  <c r="R14" i="33" s="1"/>
  <c r="L14" i="21"/>
  <c r="R14" i="21" s="1"/>
  <c r="L14" i="15"/>
  <c r="R14" i="15" s="1"/>
  <c r="L14" i="26"/>
  <c r="R14" i="26" s="1"/>
  <c r="L14" i="16"/>
  <c r="Q14" i="16" s="1"/>
  <c r="L14" i="31"/>
  <c r="R14" i="31" s="1"/>
  <c r="L17" i="28"/>
  <c r="Q17" i="28" s="1"/>
  <c r="R8" i="41"/>
  <c r="R8" i="34"/>
  <c r="L12" i="31"/>
  <c r="Q12" i="31" s="1"/>
  <c r="L17" i="31"/>
  <c r="R17" i="31" s="1"/>
  <c r="L12" i="17"/>
  <c r="Q12" i="17" s="1"/>
  <c r="L17" i="23"/>
  <c r="R17" i="23" s="1"/>
  <c r="L17" i="17"/>
  <c r="R17" i="17" s="1"/>
  <c r="L17" i="40"/>
  <c r="R17" i="40" s="1"/>
  <c r="E17" i="36"/>
  <c r="E12" i="36" s="1"/>
  <c r="E18" i="36" s="1"/>
  <c r="E17" i="41"/>
  <c r="E12" i="41" s="1"/>
  <c r="E18" i="41" s="1"/>
  <c r="L17" i="30"/>
  <c r="Q17" i="30" s="1"/>
  <c r="E14" i="42"/>
  <c r="L13" i="42"/>
  <c r="E14" i="23"/>
  <c r="L13" i="23"/>
  <c r="E14" i="39"/>
  <c r="L13" i="39"/>
  <c r="E17" i="32"/>
  <c r="E12" i="32" s="1"/>
  <c r="E18" i="32" s="1"/>
  <c r="E17" i="26"/>
  <c r="E12" i="26" s="1"/>
  <c r="E18" i="26" s="1"/>
  <c r="E14" i="36"/>
  <c r="L13" i="36"/>
  <c r="E14" i="28"/>
  <c r="L13" i="28"/>
  <c r="E17" i="43"/>
  <c r="E12" i="43" s="1"/>
  <c r="E18" i="43" s="1"/>
  <c r="L13" i="30"/>
  <c r="E14" i="30"/>
  <c r="L8" i="37"/>
  <c r="N8" i="37" s="1"/>
  <c r="R8" i="37" s="1"/>
  <c r="I17" i="37"/>
  <c r="I13" i="37" s="1"/>
  <c r="L13" i="40"/>
  <c r="E14" i="40"/>
  <c r="E17" i="29"/>
  <c r="E15" i="29" s="1"/>
  <c r="E17" i="27"/>
  <c r="L13" i="27"/>
  <c r="E14" i="27"/>
  <c r="L13" i="32"/>
  <c r="E14" i="32"/>
  <c r="E17" i="38"/>
  <c r="E12" i="38" s="1"/>
  <c r="E18" i="38" s="1"/>
  <c r="E17" i="42"/>
  <c r="E12" i="42" s="1"/>
  <c r="E18" i="42" s="1"/>
  <c r="L13" i="38"/>
  <c r="E14" i="38"/>
  <c r="L13" i="24"/>
  <c r="E14" i="24"/>
  <c r="G17" i="37"/>
  <c r="G12" i="37" s="1"/>
  <c r="G18" i="37" s="1"/>
  <c r="E15" i="31"/>
  <c r="R5" i="37"/>
  <c r="E14" i="43"/>
  <c r="R12" i="30"/>
  <c r="Q12" i="30"/>
  <c r="R12" i="28"/>
  <c r="Q12" i="28"/>
  <c r="L13" i="43"/>
  <c r="L12" i="23"/>
  <c r="L14" i="34"/>
  <c r="Q14" i="34" s="1"/>
  <c r="E14" i="41"/>
  <c r="L13" i="41"/>
  <c r="R17" i="22"/>
  <c r="Q17" i="22"/>
  <c r="E12" i="22"/>
  <c r="E18" i="22" s="1"/>
  <c r="E17" i="21"/>
  <c r="L17" i="21" s="1"/>
  <c r="L14" i="18"/>
  <c r="L14" i="22"/>
  <c r="L14" i="19"/>
  <c r="E15" i="22"/>
  <c r="L14" i="17"/>
  <c r="E15" i="17"/>
  <c r="E17" i="14"/>
  <c r="Q5" i="34" l="1"/>
  <c r="E17" i="34" s="1"/>
  <c r="R5" i="34"/>
  <c r="L4" i="34"/>
  <c r="N4" i="34" s="1"/>
  <c r="R4" i="34" s="1"/>
  <c r="L5" i="18"/>
  <c r="Q5" i="20"/>
  <c r="E17" i="20" s="1"/>
  <c r="L5" i="39"/>
  <c r="L4" i="18"/>
  <c r="R12" i="40"/>
  <c r="L12" i="41"/>
  <c r="R12" i="41" s="1"/>
  <c r="L3" i="20"/>
  <c r="G17" i="20"/>
  <c r="G12" i="20" s="1"/>
  <c r="G18" i="20" s="1"/>
  <c r="R5" i="20"/>
  <c r="Q14" i="15"/>
  <c r="R14" i="11"/>
  <c r="Q14" i="31"/>
  <c r="R14" i="16"/>
  <c r="Q14" i="21"/>
  <c r="Q14" i="33"/>
  <c r="M13" i="31"/>
  <c r="R17" i="28"/>
  <c r="L14" i="39"/>
  <c r="Q14" i="39" s="1"/>
  <c r="L14" i="32"/>
  <c r="R14" i="32" s="1"/>
  <c r="L14" i="27"/>
  <c r="Q14" i="27" s="1"/>
  <c r="L14" i="42"/>
  <c r="Q14" i="42" s="1"/>
  <c r="L14" i="38"/>
  <c r="R14" i="38" s="1"/>
  <c r="Q14" i="26"/>
  <c r="L14" i="40"/>
  <c r="Q14" i="40" s="1"/>
  <c r="L14" i="36"/>
  <c r="R14" i="36" s="1"/>
  <c r="Q17" i="31"/>
  <c r="Q17" i="23"/>
  <c r="R12" i="17"/>
  <c r="Q17" i="17"/>
  <c r="R12" i="31"/>
  <c r="L12" i="26"/>
  <c r="Q12" i="26" s="1"/>
  <c r="R17" i="30"/>
  <c r="E15" i="43"/>
  <c r="E12" i="29"/>
  <c r="E18" i="29" s="1"/>
  <c r="E15" i="26"/>
  <c r="L17" i="43"/>
  <c r="R17" i="43" s="1"/>
  <c r="L17" i="32"/>
  <c r="R17" i="32" s="1"/>
  <c r="E15" i="27"/>
  <c r="L17" i="29"/>
  <c r="R17" i="29" s="1"/>
  <c r="L12" i="43"/>
  <c r="R12" i="43" s="1"/>
  <c r="E15" i="36"/>
  <c r="L17" i="41"/>
  <c r="R17" i="41" s="1"/>
  <c r="L17" i="36"/>
  <c r="Q17" i="36" s="1"/>
  <c r="L17" i="38"/>
  <c r="R17" i="38" s="1"/>
  <c r="L17" i="33"/>
  <c r="Q17" i="33" s="1"/>
  <c r="Q17" i="40"/>
  <c r="E15" i="42"/>
  <c r="L17" i="27"/>
  <c r="R17" i="27" s="1"/>
  <c r="E12" i="27"/>
  <c r="L12" i="33"/>
  <c r="Q12" i="33" s="1"/>
  <c r="E15" i="32"/>
  <c r="E15" i="33"/>
  <c r="E17" i="37"/>
  <c r="E12" i="37" s="1"/>
  <c r="E18" i="37" s="1"/>
  <c r="L14" i="28"/>
  <c r="E15" i="28"/>
  <c r="E15" i="38"/>
  <c r="L13" i="37"/>
  <c r="E14" i="37"/>
  <c r="L14" i="30"/>
  <c r="E15" i="30"/>
  <c r="L17" i="42"/>
  <c r="Q17" i="42" s="1"/>
  <c r="L17" i="26"/>
  <c r="Q17" i="26" s="1"/>
  <c r="L14" i="24"/>
  <c r="E15" i="40"/>
  <c r="L14" i="23"/>
  <c r="E15" i="23"/>
  <c r="L15" i="31"/>
  <c r="R15" i="31" s="1"/>
  <c r="L14" i="43"/>
  <c r="Q14" i="43" s="1"/>
  <c r="L12" i="42"/>
  <c r="L12" i="32"/>
  <c r="L12" i="36"/>
  <c r="L15" i="29"/>
  <c r="M13" i="29"/>
  <c r="L12" i="38"/>
  <c r="R12" i="23"/>
  <c r="Q12" i="23"/>
  <c r="R14" i="34"/>
  <c r="L14" i="41"/>
  <c r="E15" i="41"/>
  <c r="R17" i="16"/>
  <c r="Q17" i="16"/>
  <c r="R17" i="21"/>
  <c r="Q17" i="21"/>
  <c r="R14" i="19"/>
  <c r="Q14" i="19"/>
  <c r="R14" i="17"/>
  <c r="Q14" i="17"/>
  <c r="R14" i="22"/>
  <c r="Q14" i="22"/>
  <c r="R14" i="18"/>
  <c r="Q14" i="18"/>
  <c r="E15" i="16"/>
  <c r="E12" i="21"/>
  <c r="E18" i="21" s="1"/>
  <c r="L12" i="22"/>
  <c r="E15" i="21"/>
  <c r="E12" i="16"/>
  <c r="E18" i="16" s="1"/>
  <c r="M13" i="22"/>
  <c r="L15" i="22"/>
  <c r="M13" i="17"/>
  <c r="L15" i="17"/>
  <c r="E12" i="14"/>
  <c r="E12" i="34" l="1"/>
  <c r="E18" i="34" s="1"/>
  <c r="E15" i="34"/>
  <c r="L17" i="34"/>
  <c r="Q17" i="34" s="1"/>
  <c r="Q13" i="31"/>
  <c r="N4" i="18"/>
  <c r="R4" i="18" s="1"/>
  <c r="N3" i="20"/>
  <c r="R3" i="20" s="1"/>
  <c r="Q5" i="39"/>
  <c r="E17" i="39" s="1"/>
  <c r="R5" i="39"/>
  <c r="L4" i="39"/>
  <c r="G17" i="39"/>
  <c r="G12" i="39" s="1"/>
  <c r="G18" i="39" s="1"/>
  <c r="L5" i="24"/>
  <c r="G17" i="24"/>
  <c r="G12" i="24" s="1"/>
  <c r="G18" i="24" s="1"/>
  <c r="L3" i="24"/>
  <c r="Q12" i="41"/>
  <c r="L12" i="27"/>
  <c r="Q12" i="27" s="1"/>
  <c r="E18" i="27"/>
  <c r="L12" i="14"/>
  <c r="R12" i="14" s="1"/>
  <c r="E18" i="14"/>
  <c r="E15" i="20"/>
  <c r="E12" i="20"/>
  <c r="E18" i="20" s="1"/>
  <c r="L17" i="20"/>
  <c r="R14" i="39"/>
  <c r="R14" i="40"/>
  <c r="R13" i="31"/>
  <c r="Q14" i="32"/>
  <c r="R14" i="27"/>
  <c r="R14" i="42"/>
  <c r="Q14" i="38"/>
  <c r="M13" i="27"/>
  <c r="L15" i="33"/>
  <c r="Q15" i="33" s="1"/>
  <c r="Q14" i="36"/>
  <c r="M13" i="32"/>
  <c r="L15" i="21"/>
  <c r="Q15" i="21" s="1"/>
  <c r="M13" i="26"/>
  <c r="L15" i="36"/>
  <c r="R15" i="36" s="1"/>
  <c r="M13" i="43"/>
  <c r="L15" i="16"/>
  <c r="R15" i="16" s="1"/>
  <c r="L15" i="34"/>
  <c r="Q15" i="34" s="1"/>
  <c r="L14" i="37"/>
  <c r="Q14" i="37" s="1"/>
  <c r="L15" i="43"/>
  <c r="Q15" i="43" s="1"/>
  <c r="L15" i="26"/>
  <c r="R15" i="26" s="1"/>
  <c r="R17" i="36"/>
  <c r="Q17" i="32"/>
  <c r="Q17" i="41"/>
  <c r="Q17" i="29"/>
  <c r="M13" i="34"/>
  <c r="M13" i="36"/>
  <c r="R17" i="33"/>
  <c r="L12" i="29"/>
  <c r="R12" i="29" s="1"/>
  <c r="R12" i="26"/>
  <c r="L15" i="27"/>
  <c r="Q15" i="27" s="1"/>
  <c r="L15" i="32"/>
  <c r="Q15" i="32" s="1"/>
  <c r="Q17" i="38"/>
  <c r="Q17" i="43"/>
  <c r="Q12" i="43"/>
  <c r="R12" i="33"/>
  <c r="Q17" i="27"/>
  <c r="L17" i="37"/>
  <c r="Q17" i="37" s="1"/>
  <c r="E15" i="37"/>
  <c r="R17" i="42"/>
  <c r="M13" i="33"/>
  <c r="L15" i="42"/>
  <c r="M13" i="42"/>
  <c r="L15" i="28"/>
  <c r="M13" i="28"/>
  <c r="Q14" i="28"/>
  <c r="R14" i="28"/>
  <c r="L15" i="38"/>
  <c r="M13" i="38"/>
  <c r="L15" i="23"/>
  <c r="M13" i="23"/>
  <c r="R14" i="23"/>
  <c r="Q14" i="23"/>
  <c r="R17" i="26"/>
  <c r="M13" i="40"/>
  <c r="L15" i="40"/>
  <c r="M13" i="30"/>
  <c r="L15" i="30"/>
  <c r="Q14" i="30"/>
  <c r="R14" i="30"/>
  <c r="R14" i="24"/>
  <c r="Q14" i="24"/>
  <c r="Q15" i="31"/>
  <c r="R14" i="43"/>
  <c r="R12" i="32"/>
  <c r="Q12" i="32"/>
  <c r="R12" i="42"/>
  <c r="Q12" i="42"/>
  <c r="R13" i="29"/>
  <c r="Q13" i="29"/>
  <c r="L12" i="37"/>
  <c r="R15" i="29"/>
  <c r="Q15" i="29"/>
  <c r="Q12" i="36"/>
  <c r="R12" i="36"/>
  <c r="R12" i="38"/>
  <c r="Q12" i="38"/>
  <c r="L15" i="41"/>
  <c r="M13" i="41"/>
  <c r="Q14" i="41"/>
  <c r="R14" i="41"/>
  <c r="R15" i="17"/>
  <c r="Q15" i="17"/>
  <c r="R15" i="22"/>
  <c r="Q15" i="22"/>
  <c r="R13" i="17"/>
  <c r="Q13" i="17"/>
  <c r="R13" i="22"/>
  <c r="Q13" i="22"/>
  <c r="R12" i="22"/>
  <c r="Q12" i="22"/>
  <c r="L12" i="21"/>
  <c r="M13" i="16"/>
  <c r="L12" i="16"/>
  <c r="M13" i="21"/>
  <c r="L12" i="34" l="1"/>
  <c r="Q12" i="34" s="1"/>
  <c r="R17" i="34"/>
  <c r="R12" i="34"/>
  <c r="Q13" i="16"/>
  <c r="R13" i="33"/>
  <c r="R13" i="32"/>
  <c r="Q13" i="27"/>
  <c r="Q13" i="26"/>
  <c r="R13" i="36"/>
  <c r="Q13" i="21"/>
  <c r="R13" i="34"/>
  <c r="R13" i="43"/>
  <c r="N3" i="24"/>
  <c r="R3" i="24" s="1"/>
  <c r="R5" i="24"/>
  <c r="N4" i="39"/>
  <c r="R4" i="39" s="1"/>
  <c r="L17" i="39"/>
  <c r="E12" i="39"/>
  <c r="E15" i="39"/>
  <c r="Q5" i="24"/>
  <c r="E17" i="24" s="1"/>
  <c r="E12" i="24" s="1"/>
  <c r="R12" i="27"/>
  <c r="Q12" i="14"/>
  <c r="R17" i="20"/>
  <c r="Q17" i="20"/>
  <c r="L12" i="20"/>
  <c r="M13" i="20"/>
  <c r="L15" i="20"/>
  <c r="Q13" i="32"/>
  <c r="R15" i="21"/>
  <c r="R15" i="33"/>
  <c r="R13" i="26"/>
  <c r="Q15" i="36"/>
  <c r="R14" i="37"/>
  <c r="Q13" i="43"/>
  <c r="R13" i="27"/>
  <c r="Q15" i="16"/>
  <c r="R15" i="34"/>
  <c r="M13" i="37"/>
  <c r="Q15" i="26"/>
  <c r="R15" i="43"/>
  <c r="R15" i="32"/>
  <c r="Q13" i="34"/>
  <c r="Q12" i="29"/>
  <c r="Q13" i="36"/>
  <c r="R15" i="27"/>
  <c r="R17" i="37"/>
  <c r="L15" i="37"/>
  <c r="R15" i="37" s="1"/>
  <c r="Q13" i="33"/>
  <c r="Q13" i="42"/>
  <c r="R13" i="42"/>
  <c r="R15" i="42"/>
  <c r="Q15" i="42"/>
  <c r="R13" i="23"/>
  <c r="Q13" i="23"/>
  <c r="R15" i="23"/>
  <c r="Q15" i="23"/>
  <c r="R13" i="40"/>
  <c r="Q13" i="40"/>
  <c r="Q13" i="38"/>
  <c r="R13" i="38"/>
  <c r="Q15" i="30"/>
  <c r="R15" i="30"/>
  <c r="Q15" i="38"/>
  <c r="R15" i="38"/>
  <c r="Q13" i="30"/>
  <c r="R13" i="30"/>
  <c r="Q15" i="40"/>
  <c r="R15" i="40"/>
  <c r="R13" i="28"/>
  <c r="Q13" i="28"/>
  <c r="R15" i="28"/>
  <c r="Q15" i="28"/>
  <c r="R12" i="37"/>
  <c r="Q12" i="37"/>
  <c r="R13" i="41"/>
  <c r="Q13" i="41"/>
  <c r="R15" i="41"/>
  <c r="Q15" i="41"/>
  <c r="R12" i="21"/>
  <c r="Q12" i="21"/>
  <c r="R12" i="16"/>
  <c r="Q12" i="16"/>
  <c r="R13" i="21"/>
  <c r="R13" i="16"/>
  <c r="Q13" i="37" l="1"/>
  <c r="M13" i="39"/>
  <c r="L15" i="39"/>
  <c r="L12" i="39"/>
  <c r="E18" i="39"/>
  <c r="Q17" i="39"/>
  <c r="R17" i="39"/>
  <c r="E15" i="24"/>
  <c r="L17" i="24"/>
  <c r="Q17" i="24" s="1"/>
  <c r="E18" i="24"/>
  <c r="L12" i="24"/>
  <c r="R15" i="20"/>
  <c r="Q15" i="20"/>
  <c r="Q13" i="20"/>
  <c r="R13" i="20"/>
  <c r="Q12" i="20"/>
  <c r="R12" i="20"/>
  <c r="R13" i="37"/>
  <c r="Q15" i="37"/>
  <c r="L2" i="14"/>
  <c r="P2" i="14" s="1"/>
  <c r="L15" i="24" l="1"/>
  <c r="Q15" i="24" s="1"/>
  <c r="R12" i="39"/>
  <c r="Q12" i="39"/>
  <c r="Q15" i="39"/>
  <c r="R15" i="39"/>
  <c r="Q13" i="39"/>
  <c r="R13" i="39"/>
  <c r="M13" i="24"/>
  <c r="R17" i="24"/>
  <c r="R12" i="24"/>
  <c r="Q12" i="24"/>
  <c r="N2" i="14"/>
  <c r="L3" i="11"/>
  <c r="C12" i="11"/>
  <c r="C18" i="11" s="1"/>
  <c r="Q13" i="24" l="1"/>
  <c r="R15" i="24"/>
  <c r="R13" i="24"/>
  <c r="R2" i="14"/>
  <c r="N3" i="11"/>
  <c r="R3" i="11" s="1"/>
  <c r="L5" i="15" l="1"/>
  <c r="Q5" i="15" l="1"/>
  <c r="E17" i="15" s="1"/>
  <c r="L4" i="15"/>
  <c r="R5" i="15"/>
  <c r="E15" i="15" l="1"/>
  <c r="E12" i="15"/>
  <c r="E18" i="15" s="1"/>
  <c r="N4" i="15"/>
  <c r="L17" i="15"/>
  <c r="R4" i="15" l="1"/>
  <c r="R17" i="15"/>
  <c r="Q17" i="15"/>
  <c r="L15" i="15" l="1"/>
  <c r="R15" i="15" s="1"/>
  <c r="M13" i="15"/>
  <c r="L12" i="15"/>
  <c r="H12" i="11"/>
  <c r="H18" i="11" s="1"/>
  <c r="L5" i="11"/>
  <c r="R13" i="15" l="1"/>
  <c r="Q5" i="11"/>
  <c r="Q15" i="15"/>
  <c r="Q13" i="15"/>
  <c r="R12" i="15"/>
  <c r="Q12" i="15"/>
  <c r="R5" i="11"/>
  <c r="E17" i="11" l="1"/>
  <c r="L17" i="11" s="1"/>
  <c r="R17" i="11" l="1"/>
  <c r="Q17" i="11"/>
  <c r="E15" i="11"/>
  <c r="E12" i="11"/>
  <c r="E18" i="11" s="1"/>
  <c r="M13" i="11" l="1"/>
  <c r="L12" i="11"/>
  <c r="L15" i="11"/>
  <c r="J8" i="14"/>
  <c r="J17" i="14" s="1"/>
  <c r="I8" i="14"/>
  <c r="I17" i="14" s="1"/>
  <c r="Q13" i="11" l="1"/>
  <c r="R13" i="11"/>
  <c r="R15" i="11"/>
  <c r="Q15" i="11"/>
  <c r="R12" i="11"/>
  <c r="Q12" i="11"/>
  <c r="L17" i="14"/>
  <c r="I13" i="14"/>
  <c r="J13" i="14"/>
  <c r="L8" i="14"/>
  <c r="N8" i="14" s="1"/>
  <c r="R17" i="14" l="1"/>
  <c r="Q17" i="14"/>
  <c r="R8" i="14"/>
  <c r="E14" i="14"/>
  <c r="L13" i="14"/>
  <c r="L14" i="14" l="1"/>
  <c r="E15" i="14"/>
  <c r="R14" i="14" l="1"/>
  <c r="Q14" i="14"/>
  <c r="M13" i="14"/>
  <c r="L15" i="14"/>
  <c r="R15" i="14" l="1"/>
  <c r="Q15" i="14"/>
  <c r="R13" i="14"/>
  <c r="Q13" i="14"/>
  <c r="F3" i="19" l="1"/>
  <c r="G3" i="19" s="1"/>
  <c r="G5" i="19" l="1"/>
  <c r="L5" i="19" s="1"/>
  <c r="F17" i="19"/>
  <c r="F12" i="19" s="1"/>
  <c r="F18" i="19" s="1"/>
  <c r="L3" i="19" l="1"/>
  <c r="Q5" i="19"/>
  <c r="R5" i="19"/>
  <c r="G17" i="19"/>
  <c r="G12" i="19" s="1"/>
  <c r="G18" i="19" s="1"/>
  <c r="N3" i="19" l="1"/>
  <c r="R3" i="19" s="1"/>
  <c r="E17" i="19"/>
  <c r="E12" i="19" l="1"/>
  <c r="E15" i="19"/>
  <c r="L17" i="19"/>
  <c r="Q17" i="19" s="1"/>
  <c r="L12" i="19" l="1"/>
  <c r="Q12" i="19" s="1"/>
  <c r="E18" i="19"/>
  <c r="L15" i="19"/>
  <c r="R15" i="19" s="1"/>
  <c r="R17" i="19"/>
  <c r="M13" i="19"/>
  <c r="Q13" i="19" l="1"/>
  <c r="R12" i="19"/>
  <c r="Q15" i="19"/>
  <c r="R13" i="19"/>
  <c r="Q5" i="18" l="1"/>
  <c r="E17" i="18" s="1"/>
  <c r="R5" i="18"/>
  <c r="E15" i="18" l="1"/>
  <c r="E12" i="18"/>
  <c r="E18" i="18" s="1"/>
  <c r="L17" i="18"/>
  <c r="R17" i="18" l="1"/>
  <c r="Q17" i="18"/>
  <c r="L12" i="18"/>
  <c r="L15" i="18"/>
  <c r="M13" i="18"/>
  <c r="Q13" i="18" l="1"/>
  <c r="R13" i="18"/>
  <c r="Q15" i="18"/>
  <c r="R15" i="18"/>
  <c r="Q12" i="18"/>
  <c r="R1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<sst xmlns="http://schemas.openxmlformats.org/spreadsheetml/2006/main" count="1164" uniqueCount="109">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</sst>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1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3" borderId="0" xfId="1" applyNumberFormat="1" applyFont="1" applyFill="1" applyBorder="1"/>
    <xf numFmtId="168" fontId="0" fillId="2" borderId="0" xfId="1" applyNumberFormat="1" applyFont="1" applyFill="1" applyBorder="1"/>
    <xf numFmtId="41" fontId="0" fillId="2" borderId="7" xfId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>
            <v>569.5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10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411037.02687410789</v>
      </c>
      <c r="D3" s="1">
        <f>VLOOKUP($B3, '[1]Pro of iron ore'!$B$2:$X$31, $A$1, FALSE)*(1-VLOOKUP($B3, '[1]Foundry share'!$B$2:$X$31, $A$1, FALSE))</f>
        <v>254662.23505322781</v>
      </c>
      <c r="E3" s="47">
        <f>VLOOKUP($B3, '[1]Iron content'!$B$2:$X$31, $A$1, FALSE)</f>
        <v>0.61956032766660107</v>
      </c>
      <c r="F3" s="1">
        <f>VLOOKUP($B3, '[1]Exp of usable iron ore'!$B$2:$X$31, $A$1, FALSE)*parameters!$B$12</f>
        <v>6.5</v>
      </c>
      <c r="G3" s="1">
        <f>VLOOKUP($B3, '[1]Pro of pig iron'!$B$2:$X$31, $A$1, FALSE)*(1-VLOOKUP($B3, '[1]Foundry share'!$B$2:$X$31, $A$1, FALSE))</f>
        <v>455775.60442900396</v>
      </c>
      <c r="H3" s="1">
        <f>VLOOKUP($B3, '[1]Exp of pig iron'!$B$2:$X$31, $A$1, FALSE)</f>
        <v>251</v>
      </c>
      <c r="I3" s="1">
        <f>VLOOKUP($B3, '[1]Imp of pig iron'!$B$2:$X$31, $A$1, FALSE)</f>
        <v>356</v>
      </c>
      <c r="J3" s="1">
        <f>VLOOKUP($B3, '[1]Pro of DRI'!$B$2:$X$31, $A$1, FALSE)</f>
        <v>600</v>
      </c>
      <c r="K3" s="1">
        <f>VLOOKUP($B3, '[1]Exp of DRI'!$B$2:$X$31, $A$1, FALSE)</f>
        <v>12</v>
      </c>
      <c r="L3" s="1">
        <f>VLOOKUP($B3, '[1]Imp of DRI'!$B$2:$X$31, $A$1, FALSE)</f>
        <v>600</v>
      </c>
      <c r="M3" s="1">
        <f>VLOOKUP($B3, '[1]Exp of scrap'!$B$2:$X$31, $A$1, FALSE)</f>
        <v>0</v>
      </c>
      <c r="N3" s="1">
        <f>VLOOKUP($B3, '[1]Imp of scrap'!$B$2:$X$31, $A$1, FALSE)</f>
        <v>3590</v>
      </c>
      <c r="O3" s="1">
        <f>VLOOKUP($B3, '[1]Pro of BOF steel'!$B$2:$X$31, $A$1, FALSE)</f>
        <v>447762</v>
      </c>
      <c r="P3" s="1">
        <f>VLOOKUP($B3, '[1]Pro of OHF steel'!$B$2:$X$31, $A$1, FALSE)</f>
        <v>0</v>
      </c>
      <c r="Q3" s="1">
        <f>VLOOKUP($B3, '[1]Pro of EAF steel'!$B$2:$X$31, $A$1, FALSE)</f>
        <v>63413</v>
      </c>
      <c r="R3" s="1">
        <f>VLOOKUP($B3, '[1]Exp of ingots and semis'!$B$2:$X$31, $A$1, FALSE)</f>
        <v>1319</v>
      </c>
      <c r="S3" s="1">
        <f>VLOOKUP($B3, '[1]Imp of ingots and semis'!$B$2:$X$31, $A$1, FALSE)</f>
        <v>280</v>
      </c>
      <c r="T3" s="1">
        <f>VLOOKUP($B3, '[1]Pro of hr long'!$B$2:$X$31, $A$1, FALSE)+VLOOKUP($B3, '[1]Pro of seamless tubes'!$B$2:$X$31, $A$1, FALSE)</f>
        <v>297267</v>
      </c>
      <c r="U3" s="1">
        <f>VLOOKUP($B3, '[1]Exp of long'!$B$2:$X$31, $A$1, FALSE)</f>
        <v>18467</v>
      </c>
      <c r="V3" s="1">
        <f>VLOOKUP($B3, '[1]Imp of long'!$B$2:$X$31, $A$1, FALSE)</f>
        <v>1489</v>
      </c>
      <c r="W3" s="1">
        <f>VLOOKUP($B3, '[1]Pro of hr flat'!$B$2:$X$31, $A$1, FALSE)*parameters!$B$8</f>
        <v>195528.42389758179</v>
      </c>
      <c r="X3" s="1">
        <f>VLOOKUP($B3, '[1]Exp of flat'!$B$2:$X$31, $A$1, FALSE)</f>
        <v>28800</v>
      </c>
      <c r="Y3" s="1">
        <f>VLOOKUP($B3, '[1]Imp of flat'!$B$2:$X$31, $A$1, FALSE)</f>
        <v>12733</v>
      </c>
      <c r="Z3" s="1">
        <f>VLOOKUP($B3, '[1]Indirect exp'!$B$2:$X$31, $A$1, FALSE)</f>
        <v>56068</v>
      </c>
      <c r="AA3" s="1">
        <f>VLOOKUP($B3, '[1]Indirect imp'!$B$2:$X$31, $A$1, FALSE)</f>
        <v>8923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190901.85874430611</v>
      </c>
      <c r="D4" s="1">
        <f>VLOOKUP($B4, '[1]Pro of iron ore'!$B$2:$X$31, $A$1, FALSE)*(1-VLOOKUP($B4, '[1]Foundry share'!$B$2:$X$31, $A$1, FALSE))</f>
        <v>123218.47246223394</v>
      </c>
      <c r="E4" s="47">
        <f>VLOOKUP($B4, '[1]Iron content'!$B$2:$X$31, $A$1, FALSE)</f>
        <v>0.6454545454545455</v>
      </c>
      <c r="F4" s="1">
        <f>VLOOKUP($B4, '[1]Exp of usable iron ore'!$B$2:$X$31, $A$1, FALSE)*parameters!$B$12</f>
        <v>65912.600000000006</v>
      </c>
      <c r="G4" s="1">
        <f>VLOOKUP($B4, '[1]Pro of pig iron'!$B$2:$X$31, $A$1, FALSE)*(1-VLOOKUP($B4, '[1]Foundry share'!$B$2:$X$31, $A$1, FALSE))</f>
        <v>32377.822978755881</v>
      </c>
      <c r="H4" s="1">
        <f>VLOOKUP($B4, '[1]Exp of pig iron'!$B$2:$X$31, $A$1, FALSE)</f>
        <v>613</v>
      </c>
      <c r="I4" s="1">
        <f>VLOOKUP($B4, '[1]Imp of pig iron'!$B$2:$X$31, $A$1, FALSE)</f>
        <v>27</v>
      </c>
      <c r="J4" s="1">
        <f>VLOOKUP($B4, '[1]Pro of DRI'!$B$2:$X$31, $A$1, FALSE)</f>
        <v>20916</v>
      </c>
      <c r="K4" s="1">
        <f>VLOOKUP($B4, '[1]Exp of DRI'!$B$2:$X$31, $A$1, FALSE)</f>
        <v>29</v>
      </c>
      <c r="L4" s="1">
        <f>VLOOKUP($B4, '[1]Imp of DRI'!$B$2:$X$31, $A$1, FALSE)</f>
        <v>0</v>
      </c>
      <c r="M4" s="1">
        <f>VLOOKUP($B4, '[1]Exp of scrap'!$B$2:$X$31, $A$1, FALSE)</f>
        <v>0</v>
      </c>
      <c r="N4" s="1">
        <f>VLOOKUP($B4, '[1]Imp of scrap'!$B$2:$X$31, $A$1, FALSE)</f>
        <v>4579</v>
      </c>
      <c r="O4" s="1">
        <f>VLOOKUP($B4, '[1]Pro of BOF steel'!$B$2:$X$31, $A$1, FALSE)</f>
        <v>22151</v>
      </c>
      <c r="P4" s="1">
        <f>VLOOKUP($B4, '[1]Pro of OHF steel'!$B$2:$X$31, $A$1, FALSE)</f>
        <v>1000</v>
      </c>
      <c r="Q4" s="1">
        <f>VLOOKUP($B4, '[1]Pro of EAF steel'!$B$2:$X$31, $A$1, FALSE)</f>
        <v>34800</v>
      </c>
      <c r="R4" s="1">
        <f>VLOOKUP($B4, '[1]Exp of ingots and semis'!$B$2:$X$31, $A$1, FALSE)</f>
        <v>1126</v>
      </c>
      <c r="S4" s="1">
        <f>VLOOKUP($B4, '[1]Imp of ingots and semis'!$B$2:$X$31, $A$1, FALSE)</f>
        <v>504</v>
      </c>
      <c r="T4" s="1">
        <f>VLOOKUP($B4, '[1]Pro of hr long'!$B$2:$X$31, $A$1, FALSE)+VLOOKUP($B4, '[1]Pro of seamless tubes'!$B$2:$X$31, $A$1, FALSE)</f>
        <v>27794</v>
      </c>
      <c r="U4" s="1">
        <f>VLOOKUP($B4, '[1]Exp of long'!$B$2:$X$31, $A$1, FALSE)</f>
        <v>632</v>
      </c>
      <c r="V4" s="1">
        <f>VLOOKUP($B4, '[1]Imp of long'!$B$2:$X$31, $A$1, FALSE)</f>
        <v>714</v>
      </c>
      <c r="W4" s="1">
        <f>VLOOKUP($B4, '[1]Pro of hr flat'!$B$2:$X$31, $A$1, FALSE)*parameters!$B$8</f>
        <v>26057.955903271693</v>
      </c>
      <c r="X4" s="1">
        <f>VLOOKUP($B4, '[1]Exp of flat'!$B$2:$X$31, $A$1, FALSE)</f>
        <v>3430</v>
      </c>
      <c r="Y4" s="1">
        <f>VLOOKUP($B4, '[1]Imp of flat'!$B$2:$X$31, $A$1, FALSE)</f>
        <v>5128</v>
      </c>
      <c r="Z4" s="1">
        <f>VLOOKUP($B4, '[1]Indirect exp'!$B$2:$X$31, $A$1, FALSE)</f>
        <v>3683</v>
      </c>
      <c r="AA4" s="1">
        <f>VLOOKUP($B4, '[1]Indirect imp'!$B$2:$X$31, $A$1, FALSE)</f>
        <v>3753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0</v>
      </c>
      <c r="G5" s="1">
        <f>VLOOKUP($B5, '[1]Pro of pig iron'!$B$2:$X$31, $A$1, FALSE)*(1-VLOOKUP($B5, '[1]Foundry share'!$B$2:$X$31, $A$1, FALSE))</f>
        <v>86171</v>
      </c>
      <c r="H5" s="1">
        <f>VLOOKUP($B5, '[1]Exp of pig iron'!$B$2:$X$31, $A$1, FALSE)</f>
        <v>41</v>
      </c>
      <c r="I5" s="1">
        <f>VLOOKUP($B5, '[1]Imp of pig iron'!$B$2:$X$31, $A$1, FALSE)</f>
        <v>879</v>
      </c>
      <c r="J5" s="1">
        <f>VLOOKUP($B5, '[1]Pro of DRI'!$B$2:$X$31, $A$1, FALSE)</f>
        <v>0</v>
      </c>
      <c r="K5" s="1">
        <f>VLOOKUP($B5, '[1]Exp of DRI'!$B$2:$X$31, $A$1, FALSE)</f>
        <v>1</v>
      </c>
      <c r="L5" s="1">
        <f>VLOOKUP($B5, '[1]Imp of DRI'!$B$2:$X$31, $A$1, FALSE)</f>
        <v>76</v>
      </c>
      <c r="M5" s="1">
        <f>VLOOKUP($B5, '[1]Exp of scrap'!$B$2:$X$31, $A$1, FALSE)</f>
        <v>5344</v>
      </c>
      <c r="N5" s="1">
        <f>VLOOKUP($B5, '[1]Imp of scrap'!$B$2:$X$31, $A$1, FALSE)</f>
        <v>699</v>
      </c>
      <c r="O5" s="1">
        <f>VLOOKUP($B5, '[1]Pro of BOF steel'!$B$2:$X$31, $A$1, FALSE)</f>
        <v>89238</v>
      </c>
      <c r="P5" s="1">
        <f>VLOOKUP($B5, '[1]Pro of OHF steel'!$B$2:$X$31, $A$1, FALSE)</f>
        <v>0</v>
      </c>
      <c r="Q5" s="1">
        <f>VLOOKUP($B5, '[1]Pro of EAF steel'!$B$2:$X$31, $A$1, FALSE)</f>
        <v>29501</v>
      </c>
      <c r="R5" s="1">
        <f>VLOOKUP($B5, '[1]Exp of ingots and semis'!$B$2:$X$31, $A$1, FALSE)</f>
        <v>4760</v>
      </c>
      <c r="S5" s="1">
        <f>VLOOKUP($B5, '[1]Imp of ingots and semis'!$B$2:$X$31, $A$1, FALSE)</f>
        <v>140</v>
      </c>
      <c r="T5" s="1">
        <f>VLOOKUP($B5, '[1]Pro of hr long'!$B$2:$X$31, $A$1, FALSE)+VLOOKUP($B5, '[1]Pro of seamless tubes'!$B$2:$X$31, $A$1, FALSE)</f>
        <v>36499</v>
      </c>
      <c r="U5" s="1">
        <f>VLOOKUP($B5, '[1]Exp of long'!$B$2:$X$31, $A$1, FALSE)</f>
        <v>4559</v>
      </c>
      <c r="V5" s="1">
        <f>VLOOKUP($B5, '[1]Imp of long'!$B$2:$X$31, $A$1, FALSE)</f>
        <v>639</v>
      </c>
      <c r="W5" s="1">
        <f>VLOOKUP($B5, '[1]Pro of hr flat'!$B$2:$X$31, $A$1, FALSE)*parameters!$B$8</f>
        <v>67203.11948790896</v>
      </c>
      <c r="X5" s="1">
        <f>VLOOKUP($B5, '[1]Exp of flat'!$B$2:$X$31, $A$1, FALSE)</f>
        <v>24327</v>
      </c>
      <c r="Y5" s="1">
        <f>VLOOKUP($B5, '[1]Imp of flat'!$B$2:$X$31, $A$1, FALSE)</f>
        <v>3425</v>
      </c>
      <c r="Z5" s="1">
        <f>VLOOKUP($B5, '[1]Indirect exp'!$B$2:$X$31, $A$1, FALSE)</f>
        <v>29204</v>
      </c>
      <c r="AA5" s="1">
        <f>VLOOKUP($B5, '[1]Indirect imp'!$B$2:$X$31, $A$1, FALSE)</f>
        <v>6401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53560</v>
      </c>
      <c r="D6" s="1">
        <f>VLOOKUP($B6, '[1]Pro of iron ore'!$B$2:$X$31, $A$1, FALSE)*(1-VLOOKUP($B6, '[1]Foundry share'!$B$2:$X$31, $A$1, FALSE))</f>
        <v>33769</v>
      </c>
      <c r="E6" s="47">
        <f>VLOOKUP($B6, '[1]Iron content'!$B$2:$X$31, $A$1, FALSE)</f>
        <v>0.63048917102315161</v>
      </c>
      <c r="F6" s="1">
        <f>VLOOKUP($B6, '[1]Exp of usable iron ore'!$B$2:$X$31, $A$1, FALSE)*parameters!$B$12</f>
        <v>7256.6</v>
      </c>
      <c r="G6" s="1">
        <f>VLOOKUP($B6, '[1]Pro of pig iron'!$B$2:$X$31, $A$1, FALSE)*(1-VLOOKUP($B6, '[1]Foundry share'!$B$2:$X$31, $A$1, FALSE))</f>
        <v>33729</v>
      </c>
      <c r="H6" s="1">
        <f>VLOOKUP($B6, '[1]Exp of pig iron'!$B$2:$X$31, $A$1, FALSE)</f>
        <v>268</v>
      </c>
      <c r="I6" s="1">
        <f>VLOOKUP($B6, '[1]Imp of pig iron'!$B$2:$X$31, $A$1, FALSE)</f>
        <v>4978</v>
      </c>
      <c r="J6" s="1">
        <f>VLOOKUP($B6, '[1]Pro of DRI'!$B$2:$X$31, $A$1, FALSE)</f>
        <v>260</v>
      </c>
      <c r="K6" s="1">
        <f>VLOOKUP($B6, '[1]Exp of DRI'!$B$2:$X$31, $A$1, FALSE)</f>
        <v>28</v>
      </c>
      <c r="L6" s="1">
        <f>VLOOKUP($B6, '[1]Imp of DRI'!$B$2:$X$31, $A$1, FALSE)</f>
        <v>2555</v>
      </c>
      <c r="M6" s="1">
        <f>VLOOKUP($B6, '[1]Exp of scrap'!$B$2:$X$31, $A$1, FALSE)</f>
        <v>21712</v>
      </c>
      <c r="N6" s="1">
        <f>VLOOKUP($B6, '[1]Imp of scrap'!$B$2:$X$31, $A$1, FALSE)</f>
        <v>3570</v>
      </c>
      <c r="O6" s="1">
        <f>VLOOKUP($B6, '[1]Pro of BOF steel'!$B$2:$X$31, $A$1, FALSE)</f>
        <v>38288</v>
      </c>
      <c r="P6" s="1">
        <f>VLOOKUP($B6, '[1]Pro of OHF steel'!$B$2:$X$31, $A$1, FALSE)</f>
        <v>0</v>
      </c>
      <c r="Q6" s="1">
        <f>VLOOKUP($B6, '[1]Pro of EAF steel'!$B$2:$X$31, $A$1, FALSE)</f>
        <v>53062</v>
      </c>
      <c r="R6" s="1">
        <f>VLOOKUP($B6, '[1]Exp of ingots and semis'!$B$2:$X$31, $A$1, FALSE)</f>
        <v>520</v>
      </c>
      <c r="S6" s="1">
        <f>VLOOKUP($B6, '[1]Imp of ingots and semis'!$B$2:$X$31, $A$1, FALSE)</f>
        <v>5404</v>
      </c>
      <c r="T6" s="1">
        <f>VLOOKUP($B6, '[1]Pro of hr long'!$B$2:$X$31, $A$1, FALSE)+VLOOKUP($B6, '[1]Pro of seamless tubes'!$B$2:$X$31, $A$1, FALSE)</f>
        <v>27945</v>
      </c>
      <c r="U6" s="1">
        <f>VLOOKUP($B6, '[1]Exp of long'!$B$2:$X$31, $A$1, FALSE)</f>
        <v>3366</v>
      </c>
      <c r="V6" s="1">
        <f>VLOOKUP($B6, '[1]Imp of long'!$B$2:$X$31, $A$1, FALSE)</f>
        <v>4631</v>
      </c>
      <c r="W6" s="1">
        <f>VLOOKUP($B6, '[1]Pro of hr flat'!$B$2:$X$31, $A$1, FALSE)*parameters!$B$8</f>
        <v>59628.911806543387</v>
      </c>
      <c r="X6" s="1">
        <f>VLOOKUP($B6, '[1]Exp of flat'!$B$2:$X$31, $A$1, FALSE)</f>
        <v>6212</v>
      </c>
      <c r="Y6" s="1">
        <f>VLOOKUP($B6, '[1]Imp of flat'!$B$2:$X$31, $A$1, FALSE)</f>
        <v>7996</v>
      </c>
      <c r="Z6" s="1">
        <f>VLOOKUP($B6, '[1]Indirect exp'!$B$2:$X$31, $A$1, FALSE)</f>
        <v>20156</v>
      </c>
      <c r="AA6" s="1">
        <f>VLOOKUP($B6, '[1]Indirect imp'!$B$2:$X$31, $A$1, FALSE)</f>
        <v>33053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99900</v>
      </c>
      <c r="D7" s="1">
        <f>VLOOKUP($B7, '[1]Pro of iron ore'!$B$2:$X$31, $A$1, FALSE)*(1-VLOOKUP($B7, '[1]Foundry share'!$B$2:$X$31, $A$1, FALSE))</f>
        <v>57800</v>
      </c>
      <c r="E7" s="47">
        <f>VLOOKUP($B7, '[1]Iron content'!$B$2:$X$31, $A$1, FALSE)</f>
        <v>0.57857857857857853</v>
      </c>
      <c r="F7" s="1">
        <f>VLOOKUP($B7, '[1]Exp of usable iron ore'!$B$2:$X$31, $A$1, FALSE)*parameters!$B$12</f>
        <v>16009.5</v>
      </c>
      <c r="G7" s="1">
        <f>VLOOKUP($B7, '[1]Pro of pig iron'!$B$2:$X$31, $A$1, FALSE)*(1-VLOOKUP($B7, '[1]Foundry share'!$B$2:$X$31, $A$1, FALSE))</f>
        <v>48295</v>
      </c>
      <c r="H7" s="1">
        <f>VLOOKUP($B7, '[1]Exp of pig iron'!$B$2:$X$31, $A$1, FALSE)</f>
        <v>5690</v>
      </c>
      <c r="I7" s="1">
        <f>VLOOKUP($B7, '[1]Imp of pig iron'!$B$2:$X$31, $A$1, FALSE)</f>
        <v>0</v>
      </c>
      <c r="J7" s="1">
        <f>VLOOKUP($B7, '[1]Pro of DRI'!$B$2:$X$31, $A$1, FALSE)</f>
        <v>4560</v>
      </c>
      <c r="K7" s="1">
        <f>VLOOKUP($B7, '[1]Exp of DRI'!$B$2:$X$31, $A$1, FALSE)</f>
        <v>2482</v>
      </c>
      <c r="L7" s="1">
        <f>VLOOKUP($B7, '[1]Imp of DRI'!$B$2:$X$31, $A$1, FALSE)</f>
        <v>0</v>
      </c>
      <c r="M7" s="1">
        <f>VLOOKUP($B7, '[1]Exp of scrap'!$B$2:$X$31, $A$1, FALSE)</f>
        <v>5128</v>
      </c>
      <c r="N7" s="1">
        <f>VLOOKUP($B7, '[1]Imp of scrap'!$B$2:$X$31, $A$1, FALSE)</f>
        <v>95</v>
      </c>
      <c r="O7" s="1">
        <f>VLOOKUP($B7, '[1]Pro of BOF steel'!$B$2:$X$31, $A$1, FALSE)</f>
        <v>38907</v>
      </c>
      <c r="P7" s="1">
        <f>VLOOKUP($B7, '[1]Pro of OHF steel'!$B$2:$X$31, $A$1, FALSE)</f>
        <v>11627</v>
      </c>
      <c r="Q7" s="1">
        <f>VLOOKUP($B7, '[1]Pro of EAF steel'!$B$2:$X$31, $A$1, FALSE)</f>
        <v>20000</v>
      </c>
      <c r="R7" s="1">
        <f>VLOOKUP($B7, '[1]Exp of ingots and semis'!$B$2:$X$31, $A$1, FALSE)</f>
        <v>16030</v>
      </c>
      <c r="S7" s="1">
        <f>VLOOKUP($B7, '[1]Imp of ingots and semis'!$B$2:$X$31, $A$1, FALSE)</f>
        <v>11</v>
      </c>
      <c r="T7" s="1">
        <f>VLOOKUP($B7, '[1]Pro of hr long'!$B$2:$X$31, $A$1, FALSE)+VLOOKUP($B7, '[1]Pro of seamless tubes'!$B$2:$X$31, $A$1, FALSE)</f>
        <v>23100</v>
      </c>
      <c r="U7" s="1">
        <f>VLOOKUP($B7, '[1]Exp of long'!$B$2:$X$31, $A$1, FALSE)</f>
        <v>3266</v>
      </c>
      <c r="V7" s="1">
        <f>VLOOKUP($B7, '[1]Imp of long'!$B$2:$X$31, $A$1, FALSE)</f>
        <v>1599</v>
      </c>
      <c r="W7" s="1">
        <f>VLOOKUP($B7, '[1]Pro of hr flat'!$B$2:$X$31, $A$1, FALSE)*parameters!$B$8</f>
        <v>34794.137980085346</v>
      </c>
      <c r="X7" s="1">
        <f>VLOOKUP($B7, '[1]Exp of flat'!$B$2:$X$31, $A$1, FALSE)</f>
        <v>7732</v>
      </c>
      <c r="Y7" s="1">
        <f>VLOOKUP($B7, '[1]Imp of flat'!$B$2:$X$31, $A$1, FALSE)</f>
        <v>3107</v>
      </c>
      <c r="Z7" s="1">
        <f>VLOOKUP($B7, '[1]Indirect exp'!$B$2:$X$31, $A$1, FALSE)</f>
        <v>2246</v>
      </c>
      <c r="AA7" s="1">
        <f>VLOOKUP($B7, '[1]Indirect imp'!$B$2:$X$31, $A$1, FALSE)</f>
        <v>11212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31043</v>
      </c>
      <c r="H8" s="1">
        <f>VLOOKUP($B8, '[1]Exp of pig iron'!$B$2:$X$31, $A$1, FALSE)</f>
        <v>0</v>
      </c>
      <c r="I8" s="1">
        <f>VLOOKUP($B8, '[1]Imp of pig iron'!$B$2:$X$31, $A$1, FALSE)</f>
        <v>1217</v>
      </c>
      <c r="J8" s="1">
        <f>VLOOKUP($B8, '[1]Pro of DRI'!$B$2:$X$31, $A$1, FALSE)</f>
        <v>0</v>
      </c>
      <c r="K8" s="1">
        <f>VLOOKUP($B8, '[1]Exp of DRI'!$B$2:$X$31, $A$1, FALSE)</f>
        <v>0</v>
      </c>
      <c r="L8" s="1">
        <f>VLOOKUP($B8, '[1]Imp of DRI'!$B$2:$X$31, $A$1, FALSE)</f>
        <v>365</v>
      </c>
      <c r="M8" s="1">
        <f>VLOOKUP($B8, '[1]Exp of scrap'!$B$2:$X$31, $A$1, FALSE)</f>
        <v>369</v>
      </c>
      <c r="N8" s="1">
        <f>VLOOKUP($B8, '[1]Imp of scrap'!$B$2:$X$31, $A$1, FALSE)</f>
        <v>7319</v>
      </c>
      <c r="O8" s="1">
        <f>VLOOKUP($B8, '[1]Pro of BOF steel'!$B$2:$X$31, $A$1, FALSE)</f>
        <v>30227</v>
      </c>
      <c r="P8" s="1">
        <f>VLOOKUP($B8, '[1]Pro of OHF steel'!$B$2:$X$31, $A$1, FALSE)</f>
        <v>0</v>
      </c>
      <c r="Q8" s="1">
        <f>VLOOKUP($B8, '[1]Pro of EAF steel'!$B$2:$X$31, $A$1, FALSE)</f>
        <v>23398</v>
      </c>
      <c r="R8" s="1">
        <f>VLOOKUP($B8, '[1]Exp of ingots and semis'!$B$2:$X$31, $A$1, FALSE)</f>
        <v>620</v>
      </c>
      <c r="S8" s="1">
        <f>VLOOKUP($B8, '[1]Imp of ingots and semis'!$B$2:$X$31, $A$1, FALSE)</f>
        <v>6140</v>
      </c>
      <c r="T8" s="1">
        <f>VLOOKUP($B8, '[1]Pro of hr long'!$B$2:$X$31, $A$1, FALSE)+VLOOKUP($B8, '[1]Pro of seamless tubes'!$B$2:$X$31, $A$1, FALSE)</f>
        <v>20004</v>
      </c>
      <c r="U8" s="1">
        <f>VLOOKUP($B8, '[1]Exp of long'!$B$2:$X$31, $A$1, FALSE)</f>
        <v>2960</v>
      </c>
      <c r="V8" s="1">
        <f>VLOOKUP($B8, '[1]Imp of long'!$B$2:$X$31, $A$1, FALSE)</f>
        <v>5472</v>
      </c>
      <c r="W8" s="1">
        <f>VLOOKUP($B8, '[1]Pro of hr flat'!$B$2:$X$31, $A$1, FALSE)*parameters!$B$8</f>
        <v>35094.347083926034</v>
      </c>
      <c r="X8" s="1">
        <f>VLOOKUP($B8, '[1]Exp of flat'!$B$2:$X$31, $A$1, FALSE)</f>
        <v>14800</v>
      </c>
      <c r="Y8" s="1">
        <f>VLOOKUP($B8, '[1]Imp of flat'!$B$2:$X$31, $A$1, FALSE)</f>
        <v>16108</v>
      </c>
      <c r="Z8" s="1">
        <f>VLOOKUP($B8, '[1]Indirect exp'!$B$2:$X$31, $A$1, FALSE)</f>
        <v>19825</v>
      </c>
      <c r="AA8" s="1">
        <f>VLOOKUP($B8, '[1]Indirect imp'!$B$2:$X$31, $A$1, FALSE)</f>
        <v>5460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455.1</v>
      </c>
      <c r="D9" s="1">
        <f>VLOOKUP($B9, '[1]Pro of iron ore'!$B$2:$X$31, $A$1, FALSE)*(1-VLOOKUP($B9, '[1]Foundry share'!$B$2:$X$31, $A$1, FALSE))</f>
        <v>47.8</v>
      </c>
      <c r="E9" s="47">
        <f>VLOOKUP($B9, '[1]Iron content'!$B$2:$X$31, $A$1, FALSE)</f>
        <v>0.10503186112942209</v>
      </c>
      <c r="F9" s="1">
        <f>VLOOKUP($B9, '[1]Exp of usable iron ore'!$B$2:$X$31, $A$1, FALSE)*parameters!$B$12</f>
        <v>22.1</v>
      </c>
      <c r="G9" s="1">
        <f>VLOOKUP($B9, '[1]Pro of pig iron'!$B$2:$X$31, $A$1, FALSE)*(1-VLOOKUP($B9, '[1]Foundry share'!$B$2:$X$31, $A$1, FALSE))</f>
        <v>29111</v>
      </c>
      <c r="H9" s="1">
        <f>VLOOKUP($B9, '[1]Exp of pig iron'!$B$2:$X$31, $A$1, FALSE)</f>
        <v>154</v>
      </c>
      <c r="I9" s="1">
        <f>VLOOKUP($B9, '[1]Imp of pig iron'!$B$2:$X$31, $A$1, FALSE)</f>
        <v>713</v>
      </c>
      <c r="J9" s="1">
        <f>VLOOKUP($B9, '[1]Pro of DRI'!$B$2:$X$31, $A$1, FALSE)</f>
        <v>520</v>
      </c>
      <c r="K9" s="1">
        <f>VLOOKUP($B9, '[1]Exp of DRI'!$B$2:$X$31, $A$1, FALSE)</f>
        <v>72</v>
      </c>
      <c r="L9" s="1">
        <f>VLOOKUP($B9, '[1]Imp of DRI'!$B$2:$X$31, $A$1, FALSE)</f>
        <v>28</v>
      </c>
      <c r="M9" s="1">
        <f>VLOOKUP($B9, '[1]Exp of scrap'!$B$2:$X$31, $A$1, FALSE)</f>
        <v>8269</v>
      </c>
      <c r="N9" s="1">
        <f>VLOOKUP($B9, '[1]Imp of scrap'!$B$2:$X$31, $A$1, FALSE)</f>
        <v>5675</v>
      </c>
      <c r="O9" s="1">
        <f>VLOOKUP($B9, '[1]Pro of BOF steel'!$B$2:$X$31, $A$1, FALSE)</f>
        <v>31193</v>
      </c>
      <c r="P9" s="1">
        <f>VLOOKUP($B9, '[1]Pro of OHF steel'!$B$2:$X$31, $A$1, FALSE)</f>
        <v>0</v>
      </c>
      <c r="Q9" s="1">
        <f>VLOOKUP($B9, '[1]Pro of EAF steel'!$B$2:$X$31, $A$1, FALSE)</f>
        <v>14639</v>
      </c>
      <c r="R9" s="1">
        <f>VLOOKUP($B9, '[1]Exp of ingots and semis'!$B$2:$X$31, $A$1, FALSE)</f>
        <v>2047</v>
      </c>
      <c r="S9" s="1">
        <f>VLOOKUP($B9, '[1]Imp of ingots and semis'!$B$2:$X$31, $A$1, FALSE)</f>
        <v>2970</v>
      </c>
      <c r="T9" s="1">
        <f>VLOOKUP($B9, '[1]Pro of hr long'!$B$2:$X$31, $A$1, FALSE)+VLOOKUP($B9, '[1]Pro of seamless tubes'!$B$2:$X$31, $A$1, FALSE)</f>
        <v>15420</v>
      </c>
      <c r="U9" s="1">
        <f>VLOOKUP($B9, '[1]Exp of long'!$B$2:$X$31, $A$1, FALSE)</f>
        <v>7871</v>
      </c>
      <c r="V9" s="1">
        <f>VLOOKUP($B9, '[1]Imp of long'!$B$2:$X$31, $A$1, FALSE)</f>
        <v>7366</v>
      </c>
      <c r="W9" s="1">
        <f>VLOOKUP($B9, '[1]Pro of hr flat'!$B$2:$X$31, $A$1, FALSE)*parameters!$B$8</f>
        <v>25346.78093883357</v>
      </c>
      <c r="X9" s="1">
        <f>VLOOKUP($B9, '[1]Exp of flat'!$B$2:$X$31, $A$1, FALSE)</f>
        <v>14714</v>
      </c>
      <c r="Y9" s="1">
        <f>VLOOKUP($B9, '[1]Imp of flat'!$B$2:$X$31, $A$1, FALSE)</f>
        <v>14242</v>
      </c>
      <c r="Z9" s="1">
        <f>VLOOKUP($B9, '[1]Indirect exp'!$B$2:$X$31, $A$1, FALSE)</f>
        <v>30249</v>
      </c>
      <c r="AA9" s="1">
        <f>VLOOKUP($B9, '[1]Indirect imp'!$B$2:$X$31, $A$1, FALSE)</f>
        <v>20868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4700</v>
      </c>
      <c r="D10" s="1">
        <f>VLOOKUP($B10, '[1]Pro of iron ore'!$B$2:$X$31, $A$1, FALSE)*(1-VLOOKUP($B10, '[1]Foundry share'!$B$2:$X$31, $A$1, FALSE))</f>
        <v>2500</v>
      </c>
      <c r="E10" s="47">
        <f>VLOOKUP($B10, '[1]Iron content'!$B$2:$X$31, $A$1, FALSE)</f>
        <v>0.53191489361702127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6704</v>
      </c>
      <c r="H10" s="1">
        <f>VLOOKUP($B10, '[1]Exp of pig iron'!$B$2:$X$31, $A$1, FALSE)</f>
        <v>10</v>
      </c>
      <c r="I10" s="1">
        <f>VLOOKUP($B10, '[1]Imp of pig iron'!$B$2:$X$31, $A$1, FALSE)</f>
        <v>803</v>
      </c>
      <c r="J10" s="1">
        <f>VLOOKUP($B10, '[1]Pro of DRI'!$B$2:$X$31, $A$1, FALSE)</f>
        <v>0</v>
      </c>
      <c r="K10" s="1">
        <f>VLOOKUP($B10, '[1]Exp of DRI'!$B$2:$X$31, $A$1, FALSE)</f>
        <v>0</v>
      </c>
      <c r="L10" s="1">
        <f>VLOOKUP($B10, '[1]Imp of DRI'!$B$2:$X$31, $A$1, FALSE)</f>
        <v>88</v>
      </c>
      <c r="M10" s="1">
        <f>VLOOKUP($B10, '[1]Exp of scrap'!$B$2:$X$31, $A$1, FALSE)</f>
        <v>78</v>
      </c>
      <c r="N10" s="1">
        <f>VLOOKUP($B10, '[1]Imp of scrap'!$B$2:$X$31, $A$1, FALSE)</f>
        <v>17415</v>
      </c>
      <c r="O10" s="1">
        <f>VLOOKUP($B10, '[1]Pro of BOF steel'!$B$2:$X$31, $A$1, FALSE)</f>
        <v>7034</v>
      </c>
      <c r="P10" s="1">
        <f>VLOOKUP($B10, '[1]Pro of OHF steel'!$B$2:$X$31, $A$1, FALSE)</f>
        <v>0</v>
      </c>
      <c r="Q10" s="1">
        <f>VLOOKUP($B10, '[1]Pro of EAF steel'!$B$2:$X$31, $A$1, FALSE)</f>
        <v>19771</v>
      </c>
      <c r="R10" s="1">
        <f>VLOOKUP($B10, '[1]Exp of ingots and semis'!$B$2:$X$31, $A$1, FALSE)</f>
        <v>2501</v>
      </c>
      <c r="S10" s="1">
        <f>VLOOKUP($B10, '[1]Imp of ingots and semis'!$B$2:$X$31, $A$1, FALSE)</f>
        <v>3849</v>
      </c>
      <c r="T10" s="1">
        <f>VLOOKUP($B10, '[1]Pro of hr long'!$B$2:$X$31, $A$1, FALSE)+VLOOKUP($B10, '[1]Pro of seamless tubes'!$B$2:$X$31, $A$1, FALSE)</f>
        <v>14900</v>
      </c>
      <c r="U10" s="1">
        <f>VLOOKUP($B10, '[1]Exp of long'!$B$2:$X$31, $A$1, FALSE)</f>
        <v>12937</v>
      </c>
      <c r="V10" s="1">
        <f>VLOOKUP($B10, '[1]Imp of long'!$B$2:$X$31, $A$1, FALSE)</f>
        <v>984</v>
      </c>
      <c r="W10" s="1">
        <f>VLOOKUP($B10, '[1]Pro of hr flat'!$B$2:$X$31, $A$1, FALSE)*parameters!$B$8</f>
        <v>11386.195068133149</v>
      </c>
      <c r="X10" s="1">
        <f>VLOOKUP($B10, '[1]Exp of flat'!$B$2:$X$31, $A$1, FALSE)</f>
        <v>1368</v>
      </c>
      <c r="Y10" s="1">
        <f>VLOOKUP($B10, '[1]Imp of flat'!$B$2:$X$31, $A$1, FALSE)</f>
        <v>8007</v>
      </c>
      <c r="Z10" s="1">
        <f>VLOOKUP($B10, '[1]Indirect exp'!$B$2:$X$31, $A$1, FALSE)</f>
        <v>5787</v>
      </c>
      <c r="AA10" s="1">
        <f>VLOOKUP($B10, '[1]Indirect imp'!$B$2:$X$31, $A$1, FALSE)</f>
        <v>3045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351246</v>
      </c>
      <c r="D11" s="1">
        <f>VLOOKUP($B11, '[1]Pro of iron ore'!$B$2:$X$31, $A$1, FALSE)*(1-VLOOKUP($B11, '[1]Foundry share'!$B$2:$X$31, $A$1, FALSE))</f>
        <v>233200</v>
      </c>
      <c r="E11" s="47">
        <f>VLOOKUP($B11, '[1]Iron content'!$B$2:$X$31, $A$1, FALSE)</f>
        <v>0.66392215142663547</v>
      </c>
      <c r="F11" s="1">
        <f>VLOOKUP($B11, '[1]Exp of usable iron ore'!$B$2:$X$31, $A$1, FALSE)*parameters!$B$12</f>
        <v>183093.95</v>
      </c>
      <c r="G11" s="1">
        <f>VLOOKUP($B11, '[1]Pro of pig iron'!$B$2:$X$31, $A$1, FALSE)*(1-VLOOKUP($B11, '[1]Foundry share'!$B$2:$X$31, $A$1, FALSE))</f>
        <v>34925</v>
      </c>
      <c r="H11" s="1">
        <f>VLOOKUP($B11, '[1]Exp of pig iron'!$B$2:$X$31, $A$1, FALSE)</f>
        <v>6300</v>
      </c>
      <c r="I11" s="1">
        <f>VLOOKUP($B11, '[1]Imp of pig iron'!$B$2:$X$31, $A$1, FALSE)</f>
        <v>0</v>
      </c>
      <c r="J11" s="1">
        <f>VLOOKUP($B11, '[1]Pro of DRI'!$B$2:$X$31, $A$1, FALSE)</f>
        <v>302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119</v>
      </c>
      <c r="N11" s="1">
        <f>VLOOKUP($B11, '[1]Imp of scrap'!$B$2:$X$31, $A$1, FALSE)</f>
        <v>44</v>
      </c>
      <c r="O11" s="1">
        <f>VLOOKUP($B11, '[1]Pro of BOF steel'!$B$2:$X$31, $A$1, FALSE)</f>
        <v>25231</v>
      </c>
      <c r="P11" s="1">
        <f>VLOOKUP($B11, '[1]Pro of OHF steel'!$B$2:$X$31, $A$1, FALSE)</f>
        <v>0</v>
      </c>
      <c r="Q11" s="1">
        <f>VLOOKUP($B11, '[1]Pro of EAF steel'!$B$2:$X$31, $A$1, FALSE)</f>
        <v>7933</v>
      </c>
      <c r="R11" s="1">
        <f>VLOOKUP($B11, '[1]Exp of ingots and semis'!$B$2:$X$31, $A$1, FALSE)</f>
        <v>5665</v>
      </c>
      <c r="S11" s="1">
        <f>VLOOKUP($B11, '[1]Imp of ingots and semis'!$B$2:$X$31, $A$1, FALSE)</f>
        <v>60</v>
      </c>
      <c r="T11" s="1">
        <f>VLOOKUP($B11, '[1]Pro of hr long'!$B$2:$X$31, $A$1, FALSE)+VLOOKUP($B11, '[1]Pro of seamless tubes'!$B$2:$X$31, $A$1, FALSE)</f>
        <v>10932</v>
      </c>
      <c r="U11" s="1">
        <f>VLOOKUP($B11, '[1]Exp of long'!$B$2:$X$31, $A$1, FALSE)</f>
        <v>1394</v>
      </c>
      <c r="V11" s="1">
        <f>VLOOKUP($B11, '[1]Imp of long'!$B$2:$X$31, $A$1, FALSE)</f>
        <v>480</v>
      </c>
      <c r="W11" s="1">
        <f>VLOOKUP($B11, '[1]Pro of hr flat'!$B$2:$X$31, $A$1, FALSE)*parameters!$B$8</f>
        <v>13924.26173541963</v>
      </c>
      <c r="X11" s="1">
        <f>VLOOKUP($B11, '[1]Exp of flat'!$B$2:$X$31, $A$1, FALSE)</f>
        <v>1756</v>
      </c>
      <c r="Y11" s="1">
        <f>VLOOKUP($B11, '[1]Imp of flat'!$B$2:$X$31, $A$1, FALSE)</f>
        <v>1569</v>
      </c>
      <c r="Z11" s="1">
        <f>VLOOKUP($B11, '[1]Indirect exp'!$B$2:$X$31, $A$1, FALSE)</f>
        <v>3432</v>
      </c>
      <c r="AA11" s="1">
        <f>VLOOKUP($B11, '[1]Indirect imp'!$B$2:$X$31, $A$1, FALSE)</f>
        <v>3151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28234.467331041251</v>
      </c>
      <c r="D12" s="1">
        <f>VLOOKUP($B12, '[1]Pro of iron ore'!$B$2:$X$31, $A$1, FALSE)*(1-VLOOKUP($B12, '[1]Foundry share'!$B$2:$X$31, $A$1, FALSE))</f>
        <v>13234.906561425587</v>
      </c>
      <c r="E12" s="47">
        <f>VLOOKUP($B12, '[1]Iron content'!$B$2:$X$31, $A$1, FALSE)</f>
        <v>0.46875</v>
      </c>
      <c r="F12" s="1">
        <f>VLOOKUP($B12, '[1]Exp of usable iron ore'!$B$2:$X$31, $A$1, FALSE)*parameters!$B$12</f>
        <v>3506.75</v>
      </c>
      <c r="G12" s="1">
        <f>VLOOKUP($B12, '[1]Pro of pig iron'!$B$2:$X$31, $A$1, FALSE)*(1-VLOOKUP($B12, '[1]Foundry share'!$B$2:$X$31, $A$1, FALSE))</f>
        <v>1919.943778510805</v>
      </c>
      <c r="H12" s="1">
        <f>VLOOKUP($B12, '[1]Exp of pig iron'!$B$2:$X$31, $A$1, FALSE)</f>
        <v>0</v>
      </c>
      <c r="I12" s="1">
        <f>VLOOKUP($B12, '[1]Imp of pig iron'!$B$2:$X$31, $A$1, FALSE)</f>
        <v>0</v>
      </c>
      <c r="J12" s="1">
        <f>VLOOKUP($B12, '[1]Pro of DRI'!$B$2:$X$31, $A$1, FALSE)</f>
        <v>7399</v>
      </c>
      <c r="K12" s="1">
        <f>VLOOKUP($B12, '[1]Exp of DRI'!$B$2:$X$31, $A$1, FALSE)</f>
        <v>137</v>
      </c>
      <c r="L12" s="1">
        <f>VLOOKUP($B12, '[1]Imp of DRI'!$B$2:$X$31, $A$1, FALSE)</f>
        <v>138</v>
      </c>
      <c r="M12" s="1">
        <f>VLOOKUP($B12, '[1]Exp of scrap'!$B$2:$X$31, $A$1, FALSE)</f>
        <v>0</v>
      </c>
      <c r="N12" s="1">
        <f>VLOOKUP($B12, '[1]Imp of scrap'!$B$2:$X$31, $A$1, FALSE)</f>
        <v>85</v>
      </c>
      <c r="O12" s="1">
        <f>VLOOKUP($B12, '[1]Pro of BOF steel'!$B$2:$X$31, $A$1, FALSE)</f>
        <v>1984</v>
      </c>
      <c r="P12" s="1">
        <f>VLOOKUP($B12, '[1]Pro of OHF steel'!$B$2:$X$31, $A$1, FALSE)</f>
        <v>0</v>
      </c>
      <c r="Q12" s="1">
        <f>VLOOKUP($B12, '[1]Pro of EAF steel'!$B$2:$X$31, $A$1, FALSE)</f>
        <v>7985</v>
      </c>
      <c r="R12" s="1">
        <f>VLOOKUP($B12, '[1]Exp of ingots and semis'!$B$2:$X$31, $A$1, FALSE)</f>
        <v>50</v>
      </c>
      <c r="S12" s="1">
        <f>VLOOKUP($B12, '[1]Imp of ingots and semis'!$B$2:$X$31, $A$1, FALSE)</f>
        <v>2922</v>
      </c>
      <c r="T12" s="1">
        <f>VLOOKUP($B12, '[1]Pro of hr long'!$B$2:$X$31, $A$1, FALSE)+VLOOKUP($B12, '[1]Pro of seamless tubes'!$B$2:$X$31, $A$1, FALSE)</f>
        <v>4994</v>
      </c>
      <c r="U12" s="1">
        <f>VLOOKUP($B12, '[1]Exp of long'!$B$2:$X$31, $A$1, FALSE)</f>
        <v>0</v>
      </c>
      <c r="V12" s="1">
        <f>VLOOKUP($B12, '[1]Imp of long'!$B$2:$X$31, $A$1, FALSE)</f>
        <v>1725</v>
      </c>
      <c r="W12" s="1">
        <f>VLOOKUP($B12, '[1]Pro of hr flat'!$B$2:$X$31, $A$1, FALSE)*parameters!$B$8</f>
        <v>3706.4651493598863</v>
      </c>
      <c r="X12" s="1">
        <f>VLOOKUP($B12, '[1]Exp of flat'!$B$2:$X$31, $A$1, FALSE)</f>
        <v>0</v>
      </c>
      <c r="Y12" s="1">
        <f>VLOOKUP($B12, '[1]Imp of flat'!$B$2:$X$31, $A$1, FALSE)</f>
        <v>2388</v>
      </c>
      <c r="Z12" s="1">
        <f>VLOOKUP($B12, '[1]Indirect exp'!$B$2:$X$31, $A$1, FALSE)</f>
        <v>117</v>
      </c>
      <c r="AA12" s="1">
        <f>VLOOKUP($B12, '[1]Indirect imp'!$B$2:$X$31, $A$1, FALSE)</f>
        <v>2162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0</v>
      </c>
      <c r="G13" s="1">
        <f>VLOOKUP($B13, '[1]Pro of pig iron'!$B$2:$X$31, $A$1, FALSE)*(1-VLOOKUP($B13, '[1]Foundry share'!$B$2:$X$31, $A$1, FALSE))</f>
        <v>10377</v>
      </c>
      <c r="H13" s="1">
        <f>VLOOKUP($B13, '[1]Exp of pig iron'!$B$2:$X$31, $A$1, FALSE)</f>
        <v>36</v>
      </c>
      <c r="I13" s="1">
        <f>VLOOKUP($B13, '[1]Imp of pig iron'!$B$2:$X$31, $A$1, FALSE)</f>
        <v>2238</v>
      </c>
      <c r="J13" s="1">
        <f>VLOOKUP($B13, '[1]Pro of DRI'!$B$2:$X$31, $A$1, FALSE)</f>
        <v>0</v>
      </c>
      <c r="K13" s="1">
        <f>VLOOKUP($B13, '[1]Exp of DRI'!$B$2:$X$31, $A$1, FALSE)</f>
        <v>0</v>
      </c>
      <c r="L13" s="1">
        <f>VLOOKUP($B13, '[1]Imp of DRI'!$B$2:$X$31, $A$1, FALSE)</f>
        <v>362</v>
      </c>
      <c r="M13" s="1">
        <f>VLOOKUP($B13, '[1]Exp of scrap'!$B$2:$X$31, $A$1, FALSE)</f>
        <v>388</v>
      </c>
      <c r="N13" s="1">
        <f>VLOOKUP($B13, '[1]Imp of scrap'!$B$2:$X$31, $A$1, FALSE)</f>
        <v>5705</v>
      </c>
      <c r="O13" s="1">
        <f>VLOOKUP($B13, '[1]Pro of BOF steel'!$B$2:$X$31, $A$1, FALSE)</f>
        <v>10911</v>
      </c>
      <c r="P13" s="1">
        <f>VLOOKUP($B13, '[1]Pro of OHF steel'!$B$2:$X$31, $A$1, FALSE)</f>
        <v>0</v>
      </c>
      <c r="Q13" s="1">
        <f>VLOOKUP($B13, '[1]Pro of EAF steel'!$B$2:$X$31, $A$1, FALSE)</f>
        <v>19679</v>
      </c>
      <c r="R13" s="1">
        <f>VLOOKUP($B13, '[1]Exp of ingots and semis'!$B$2:$X$31, $A$1, FALSE)</f>
        <v>964</v>
      </c>
      <c r="S13" s="1">
        <f>VLOOKUP($B13, '[1]Imp of ingots and semis'!$B$2:$X$31, $A$1, FALSE)</f>
        <v>5311</v>
      </c>
      <c r="T13" s="1">
        <f>VLOOKUP($B13, '[1]Pro of hr long'!$B$2:$X$31, $A$1, FALSE)+VLOOKUP($B13, '[1]Pro of seamless tubes'!$B$2:$X$31, $A$1, FALSE)</f>
        <v>17541</v>
      </c>
      <c r="U13" s="1">
        <f>VLOOKUP($B13, '[1]Exp of long'!$B$2:$X$31, $A$1, FALSE)</f>
        <v>6254</v>
      </c>
      <c r="V13" s="1">
        <f>VLOOKUP($B13, '[1]Imp of long'!$B$2:$X$31, $A$1, FALSE)</f>
        <v>3240</v>
      </c>
      <c r="W13" s="1">
        <f>VLOOKUP($B13, '[1]Pro of hr flat'!$B$2:$X$31, $A$1, FALSE)*parameters!$B$8</f>
        <v>13582.275960170697</v>
      </c>
      <c r="X13" s="1">
        <f>VLOOKUP($B13, '[1]Exp of flat'!$B$2:$X$31, $A$1, FALSE)</f>
        <v>6720</v>
      </c>
      <c r="Y13" s="1">
        <f>VLOOKUP($B13, '[1]Imp of flat'!$B$2:$X$31, $A$1, FALSE)</f>
        <v>12402</v>
      </c>
      <c r="Z13" s="1">
        <f>VLOOKUP($B13, '[1]Indirect exp'!$B$2:$X$31, $A$1, FALSE)</f>
        <v>15292</v>
      </c>
      <c r="AA13" s="1">
        <f>VLOOKUP($B13, '[1]Indirect imp'!$B$2:$X$31, $A$1, FALSE)</f>
        <v>10526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72700</v>
      </c>
      <c r="D14" s="1">
        <f>VLOOKUP($B14, '[1]Pro of iron ore'!$B$2:$X$31, $A$1, FALSE)*(1-VLOOKUP($B14, '[1]Foundry share'!$B$2:$X$31, $A$1, FALSE))</f>
        <v>40000</v>
      </c>
      <c r="E14" s="47">
        <f>VLOOKUP($B14, '[1]Iron content'!$B$2:$X$31, $A$1, FALSE)</f>
        <v>0.55020632737276476</v>
      </c>
      <c r="F14" s="1">
        <f>VLOOKUP($B14, '[1]Exp of usable iron ore'!$B$2:$X$31, $A$1, FALSE)*parameters!$B$12</f>
        <v>14806.35</v>
      </c>
      <c r="G14" s="1">
        <f>VLOOKUP($B14, '[1]Pro of pig iron'!$B$2:$X$31, $A$1, FALSE)*(1-VLOOKUP($B14, '[1]Foundry share'!$B$2:$X$31, $A$1, FALSE))</f>
        <v>30981</v>
      </c>
      <c r="H14" s="1">
        <f>VLOOKUP($B14, '[1]Exp of pig iron'!$B$2:$X$31, $A$1, FALSE)</f>
        <v>1472</v>
      </c>
      <c r="I14" s="1">
        <f>VLOOKUP($B14, '[1]Imp of pig iron'!$B$2:$X$31, $A$1, FALSE)</f>
        <v>129</v>
      </c>
      <c r="J14" s="1">
        <f>VLOOKUP($B14, '[1]Pro of DRI'!$B$2:$X$31, $A$1, FALSE)</f>
        <v>0</v>
      </c>
      <c r="K14" s="1">
        <f>VLOOKUP($B14, '[1]Exp of DRI'!$B$2:$X$31, $A$1, FALSE)</f>
        <v>0</v>
      </c>
      <c r="L14" s="1">
        <f>VLOOKUP($B14, '[1]Imp of DRI'!$B$2:$X$31, $A$1, FALSE)</f>
        <v>530</v>
      </c>
      <c r="M14" s="1">
        <f>VLOOKUP($B14, '[1]Exp of scrap'!$B$2:$X$31, $A$1, FALSE)</f>
        <v>636</v>
      </c>
      <c r="N14" s="1">
        <f>VLOOKUP($B14, '[1]Imp of scrap'!$B$2:$X$31, $A$1, FALSE)</f>
        <v>164</v>
      </c>
      <c r="O14" s="1">
        <f>VLOOKUP($B14, '[1]Pro of BOF steel'!$B$2:$X$31, $A$1, FALSE)</f>
        <v>20218</v>
      </c>
      <c r="P14" s="1">
        <f>VLOOKUP($B14, '[1]Pro of OHF steel'!$B$2:$X$31, $A$1, FALSE)</f>
        <v>15319</v>
      </c>
      <c r="Q14" s="1">
        <f>VLOOKUP($B14, '[1]Pro of EAF steel'!$B$2:$X$31, $A$1, FALSE)</f>
        <v>1570</v>
      </c>
      <c r="R14" s="1">
        <f>VLOOKUP($B14, '[1]Exp of ingots and semis'!$B$2:$X$31, $A$1, FALSE)</f>
        <v>12763</v>
      </c>
      <c r="S14" s="1">
        <f>VLOOKUP($B14, '[1]Imp of ingots and semis'!$B$2:$X$31, $A$1, FALSE)</f>
        <v>388</v>
      </c>
      <c r="T14" s="1">
        <f>VLOOKUP($B14, '[1]Pro of hr long'!$B$2:$X$31, $A$1, FALSE)+VLOOKUP($B14, '[1]Pro of seamless tubes'!$B$2:$X$31, $A$1, FALSE)</f>
        <v>13940</v>
      </c>
      <c r="U14" s="1">
        <f>VLOOKUP($B14, '[1]Exp of long'!$B$2:$X$31, $A$1, FALSE)</f>
        <v>5738</v>
      </c>
      <c r="V14" s="1">
        <f>VLOOKUP($B14, '[1]Imp of long'!$B$2:$X$31, $A$1, FALSE)</f>
        <v>491</v>
      </c>
      <c r="W14" s="1">
        <f>VLOOKUP($B14, '[1]Pro of hr flat'!$B$2:$X$31, $A$1, FALSE)*parameters!$B$8</f>
        <v>18250.576102418207</v>
      </c>
      <c r="X14" s="1">
        <f>VLOOKUP($B14, '[1]Exp of flat'!$B$2:$X$31, $A$1, FALSE)</f>
        <v>8249</v>
      </c>
      <c r="Y14" s="1">
        <f>VLOOKUP($B14, '[1]Imp of flat'!$B$2:$X$31, $A$1, FALSE)</f>
        <v>1393</v>
      </c>
      <c r="Z14" s="1">
        <f>VLOOKUP($B14, '[1]Indirect exp'!$B$2:$X$31, $A$1, FALSE)</f>
        <v>2036</v>
      </c>
      <c r="AA14" s="1">
        <f>VLOOKUP($B14, '[1]Indirect imp'!$B$2:$X$31, $A$1, FALSE)</f>
        <v>2974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11688.107</v>
      </c>
      <c r="D15" s="1">
        <f>VLOOKUP($B15, '[1]Pro of iron ore'!$B$2:$X$31, $A$1, FALSE)*(1-VLOOKUP($B15, '[1]Foundry share'!$B$2:$X$31, $A$1, FALSE))</f>
        <v>7013</v>
      </c>
      <c r="E15" s="47">
        <f>VLOOKUP($B15, '[1]Iron content'!$B$2:$X$31, $A$1, FALSE)</f>
        <v>0.60001161864791275</v>
      </c>
      <c r="F15" s="1">
        <f>VLOOKUP($B15, '[1]Exp of usable iron ore'!$B$2:$X$31, $A$1, FALSE)*parameters!$B$12</f>
        <v>1268.8</v>
      </c>
      <c r="G15" s="1">
        <f>VLOOKUP($B15, '[1]Pro of pig iron'!$B$2:$X$31, $A$1, FALSE)*(1-VLOOKUP($B15, '[1]Foundry share'!$B$2:$X$31, $A$1, FALSE))</f>
        <v>4450</v>
      </c>
      <c r="H15" s="1">
        <f>VLOOKUP($B15, '[1]Exp of pig iron'!$B$2:$X$31, $A$1, FALSE)</f>
        <v>27</v>
      </c>
      <c r="I15" s="1">
        <f>VLOOKUP($B15, '[1]Imp of pig iron'!$B$2:$X$31, $A$1, FALSE)</f>
        <v>298</v>
      </c>
      <c r="J15" s="1">
        <f>VLOOKUP($B15, '[1]Pro of DRI'!$B$2:$X$31, $A$1, FALSE)</f>
        <v>6012</v>
      </c>
      <c r="K15" s="1">
        <f>VLOOKUP($B15, '[1]Exp of DRI'!$B$2:$X$31, $A$1, FALSE)</f>
        <v>0</v>
      </c>
      <c r="L15" s="1">
        <f>VLOOKUP($B15, '[1]Imp of DRI'!$B$2:$X$31, $A$1, FALSE)</f>
        <v>5</v>
      </c>
      <c r="M15" s="1">
        <f>VLOOKUP($B15, '[1]Exp of scrap'!$B$2:$X$31, $A$1, FALSE)</f>
        <v>1077</v>
      </c>
      <c r="N15" s="1">
        <f>VLOOKUP($B15, '[1]Imp of scrap'!$B$2:$X$31, $A$1, FALSE)</f>
        <v>1412</v>
      </c>
      <c r="O15" s="1">
        <f>VLOOKUP($B15, '[1]Pro of BOF steel'!$B$2:$X$31, $A$1, FALSE)</f>
        <v>5011</v>
      </c>
      <c r="P15" s="1">
        <f>VLOOKUP($B15, '[1]Pro of OHF steel'!$B$2:$X$31, $A$1, FALSE)</f>
        <v>0</v>
      </c>
      <c r="Q15" s="1">
        <f>VLOOKUP($B15, '[1]Pro of EAF steel'!$B$2:$X$31, $A$1, FALSE)</f>
        <v>12198</v>
      </c>
      <c r="R15" s="1">
        <f>VLOOKUP($B15, '[1]Exp of ingots and semis'!$B$2:$X$31, $A$1, FALSE)</f>
        <v>2898</v>
      </c>
      <c r="S15" s="1">
        <f>VLOOKUP($B15, '[1]Imp of ingots and semis'!$B$2:$X$31, $A$1, FALSE)</f>
        <v>1015</v>
      </c>
      <c r="T15" s="1">
        <f>VLOOKUP($B15, '[1]Pro of hr long'!$B$2:$X$31, $A$1, FALSE)+VLOOKUP($B15, '[1]Pro of seamless tubes'!$B$2:$X$31, $A$1, FALSE)</f>
        <v>7610</v>
      </c>
      <c r="U15" s="1">
        <f>VLOOKUP($B15, '[1]Exp of long'!$B$2:$X$31, $A$1, FALSE)</f>
        <v>1460</v>
      </c>
      <c r="V15" s="1">
        <f>VLOOKUP($B15, '[1]Imp of long'!$B$2:$X$31, $A$1, FALSE)</f>
        <v>1275</v>
      </c>
      <c r="W15" s="1">
        <f>VLOOKUP($B15, '[1]Pro of hr flat'!$B$2:$X$31, $A$1, FALSE)*parameters!$B$8</f>
        <v>6377.25746799431</v>
      </c>
      <c r="X15" s="1">
        <f>VLOOKUP($B15, '[1]Exp of flat'!$B$2:$X$31, $A$1, FALSE)</f>
        <v>757</v>
      </c>
      <c r="Y15" s="1">
        <f>VLOOKUP($B15, '[1]Imp of flat'!$B$2:$X$31, $A$1, FALSE)</f>
        <v>4374</v>
      </c>
      <c r="Z15" s="1">
        <f>VLOOKUP($B15, '[1]Indirect exp'!$B$2:$X$31, $A$1, FALSE)</f>
        <v>8190</v>
      </c>
      <c r="AA15" s="1">
        <f>VLOOKUP($B15, '[1]Indirect imp'!$B$2:$X$31, $A$1, FALSE)</f>
        <v>8141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1000</v>
      </c>
      <c r="D16" s="1">
        <f>VLOOKUP($B16, '[1]Pro of iron ore'!$B$2:$X$31, $A$1, FALSE)*(1-VLOOKUP($B16, '[1]Foundry share'!$B$2:$X$31, $A$1, FALSE))</f>
        <v>530</v>
      </c>
      <c r="E16" s="47">
        <f>VLOOKUP($B16, '[1]Iron content'!$B$2:$X$31, $A$1, FALSE)</f>
        <v>0.53</v>
      </c>
      <c r="F16" s="1">
        <f>VLOOKUP($B16, '[1]Exp of usable iron ore'!$B$2:$X$31, $A$1, FALSE)*parameters!$B$12</f>
        <v>780</v>
      </c>
      <c r="G16" s="1">
        <f>VLOOKUP($B16, '[1]Pro of pig iron'!$B$2:$X$31, $A$1, FALSE)*(1-VLOOKUP($B16, '[1]Foundry share'!$B$2:$X$31, $A$1, FALSE))</f>
        <v>255</v>
      </c>
      <c r="H16" s="1">
        <f>VLOOKUP($B16, '[1]Exp of pig iron'!$B$2:$X$31, $A$1, FALSE)</f>
        <v>0</v>
      </c>
      <c r="I16" s="1">
        <f>VLOOKUP($B16, '[1]Imp of pig iron'!$B$2:$X$31, $A$1, FALSE)</f>
        <v>17</v>
      </c>
      <c r="J16" s="1">
        <f>VLOOKUP($B16, '[1]Pro of DRI'!$B$2:$X$31, $A$1, FALSE)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853</v>
      </c>
      <c r="O16" s="1">
        <f>VLOOKUP($B16, '[1]Pro of BOF steel'!$B$2:$X$31, $A$1, FALSE)</f>
        <v>0</v>
      </c>
      <c r="P16" s="1">
        <f>VLOOKUP($B16, '[1]Pro of OHF steel'!$B$2:$X$31, $A$1, FALSE)</f>
        <v>0</v>
      </c>
      <c r="Q16" s="1">
        <f>VLOOKUP($B16, '[1]Pro of EAF steel'!$B$2:$X$31, $A$1, FALSE)</f>
        <v>2250</v>
      </c>
      <c r="R16" s="1">
        <f>VLOOKUP($B16, '[1]Exp of ingots and semis'!$B$2:$X$31, $A$1, FALSE)</f>
        <v>396</v>
      </c>
      <c r="S16" s="1">
        <f>VLOOKUP($B16, '[1]Imp of ingots and semis'!$B$2:$X$31, $A$1, FALSE)</f>
        <v>2276</v>
      </c>
      <c r="T16" s="1">
        <f>VLOOKUP($B16, '[1]Pro of hr long'!$B$2:$X$31, $A$1, FALSE)+VLOOKUP($B16, '[1]Pro of seamless tubes'!$B$2:$X$31, $A$1, FALSE)</f>
        <v>3867</v>
      </c>
      <c r="U16" s="1">
        <f>VLOOKUP($B16, '[1]Exp of long'!$B$2:$X$31, $A$1, FALSE)</f>
        <v>0</v>
      </c>
      <c r="V16" s="1">
        <f>VLOOKUP($B16, '[1]Imp of long'!$B$2:$X$31, $A$1, FALSE)</f>
        <v>3861</v>
      </c>
      <c r="W16" s="1">
        <f>VLOOKUP($B16, '[1]Pro of hr flat'!$B$2:$X$31, $A$1, FALSE)*parameters!$B$8</f>
        <v>0</v>
      </c>
      <c r="X16" s="1">
        <f>VLOOKUP($B16, '[1]Exp of flat'!$B$2:$X$31, $A$1, FALSE)</f>
        <v>0</v>
      </c>
      <c r="Y16" s="1">
        <f>VLOOKUP($B16, '[1]Imp of flat'!$B$2:$X$31, $A$1, FALSE)</f>
        <v>4804</v>
      </c>
      <c r="Z16" s="1">
        <f>VLOOKUP($B16, '[1]Indirect exp'!$B$2:$X$31, $A$1, FALSE)</f>
        <v>416</v>
      </c>
      <c r="AA16" s="1">
        <f>VLOOKUP($B16, '[1]Indirect imp'!$B$2:$X$31, $A$1, FALSE)</f>
        <v>1019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37.700000000000003</v>
      </c>
      <c r="G17" s="1">
        <f>VLOOKUP($B17, '[1]Pro of pig iron'!$B$2:$X$31, $A$1, FALSE)*(1-VLOOKUP($B17, '[1]Foundry share'!$B$2:$X$31, $A$1, FALSE))</f>
        <v>11372</v>
      </c>
      <c r="H17" s="1">
        <f>VLOOKUP($B17, '[1]Exp of pig iron'!$B$2:$X$31, $A$1, FALSE)</f>
        <v>88</v>
      </c>
      <c r="I17" s="1">
        <f>VLOOKUP($B17, '[1]Imp of pig iron'!$B$2:$X$31, $A$1, FALSE)</f>
        <v>205</v>
      </c>
      <c r="J17" s="1">
        <f>VLOOKUP($B17, '[1]Pro of DRI'!$B$2:$X$31, $A$1, FALSE)</f>
        <v>0</v>
      </c>
      <c r="K17" s="1">
        <f>VLOOKUP($B17, '[1]Exp of DRI'!$B$2:$X$31, $A$1, FALSE)</f>
        <v>9</v>
      </c>
      <c r="L17" s="1">
        <f>VLOOKUP($B17, '[1]Imp of DRI'!$B$2:$X$31, $A$1, FALSE)</f>
        <v>78</v>
      </c>
      <c r="M17" s="1">
        <f>VLOOKUP($B17, '[1]Exp of scrap'!$B$2:$X$31, $A$1, FALSE)</f>
        <v>5796</v>
      </c>
      <c r="N17" s="1">
        <f>VLOOKUP($B17, '[1]Imp of scrap'!$B$2:$X$31, $A$1, FALSE)</f>
        <v>3219</v>
      </c>
      <c r="O17" s="1">
        <f>VLOOKUP($B17, '[1]Pro of BOF steel'!$B$2:$X$31, $A$1, FALSE)</f>
        <v>10666</v>
      </c>
      <c r="P17" s="1">
        <f>VLOOKUP($B17, '[1]Pro of OHF steel'!$B$2:$X$31, $A$1, FALSE)</f>
        <v>0</v>
      </c>
      <c r="Q17" s="1">
        <f>VLOOKUP($B17, '[1]Pro of EAF steel'!$B$2:$X$31, $A$1, FALSE)</f>
        <v>7213</v>
      </c>
      <c r="R17" s="1">
        <f>VLOOKUP($B17, '[1]Exp of ingots and semis'!$B$2:$X$31, $A$1, FALSE)</f>
        <v>2811</v>
      </c>
      <c r="S17" s="1">
        <f>VLOOKUP($B17, '[1]Imp of ingots and semis'!$B$2:$X$31, $A$1, FALSE)</f>
        <v>1745</v>
      </c>
      <c r="T17" s="1">
        <f>VLOOKUP($B17, '[1]Pro of hr long'!$B$2:$X$31, $A$1, FALSE)+VLOOKUP($B17, '[1]Pro of seamless tubes'!$B$2:$X$31, $A$1, FALSE)</f>
        <v>5315</v>
      </c>
      <c r="U17" s="1">
        <f>VLOOKUP($B17, '[1]Exp of long'!$B$2:$X$31, $A$1, FALSE)</f>
        <v>2872</v>
      </c>
      <c r="V17" s="1">
        <f>VLOOKUP($B17, '[1]Imp of long'!$B$2:$X$31, $A$1, FALSE)</f>
        <v>4119</v>
      </c>
      <c r="W17" s="1">
        <f>VLOOKUP($B17, '[1]Pro of hr flat'!$B$2:$X$31, $A$1, FALSE)*parameters!$B$8</f>
        <v>9921.4736842105267</v>
      </c>
      <c r="X17" s="1">
        <f>VLOOKUP($B17, '[1]Exp of flat'!$B$2:$X$31, $A$1, FALSE)</f>
        <v>9870</v>
      </c>
      <c r="Y17" s="1">
        <f>VLOOKUP($B17, '[1]Imp of flat'!$B$2:$X$31, $A$1, FALSE)</f>
        <v>9617</v>
      </c>
      <c r="Z17" s="1">
        <f>VLOOKUP($B17, '[1]Indirect exp'!$B$2:$X$31, $A$1, FALSE)</f>
        <v>11322</v>
      </c>
      <c r="AA17" s="1">
        <f>VLOOKUP($B17, '[1]Indirect imp'!$B$2:$X$31, $A$1, FALSE)</f>
        <v>14358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3784</v>
      </c>
      <c r="H18" s="1">
        <f>VLOOKUP($B18, '[1]Exp of pig iron'!$B$2:$X$31, $A$1, FALSE)</f>
        <v>10</v>
      </c>
      <c r="I18" s="1">
        <f>VLOOKUP($B18, '[1]Imp of pig iron'!$B$2:$X$31, $A$1, FALSE)</f>
        <v>688</v>
      </c>
      <c r="J18" s="1">
        <f>VLOOKUP($B18, '[1]Pro of DRI'!$B$2:$X$31, $A$1, FALSE)</f>
        <v>0</v>
      </c>
      <c r="K18" s="1">
        <f>VLOOKUP($B18, '[1]Exp of DRI'!$B$2:$X$31, $A$1, FALSE)</f>
        <v>3</v>
      </c>
      <c r="L18" s="1">
        <f>VLOOKUP($B18, '[1]Imp of DRI'!$B$2:$X$31, $A$1, FALSE)</f>
        <v>564</v>
      </c>
      <c r="M18" s="1">
        <f>VLOOKUP($B18, '[1]Exp of scrap'!$B$2:$X$31, $A$1, FALSE)</f>
        <v>215</v>
      </c>
      <c r="N18" s="1">
        <f>VLOOKUP($B18, '[1]Imp of scrap'!$B$2:$X$31, $A$1, FALSE)</f>
        <v>6657</v>
      </c>
      <c r="O18" s="1">
        <f>VLOOKUP($B18, '[1]Pro of BOF steel'!$B$2:$X$31, $A$1, FALSE)</f>
        <v>4067</v>
      </c>
      <c r="P18" s="1">
        <f>VLOOKUP($B18, '[1]Pro of OHF steel'!$B$2:$X$31, $A$1, FALSE)</f>
        <v>0</v>
      </c>
      <c r="Q18" s="1">
        <f>VLOOKUP($B18, '[1]Pro of EAF steel'!$B$2:$X$31, $A$1, FALSE)</f>
        <v>14573</v>
      </c>
      <c r="R18" s="1">
        <f>VLOOKUP($B18, '[1]Exp of ingots and semis'!$B$2:$X$31, $A$1, FALSE)</f>
        <v>311</v>
      </c>
      <c r="S18" s="1">
        <f>VLOOKUP($B18, '[1]Imp of ingots and semis'!$B$2:$X$31, $A$1, FALSE)</f>
        <v>1588</v>
      </c>
      <c r="T18" s="1">
        <f>VLOOKUP($B18, '[1]Pro of hr long'!$B$2:$X$31, $A$1, FALSE)+VLOOKUP($B18, '[1]Pro of seamless tubes'!$B$2:$X$31, $A$1, FALSE)</f>
        <v>12378</v>
      </c>
      <c r="U18" s="1">
        <f>VLOOKUP($B18, '[1]Exp of long'!$B$2:$X$31, $A$1, FALSE)</f>
        <v>5638</v>
      </c>
      <c r="V18" s="1">
        <f>VLOOKUP($B18, '[1]Imp of long'!$B$2:$X$31, $A$1, FALSE)</f>
        <v>2065</v>
      </c>
      <c r="W18" s="1">
        <f>VLOOKUP($B18, '[1]Pro of hr flat'!$B$2:$X$31, $A$1, FALSE)*parameters!$B$8</f>
        <v>5590.3015647226175</v>
      </c>
      <c r="X18" s="1">
        <f>VLOOKUP($B18, '[1]Exp of flat'!$B$2:$X$31, $A$1, FALSE)</f>
        <v>2550</v>
      </c>
      <c r="Y18" s="1">
        <f>VLOOKUP($B18, '[1]Imp of flat'!$B$2:$X$31, $A$1, FALSE)</f>
        <v>6929</v>
      </c>
      <c r="Z18" s="1">
        <f>VLOOKUP($B18, '[1]Indirect exp'!$B$2:$X$31, $A$1, FALSE)</f>
        <v>9662</v>
      </c>
      <c r="AA18" s="1">
        <f>VLOOKUP($B18, '[1]Indirect imp'!$B$2:$X$31, $A$1, FALSE)</f>
        <v>8541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31273</v>
      </c>
      <c r="D19" s="1">
        <f>VLOOKUP($B19, '[1]Pro of iron ore'!$B$2:$X$31, $A$1, FALSE)*(1-VLOOKUP($B19, '[1]Foundry share'!$B$2:$X$31, $A$1, FALSE))</f>
        <v>19700</v>
      </c>
      <c r="E19" s="47">
        <f>VLOOKUP($B19, '[1]Iron content'!$B$2:$X$31, $A$1, FALSE)</f>
        <v>0.62993636683401022</v>
      </c>
      <c r="F19" s="1">
        <f>VLOOKUP($B19, '[1]Exp of usable iron ore'!$B$2:$X$31, $A$1, FALSE)*parameters!$B$12</f>
        <v>18236.400000000001</v>
      </c>
      <c r="G19" s="1">
        <f>VLOOKUP($B19, '[1]Pro of pig iron'!$B$2:$X$31, $A$1, FALSE)*(1-VLOOKUP($B19, '[1]Foundry share'!$B$2:$X$31, $A$1, FALSE))</f>
        <v>8770</v>
      </c>
      <c r="H19" s="1">
        <f>VLOOKUP($B19, '[1]Exp of pig iron'!$B$2:$X$31, $A$1, FALSE)</f>
        <v>183</v>
      </c>
      <c r="I19" s="1">
        <f>VLOOKUP($B19, '[1]Imp of pig iron'!$B$2:$X$31, $A$1, FALSE)</f>
        <v>57</v>
      </c>
      <c r="J19" s="1">
        <f>VLOOKUP($B19, '[1]Pro of DRI'!$B$2:$X$31, $A$1, FALSE)</f>
        <v>704</v>
      </c>
      <c r="K19" s="1">
        <f>VLOOKUP($B19, '[1]Exp of DRI'!$B$2:$X$31, $A$1, FALSE)</f>
        <v>0</v>
      </c>
      <c r="L19" s="1">
        <f>VLOOKUP($B19, '[1]Imp of DRI'!$B$2:$X$31, $A$1, FALSE)</f>
        <v>286</v>
      </c>
      <c r="M19" s="1">
        <f>VLOOKUP($B19, '[1]Exp of scrap'!$B$2:$X$31, $A$1, FALSE)</f>
        <v>4048</v>
      </c>
      <c r="N19" s="1">
        <f>VLOOKUP($B19, '[1]Imp of scrap'!$B$2:$X$31, $A$1, FALSE)</f>
        <v>1691</v>
      </c>
      <c r="O19" s="1">
        <f>VLOOKUP($B19, '[1]Pro of BOF steel'!$B$2:$X$31, $A$1, FALSE)</f>
        <v>8780</v>
      </c>
      <c r="P19" s="1">
        <f>VLOOKUP($B19, '[1]Pro of OHF steel'!$B$2:$X$31, $A$1, FALSE)</f>
        <v>0</v>
      </c>
      <c r="Q19" s="1">
        <f>VLOOKUP($B19, '[1]Pro of EAF steel'!$B$2:$X$31, $A$1, FALSE)</f>
        <v>6065</v>
      </c>
      <c r="R19" s="1">
        <f>VLOOKUP($B19, '[1]Exp of ingots and semis'!$B$2:$X$31, $A$1, FALSE)</f>
        <v>1321</v>
      </c>
      <c r="S19" s="1">
        <f>VLOOKUP($B19, '[1]Imp of ingots and semis'!$B$2:$X$31, $A$1, FALSE)</f>
        <v>328</v>
      </c>
      <c r="T19" s="1">
        <f>VLOOKUP($B19, '[1]Pro of hr long'!$B$2:$X$31, $A$1, FALSE)+VLOOKUP($B19, '[1]Pro of seamless tubes'!$B$2:$X$31, $A$1, FALSE)</f>
        <v>3032</v>
      </c>
      <c r="U19" s="1">
        <f>VLOOKUP($B19, '[1]Exp of long'!$B$2:$X$31, $A$1, FALSE)</f>
        <v>1777</v>
      </c>
      <c r="V19" s="1">
        <f>VLOOKUP($B19, '[1]Imp of long'!$B$2:$X$31, $A$1, FALSE)</f>
        <v>2273</v>
      </c>
      <c r="W19" s="1">
        <f>VLOOKUP($B19, '[1]Pro of hr flat'!$B$2:$X$31, $A$1, FALSE)*parameters!$B$8</f>
        <v>10295.520625889047</v>
      </c>
      <c r="X19" s="1">
        <f>VLOOKUP($B19, '[1]Exp of flat'!$B$2:$X$31, $A$1, FALSE)</f>
        <v>3525</v>
      </c>
      <c r="Y19" s="1">
        <f>VLOOKUP($B19, '[1]Imp of flat'!$B$2:$X$31, $A$1, FALSE)</f>
        <v>3348</v>
      </c>
      <c r="Z19" s="1">
        <f>VLOOKUP($B19, '[1]Indirect exp'!$B$2:$X$31, $A$1, FALSE)</f>
        <v>5887</v>
      </c>
      <c r="AA19" s="1">
        <f>VLOOKUP($B19, '[1]Indirect imp'!$B$2:$X$31, $A$1, FALSE)</f>
        <v>11359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65</v>
      </c>
      <c r="D20" s="1">
        <f>VLOOKUP($B20, '[1]Pro of iron ore'!$B$2:$X$31, $A$1, FALSE)*(1-VLOOKUP($B20, '[1]Foundry share'!$B$2:$X$31, $A$1, FALSE))</f>
        <v>37</v>
      </c>
      <c r="E20" s="47">
        <f>VLOOKUP($B20, '[1]Iron content'!$B$2:$X$31, $A$1, FALSE)</f>
        <v>0.56923076923076921</v>
      </c>
      <c r="F20" s="1">
        <f>VLOOKUP($B20, '[1]Exp of usable iron ore'!$B$2:$X$31, $A$1, FALSE)*parameters!$B$12</f>
        <v>4233.45</v>
      </c>
      <c r="G20" s="1">
        <f>VLOOKUP($B20, '[1]Pro of pig iron'!$B$2:$X$31, $A$1, FALSE)*(1-VLOOKUP($B20, '[1]Foundry share'!$B$2:$X$31, $A$1, FALSE))</f>
        <v>0</v>
      </c>
      <c r="H20" s="1">
        <f>VLOOKUP($B20, '[1]Exp of pig iron'!$B$2:$X$31, $A$1, FALSE)</f>
        <v>0</v>
      </c>
      <c r="I20" s="1">
        <f>VLOOKUP($B20, '[1]Imp of pig iron'!$B$2:$X$31, $A$1, FALSE)</f>
        <v>161</v>
      </c>
      <c r="J20" s="1">
        <f>VLOOKUP($B20, '[1]Pro of DRI'!$B$2:$X$31, $A$1, FALSE)</f>
        <v>1209</v>
      </c>
      <c r="K20" s="1">
        <f>VLOOKUP($B20, '[1]Exp of DRI'!$B$2:$X$31, $A$1, FALSE)</f>
        <v>0</v>
      </c>
      <c r="L20" s="1">
        <f>VLOOKUP($B20, '[1]Imp of DRI'!$B$2:$X$31, $A$1, FALSE)</f>
        <v>290</v>
      </c>
      <c r="M20" s="1">
        <f>VLOOKUP($B20, '[1]Exp of scrap'!$B$2:$X$31, $A$1, FALSE)</f>
        <v>0</v>
      </c>
      <c r="N20" s="1">
        <f>VLOOKUP($B20, '[1]Imp of scrap'!$B$2:$X$31, $A$1, FALSE)</f>
        <v>1907</v>
      </c>
      <c r="O20" s="1">
        <f>VLOOKUP($B20, '[1]Pro of BOF steel'!$B$2:$X$31, $A$1, FALSE)</f>
        <v>0</v>
      </c>
      <c r="P20" s="1">
        <f>VLOOKUP($B20, '[1]Pro of OHF steel'!$B$2:$X$31, $A$1, FALSE)</f>
        <v>0</v>
      </c>
      <c r="Q20" s="1">
        <f>VLOOKUP($B20, '[1]Pro of EAF steel'!$B$2:$X$31, $A$1, FALSE)</f>
        <v>3915</v>
      </c>
      <c r="R20" s="1">
        <f>VLOOKUP($B20, '[1]Exp of ingots and semis'!$B$2:$X$31, $A$1, FALSE)</f>
        <v>36</v>
      </c>
      <c r="S20" s="1">
        <f>VLOOKUP($B20, '[1]Imp of ingots and semis'!$B$2:$X$31, $A$1, FALSE)</f>
        <v>2598</v>
      </c>
      <c r="T20" s="1">
        <f>VLOOKUP($B20, '[1]Pro of hr long'!$B$2:$X$31, $A$1, FALSE)+VLOOKUP($B20, '[1]Pro of seamless tubes'!$B$2:$X$31, $A$1, FALSE)</f>
        <v>2703</v>
      </c>
      <c r="U20" s="1">
        <f>VLOOKUP($B20, '[1]Exp of long'!$B$2:$X$31, $A$1, FALSE)</f>
        <v>315</v>
      </c>
      <c r="V20" s="1">
        <f>VLOOKUP($B20, '[1]Imp of long'!$B$2:$X$31, $A$1, FALSE)</f>
        <v>1195</v>
      </c>
      <c r="W20" s="1">
        <f>VLOOKUP($B20, '[1]Pro of hr flat'!$B$2:$X$31, $A$1, FALSE)*parameters!$B$8</f>
        <v>2424.0184921763871</v>
      </c>
      <c r="X20" s="1">
        <f>VLOOKUP($B20, '[1]Exp of flat'!$B$2:$X$31, $A$1, FALSE)</f>
        <v>893</v>
      </c>
      <c r="Y20" s="1">
        <f>VLOOKUP($B20, '[1]Imp of flat'!$B$2:$X$31, $A$1, FALSE)</f>
        <v>3521</v>
      </c>
      <c r="Z20" s="1">
        <f>VLOOKUP($B20, '[1]Indirect exp'!$B$2:$X$31, $A$1, FALSE)</f>
        <v>1693</v>
      </c>
      <c r="AA20" s="1">
        <f>VLOOKUP($B20, '[1]Indirect imp'!$B$2:$X$31, $A$1, FALSE)</f>
        <v>3898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6.5</v>
      </c>
      <c r="G21" s="1">
        <f>VLOOKUP($B21, '[1]Pro of pig iron'!$B$2:$X$31, $A$1, FALSE)*(1-VLOOKUP($B21, '[1]Foundry share'!$B$2:$X$31, $A$1, FALSE))</f>
        <v>4934</v>
      </c>
      <c r="H21" s="1">
        <f>VLOOKUP($B21, '[1]Exp of pig iron'!$B$2:$X$31, $A$1, FALSE)</f>
        <v>5</v>
      </c>
      <c r="I21" s="1">
        <f>VLOOKUP($B21, '[1]Imp of pig iron'!$B$2:$X$31, $A$1, FALSE)</f>
        <v>237</v>
      </c>
      <c r="J21" s="1">
        <f>VLOOKUP($B21, '[1]Pro of DRI'!$B$2:$X$31, $A$1, FALSE)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1369</v>
      </c>
      <c r="N21" s="1">
        <f>VLOOKUP($B21, '[1]Imp of scrap'!$B$2:$X$31, $A$1, FALSE)</f>
        <v>466</v>
      </c>
      <c r="O21" s="1">
        <f>VLOOKUP($B21, '[1]Pro of BOF steel'!$B$2:$X$31, $A$1, FALSE)</f>
        <v>5225</v>
      </c>
      <c r="P21" s="1">
        <f>VLOOKUP($B21, '[1]Pro of OHF steel'!$B$2:$X$31, $A$1, FALSE)</f>
        <v>0</v>
      </c>
      <c r="Q21" s="1">
        <f>VLOOKUP($B21, '[1]Pro of EAF steel'!$B$2:$X$31, $A$1, FALSE)</f>
        <v>4503</v>
      </c>
      <c r="R21" s="1">
        <f>VLOOKUP($B21, '[1]Exp of ingots and semis'!$B$2:$X$31, $A$1, FALSE)</f>
        <v>1580</v>
      </c>
      <c r="S21" s="1">
        <f>VLOOKUP($B21, '[1]Imp of ingots and semis'!$B$2:$X$31, $A$1, FALSE)</f>
        <v>584</v>
      </c>
      <c r="T21" s="1">
        <f>VLOOKUP($B21, '[1]Pro of hr long'!$B$2:$X$31, $A$1, FALSE)+VLOOKUP($B21, '[1]Pro of seamless tubes'!$B$2:$X$31, $A$1, FALSE)</f>
        <v>4971</v>
      </c>
      <c r="U21" s="1">
        <f>VLOOKUP($B21, '[1]Exp of long'!$B$2:$X$31, $A$1, FALSE)</f>
        <v>2329</v>
      </c>
      <c r="V21" s="1">
        <f>VLOOKUP($B21, '[1]Imp of long'!$B$2:$X$31, $A$1, FALSE)</f>
        <v>1827</v>
      </c>
      <c r="W21" s="1">
        <f>VLOOKUP($B21, '[1]Pro of hr flat'!$B$2:$X$31, $A$1, FALSE)*parameters!$B$8</f>
        <v>2755.3172119487908</v>
      </c>
      <c r="X21" s="1">
        <f>VLOOKUP($B21, '[1]Exp of flat'!$B$2:$X$31, $A$1, FALSE)</f>
        <v>1076</v>
      </c>
      <c r="Y21" s="1">
        <f>VLOOKUP($B21, '[1]Imp of flat'!$B$2:$X$31, $A$1, FALSE)</f>
        <v>4902</v>
      </c>
      <c r="Z21" s="1">
        <f>VLOOKUP($B21, '[1]Indirect exp'!$B$2:$X$31, $A$1, FALSE)</f>
        <v>7373</v>
      </c>
      <c r="AA21" s="1">
        <f>VLOOKUP($B21, '[1]Indirect imp'!$B$2:$X$31, $A$1, FALSE)</f>
        <v>6189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1810.606</v>
      </c>
      <c r="D22" s="1">
        <f>VLOOKUP($B22, '[1]Pro of iron ore'!$B$2:$X$31, $A$1, FALSE)*(1-VLOOKUP($B22, '[1]Foundry share'!$B$2:$X$31, $A$1, FALSE))</f>
        <v>910</v>
      </c>
      <c r="E22" s="47">
        <f>VLOOKUP($B22, '[1]Iron content'!$B$2:$X$31, $A$1, FALSE)</f>
        <v>0.50259415908264971</v>
      </c>
      <c r="F22" s="1">
        <f>VLOOKUP($B22, '[1]Exp of usable iron ore'!$B$2:$X$31, $A$1, FALSE)*parameters!$B$12</f>
        <v>0</v>
      </c>
      <c r="G22" s="1">
        <f>VLOOKUP($B22, '[1]Pro of pig iron'!$B$2:$X$31, $A$1, FALSE)*(1-VLOOKUP($B22, '[1]Foundry share'!$B$2:$X$31, $A$1, FALSE))</f>
        <v>900</v>
      </c>
      <c r="H22" s="1">
        <f>VLOOKUP($B22, '[1]Exp of pig iron'!$B$2:$X$31, $A$1, FALSE)</f>
        <v>0</v>
      </c>
      <c r="I22" s="1">
        <f>VLOOKUP($B22, '[1]Imp of pig iron'!$B$2:$X$31, $A$1, FALSE)</f>
        <v>0</v>
      </c>
      <c r="J22" s="1">
        <f>VLOOKUP($B22, '[1]Pro of DRI'!$B$2:$X$31, $A$1, FALSE)</f>
        <v>2643</v>
      </c>
      <c r="K22" s="1">
        <f>VLOOKUP($B22, '[1]Exp of DRI'!$B$2:$X$31, $A$1, FALSE)</f>
        <v>0</v>
      </c>
      <c r="L22" s="1">
        <f>VLOOKUP($B22, '[1]Imp of DRI'!$B$2:$X$31, $A$1, FALSE)</f>
        <v>0</v>
      </c>
      <c r="M22" s="1">
        <f>VLOOKUP($B22, '[1]Exp of scrap'!$B$2:$X$31, $A$1, FALSE)</f>
        <v>0</v>
      </c>
      <c r="N22" s="1">
        <f>VLOOKUP($B22, '[1]Imp of scrap'!$B$2:$X$31, $A$1, FALSE)</f>
        <v>2398</v>
      </c>
      <c r="O22" s="1">
        <f>VLOOKUP($B22, '[1]Pro of BOF steel'!$B$2:$X$31, $A$1, FALSE)</f>
        <v>900</v>
      </c>
      <c r="P22" s="1">
        <f>VLOOKUP($B22, '[1]Pro of OHF steel'!$B$2:$X$31, $A$1, FALSE)</f>
        <v>0</v>
      </c>
      <c r="Q22" s="1">
        <f>VLOOKUP($B22, '[1]Pro of EAF steel'!$B$2:$X$31, $A$1, FALSE)</f>
        <v>5300</v>
      </c>
      <c r="R22" s="1">
        <f>VLOOKUP($B22, '[1]Exp of ingots and semis'!$B$2:$X$31, $A$1, FALSE)</f>
        <v>4</v>
      </c>
      <c r="S22" s="1">
        <f>VLOOKUP($B22, '[1]Imp of ingots and semis'!$B$2:$X$31, $A$1, FALSE)</f>
        <v>1450</v>
      </c>
      <c r="T22" s="1">
        <f>VLOOKUP($B22, '[1]Pro of hr long'!$B$2:$X$31, $A$1, FALSE)+VLOOKUP($B22, '[1]Pro of seamless tubes'!$B$2:$X$31, $A$1, FALSE)</f>
        <v>5037</v>
      </c>
      <c r="U22" s="1">
        <f>VLOOKUP($B22, '[1]Exp of long'!$B$2:$X$31, $A$1, FALSE)</f>
        <v>0</v>
      </c>
      <c r="V22" s="1">
        <f>VLOOKUP($B22, '[1]Imp of long'!$B$2:$X$31, $A$1, FALSE)</f>
        <v>330</v>
      </c>
      <c r="W22" s="1">
        <f>VLOOKUP($B22, '[1]Pro of hr flat'!$B$2:$X$31, $A$1, FALSE)*parameters!$B$8</f>
        <v>1679.8108108108108</v>
      </c>
      <c r="X22" s="1">
        <f>VLOOKUP($B22, '[1]Exp of flat'!$B$2:$X$31, $A$1, FALSE)</f>
        <v>0</v>
      </c>
      <c r="Y22" s="1">
        <f>VLOOKUP($B22, '[1]Imp of flat'!$B$2:$X$31, $A$1, FALSE)</f>
        <v>870</v>
      </c>
      <c r="Z22" s="1">
        <f>VLOOKUP($B22, '[1]Indirect exp'!$B$2:$X$31, $A$1, FALSE)</f>
        <v>233</v>
      </c>
      <c r="AA22" s="1">
        <f>VLOOKUP($B22, '[1]Indirect imp'!$B$2:$X$31, $A$1, FALSE)</f>
        <v>1136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0</v>
      </c>
      <c r="J23" s="1">
        <f>VLOOKUP($B23, '[1]Pro of DRI'!$B$2:$X$31, $A$1, FALSE)</f>
        <v>4530</v>
      </c>
      <c r="K23" s="1">
        <f>VLOOKUP($B23, '[1]Exp of DRI'!$B$2:$X$31, $A$1, FALSE)</f>
        <v>0</v>
      </c>
      <c r="L23" s="1">
        <f>VLOOKUP($B23, '[1]Imp of DRI'!$B$2:$X$31, $A$1, FALSE)</f>
        <v>0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4667</v>
      </c>
      <c r="R23" s="1">
        <f>VLOOKUP($B23, '[1]Exp of ingots and semis'!$B$2:$X$31, $A$1, FALSE)</f>
        <v>0</v>
      </c>
      <c r="S23" s="1">
        <f>VLOOKUP($B23, '[1]Imp of ingots and semis'!$B$2:$X$31, $A$1, FALSE)</f>
        <v>1779</v>
      </c>
      <c r="T23" s="1">
        <f>VLOOKUP($B23, '[1]Pro of hr long'!$B$2:$X$31, $A$1, FALSE)+VLOOKUP($B23, '[1]Pro of seamless tubes'!$B$2:$X$31, $A$1, FALSE)</f>
        <v>2580</v>
      </c>
      <c r="U23" s="1">
        <f>VLOOKUP($B23, '[1]Exp of long'!$B$2:$X$31, $A$1, FALSE)</f>
        <v>0</v>
      </c>
      <c r="V23" s="1">
        <f>VLOOKUP($B23, '[1]Imp of long'!$B$2:$X$31, $A$1, FALSE)</f>
        <v>1487</v>
      </c>
      <c r="W23" s="1">
        <f>VLOOKUP($B23, '[1]Pro of hr flat'!$B$2:$X$31, $A$1, FALSE)*parameters!$B$8</f>
        <v>2451.1528155982014</v>
      </c>
      <c r="X23" s="1">
        <f>VLOOKUP($B23, '[1]Exp of flat'!$B$2:$X$31, $A$1, FALSE)</f>
        <v>0</v>
      </c>
      <c r="Y23" s="1">
        <f>VLOOKUP($B23, '[1]Imp of flat'!$B$2:$X$31, $A$1, FALSE)</f>
        <v>1826</v>
      </c>
      <c r="Z23" s="1">
        <f>VLOOKUP($B23, '[1]Indirect exp'!$B$2:$X$31, $A$1, FALSE)</f>
        <v>156</v>
      </c>
      <c r="AA23" s="1">
        <f>VLOOKUP($B23, '[1]Indirect imp'!$B$2:$X$31, $A$1, FALSE)</f>
        <v>2900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2032.671</v>
      </c>
      <c r="D24" s="1">
        <f>VLOOKUP($B24, '[1]Pro of iron ore'!$B$2:$X$31, $A$1, FALSE)*(1-VLOOKUP($B24, '[1]Foundry share'!$B$2:$X$31, $A$1, FALSE))</f>
        <v>650.45500000000004</v>
      </c>
      <c r="E24" s="47">
        <f>VLOOKUP($B24, '[1]Iron content'!$B$2:$X$31, $A$1, FALSE)</f>
        <v>0.32000013774978836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5795</v>
      </c>
      <c r="H24" s="1">
        <f>VLOOKUP($B24, '[1]Exp of pig iron'!$B$2:$X$31, $A$1, FALSE)</f>
        <v>6</v>
      </c>
      <c r="I24" s="1">
        <f>VLOOKUP($B24, '[1]Imp of pig iron'!$B$2:$X$31, $A$1, FALSE)</f>
        <v>44</v>
      </c>
      <c r="J24" s="1">
        <f>VLOOKUP($B24, '[1]Pro of DRI'!$B$2:$X$31, $A$1, FALSE)</f>
        <v>0</v>
      </c>
      <c r="K24" s="1">
        <f>VLOOKUP($B24, '[1]Exp of DRI'!$B$2:$X$31, $A$1, FALSE)</f>
        <v>0</v>
      </c>
      <c r="L24" s="1">
        <f>VLOOKUP($B24, '[1]Imp of DRI'!$B$2:$X$31, $A$1, FALSE)</f>
        <v>41</v>
      </c>
      <c r="M24" s="1">
        <f>VLOOKUP($B24, '[1]Exp of scrap'!$B$2:$X$31, $A$1, FALSE)</f>
        <v>1397</v>
      </c>
      <c r="N24" s="1">
        <f>VLOOKUP($B24, '[1]Imp of scrap'!$B$2:$X$31, $A$1, FALSE)</f>
        <v>1797</v>
      </c>
      <c r="O24" s="1">
        <f>VLOOKUP($B24, '[1]Pro of BOF steel'!$B$2:$X$31, $A$1, FALSE)</f>
        <v>6870</v>
      </c>
      <c r="P24" s="1">
        <f>VLOOKUP($B24, '[1]Pro of OHF steel'!$B$2:$X$31, $A$1, FALSE)</f>
        <v>0</v>
      </c>
      <c r="Q24" s="1">
        <f>VLOOKUP($B24, '[1]Pro of EAF steel'!$B$2:$X$31, $A$1, FALSE)</f>
        <v>723</v>
      </c>
      <c r="R24" s="1">
        <f>VLOOKUP($B24, '[1]Exp of ingots and semis'!$B$2:$X$31, $A$1, FALSE)</f>
        <v>285</v>
      </c>
      <c r="S24" s="1">
        <f>VLOOKUP($B24, '[1]Imp of ingots and semis'!$B$2:$X$31, $A$1, FALSE)</f>
        <v>192</v>
      </c>
      <c r="T24" s="1">
        <f>VLOOKUP($B24, '[1]Pro of hr long'!$B$2:$X$31, $A$1, FALSE)+VLOOKUP($B24, '[1]Pro of seamless tubes'!$B$2:$X$31, $A$1, FALSE)</f>
        <v>1782</v>
      </c>
      <c r="U24" s="1">
        <f>VLOOKUP($B24, '[1]Exp of long'!$B$2:$X$31, $A$1, FALSE)</f>
        <v>1161</v>
      </c>
      <c r="V24" s="1">
        <f>VLOOKUP($B24, '[1]Imp of long'!$B$2:$X$31, $A$1, FALSE)</f>
        <v>1450</v>
      </c>
      <c r="W24" s="1">
        <f>VLOOKUP($B24, '[1]Pro of hr flat'!$B$2:$X$31, $A$1, FALSE)*parameters!$B$8</f>
        <v>4923.8179231863442</v>
      </c>
      <c r="X24" s="1">
        <f>VLOOKUP($B24, '[1]Exp of flat'!$B$2:$X$31, $A$1, FALSE)</f>
        <v>4418</v>
      </c>
      <c r="Y24" s="1">
        <f>VLOOKUP($B24, '[1]Imp of flat'!$B$2:$X$31, $A$1, FALSE)</f>
        <v>1995</v>
      </c>
      <c r="Z24" s="1">
        <f>VLOOKUP($B24, '[1]Indirect exp'!$B$2:$X$31, $A$1, FALSE)</f>
        <v>3834</v>
      </c>
      <c r="AA24" s="1">
        <f>VLOOKUP($B24, '[1]Indirect imp'!$B$2:$X$31, $A$1, FALSE)</f>
        <v>3812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58.5</v>
      </c>
      <c r="G25" s="1">
        <f>VLOOKUP($B25, '[1]Pro of pig iron'!$B$2:$X$31, $A$1, FALSE)*(1-VLOOKUP($B25, '[1]Foundry share'!$B$2:$X$31, $A$1, FALSE))</f>
        <v>6977</v>
      </c>
      <c r="H25" s="1">
        <f>VLOOKUP($B25, '[1]Exp of pig iron'!$B$2:$X$31, $A$1, FALSE)</f>
        <v>294</v>
      </c>
      <c r="I25" s="1">
        <f>VLOOKUP($B25, '[1]Imp of pig iron'!$B$2:$X$31, $A$1, FALSE)</f>
        <v>503</v>
      </c>
      <c r="J25" s="1">
        <f>VLOOKUP($B25, '[1]Pro of DRI'!$B$2:$X$31, $A$1, FALSE)</f>
        <v>0</v>
      </c>
      <c r="K25" s="1">
        <f>VLOOKUP($B25, '[1]Exp of DRI'!$B$2:$X$31, $A$1, FALSE)</f>
        <v>0</v>
      </c>
      <c r="L25" s="1">
        <f>VLOOKUP($B25, '[1]Imp of DRI'!$B$2:$X$31, $A$1, FALSE)</f>
        <v>1</v>
      </c>
      <c r="M25" s="1">
        <f>VLOOKUP($B25, '[1]Exp of scrap'!$B$2:$X$31, $A$1, FALSE)</f>
        <v>3161</v>
      </c>
      <c r="N25" s="1">
        <f>VLOOKUP($B25, '[1]Imp of scrap'!$B$2:$X$31, $A$1, FALSE)</f>
        <v>4830</v>
      </c>
      <c r="O25" s="1">
        <f>VLOOKUP($B25, '[1]Pro of BOF steel'!$B$2:$X$31, $A$1, FALSE)</f>
        <v>7407</v>
      </c>
      <c r="P25" s="1">
        <f>VLOOKUP($B25, '[1]Pro of OHF steel'!$B$2:$X$31, $A$1, FALSE)</f>
        <v>0</v>
      </c>
      <c r="Q25" s="1">
        <f>VLOOKUP($B25, '[1]Pro of EAF steel'!$B$2:$X$31, $A$1, FALSE)</f>
        <v>3265</v>
      </c>
      <c r="R25" s="1">
        <f>VLOOKUP($B25, '[1]Exp of ingots and semis'!$B$2:$X$31, $A$1, FALSE)</f>
        <v>912</v>
      </c>
      <c r="S25" s="1">
        <f>VLOOKUP($B25, '[1]Imp of ingots and semis'!$B$2:$X$31, $A$1, FALSE)</f>
        <v>2790</v>
      </c>
      <c r="T25" s="1">
        <f>VLOOKUP($B25, '[1]Pro of hr long'!$B$2:$X$31, $A$1, FALSE)+VLOOKUP($B25, '[1]Pro of seamless tubes'!$B$2:$X$31, $A$1, FALSE)</f>
        <v>1071</v>
      </c>
      <c r="U25" s="1">
        <f>VLOOKUP($B25, '[1]Exp of long'!$B$2:$X$31, $A$1, FALSE)</f>
        <v>2556</v>
      </c>
      <c r="V25" s="1">
        <f>VLOOKUP($B25, '[1]Imp of long'!$B$2:$X$31, $A$1, FALSE)</f>
        <v>2815</v>
      </c>
      <c r="W25" s="1">
        <f>VLOOKUP($B25, '[1]Pro of hr flat'!$B$2:$X$31, $A$1, FALSE)*parameters!$B$8</f>
        <v>10416.964438122333</v>
      </c>
      <c r="X25" s="1">
        <f>VLOOKUP($B25, '[1]Exp of flat'!$B$2:$X$31, $A$1, FALSE)</f>
        <v>17009</v>
      </c>
      <c r="Y25" s="1">
        <f>VLOOKUP($B25, '[1]Imp of flat'!$B$2:$X$31, $A$1, FALSE)</f>
        <v>8644</v>
      </c>
      <c r="Z25" s="1">
        <f>VLOOKUP($B25, '[1]Indirect exp'!$B$2:$X$31, $A$1, FALSE)</f>
        <v>6916</v>
      </c>
      <c r="AA25" s="1">
        <f>VLOOKUP($B25, '[1]Indirect imp'!$B$2:$X$31, $A$1, FALSE)</f>
        <v>7212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5.2</v>
      </c>
      <c r="G26" s="1">
        <f>VLOOKUP($B26, '[1]Pro of pig iron'!$B$2:$X$31, $A$1, FALSE)*(1-VLOOKUP($B26, '[1]Foundry share'!$B$2:$X$31, $A$1, FALSE))</f>
        <v>10137</v>
      </c>
      <c r="H26" s="1">
        <f>VLOOKUP($B26, '[1]Exp of pig iron'!$B$2:$X$31, $A$1, FALSE)</f>
        <v>3</v>
      </c>
      <c r="I26" s="1">
        <f>VLOOKUP($B26, '[1]Imp of pig iron'!$B$2:$X$31, $A$1, FALSE)</f>
        <v>62</v>
      </c>
      <c r="J26" s="1">
        <f>VLOOKUP($B26, '[1]Pro of DRI'!$B$2:$X$31, $A$1, FALSE)</f>
        <v>0</v>
      </c>
      <c r="K26" s="1">
        <f>VLOOKUP($B26, '[1]Exp of DRI'!$B$2:$X$31, $A$1, FALSE)</f>
        <v>0</v>
      </c>
      <c r="L26" s="1">
        <f>VLOOKUP($B26, '[1]Imp of DRI'!$B$2:$X$31, $A$1, FALSE)</f>
        <v>0</v>
      </c>
      <c r="M26" s="1">
        <f>VLOOKUP($B26, '[1]Exp of scrap'!$B$2:$X$31, $A$1, FALSE)</f>
        <v>6640</v>
      </c>
      <c r="N26" s="1">
        <f>VLOOKUP($B26, '[1]Imp of scrap'!$B$2:$X$31, $A$1, FALSE)</f>
        <v>237</v>
      </c>
      <c r="O26" s="1">
        <f>VLOOKUP($B26, '[1]Pro of BOF steel'!$B$2:$X$31, $A$1, FALSE)</f>
        <v>10478</v>
      </c>
      <c r="P26" s="1">
        <f>VLOOKUP($B26, '[1]Pro of OHF steel'!$B$2:$X$31, $A$1, FALSE)</f>
        <v>0</v>
      </c>
      <c r="Q26" s="1">
        <f>VLOOKUP($B26, '[1]Pro of EAF steel'!$B$2:$X$31, $A$1, FALSE)</f>
        <v>3043</v>
      </c>
      <c r="R26" s="1">
        <f>VLOOKUP($B26, '[1]Exp of ingots and semis'!$B$2:$X$31, $A$1, FALSE)</f>
        <v>3358</v>
      </c>
      <c r="S26" s="1">
        <f>VLOOKUP($B26, '[1]Imp of ingots and semis'!$B$2:$X$31, $A$1, FALSE)</f>
        <v>683</v>
      </c>
      <c r="T26" s="1">
        <f>VLOOKUP($B26, '[1]Pro of hr long'!$B$2:$X$31, $A$1, FALSE)+VLOOKUP($B26, '[1]Pro of seamless tubes'!$B$2:$X$31, $A$1, FALSE)</f>
        <v>4439</v>
      </c>
      <c r="U26" s="1">
        <f>VLOOKUP($B26, '[1]Exp of long'!$B$2:$X$31, $A$1, FALSE)</f>
        <v>2706</v>
      </c>
      <c r="V26" s="1">
        <f>VLOOKUP($B26, '[1]Imp of long'!$B$2:$X$31, $A$1, FALSE)</f>
        <v>2239</v>
      </c>
      <c r="W26" s="1">
        <f>VLOOKUP($B26, '[1]Pro of hr flat'!$B$2:$X$31, $A$1, FALSE)*parameters!$B$8</f>
        <v>4933.5334281650066</v>
      </c>
      <c r="X26" s="1">
        <f>VLOOKUP($B26, '[1]Exp of flat'!$B$2:$X$31, $A$1, FALSE)</f>
        <v>2051</v>
      </c>
      <c r="Y26" s="1">
        <f>VLOOKUP($B26, '[1]Imp of flat'!$B$2:$X$31, $A$1, FALSE)</f>
        <v>3876</v>
      </c>
      <c r="Z26" s="1">
        <f>VLOOKUP($B26, '[1]Indirect exp'!$B$2:$X$31, $A$1, FALSE)</f>
        <v>6833</v>
      </c>
      <c r="AA26" s="1">
        <f>VLOOKUP($B26, '[1]Indirect imp'!$B$2:$X$31, $A$1, FALSE)</f>
        <v>10878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16087.5</v>
      </c>
      <c r="G27" s="1">
        <f>VLOOKUP($B27, '[1]Pro of pig iron'!$B$2:$X$31, $A$1, FALSE)*(1-VLOOKUP($B27, '[1]Foundry share'!$B$2:$X$31, $A$1, FALSE))</f>
        <v>5522.9479465860004</v>
      </c>
      <c r="H27" s="1">
        <f>VLOOKUP($B27, '[1]Exp of pig iron'!$B$2:$X$31, $A$1, FALSE)</f>
        <v>339</v>
      </c>
      <c r="I27" s="1">
        <f>VLOOKUP($B27, '[1]Imp of pig iron'!$B$2:$X$31, $A$1, FALSE)</f>
        <v>381</v>
      </c>
      <c r="J27" s="1">
        <f>VLOOKUP($B27, '[1]Pro of DRI'!$B$2:$X$31, $A$1, FALSE)</f>
        <v>0</v>
      </c>
      <c r="K27" s="1">
        <f>VLOOKUP($B27, '[1]Exp of DRI'!$B$2:$X$31, $A$1, FALSE)</f>
        <v>93</v>
      </c>
      <c r="L27" s="1">
        <f>VLOOKUP($B27, '[1]Imp of DRI'!$B$2:$X$31, $A$1, FALSE)</f>
        <v>339</v>
      </c>
      <c r="M27" s="1">
        <f>VLOOKUP($B27, '[1]Exp of scrap'!$B$2:$X$31, $A$1, FALSE)</f>
        <v>3931</v>
      </c>
      <c r="N27" s="1">
        <f>VLOOKUP($B27, '[1]Imp of scrap'!$B$2:$X$31, $A$1, FALSE)</f>
        <v>1563</v>
      </c>
      <c r="O27" s="1">
        <f>VLOOKUP($B27, '[1]Pro of BOF steel'!$B$2:$X$31, $A$1, FALSE)</f>
        <v>6706</v>
      </c>
      <c r="P27" s="1">
        <f>VLOOKUP($B27, '[1]Pro of OHF steel'!$B$2:$X$31, $A$1, FALSE)</f>
        <v>0</v>
      </c>
      <c r="Q27" s="1">
        <f>VLOOKUP($B27, '[1]Pro of EAF steel'!$B$2:$X$31, $A$1, FALSE)</f>
        <v>148</v>
      </c>
      <c r="R27" s="1">
        <f>VLOOKUP($B27, '[1]Exp of ingots and semis'!$B$2:$X$31, $A$1, FALSE)</f>
        <v>863</v>
      </c>
      <c r="S27" s="1">
        <f>VLOOKUP($B27, '[1]Imp of ingots and semis'!$B$2:$X$31, $A$1, FALSE)</f>
        <v>381</v>
      </c>
      <c r="T27" s="1">
        <f>VLOOKUP($B27, '[1]Pro of hr long'!$B$2:$X$31, $A$1, FALSE)+VLOOKUP($B27, '[1]Pro of seamless tubes'!$B$2:$X$31, $A$1, FALSE)</f>
        <v>198</v>
      </c>
      <c r="U27" s="1">
        <f>VLOOKUP($B27, '[1]Exp of long'!$B$2:$X$31, $A$1, FALSE)</f>
        <v>1179</v>
      </c>
      <c r="V27" s="1">
        <f>VLOOKUP($B27, '[1]Imp of long'!$B$2:$X$31, $A$1, FALSE)</f>
        <v>2875</v>
      </c>
      <c r="W27" s="1">
        <f>VLOOKUP($B27, '[1]Pro of hr flat'!$B$2:$X$31, $A$1, FALSE)*parameters!$B$8</f>
        <v>5456.22759601707</v>
      </c>
      <c r="X27" s="1">
        <f>VLOOKUP($B27, '[1]Exp of flat'!$B$2:$X$31, $A$1, FALSE)</f>
        <v>7310</v>
      </c>
      <c r="Y27" s="1">
        <f>VLOOKUP($B27, '[1]Imp of flat'!$B$2:$X$31, $A$1, FALSE)</f>
        <v>3963</v>
      </c>
      <c r="Z27" s="1">
        <f>VLOOKUP($B27, '[1]Indirect exp'!$B$2:$X$31, $A$1, FALSE)</f>
        <v>6160</v>
      </c>
      <c r="AA27" s="1">
        <f>VLOOKUP($B27, '[1]Indirect imp'!$B$2:$X$31, $A$1, FALSE)</f>
        <v>6820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342000</v>
      </c>
      <c r="D28" s="1">
        <f>VLOOKUP($B28, '[1]Pro of iron ore'!$B$2:$X$31, $A$1, FALSE)*(1-VLOOKUP($B28, '[1]Foundry share'!$B$2:$X$31, $A$1, FALSE))</f>
        <v>209000</v>
      </c>
      <c r="E28" s="47">
        <f>VLOOKUP($B28, '[1]Iron content'!$B$2:$X$31, $A$1, FALSE)</f>
        <v>0.61111111111111116</v>
      </c>
      <c r="F28" s="1">
        <f>VLOOKUP($B28, '[1]Exp of usable iron ore'!$B$2:$X$31, $A$1, FALSE)*parameters!$B$12</f>
        <v>200805.15</v>
      </c>
      <c r="G28" s="1">
        <f>VLOOKUP($B28, '[1]Pro of pig iron'!$B$2:$X$31, $A$1, FALSE)*(1-VLOOKUP($B28, '[1]Foundry share'!$B$2:$X$31, $A$1, FALSE))</f>
        <v>6057</v>
      </c>
      <c r="H28" s="1">
        <f>VLOOKUP($B28, '[1]Exp of pig iron'!$B$2:$X$31, $A$1, FALSE)</f>
        <v>81</v>
      </c>
      <c r="I28" s="1">
        <f>VLOOKUP($B28, '[1]Imp of pig iron'!$B$2:$X$31, $A$1, FALSE)</f>
        <v>143</v>
      </c>
      <c r="J28" s="1">
        <f>VLOOKUP($B28, '[1]Pro of DRI'!$B$2:$X$31, $A$1, FALSE)</f>
        <v>0</v>
      </c>
      <c r="K28" s="1">
        <f>VLOOKUP($B28, '[1]Exp of DRI'!$B$2:$X$31, $A$1, FALSE)</f>
        <v>81</v>
      </c>
      <c r="L28" s="1">
        <f>VLOOKUP($B28, '[1]Imp of DRI'!$B$2:$X$31, $A$1, FALSE)</f>
        <v>101</v>
      </c>
      <c r="M28" s="1">
        <f>VLOOKUP($B28, '[1]Exp of scrap'!$B$2:$X$31, $A$1, FALSE)</f>
        <v>1708</v>
      </c>
      <c r="N28" s="1">
        <f>VLOOKUP($B28, '[1]Imp of scrap'!$B$2:$X$31, $A$1, FALSE)</f>
        <v>5</v>
      </c>
      <c r="O28" s="1">
        <f>VLOOKUP($B28, '[1]Pro of BOF steel'!$B$2:$X$31, $A$1, FALSE)</f>
        <v>6158</v>
      </c>
      <c r="P28" s="1">
        <f>VLOOKUP($B28, '[1]Pro of OHF steel'!$B$2:$X$31, $A$1, FALSE)</f>
        <v>0</v>
      </c>
      <c r="Q28" s="1">
        <f>VLOOKUP($B28, '[1]Pro of EAF steel'!$B$2:$X$31, $A$1, FALSE)</f>
        <v>1466</v>
      </c>
      <c r="R28" s="1">
        <f>VLOOKUP($B28, '[1]Exp of ingots and semis'!$B$2:$X$31, $A$1, FALSE)</f>
        <v>3</v>
      </c>
      <c r="S28" s="1">
        <f>VLOOKUP($B28, '[1]Imp of ingots and semis'!$B$2:$X$31, $A$1, FALSE)</f>
        <v>85</v>
      </c>
      <c r="T28" s="1">
        <f>VLOOKUP($B28, '[1]Pro of hr long'!$B$2:$X$31, $A$1, FALSE)+VLOOKUP($B28, '[1]Pro of seamless tubes'!$B$2:$X$31, $A$1, FALSE)</f>
        <v>2350</v>
      </c>
      <c r="U28" s="1">
        <f>VLOOKUP($B28, '[1]Exp of long'!$B$2:$X$31, $A$1, FALSE)</f>
        <v>166</v>
      </c>
      <c r="V28" s="1">
        <f>VLOOKUP($B28, '[1]Imp of long'!$B$2:$X$31, $A$1, FALSE)</f>
        <v>877</v>
      </c>
      <c r="W28" s="1">
        <f>VLOOKUP($B28, '[1]Pro of hr flat'!$B$2:$X$31, $A$1, FALSE)*parameters!$B$8</f>
        <v>4185.4395448079658</v>
      </c>
      <c r="X28" s="1">
        <f>VLOOKUP($B28, '[1]Exp of flat'!$B$2:$X$31, $A$1, FALSE)</f>
        <v>1173</v>
      </c>
      <c r="Y28" s="1">
        <f>VLOOKUP($B28, '[1]Imp of flat'!$B$2:$X$31, $A$1, FALSE)</f>
        <v>1261</v>
      </c>
      <c r="Z28" s="1">
        <f>VLOOKUP($B28, '[1]Indirect exp'!$B$2:$X$31, $A$1, FALSE)</f>
        <v>697</v>
      </c>
      <c r="AA28" s="1">
        <f>VLOOKUP($B28, '[1]Indirect imp'!$B$2:$X$31, $A$1, FALSE)</f>
        <v>4576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48982.536999999997</v>
      </c>
      <c r="D29" s="1">
        <f>VLOOKUP($B29, '[1]Pro of iron ore'!$B$2:$X$31, $A$1, FALSE)*(1-VLOOKUP($B29, '[1]Foundry share'!$B$2:$X$31, $A$1, FALSE))</f>
        <v>31000</v>
      </c>
      <c r="E29" s="47">
        <f>VLOOKUP($B29, '[1]Iron content'!$B$2:$X$31, $A$1, FALSE)</f>
        <v>0.63287861141206303</v>
      </c>
      <c r="F29" s="1">
        <f>VLOOKUP($B29, '[1]Exp of usable iron ore'!$B$2:$X$31, $A$1, FALSE)*parameters!$B$12</f>
        <v>20534.8</v>
      </c>
      <c r="G29" s="1">
        <f>VLOOKUP($B29, '[1]Pro of pig iron'!$B$2:$X$31, $A$1, FALSE)*(1-VLOOKUP($B29, '[1]Foundry share'!$B$2:$X$31, $A$1, FALSE))</f>
        <v>5160</v>
      </c>
      <c r="H29" s="1">
        <f>VLOOKUP($B29, '[1]Exp of pig iron'!$B$2:$X$31, $A$1, FALSE)</f>
        <v>558</v>
      </c>
      <c r="I29" s="1">
        <f>VLOOKUP($B29, '[1]Imp of pig iron'!$B$2:$X$31, $A$1, FALSE)</f>
        <v>1</v>
      </c>
      <c r="J29" s="1">
        <f>VLOOKUP($B29, '[1]Pro of DRI'!$B$2:$X$31, $A$1, FALSE)</f>
        <v>1178</v>
      </c>
      <c r="K29" s="1">
        <f>VLOOKUP($B29, '[1]Exp of DRI'!$B$2:$X$31, $A$1, FALSE)</f>
        <v>2</v>
      </c>
      <c r="L29" s="1">
        <f>VLOOKUP($B29, '[1]Imp of DRI'!$B$2:$X$31, $A$1, FALSE)</f>
        <v>2</v>
      </c>
      <c r="M29" s="1">
        <f>VLOOKUP($B29, '[1]Exp of scrap'!$B$2:$X$31, $A$1, FALSE)</f>
        <v>1270</v>
      </c>
      <c r="N29" s="1">
        <f>VLOOKUP($B29, '[1]Imp of scrap'!$B$2:$X$31, $A$1, FALSE)</f>
        <v>85</v>
      </c>
      <c r="O29" s="1">
        <f>VLOOKUP($B29, '[1]Pro of BOF steel'!$B$2:$X$31, $A$1, FALSE)</f>
        <v>4504</v>
      </c>
      <c r="P29" s="1">
        <f>VLOOKUP($B29, '[1]Pro of OHF steel'!$B$2:$X$31, $A$1, FALSE)</f>
        <v>0</v>
      </c>
      <c r="Q29" s="1">
        <f>VLOOKUP($B29, '[1]Pro of EAF steel'!$B$2:$X$31, $A$1, FALSE)</f>
        <v>3765</v>
      </c>
      <c r="R29" s="1">
        <f>VLOOKUP($B29, '[1]Exp of ingots and semis'!$B$2:$X$31, $A$1, FALSE)</f>
        <v>89</v>
      </c>
      <c r="S29" s="1">
        <f>VLOOKUP($B29, '[1]Imp of ingots and semis'!$B$2:$X$31, $A$1, FALSE)</f>
        <v>8</v>
      </c>
      <c r="T29" s="1">
        <f>VLOOKUP($B29, '[1]Pro of hr long'!$B$2:$X$31, $A$1, FALSE)+VLOOKUP($B29, '[1]Pro of seamless tubes'!$B$2:$X$31, $A$1, FALSE)</f>
        <v>2713</v>
      </c>
      <c r="U29" s="1">
        <f>VLOOKUP($B29, '[1]Exp of long'!$B$2:$X$31, $A$1, FALSE)</f>
        <v>477</v>
      </c>
      <c r="V29" s="1">
        <f>VLOOKUP($B29, '[1]Imp of long'!$B$2:$X$31, $A$1, FALSE)</f>
        <v>150</v>
      </c>
      <c r="W29" s="1">
        <f>VLOOKUP($B29, '[1]Pro of hr flat'!$B$2:$X$31, $A$1, FALSE)*parameters!$B$8</f>
        <v>3604.4523470839258</v>
      </c>
      <c r="X29" s="1">
        <f>VLOOKUP($B29, '[1]Exp of flat'!$B$2:$X$31, $A$1, FALSE)</f>
        <v>1427</v>
      </c>
      <c r="Y29" s="1">
        <f>VLOOKUP($B29, '[1]Imp of flat'!$B$2:$X$31, $A$1, FALSE)</f>
        <v>405</v>
      </c>
      <c r="Z29" s="1">
        <f>VLOOKUP($B29, '[1]Indirect exp'!$B$2:$X$31, $A$1, FALSE)</f>
        <v>1475</v>
      </c>
      <c r="AA29" s="1">
        <f>VLOOKUP($B29, '[1]Indirect imp'!$B$2:$X$31, $A$1, FALSE)</f>
        <v>1793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981.93200000000002</v>
      </c>
      <c r="D30" s="1">
        <f>VLOOKUP($B30, '[1]Pro of iron ore'!$B$2:$X$31, $A$1, FALSE)*(1-VLOOKUP($B30, '[1]Foundry share'!$B$2:$X$31, $A$1, FALSE))</f>
        <v>560</v>
      </c>
      <c r="E30" s="47">
        <f>VLOOKUP($B30, '[1]Iron content'!$B$2:$X$31, $A$1, FALSE)</f>
        <v>0.57030425732128087</v>
      </c>
      <c r="F30" s="1">
        <f>VLOOKUP($B30, '[1]Exp of usable iron ore'!$B$2:$X$31, $A$1, FALSE)*parameters!$B$12</f>
        <v>523.25</v>
      </c>
      <c r="G30" s="1">
        <f>VLOOKUP($B30, '[1]Pro of pig iron'!$B$2:$X$31, $A$1, FALSE)*(1-VLOOKUP($B30, '[1]Foundry share'!$B$2:$X$31, $A$1, FALSE))</f>
        <v>0</v>
      </c>
      <c r="H30" s="1">
        <f>VLOOKUP($B30, '[1]Exp of pig iron'!$B$2:$X$31, $A$1, FALSE)</f>
        <v>1</v>
      </c>
      <c r="I30" s="1">
        <f>VLOOKUP($B30, '[1]Imp of pig iron'!$B$2:$X$31, $A$1, FALSE)</f>
        <v>141</v>
      </c>
      <c r="J30" s="1">
        <f>VLOOKUP($B30, '[1]Pro of DRI'!$B$2:$X$31, $A$1, FALSE)</f>
        <v>1958</v>
      </c>
      <c r="K30" s="1">
        <f>VLOOKUP($B30, '[1]Exp of DRI'!$B$2:$X$31, $A$1, FALSE)</f>
        <v>322</v>
      </c>
      <c r="L30" s="1">
        <f>VLOOKUP($B30, '[1]Imp of DRI'!$B$2:$X$31, $A$1, FALSE)</f>
        <v>276</v>
      </c>
      <c r="M30" s="1">
        <f>VLOOKUP($B30, '[1]Exp of scrap'!$B$2:$X$31, $A$1, FALSE)</f>
        <v>32</v>
      </c>
      <c r="N30" s="1">
        <f>VLOOKUP($B30, '[1]Imp of scrap'!$B$2:$X$31, $A$1, FALSE)</f>
        <v>2498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6423</v>
      </c>
      <c r="R30" s="1">
        <f>VLOOKUP($B30, '[1]Exp of ingots and semis'!$B$2:$X$31, $A$1, FALSE)</f>
        <v>707</v>
      </c>
      <c r="S30" s="1">
        <f>VLOOKUP($B30, '[1]Imp of ingots and semis'!$B$2:$X$31, $A$1, FALSE)</f>
        <v>229</v>
      </c>
      <c r="T30" s="1">
        <f>VLOOKUP($B30, '[1]Pro of hr long'!$B$2:$X$31, $A$1, FALSE)+VLOOKUP($B30, '[1]Pro of seamless tubes'!$B$2:$X$31, $A$1, FALSE)</f>
        <v>3667</v>
      </c>
      <c r="U30" s="1">
        <f>VLOOKUP($B30, '[1]Exp of long'!$B$2:$X$31, $A$1, FALSE)</f>
        <v>673</v>
      </c>
      <c r="V30" s="1">
        <f>VLOOKUP($B30, '[1]Imp of long'!$B$2:$X$31, $A$1, FALSE)</f>
        <v>985</v>
      </c>
      <c r="W30" s="1">
        <f>VLOOKUP($B30, '[1]Pro of hr flat'!$B$2:$X$31, $A$1, FALSE)*parameters!$B$8</f>
        <v>1826.5149359886202</v>
      </c>
      <c r="X30" s="1">
        <f>VLOOKUP($B30, '[1]Exp of flat'!$B$2:$X$31, $A$1, FALSE)</f>
        <v>810</v>
      </c>
      <c r="Y30" s="1">
        <f>VLOOKUP($B30, '[1]Imp of flat'!$B$2:$X$31, $A$1, FALSE)</f>
        <v>2922</v>
      </c>
      <c r="Z30" s="1">
        <f>VLOOKUP($B30, '[1]Indirect exp'!$B$2:$X$31, $A$1, FALSE)</f>
        <v>1748</v>
      </c>
      <c r="AA30" s="1">
        <f>VLOOKUP($B30, '[1]Indirect imp'!$B$2:$X$31, $A$1, FALSE)</f>
        <v>1733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1709.75</v>
      </c>
      <c r="D31" s="1">
        <f>VLOOKUP($B31, '[1]Pro of iron ore'!$B$2:$X$31, $A$1, FALSE)*(1-VLOOKUP($B31, '[1]Foundry share'!$B$2:$X$31, $A$1, FALSE))</f>
        <v>855</v>
      </c>
      <c r="E31" s="47">
        <f>VLOOKUP($B31, '[1]Iron content'!$B$2:$X$31, $A$1, FALSE)</f>
        <v>0.50007311010381639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23</v>
      </c>
      <c r="I31" s="1">
        <f>VLOOKUP($B31, '[1]Imp of pig iron'!$B$2:$X$31, $A$1, FALSE)</f>
        <v>781</v>
      </c>
      <c r="J31" s="1">
        <f>VLOOKUP($B31, '[1]Pro of DRI'!$B$2:$X$31, $A$1, FALSE)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361</v>
      </c>
      <c r="N31" s="1">
        <f>VLOOKUP($B31, '[1]Imp of scrap'!$B$2:$X$31, $A$1, FALSE)</f>
        <v>2752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5211</v>
      </c>
      <c r="R31" s="1">
        <f>VLOOKUP($B31, '[1]Exp of ingots and semis'!$B$2:$X$31, $A$1, FALSE)</f>
        <v>182</v>
      </c>
      <c r="S31" s="1">
        <f>VLOOKUP($B31, '[1]Imp of ingots and semis'!$B$2:$X$31, $A$1, FALSE)</f>
        <v>3566</v>
      </c>
      <c r="T31" s="1">
        <f>VLOOKUP($B31, '[1]Pro of hr long'!$B$2:$X$31, $A$1, FALSE)+VLOOKUP($B31, '[1]Pro of seamless tubes'!$B$2:$X$31, $A$1, FALSE)</f>
        <v>4250</v>
      </c>
      <c r="U31" s="1">
        <f>VLOOKUP($B31, '[1]Exp of long'!$B$2:$X$31, $A$1, FALSE)</f>
        <v>651</v>
      </c>
      <c r="V31" s="1">
        <f>VLOOKUP($B31, '[1]Imp of long'!$B$2:$X$31, $A$1, FALSE)</f>
        <v>1554</v>
      </c>
      <c r="W31" s="1">
        <f>VLOOKUP($B31, '[1]Pro of hr flat'!$B$2:$X$31, $A$1, FALSE)*parameters!$B$8</f>
        <v>3269.2674253200571</v>
      </c>
      <c r="X31" s="1">
        <f>VLOOKUP($B31, '[1]Exp of flat'!$B$2:$X$31, $A$1, FALSE)</f>
        <v>1289</v>
      </c>
      <c r="Y31" s="1">
        <f>VLOOKUP($B31, '[1]Imp of flat'!$B$2:$X$31, $A$1, FALSE)</f>
        <v>6195</v>
      </c>
      <c r="Z31" s="1">
        <f>VLOOKUP($B31, '[1]Indirect exp'!$B$2:$X$31, $A$1, FALSE)</f>
        <v>3427</v>
      </c>
      <c r="AA31" s="1">
        <f>VLOOKUP($B31, '[1]Indirect imp'!$B$2:$X$31, $A$1, FALSE)</f>
        <v>2392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23800</v>
      </c>
      <c r="D32" s="1">
        <f>VLOOKUP($B32, '[1]Pro of iron ore'!$B$2:$X$31, $A$1, FALSE)*(1-VLOOKUP($B32, '[1]Foundry share'!$B$2:$X$31, $A$1, FALSE))</f>
        <v>14280</v>
      </c>
      <c r="E32" s="47">
        <f>VLOOKUP($B32, '[1]Iron content'!$B$2:$X$31, $A$1, FALSE)</f>
        <v>0.6</v>
      </c>
      <c r="F32" s="1">
        <f>VLOOKUP($B32, '[1]Exp of usable iron ore'!$B$2:$X$31, $A$1, FALSE)*parameters!$B$12</f>
        <v>11451.050000000001</v>
      </c>
      <c r="G32" s="1">
        <f>VLOOKUP($B32, '[1]Pro of pig iron'!$B$2:$X$31, $A$1, FALSE)*(1-VLOOKUP($B32, '[1]Foundry share'!$B$2:$X$31, $A$1, FALSE))</f>
        <v>3583</v>
      </c>
      <c r="H32" s="1">
        <f>VLOOKUP($B32, '[1]Exp of pig iron'!$B$2:$X$31, $A$1, FALSE)</f>
        <v>63</v>
      </c>
      <c r="I32" s="1">
        <f>VLOOKUP($B32, '[1]Imp of pig iron'!$B$2:$X$31, $A$1, FALSE)</f>
        <v>80</v>
      </c>
      <c r="J32" s="1">
        <f>VLOOKUP($B32, '[1]Pro of DRI'!$B$2:$X$31, $A$1, FALSE)</f>
        <v>125</v>
      </c>
      <c r="K32" s="1">
        <f>VLOOKUP($B32, '[1]Exp of DRI'!$B$2:$X$31, $A$1, FALSE)</f>
        <v>12</v>
      </c>
      <c r="L32" s="1">
        <f>VLOOKUP($B32, '[1]Imp of DRI'!$B$2:$X$31, $A$1, FALSE)</f>
        <v>0</v>
      </c>
      <c r="M32" s="1">
        <f>VLOOKUP($B32, '[1]Exp of scrap'!$B$2:$X$31, $A$1, FALSE)</f>
        <v>1449</v>
      </c>
      <c r="N32" s="1">
        <f>VLOOKUP($B32, '[1]Imp of scrap'!$B$2:$X$31, $A$1, FALSE)</f>
        <v>193</v>
      </c>
      <c r="O32" s="1">
        <f>VLOOKUP($B32, '[1]Pro of BOF steel'!$B$2:$X$31, $A$1, FALSE)</f>
        <v>3441</v>
      </c>
      <c r="P32" s="1">
        <f>VLOOKUP($B32, '[1]Pro of OHF steel'!$B$2:$X$31, $A$1, FALSE)</f>
        <v>0</v>
      </c>
      <c r="Q32" s="1">
        <f>VLOOKUP($B32, '[1]Pro of EAF steel'!$B$2:$X$31, $A$1, FALSE)</f>
        <v>1723</v>
      </c>
      <c r="R32" s="1">
        <f>VLOOKUP($B32, '[1]Exp of ingots and semis'!$B$2:$X$31, $A$1, FALSE)</f>
        <v>102</v>
      </c>
      <c r="S32" s="1">
        <f>VLOOKUP($B32, '[1]Imp of ingots and semis'!$B$2:$X$31, $A$1, FALSE)</f>
        <v>265</v>
      </c>
      <c r="T32" s="1">
        <f>VLOOKUP($B32, '[1]Pro of hr long'!$B$2:$X$31, $A$1, FALSE)+VLOOKUP($B32, '[1]Pro of seamless tubes'!$B$2:$X$31, $A$1, FALSE)</f>
        <v>750</v>
      </c>
      <c r="U32" s="1">
        <f>VLOOKUP($B32, '[1]Exp of long'!$B$2:$X$31, $A$1, FALSE)</f>
        <v>775</v>
      </c>
      <c r="V32" s="1">
        <f>VLOOKUP($B32, '[1]Imp of long'!$B$2:$X$31, $A$1, FALSE)</f>
        <v>983</v>
      </c>
      <c r="W32" s="1">
        <f>VLOOKUP($B32, '[1]Pro of hr flat'!$B$2:$X$31, $A$1, FALSE)*parameters!$B$8</f>
        <v>4397.2375533428167</v>
      </c>
      <c r="X32" s="1">
        <f>VLOOKUP($B32, '[1]Exp of flat'!$B$2:$X$31, $A$1, FALSE)</f>
        <v>2862</v>
      </c>
      <c r="Y32" s="1">
        <f>VLOOKUP($B32, '[1]Imp of flat'!$B$2:$X$31, $A$1, FALSE)</f>
        <v>2250</v>
      </c>
      <c r="Z32" s="1">
        <f>VLOOKUP($B32, '[1]Indirect exp'!$B$2:$X$31, $A$1, FALSE)</f>
        <v>3157</v>
      </c>
      <c r="AA32" s="1">
        <f>VLOOKUP($B32, '[1]Indirect imp'!$B$2:$X$31, $A$1, FALSE)</f>
        <v>3487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433438.6094247849</v>
      </c>
      <c r="D2" s="9">
        <f ca="1">Q4/parameters!$B$3</f>
        <v>555.49964778102037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433994.10907256592</v>
      </c>
      <c r="M2" s="17"/>
      <c r="N2" s="17">
        <f ca="1">Q2-(L2+O2+P2)</f>
        <v>0</v>
      </c>
      <c r="O2" s="11" cm="1">
        <f t="array" aca="1" ref="O2" ca="1">INDIRECT("'data'!$F$" &amp; $A$1)</f>
        <v>6.5</v>
      </c>
      <c r="P2" s="13">
        <f ca="1">IF(-(L2-Q2+O2)&lt;0, -(L2-Q2+O2), 0)</f>
        <v>-179338.37401933811</v>
      </c>
      <c r="Q2" s="17" cm="1">
        <f t="array" aca="1" ref="Q2" ca="1">INDIRECT("'data'!$D$" &amp; $A$1)</f>
        <v>254662.23505322781</v>
      </c>
      <c r="R2" s="17">
        <f ca="1">SUM(L2:P2)</f>
        <v>254662.23505322781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397639.38805970154</v>
      </c>
      <c r="G3" s="14">
        <f ca="1">Q3-O3-P3-F3</f>
        <v>33167.783125707181</v>
      </c>
      <c r="H3" s="14"/>
      <c r="I3" s="14"/>
      <c r="J3" s="14"/>
      <c r="K3" s="13"/>
      <c r="L3" s="16">
        <f t="shared" ca="1" si="0"/>
        <v>430807.17118540872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237.19499999999999</v>
      </c>
      <c r="P3" s="13" cm="1">
        <f t="array" aca="1" ref="P3" ca="1">-INDIRECT("'data'!$I$" &amp; $A$1)*parameters!$B$13</f>
        <v>-336.41999999999996</v>
      </c>
      <c r="Q3" s="16" cm="1">
        <f t="array" aca="1" ref="Q3" ca="1">INDIRECT("'data'!$G$" &amp; $A$1)*parameters!$B$13</f>
        <v>430707.94618540874</v>
      </c>
      <c r="R3" s="16">
        <f t="shared" ref="R3:R10" ca="1" si="2">SUM(L3:P3)</f>
        <v>430707.94618540874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1092.96</v>
      </c>
      <c r="H4" s="14"/>
      <c r="I4" s="14"/>
      <c r="J4" s="14"/>
      <c r="K4" s="13"/>
      <c r="L4" s="16">
        <f t="shared" ca="1" si="0"/>
        <v>1092.96</v>
      </c>
      <c r="M4" s="16"/>
      <c r="N4" s="16">
        <f t="shared" ca="1" si="1"/>
        <v>0</v>
      </c>
      <c r="O4" s="11" cm="1">
        <f t="array" aca="1" ref="O4" ca="1">INDIRECT("'data'!$K$" &amp; $A$1)*parameters!$B$14</f>
        <v>11.040000000000001</v>
      </c>
      <c r="P4" s="13" cm="1">
        <f t="array" aca="1" ref="P4" ca="1">-INDIRECT("'data'!$L$" &amp; $A$1)*parameters!$B$14</f>
        <v>-552</v>
      </c>
      <c r="Q4" s="16" cm="1">
        <f t="array" aca="1" ref="Q4" ca="1">INDIRECT("'data'!$J$" &amp; $A$1)*parameters!$B$14</f>
        <v>552</v>
      </c>
      <c r="R4" s="16">
        <f t="shared" ca="1" si="2"/>
        <v>552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Q6/parameters!$B$5*15%</f>
        <v>70171.656716417914</v>
      </c>
      <c r="G5" s="14">
        <f ca="1">Q7/parameters!$B$7-(G3+G4)</f>
        <v>30676.289267187283</v>
      </c>
      <c r="H5" s="14"/>
      <c r="I5" s="14"/>
      <c r="J5" s="14"/>
      <c r="K5" s="13"/>
      <c r="L5" s="16">
        <f t="shared" ca="1" si="0"/>
        <v>100847.9459836052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-3518.2</v>
      </c>
      <c r="Q5" s="16">
        <f ca="1">SUM(L5:P5)</f>
        <v>97329.7459836052</v>
      </c>
      <c r="R5" s="16">
        <f t="shared" ca="1" si="2"/>
        <v>97329.7459836052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438806.76</v>
      </c>
      <c r="I6" s="14"/>
      <c r="J6" s="14"/>
      <c r="K6" s="13"/>
      <c r="L6" s="16">
        <f t="shared" ca="1" si="0"/>
        <v>438806.76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438806.76</v>
      </c>
      <c r="R6" s="16">
        <f t="shared" ca="1" si="2"/>
        <v>438806.76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62144.74</v>
      </c>
      <c r="I7" s="14"/>
      <c r="J7" s="14"/>
      <c r="K7" s="13"/>
      <c r="L7" s="16">
        <f t="shared" ca="1" si="0"/>
        <v>62144.74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62144.74</v>
      </c>
      <c r="R7" s="16">
        <f t="shared" ca="1" si="2"/>
        <v>62144.74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301572.74020597752</v>
      </c>
      <c r="J8" s="14">
        <f ca="1">Q10/J18</f>
        <v>198360.53979402251</v>
      </c>
      <c r="K8" s="13"/>
      <c r="L8" s="16">
        <f t="shared" ca="1" si="0"/>
        <v>499933.28</v>
      </c>
      <c r="M8" s="16"/>
      <c r="N8" s="16">
        <f t="shared" ca="1" si="3"/>
        <v>0</v>
      </c>
      <c r="O8" s="11" cm="1">
        <f t="array" aca="1" ref="O8" ca="1">INDIRECT("'data'!$R$" &amp; $A$1)*parameters!$B$15</f>
        <v>1292.6199999999999</v>
      </c>
      <c r="P8" s="13" cm="1">
        <f t="array" aca="1" ref="P8" ca="1">-INDIRECT("'data'!$S$" &amp; $A$1)*parameters!$B$15</f>
        <v>-274.39999999999998</v>
      </c>
      <c r="Q8" s="16">
        <f ca="1">SUM(Q6:Q7)</f>
        <v>500951.5</v>
      </c>
      <c r="R8" s="16">
        <f t="shared" ca="1" si="2"/>
        <v>500951.5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274683.21999999997</v>
      </c>
      <c r="L9" s="16">
        <f t="shared" ca="1" si="0"/>
        <v>274683.21999999997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18097.66</v>
      </c>
      <c r="P9" s="13" cm="1">
        <f t="array" aca="1" ref="P9" ca="1">-INDIRECT("'data'!$V$" &amp; $A$1)*parameters!$B$15</f>
        <v>-1459.22</v>
      </c>
      <c r="Q9" s="16" cm="1">
        <f t="array" aca="1" ref="Q9" ca="1">INDIRECT("'data'!$T$" &amp; $A$1)*parameters!$B$15</f>
        <v>291321.65999999997</v>
      </c>
      <c r="R9" s="16">
        <f t="shared" ca="1" si="2"/>
        <v>291321.65999999997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175872.19541963015</v>
      </c>
      <c r="L10" s="16">
        <f t="shared" ca="1" si="0"/>
        <v>175872.19541963015</v>
      </c>
      <c r="M10" s="16"/>
      <c r="N10" s="16">
        <f t="shared" ca="1" si="3"/>
        <v>0</v>
      </c>
      <c r="O10" s="11" cm="1">
        <f t="array" aca="1" ref="O10" ca="1">INDIRECT("'data'!$X$" &amp; $A$1)*parameters!$B$15</f>
        <v>28224</v>
      </c>
      <c r="P10" s="13" cm="1">
        <f t="array" aca="1" ref="P10" ca="1">-INDIRECT("'data'!$Y$" &amp; $A$1)*parameters!$B$15</f>
        <v>-12478.34</v>
      </c>
      <c r="Q10" s="16" cm="1">
        <f t="array" aca="1" ref="Q10" ca="1">INDIRECT("'data'!$W$" &amp; $A$1)*parameters!$B$15</f>
        <v>191617.85541963016</v>
      </c>
      <c r="R10" s="16">
        <f t="shared" ca="1" si="2"/>
        <v>191617.85541963016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363250.21486088185</v>
      </c>
      <c r="N11" s="19"/>
      <c r="O11" s="21" cm="1">
        <f t="array" aca="1" ref="O11" ca="1">INDIRECT("'data'!$Z$" &amp; $A$1)*parameters!$B$15</f>
        <v>54946.64</v>
      </c>
      <c r="P11" s="27" cm="1">
        <f t="array" aca="1" ref="P11" ca="1">-INDIRECT("'data'!$AA$" &amp; $A$1)*parameters!$B$15</f>
        <v>-8744.5399999999991</v>
      </c>
      <c r="Q11" s="16">
        <f ca="1">K9*parameters!$B$10+K10*parameters!$B$11</f>
        <v>409452.31486088189</v>
      </c>
      <c r="R11" s="16">
        <f t="shared" ref="R11:R17" ca="1" si="4">SUM(L11:P11)</f>
        <v>409452.31486088189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-2730.6632393761538</v>
      </c>
      <c r="D12" s="9">
        <f ca="1">-(D17-Q4)</f>
        <v>-3.4996477810203714</v>
      </c>
      <c r="E12" s="9">
        <f ca="1">-(E17-Q5)</f>
        <v>-12029.519166512997</v>
      </c>
      <c r="F12" s="9">
        <f ca="1">-(F17-Q6)</f>
        <v>-29004.284776119457</v>
      </c>
      <c r="G12" s="9">
        <f ca="1">-(G17-Q7)</f>
        <v>-2792.2923928944656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-46560.259222684093</v>
      </c>
      <c r="M12" s="17"/>
      <c r="N12" s="17"/>
      <c r="O12" s="10"/>
      <c r="P12" s="12"/>
      <c r="Q12" s="9">
        <f t="shared" ref="Q12:Q17" ca="1" si="6">SUM(L12:P12)</f>
        <v>-46560.259222684093</v>
      </c>
      <c r="R12" s="17">
        <f t="shared" ca="1" si="4"/>
        <v>-46560.259222684093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-10251.080205977545</v>
      </c>
      <c r="J13" s="14">
        <f ca="1">-(J17-Q10)</f>
        <v>-6742.6843743923528</v>
      </c>
      <c r="K13" s="13">
        <f ca="1">-(K17-Q11)</f>
        <v>-41103.100558748236</v>
      </c>
      <c r="L13" s="14">
        <f t="shared" ca="1" si="5"/>
        <v>-58096.865139118134</v>
      </c>
      <c r="M13" s="16">
        <f ca="1">-E15</f>
        <v>-51262.400011000063</v>
      </c>
      <c r="N13" s="16"/>
      <c r="O13" s="11"/>
      <c r="P13" s="13"/>
      <c r="Q13" s="14">
        <f t="shared" ca="1" si="6"/>
        <v>-109359.2651501182</v>
      </c>
      <c r="R13" s="16">
        <f t="shared" ca="1" si="4"/>
        <v>-109359.2651501182</v>
      </c>
    </row>
    <row r="14" spans="1:20">
      <c r="A14" s="18" t="s">
        <v>78</v>
      </c>
      <c r="B14" s="11"/>
      <c r="C14" s="14"/>
      <c r="D14" s="14"/>
      <c r="E14" s="14">
        <f ca="1">-(I13+J13)-K13</f>
        <v>58096.865139118134</v>
      </c>
      <c r="F14" s="14"/>
      <c r="G14" s="14"/>
      <c r="H14" s="14"/>
      <c r="I14" s="14"/>
      <c r="J14" s="14"/>
      <c r="K14" s="13"/>
      <c r="L14" s="14">
        <f t="shared" ca="1" si="5"/>
        <v>58096.865139118134</v>
      </c>
      <c r="M14" s="16"/>
      <c r="N14" s="16"/>
      <c r="O14" s="11"/>
      <c r="P14" s="13"/>
      <c r="Q14" s="14">
        <f t="shared" ca="1" si="6"/>
        <v>58096.865139118134</v>
      </c>
      <c r="R14" s="16">
        <f t="shared" ca="1" si="4"/>
        <v>58096.865139118134</v>
      </c>
    </row>
    <row r="15" spans="1:20">
      <c r="A15" s="18" t="s">
        <v>79</v>
      </c>
      <c r="B15" s="11"/>
      <c r="C15" s="14"/>
      <c r="D15" s="14"/>
      <c r="E15" s="14">
        <f ca="1">E17-E14</f>
        <v>51262.400011000063</v>
      </c>
      <c r="F15" s="14"/>
      <c r="G15" s="14"/>
      <c r="H15" s="14"/>
      <c r="I15" s="14"/>
      <c r="J15" s="14"/>
      <c r="K15" s="13"/>
      <c r="L15" s="14">
        <f t="shared" ca="1" si="5"/>
        <v>51262.400011000063</v>
      </c>
      <c r="M15" s="16"/>
      <c r="N15" s="16"/>
      <c r="O15" s="11"/>
      <c r="P15" s="13"/>
      <c r="Q15" s="14">
        <f t="shared" ca="1" si="6"/>
        <v>51262.400011000063</v>
      </c>
      <c r="R15" s="16">
        <f t="shared" ca="1" si="4"/>
        <v>51262.400011000063</v>
      </c>
    </row>
    <row r="16" spans="1:20">
      <c r="A16" s="30" t="s">
        <v>89</v>
      </c>
      <c r="B16" s="21">
        <f ca="1">Q2</f>
        <v>254662.23505322781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254662.23505322781</v>
      </c>
      <c r="M16" s="19"/>
      <c r="N16" s="19"/>
      <c r="O16" s="21"/>
      <c r="P16" s="27"/>
      <c r="Q16" s="22">
        <f t="shared" ca="1" si="6"/>
        <v>254662.23505322781</v>
      </c>
      <c r="R16" s="19">
        <f t="shared" ca="1" si="4"/>
        <v>254662.23505322781</v>
      </c>
    </row>
    <row r="17" spans="1:18">
      <c r="A17" s="29" t="s">
        <v>88</v>
      </c>
      <c r="B17" s="9">
        <f ca="1">B16</f>
        <v>254662.23505322781</v>
      </c>
      <c r="C17" s="9">
        <f ca="1">SUM(C$2:C$11)</f>
        <v>433438.6094247849</v>
      </c>
      <c r="D17" s="9">
        <f ca="1">SUM(D$2:D$11)</f>
        <v>555.49964778102037</v>
      </c>
      <c r="E17" s="9">
        <f ca="1">$Q$5/parameters!$B$4</f>
        <v>109359.2651501182</v>
      </c>
      <c r="F17" s="9">
        <f t="shared" ref="F17:K17" ca="1" si="7">SUM(F$2:F$11)</f>
        <v>467811.04477611947</v>
      </c>
      <c r="G17" s="9">
        <f t="shared" ca="1" si="7"/>
        <v>64937.032392894464</v>
      </c>
      <c r="H17" s="9">
        <f t="shared" ca="1" si="7"/>
        <v>500951.5</v>
      </c>
      <c r="I17" s="9">
        <f t="shared" ca="1" si="7"/>
        <v>301572.74020597752</v>
      </c>
      <c r="J17" s="9">
        <f t="shared" ca="1" si="7"/>
        <v>198360.53979402251</v>
      </c>
      <c r="K17" s="9">
        <f t="shared" ca="1" si="7"/>
        <v>450555.41541963012</v>
      </c>
      <c r="L17" s="17">
        <f t="shared" ca="1" si="5"/>
        <v>2782203.8818645561</v>
      </c>
      <c r="M17" s="17"/>
      <c r="N17" s="17"/>
      <c r="O17" s="9"/>
      <c r="P17" s="14"/>
      <c r="Q17" s="11">
        <f t="shared" ca="1" si="6"/>
        <v>2782203.8818645561</v>
      </c>
      <c r="R17" s="17">
        <f t="shared" ca="1" si="4"/>
        <v>2782203.8818645561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0.96600793493809833</v>
      </c>
      <c r="J18" s="39">
        <f ca="1">I18</f>
        <v>0.96600793493809833</v>
      </c>
      <c r="K18" s="40">
        <f ca="1">1-(-K13)/K17</f>
        <v>0.908772374824379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30791.02617985741</v>
      </c>
      <c r="D2" s="9">
        <f ca="1">Q4/parameters!$B$3</f>
        <v>19364.717721646372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50155.743901503782</v>
      </c>
      <c r="M2" s="17"/>
      <c r="N2" s="17">
        <f ca="1">Q2-(L2+O2+P2)</f>
        <v>7150.1285607301543</v>
      </c>
      <c r="O2" s="11" cm="1">
        <f t="array" aca="1" ref="O2" ca="1">INDIRECT("'data'!$F$" &amp; $A$1)</f>
        <v>65912.600000000006</v>
      </c>
      <c r="P2" s="13">
        <f ca="1">IF(-(L2-Q2+O2)&lt;0, -(L2-Q2+O2), 0)</f>
        <v>0</v>
      </c>
      <c r="Q2" s="17" cm="1">
        <f t="array" aca="1" ref="Q2" ca="1">INDIRECT("'data'!$D$" &amp; $A$1)</f>
        <v>123218.47246223394</v>
      </c>
      <c r="R2" s="17">
        <f ca="1">SUM(L2:P2)</f>
        <v>123218.47246223394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19350.089552238809</v>
      </c>
      <c r="G3" s="14">
        <f ca="1">Q3-O3-P3-F3</f>
        <v>10693.183162685498</v>
      </c>
      <c r="H3" s="14"/>
      <c r="I3" s="14"/>
      <c r="J3" s="14"/>
      <c r="K3" s="13"/>
      <c r="L3" s="16">
        <f t="shared" ca="1" si="0"/>
        <v>30043.272714924307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579.28499999999997</v>
      </c>
      <c r="P3" s="13" cm="1">
        <f t="array" aca="1" ref="P3" ca="1">-INDIRECT("'data'!$I$" &amp; $A$1)*parameters!$B$13</f>
        <v>-25.514999999999997</v>
      </c>
      <c r="Q3" s="16" cm="1">
        <f t="array" aca="1" ref="Q3" ca="1">INDIRECT("'data'!$G$" &amp; $A$1)*parameters!$B$13</f>
        <v>30597.042714924308</v>
      </c>
      <c r="R3" s="16">
        <f t="shared" ref="R3:R10" ca="1" si="2">SUM(L3:P3)</f>
        <v>30597.042714924308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38">
        <f ca="1">Q7/parameters!$B$7-G3-G5</f>
        <v>17412.573905134715</v>
      </c>
      <c r="H4" s="14"/>
      <c r="I4" s="14"/>
      <c r="J4" s="14"/>
      <c r="K4" s="13"/>
      <c r="L4" s="16">
        <f t="shared" ca="1" si="0"/>
        <v>17412.573905134715</v>
      </c>
      <c r="M4" s="16"/>
      <c r="N4" s="16">
        <f t="shared" ca="1" si="1"/>
        <v>1803.4660948652854</v>
      </c>
      <c r="O4" s="11" cm="1">
        <f t="array" aca="1" ref="O4" ca="1">INDIRECT("'data'!$K$" &amp; $A$1)*parameters!$B$14</f>
        <v>26.68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19242.72</v>
      </c>
      <c r="R4" s="16">
        <f t="shared" ca="1" si="2"/>
        <v>19242.72</v>
      </c>
      <c r="S4" s="7"/>
    </row>
    <row r="5" spans="1:22">
      <c r="A5" s="18" t="s">
        <v>108</v>
      </c>
      <c r="B5" s="11"/>
      <c r="C5" s="14"/>
      <c r="D5" s="14"/>
      <c r="E5" s="14"/>
      <c r="F5" s="14">
        <f ca="1">Q6/parameters!$B$5*20%</f>
        <v>4837.5223880597023</v>
      </c>
      <c r="G5" s="38">
        <f ca="1">E14*parameters!$B$4-O5-P5-F5</f>
        <v>7530.606568543426</v>
      </c>
      <c r="H5" s="14"/>
      <c r="I5" s="14"/>
      <c r="J5" s="14"/>
      <c r="K5" s="13"/>
      <c r="L5" s="16">
        <f t="shared" ca="1" si="0"/>
        <v>12368.128956603128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-4487.42</v>
      </c>
      <c r="Q5" s="16">
        <f ca="1">SUM(L5:P5)</f>
        <v>7880.7089566031282</v>
      </c>
      <c r="R5" s="16">
        <f t="shared" ca="1" si="2"/>
        <v>7880.7089566031282</v>
      </c>
      <c r="S5" s="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22687.98</v>
      </c>
      <c r="I6" s="14"/>
      <c r="J6" s="14"/>
      <c r="K6" s="13"/>
      <c r="L6" s="16">
        <f t="shared" ca="1" si="0"/>
        <v>22687.98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22687.98</v>
      </c>
      <c r="R6" s="16">
        <f t="shared" ca="1" si="2"/>
        <v>22687.98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34104</v>
      </c>
      <c r="I7" s="14"/>
      <c r="J7" s="14"/>
      <c r="K7" s="13"/>
      <c r="L7" s="16">
        <f t="shared" ca="1" si="0"/>
        <v>34104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34104</v>
      </c>
      <c r="R7" s="16">
        <f t="shared" ca="1" si="2"/>
        <v>34104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28996.796036244457</v>
      </c>
      <c r="J8" s="14">
        <f ca="1">Q10/J18</f>
        <v>27185.623963755537</v>
      </c>
      <c r="K8" s="13"/>
      <c r="L8" s="16">
        <f t="shared" ca="1" si="0"/>
        <v>56182.42</v>
      </c>
      <c r="M8" s="16"/>
      <c r="N8" s="16">
        <f t="shared" ca="1" si="3"/>
        <v>0</v>
      </c>
      <c r="O8" s="11" cm="1">
        <f t="array" aca="1" ref="O8" ca="1">INDIRECT("'data'!$R$" &amp; $A$1)*parameters!$B$15</f>
        <v>1103.48</v>
      </c>
      <c r="P8" s="13" cm="1">
        <f t="array" aca="1" ref="P8" ca="1">-INDIRECT("'data'!$S$" &amp; $A$1)*parameters!$B$15</f>
        <v>-493.92</v>
      </c>
      <c r="Q8" s="16">
        <f ca="1">SUM(Q6:Q7)</f>
        <v>56791.979999999996</v>
      </c>
      <c r="R8" s="16">
        <f t="shared" ca="1" si="2"/>
        <v>56791.98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27318.48</v>
      </c>
      <c r="L9" s="16">
        <f t="shared" ca="1" si="0"/>
        <v>27318.48</v>
      </c>
      <c r="M9" s="16"/>
      <c r="N9" s="16">
        <f t="shared" ca="1" si="3"/>
        <v>0</v>
      </c>
      <c r="O9" s="11" cm="1">
        <f t="array" aca="1" ref="O9" ca="1">INDIRECT("'data'!$U$" &amp; $A$1)*parameters!$B$15</f>
        <v>619.36</v>
      </c>
      <c r="P9" s="13" cm="1">
        <f t="array" aca="1" ref="P9" ca="1">-INDIRECT("'data'!$V$" &amp; $A$1)*parameters!$B$15</f>
        <v>-699.72</v>
      </c>
      <c r="Q9" s="16" cm="1">
        <f t="array" aca="1" ref="Q9" ca="1">INDIRECT("'data'!$T$" &amp; $A$1)*parameters!$B$15</f>
        <v>27238.12</v>
      </c>
      <c r="R9" s="16">
        <f t="shared" ca="1" si="2"/>
        <v>27238.12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27200.836785206255</v>
      </c>
      <c r="L10" s="16">
        <f t="shared" ca="1" si="0"/>
        <v>27200.836785206255</v>
      </c>
      <c r="M10" s="16"/>
      <c r="N10" s="16">
        <f t="shared" ca="1" si="3"/>
        <v>0</v>
      </c>
      <c r="O10" s="11" cm="1">
        <f t="array" aca="1" ref="O10" ca="1">INDIRECT("'data'!$X$" &amp; $A$1)*parameters!$B$15</f>
        <v>3361.4</v>
      </c>
      <c r="P10" s="13" cm="1">
        <f t="array" aca="1" ref="P10" ca="1">-INDIRECT("'data'!$Y$" &amp; $A$1)*parameters!$B$15</f>
        <v>-5025.4399999999996</v>
      </c>
      <c r="Q10" s="16" cm="1">
        <f t="array" aca="1" ref="Q10" ca="1">INDIRECT("'data'!$W$" &amp; $A$1)*parameters!$B$15</f>
        <v>25536.796785206257</v>
      </c>
      <c r="R10" s="16">
        <f t="shared" ca="1" si="2"/>
        <v>25536.796785206257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49140.690835277375</v>
      </c>
      <c r="N11" s="19"/>
      <c r="O11" s="21" cm="1">
        <f t="array" aca="1" ref="O11" ca="1">INDIRECT("'data'!$Z$" &amp; $A$1)*parameters!$B$15</f>
        <v>3609.34</v>
      </c>
      <c r="P11" s="27" cm="1">
        <f t="array" aca="1" ref="P11" ca="1">-INDIRECT("'data'!$AA$" &amp; $A$1)*parameters!$B$15</f>
        <v>-3677.94</v>
      </c>
      <c r="Q11" s="16">
        <f ca="1">K9*parameters!$B$10+K10*parameters!$B$11</f>
        <v>49072.090835277377</v>
      </c>
      <c r="R11" s="16">
        <f t="shared" ref="R11:R17" ca="1" si="4">SUM(L11:P11)</f>
        <v>49072.090835277369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-193.98346493310237</v>
      </c>
      <c r="D12" s="9">
        <f ca="1">-(D17-Q4)</f>
        <v>-121.99772164637034</v>
      </c>
      <c r="E12" s="9">
        <f ca="1">-(E17-Q5)</f>
        <v>-974.02020811948751</v>
      </c>
      <c r="F12" s="9">
        <f ca="1">-(F17-Q6)</f>
        <v>-1499.6319402985137</v>
      </c>
      <c r="G12" s="9">
        <f ca="1">-(G17-Q7)</f>
        <v>-1532.3636363636397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-4321.9969713611135</v>
      </c>
      <c r="M12" s="17"/>
      <c r="N12" s="17"/>
      <c r="O12" s="10"/>
      <c r="P12" s="12"/>
      <c r="Q12" s="9">
        <f t="shared" ref="Q12:Q17" ca="1" si="6">SUM(L12:P12)</f>
        <v>-4321.9969713611135</v>
      </c>
      <c r="R12" s="17">
        <f t="shared" ca="1" si="4"/>
        <v>-4321.9969713611135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-1758.6760362444584</v>
      </c>
      <c r="J13" s="14">
        <f ca="1">-(J17-Q10)</f>
        <v>-1648.8271785492798</v>
      </c>
      <c r="K13" s="13">
        <f ca="1">-(K17-Q11)</f>
        <v>-5447.2259499288775</v>
      </c>
      <c r="L13" s="14">
        <f t="shared" ca="1" si="5"/>
        <v>-8854.7291647226157</v>
      </c>
      <c r="M13" s="16">
        <f ca="1">-E15</f>
        <v>0</v>
      </c>
      <c r="N13" s="16"/>
      <c r="O13" s="11"/>
      <c r="P13" s="13"/>
      <c r="Q13" s="14">
        <f t="shared" ca="1" si="6"/>
        <v>-8854.7291647226157</v>
      </c>
      <c r="R13" s="16">
        <f t="shared" ca="1" si="4"/>
        <v>-8854.7291647226157</v>
      </c>
    </row>
    <row r="14" spans="1:22">
      <c r="A14" s="18" t="s">
        <v>78</v>
      </c>
      <c r="B14" s="11"/>
      <c r="C14" s="14"/>
      <c r="D14" s="14"/>
      <c r="E14" s="14">
        <f ca="1">-(I13+J13)-K13</f>
        <v>8854.7291647226157</v>
      </c>
      <c r="F14" s="14"/>
      <c r="G14" s="14"/>
      <c r="H14" s="14"/>
      <c r="I14" s="14"/>
      <c r="J14" s="14"/>
      <c r="K14" s="13"/>
      <c r="L14" s="14">
        <f t="shared" ca="1" si="5"/>
        <v>8854.7291647226157</v>
      </c>
      <c r="M14" s="16"/>
      <c r="N14" s="16"/>
      <c r="O14" s="11"/>
      <c r="P14" s="13"/>
      <c r="Q14" s="14">
        <f t="shared" ca="1" si="6"/>
        <v>8854.7291647226157</v>
      </c>
      <c r="R14" s="16">
        <f t="shared" ca="1" si="4"/>
        <v>8854.7291647226157</v>
      </c>
    </row>
    <row r="15" spans="1:22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2">
      <c r="A16" s="30" t="s">
        <v>89</v>
      </c>
      <c r="B16" s="21">
        <f ca="1">Q2</f>
        <v>123218.47246223394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123218.47246223394</v>
      </c>
      <c r="M16" s="19"/>
      <c r="N16" s="19"/>
      <c r="O16" s="21"/>
      <c r="P16" s="27"/>
      <c r="Q16" s="22">
        <f t="shared" ca="1" si="6"/>
        <v>123218.47246223394</v>
      </c>
      <c r="R16" s="19">
        <f t="shared" ca="1" si="4"/>
        <v>123218.47246223394</v>
      </c>
    </row>
    <row r="17" spans="1:18">
      <c r="A17" s="29" t="s">
        <v>88</v>
      </c>
      <c r="B17" s="9">
        <f ca="1">B16</f>
        <v>123218.47246223394</v>
      </c>
      <c r="C17" s="9">
        <f ca="1">SUM(C$2:C$11)</f>
        <v>30791.02617985741</v>
      </c>
      <c r="D17" s="9">
        <f ca="1">SUM(D$2:D$11)</f>
        <v>19364.717721646372</v>
      </c>
      <c r="E17" s="9">
        <f ca="1">$Q$5/parameters!$B$4</f>
        <v>8854.7291647226157</v>
      </c>
      <c r="F17" s="9">
        <f t="shared" ref="F17:K17" ca="1" si="7">SUM(F$2:F$11)</f>
        <v>24187.611940298513</v>
      </c>
      <c r="G17" s="9">
        <f t="shared" ca="1" si="7"/>
        <v>35636.36363636364</v>
      </c>
      <c r="H17" s="9">
        <f t="shared" ca="1" si="7"/>
        <v>56791.979999999996</v>
      </c>
      <c r="I17" s="9">
        <f t="shared" ca="1" si="7"/>
        <v>28996.796036244457</v>
      </c>
      <c r="J17" s="9">
        <f t="shared" ca="1" si="7"/>
        <v>27185.623963755537</v>
      </c>
      <c r="K17" s="9">
        <f t="shared" ca="1" si="7"/>
        <v>54519.316785206254</v>
      </c>
      <c r="L17" s="17">
        <f t="shared" ca="1" si="5"/>
        <v>409546.63789032871</v>
      </c>
      <c r="M17" s="17"/>
      <c r="N17" s="17"/>
      <c r="O17" s="9"/>
      <c r="P17" s="14"/>
      <c r="Q17" s="11">
        <f t="shared" ca="1" si="6"/>
        <v>409546.63789032871</v>
      </c>
      <c r="R17" s="17">
        <f t="shared" ca="1" si="4"/>
        <v>409546.63789032871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0.93799999999999972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0.93934929796912026</v>
      </c>
      <c r="J18" s="39">
        <f ca="1">I18</f>
        <v>0.93934929796912026</v>
      </c>
      <c r="K18" s="40">
        <f ca="1">1-(-K13)/K17</f>
        <v>0.90008631305139586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81947.866559323738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81947.866559323738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-81947.866559323738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82045.683582089565</v>
      </c>
      <c r="G3" s="14">
        <f ca="1">Q3-O3-P3-F3</f>
        <v>177.82141791043978</v>
      </c>
      <c r="H3" s="14"/>
      <c r="I3" s="14"/>
      <c r="J3" s="14"/>
      <c r="K3" s="13"/>
      <c r="L3" s="16">
        <f t="shared" ca="1" si="0"/>
        <v>82223.505000000005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38.744999999999997</v>
      </c>
      <c r="P3" s="13" cm="1">
        <f t="array" aca="1" ref="P3" ca="1">-INDIRECT("'data'!$I$" &amp; $A$1)*parameters!$B$13</f>
        <v>-830.65499999999997</v>
      </c>
      <c r="Q3" s="16" cm="1">
        <f t="array" aca="1" ref="Q3" ca="1">INDIRECT("'data'!$G$" &amp; $A$1)*parameters!$B$13</f>
        <v>81431.595000000001</v>
      </c>
      <c r="R3" s="16">
        <f t="shared" ref="R3:R10" ca="1" si="2">SUM(L3:P3)</f>
        <v>81431.595000000001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69</v>
      </c>
      <c r="H4" s="14"/>
      <c r="I4" s="14"/>
      <c r="J4" s="14"/>
      <c r="K4" s="13"/>
      <c r="L4" s="16">
        <f t="shared" ca="1" si="0"/>
        <v>69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-69.92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Q6/parameters!$B$5*12%</f>
        <v>11188.047761194031</v>
      </c>
      <c r="G5" s="14">
        <f ca="1">Q7/parameters!$B$7-(G3+G4)</f>
        <v>29963.189031410355</v>
      </c>
      <c r="H5" s="14"/>
      <c r="I5" s="14"/>
      <c r="J5" s="14"/>
      <c r="K5" s="13"/>
      <c r="L5" s="16">
        <f t="shared" ca="1" si="0"/>
        <v>41151.236792604388</v>
      </c>
      <c r="M5" s="16"/>
      <c r="N5" s="16"/>
      <c r="O5" s="11" cm="1">
        <f t="array" aca="1" ref="O5" ca="1">INDIRECT("'data'!$M$" &amp; $A$1)*parameters!$B$15</f>
        <v>5237.12</v>
      </c>
      <c r="P5" s="13" cm="1">
        <f t="array" aca="1" ref="P5" ca="1">-INDIRECT("'data'!$N$" &amp; $A$1)*parameters!$B$15</f>
        <v>-685.02</v>
      </c>
      <c r="Q5" s="16">
        <f ca="1">SUM(L5:P5)</f>
        <v>45703.336792604394</v>
      </c>
      <c r="R5" s="16">
        <f t="shared" ca="1" si="2"/>
        <v>45703.336792604394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87453.24</v>
      </c>
      <c r="I6" s="14"/>
      <c r="J6" s="14"/>
      <c r="K6" s="13"/>
      <c r="L6" s="16">
        <f t="shared" ca="1" si="0"/>
        <v>87453.24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87453.24</v>
      </c>
      <c r="R6" s="16">
        <f t="shared" ca="1" si="2"/>
        <v>87453.24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28910.98</v>
      </c>
      <c r="I7" s="14"/>
      <c r="J7" s="14"/>
      <c r="K7" s="13"/>
      <c r="L7" s="16">
        <f t="shared" ca="1" si="0"/>
        <v>28910.98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28910.98</v>
      </c>
      <c r="R7" s="16">
        <f t="shared" ca="1" si="2"/>
        <v>28910.98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39362.018959081426</v>
      </c>
      <c r="J8" s="14">
        <f ca="1">Q10/J18</f>
        <v>72474.601040918569</v>
      </c>
      <c r="K8" s="13"/>
      <c r="L8" s="16">
        <f t="shared" ca="1" si="0"/>
        <v>111836.62</v>
      </c>
      <c r="M8" s="16"/>
      <c r="N8" s="16">
        <f t="shared" ca="1" si="3"/>
        <v>0</v>
      </c>
      <c r="O8" s="11" cm="1">
        <f t="array" aca="1" ref="O8" ca="1">INDIRECT("'data'!$R$" &amp; $A$1)*parameters!$B$15</f>
        <v>4664.8</v>
      </c>
      <c r="P8" s="13" cm="1">
        <f t="array" aca="1" ref="P8" ca="1">-INDIRECT("'data'!$S$" &amp; $A$1)*parameters!$B$15</f>
        <v>-137.19999999999999</v>
      </c>
      <c r="Q8" s="16">
        <f ca="1">SUM(Q6:Q7)</f>
        <v>116364.22</v>
      </c>
      <c r="R8" s="16">
        <f t="shared" ca="1" si="2"/>
        <v>116364.22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31927.42</v>
      </c>
      <c r="L9" s="16">
        <f t="shared" ca="1" si="0"/>
        <v>31927.42</v>
      </c>
      <c r="M9" s="16"/>
      <c r="N9" s="16">
        <f t="shared" ca="1" si="3"/>
        <v>0</v>
      </c>
      <c r="O9" s="11" cm="1">
        <f t="array" aca="1" ref="O9" ca="1">INDIRECT("'data'!$U$" &amp; $A$1)*parameters!$B$15</f>
        <v>4467.82</v>
      </c>
      <c r="P9" s="13" cm="1">
        <f t="array" aca="1" ref="P9" ca="1">-INDIRECT("'data'!$V$" &amp; $A$1)*parameters!$B$15</f>
        <v>-626.22</v>
      </c>
      <c r="Q9" s="16" cm="1">
        <f t="array" aca="1" ref="Q9" ca="1">INDIRECT("'data'!$T$" &amp; $A$1)*parameters!$B$15</f>
        <v>35769.019999999997</v>
      </c>
      <c r="R9" s="16">
        <f t="shared" ca="1" si="2"/>
        <v>35769.019999999997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45375.097098150778</v>
      </c>
      <c r="L10" s="16">
        <f t="shared" ca="1" si="0"/>
        <v>45375.097098150778</v>
      </c>
      <c r="M10" s="16"/>
      <c r="N10" s="16">
        <f t="shared" ca="1" si="3"/>
        <v>0</v>
      </c>
      <c r="O10" s="11" cm="1">
        <f t="array" aca="1" ref="O10" ca="1">INDIRECT("'data'!$X$" &amp; $A$1)*parameters!$B$15</f>
        <v>23840.46</v>
      </c>
      <c r="P10" s="13" cm="1">
        <f t="array" aca="1" ref="P10" ca="1">-INDIRECT("'data'!$Y$" &amp; $A$1)*parameters!$B$15</f>
        <v>-3356.5</v>
      </c>
      <c r="Q10" s="16" cm="1">
        <f t="array" aca="1" ref="Q10" ca="1">INDIRECT("'data'!$W$" &amp; $A$1)*parameters!$B$15</f>
        <v>65859.057098150777</v>
      </c>
      <c r="R10" s="16">
        <f t="shared" ca="1" si="2"/>
        <v>65859.057098150777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46687.418304409657</v>
      </c>
      <c r="N11" s="19"/>
      <c r="O11" s="21" cm="1">
        <f t="array" aca="1" ref="O11" ca="1">INDIRECT("'data'!$Z$" &amp; $A$1)*parameters!$B$15</f>
        <v>28619.919999999998</v>
      </c>
      <c r="P11" s="27" cm="1">
        <f t="array" aca="1" ref="P11" ca="1">-INDIRECT("'data'!$AA$" &amp; $A$1)*parameters!$B$15</f>
        <v>-6272.98</v>
      </c>
      <c r="Q11" s="16">
        <f ca="1">K9*parameters!$B$10+K10*parameters!$B$11</f>
        <v>69034.358304409659</v>
      </c>
      <c r="R11" s="16">
        <f t="shared" ref="R11:R17" ca="1" si="4">SUM(L11:P11)</f>
        <v>69034.358304409659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-516.27155932373716</v>
      </c>
      <c r="D12" s="9">
        <f ca="1">-(D17-Q4)</f>
        <v>0</v>
      </c>
      <c r="E12" s="9">
        <f ca="1">-(E17-Q5)</f>
        <v>-5648.7270193106524</v>
      </c>
      <c r="F12" s="9">
        <f ca="1">-(F17-Q6)</f>
        <v>-5780.4913432835892</v>
      </c>
      <c r="G12" s="9">
        <f ca="1">-(G17-Q7)</f>
        <v>-1299.030449320795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-13244.520371238774</v>
      </c>
      <c r="M12" s="17"/>
      <c r="N12" s="17"/>
      <c r="O12" s="10"/>
      <c r="P12" s="12"/>
      <c r="Q12" s="9">
        <f t="shared" ref="Q12:Q17" ca="1" si="6">SUM(L12:P12)</f>
        <v>-13244.520371238774</v>
      </c>
      <c r="R12" s="17">
        <f t="shared" ca="1" si="4"/>
        <v>-13244.520371238774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-3592.9989590814293</v>
      </c>
      <c r="J13" s="14">
        <f ca="1">-(J17-Q10)</f>
        <v>-6615.543942767792</v>
      </c>
      <c r="K13" s="13">
        <f ca="1">-(K17-Q11)</f>
        <v>-8268.1587937411095</v>
      </c>
      <c r="L13" s="14">
        <f t="shared" ca="1" si="5"/>
        <v>-18476.701695590331</v>
      </c>
      <c r="M13" s="16">
        <f ca="1">-E15</f>
        <v>-32875.362116324715</v>
      </c>
      <c r="N13" s="16"/>
      <c r="O13" s="11"/>
      <c r="P13" s="13"/>
      <c r="Q13" s="14">
        <f t="shared" ca="1" si="6"/>
        <v>-51352.063811915046</v>
      </c>
      <c r="R13" s="16">
        <f t="shared" ca="1" si="4"/>
        <v>-51352.063811915046</v>
      </c>
    </row>
    <row r="14" spans="1:20">
      <c r="A14" s="18" t="s">
        <v>78</v>
      </c>
      <c r="B14" s="11"/>
      <c r="C14" s="14"/>
      <c r="D14" s="14"/>
      <c r="E14" s="14">
        <f ca="1">-(I13+J13)-K13</f>
        <v>18476.701695590331</v>
      </c>
      <c r="F14" s="14"/>
      <c r="G14" s="14"/>
      <c r="H14" s="14"/>
      <c r="I14" s="14"/>
      <c r="J14" s="14"/>
      <c r="K14" s="13"/>
      <c r="L14" s="14">
        <f t="shared" ca="1" si="5"/>
        <v>18476.701695590331</v>
      </c>
      <c r="M14" s="16"/>
      <c r="N14" s="16"/>
      <c r="O14" s="11"/>
      <c r="P14" s="13"/>
      <c r="Q14" s="14">
        <f t="shared" ca="1" si="6"/>
        <v>18476.701695590331</v>
      </c>
      <c r="R14" s="16">
        <f t="shared" ca="1" si="4"/>
        <v>18476.701695590331</v>
      </c>
    </row>
    <row r="15" spans="1:20">
      <c r="A15" s="18" t="s">
        <v>79</v>
      </c>
      <c r="B15" s="11"/>
      <c r="C15" s="14"/>
      <c r="D15" s="14"/>
      <c r="E15" s="14">
        <f ca="1">E17-E14</f>
        <v>32875.362116324715</v>
      </c>
      <c r="F15" s="14"/>
      <c r="G15" s="14"/>
      <c r="H15" s="14"/>
      <c r="I15" s="14"/>
      <c r="J15" s="14"/>
      <c r="K15" s="13"/>
      <c r="L15" s="14">
        <f t="shared" ca="1" si="5"/>
        <v>32875.362116324715</v>
      </c>
      <c r="M15" s="16"/>
      <c r="N15" s="16"/>
      <c r="O15" s="11"/>
      <c r="P15" s="13"/>
      <c r="Q15" s="14">
        <f t="shared" ca="1" si="6"/>
        <v>32875.362116324715</v>
      </c>
      <c r="R15" s="16">
        <f t="shared" ca="1" si="4"/>
        <v>32875.362116324715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81947.866559323738</v>
      </c>
      <c r="D17" s="9">
        <f ca="1">SUM(D$2:D$11)</f>
        <v>0</v>
      </c>
      <c r="E17" s="9">
        <f ca="1">$Q$5/parameters!$B$4</f>
        <v>51352.063811915046</v>
      </c>
      <c r="F17" s="9">
        <f t="shared" ref="F17:K17" ca="1" si="7">SUM(F$2:F$11)</f>
        <v>93233.731343283594</v>
      </c>
      <c r="G17" s="9">
        <f t="shared" ca="1" si="7"/>
        <v>30210.010449320795</v>
      </c>
      <c r="H17" s="9">
        <f t="shared" ca="1" si="7"/>
        <v>116364.22</v>
      </c>
      <c r="I17" s="9">
        <f t="shared" ca="1" si="7"/>
        <v>39362.018959081426</v>
      </c>
      <c r="J17" s="9">
        <f t="shared" ca="1" si="7"/>
        <v>72474.601040918569</v>
      </c>
      <c r="K17" s="9">
        <f t="shared" ca="1" si="7"/>
        <v>77302.517098150769</v>
      </c>
      <c r="L17" s="17">
        <f t="shared" ca="1" si="5"/>
        <v>562247.02926199394</v>
      </c>
      <c r="M17" s="17"/>
      <c r="N17" s="17"/>
      <c r="O17" s="9"/>
      <c r="P17" s="14"/>
      <c r="Q17" s="11">
        <f t="shared" ca="1" si="6"/>
        <v>562247.02926199394</v>
      </c>
      <c r="R17" s="17">
        <f t="shared" ca="1" si="4"/>
        <v>562247.02926199394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0.90871913956404238</v>
      </c>
      <c r="J18" s="39">
        <f ca="1">I18</f>
        <v>0.90871913956404238</v>
      </c>
      <c r="K18" s="40">
        <f ca="1">1-(-K13)/K17</f>
        <v>0.89304153209858539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32075.983697292944</v>
      </c>
      <c r="D2" s="9">
        <f ca="1">Q4/parameters!$B$3</f>
        <v>240.7165140384422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32316.700211331387</v>
      </c>
      <c r="M2" s="17"/>
      <c r="N2" s="17">
        <f ca="1">Q2-(L2+O2+P2)</f>
        <v>0</v>
      </c>
      <c r="O2" s="11" cm="1">
        <f t="array" aca="1" ref="O2" ca="1">INDIRECT("'data'!$F$" &amp; $A$1)</f>
        <v>7256.6</v>
      </c>
      <c r="P2" s="13">
        <f ca="1">IF(-(L2-Q2+O2)&lt;0, -(L2-Q2+O2), 0)</f>
        <v>-5804.3002113313869</v>
      </c>
      <c r="Q2" s="17" cm="1">
        <f t="array" aca="1" ref="Q2" ca="1">INDIRECT("'data'!$D$" &amp; $A$1)</f>
        <v>33769</v>
      </c>
      <c r="R2" s="17">
        <f ca="1">SUM(L2:P2)</f>
        <v>33769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32801.958208955228</v>
      </c>
      <c r="G3" s="14">
        <f ca="1">Q3-O3-P3-F3</f>
        <v>3522.8967910447755</v>
      </c>
      <c r="H3" s="14"/>
      <c r="I3" s="14"/>
      <c r="J3" s="14"/>
      <c r="K3" s="13"/>
      <c r="L3" s="16">
        <f t="shared" ca="1" si="0"/>
        <v>36324.855000000003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253.26</v>
      </c>
      <c r="P3" s="13" cm="1">
        <f t="array" aca="1" ref="P3" ca="1">-INDIRECT("'data'!$I$" &amp; $A$1)*parameters!$B$13</f>
        <v>-4704.21</v>
      </c>
      <c r="Q3" s="16" cm="1">
        <f t="array" aca="1" ref="Q3" ca="1">INDIRECT("'data'!$G$" &amp; $A$1)*parameters!$B$13</f>
        <v>31873.904999999999</v>
      </c>
      <c r="R3" s="16">
        <f t="shared" ref="R3:R10" ca="1" si="2">SUM(L3:P3)</f>
        <v>31873.905000000006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2564.04</v>
      </c>
      <c r="H4" s="14"/>
      <c r="I4" s="14"/>
      <c r="J4" s="14"/>
      <c r="K4" s="13"/>
      <c r="L4" s="16">
        <f t="shared" ca="1" si="0"/>
        <v>2564.04</v>
      </c>
      <c r="M4" s="16"/>
      <c r="N4" s="16">
        <f t="shared" ca="1" si="1"/>
        <v>-2.5579538487363607E-13</v>
      </c>
      <c r="O4" s="11" cm="1">
        <f t="array" aca="1" ref="O4" ca="1">INDIRECT("'data'!$K$" &amp; $A$1)*parameters!$B$14</f>
        <v>25.76</v>
      </c>
      <c r="P4" s="13" cm="1">
        <f t="array" aca="1" ref="P4" ca="1">-INDIRECT("'data'!$L$" &amp; $A$1)*parameters!$B$14</f>
        <v>-2350.6</v>
      </c>
      <c r="Q4" s="16" cm="1">
        <f t="array" aca="1" ref="Q4" ca="1">INDIRECT("'data'!$J$" &amp; $A$1)*parameters!$B$14</f>
        <v>239.20000000000002</v>
      </c>
      <c r="R4" s="16">
        <f t="shared" ca="1" si="2"/>
        <v>239.19999999999982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Q6/parameters!$B$5*18%</f>
        <v>7200.429850746269</v>
      </c>
      <c r="G5" s="14">
        <f ca="1">Q7/parameters!$B$7-(G3+G4)</f>
        <v>48250.325486907161</v>
      </c>
      <c r="H5" s="14"/>
      <c r="I5" s="14"/>
      <c r="J5" s="14"/>
      <c r="K5" s="13"/>
      <c r="L5" s="16">
        <f t="shared" ca="1" si="0"/>
        <v>55450.755337653427</v>
      </c>
      <c r="M5" s="16"/>
      <c r="N5" s="16"/>
      <c r="O5" s="11" cm="1">
        <f t="array" aca="1" ref="O5" ca="1">INDIRECT("'data'!$M$" &amp; $A$1)*parameters!$B$15</f>
        <v>21277.759999999998</v>
      </c>
      <c r="P5" s="13" cm="1">
        <f t="array" aca="1" ref="P5" ca="1">-INDIRECT("'data'!$N$" &amp; $A$1)*parameters!$B$15</f>
        <v>-3498.6</v>
      </c>
      <c r="Q5" s="16">
        <f ca="1">SUM(L5:P5)</f>
        <v>73229.915337653423</v>
      </c>
      <c r="R5" s="16">
        <f t="shared" ca="1" si="2"/>
        <v>73229.915337653423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37522.239999999998</v>
      </c>
      <c r="I6" s="14"/>
      <c r="J6" s="14"/>
      <c r="K6" s="13"/>
      <c r="L6" s="16">
        <f t="shared" ca="1" si="0"/>
        <v>37522.239999999998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37522.239999999998</v>
      </c>
      <c r="R6" s="16">
        <f t="shared" ca="1" si="2"/>
        <v>37522.239999999998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52000.76</v>
      </c>
      <c r="I7" s="14"/>
      <c r="J7" s="14"/>
      <c r="K7" s="13"/>
      <c r="L7" s="16">
        <f t="shared" ca="1" si="0"/>
        <v>52000.76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52000.76</v>
      </c>
      <c r="R7" s="16">
        <f t="shared" ca="1" si="2"/>
        <v>52000.76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30094.281425065692</v>
      </c>
      <c r="J8" s="14">
        <f ca="1">Q10/J18</f>
        <v>64215.038574934304</v>
      </c>
      <c r="K8" s="13"/>
      <c r="L8" s="16">
        <f t="shared" ca="1" si="0"/>
        <v>94309.319999999992</v>
      </c>
      <c r="M8" s="16"/>
      <c r="N8" s="16">
        <f t="shared" ca="1" si="3"/>
        <v>0</v>
      </c>
      <c r="O8" s="11" cm="1">
        <f t="array" aca="1" ref="O8" ca="1">INDIRECT("'data'!$R$" &amp; $A$1)*parameters!$B$15</f>
        <v>509.59999999999997</v>
      </c>
      <c r="P8" s="13" cm="1">
        <f t="array" aca="1" ref="P8" ca="1">-INDIRECT("'data'!$S$" &amp; $A$1)*parameters!$B$15</f>
        <v>-5295.92</v>
      </c>
      <c r="Q8" s="16">
        <f ca="1">SUM(Q6:Q7)</f>
        <v>89523</v>
      </c>
      <c r="R8" s="16">
        <f t="shared" ca="1" si="2"/>
        <v>89523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28625.8</v>
      </c>
      <c r="L9" s="16">
        <f t="shared" ca="1" si="0"/>
        <v>28625.8</v>
      </c>
      <c r="M9" s="16"/>
      <c r="N9" s="16">
        <f t="shared" ca="1" si="3"/>
        <v>0</v>
      </c>
      <c r="O9" s="11" cm="1">
        <f t="array" aca="1" ref="O9" ca="1">INDIRECT("'data'!$U$" &amp; $A$1)*parameters!$B$15</f>
        <v>3298.68</v>
      </c>
      <c r="P9" s="13" cm="1">
        <f t="array" aca="1" ref="P9" ca="1">-INDIRECT("'data'!$V$" &amp; $A$1)*parameters!$B$15</f>
        <v>-4538.38</v>
      </c>
      <c r="Q9" s="16" cm="1">
        <f t="array" aca="1" ref="Q9" ca="1">INDIRECT("'data'!$T$" &amp; $A$1)*parameters!$B$15</f>
        <v>27386.1</v>
      </c>
      <c r="R9" s="16">
        <f t="shared" ca="1" si="2"/>
        <v>27386.1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60184.65357041252</v>
      </c>
      <c r="L10" s="16">
        <f t="shared" ca="1" si="0"/>
        <v>60184.65357041252</v>
      </c>
      <c r="M10" s="16"/>
      <c r="N10" s="16">
        <f t="shared" ca="1" si="3"/>
        <v>0</v>
      </c>
      <c r="O10" s="11" cm="1">
        <f t="array" aca="1" ref="O10" ca="1">INDIRECT("'data'!$X$" &amp; $A$1)*parameters!$B$15</f>
        <v>6087.76</v>
      </c>
      <c r="P10" s="13" cm="1">
        <f t="array" aca="1" ref="P10" ca="1">-INDIRECT("'data'!$Y$" &amp; $A$1)*parameters!$B$15</f>
        <v>-7836.08</v>
      </c>
      <c r="Q10" s="16" cm="1">
        <f t="array" aca="1" ref="Q10" ca="1">INDIRECT("'data'!$W$" &amp; $A$1)*parameters!$B$15</f>
        <v>58436.33357041252</v>
      </c>
      <c r="R10" s="16">
        <f t="shared" ca="1" si="2"/>
        <v>58436.33357041252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91306.114070554759</v>
      </c>
      <c r="N11" s="19"/>
      <c r="O11" s="21" cm="1">
        <f t="array" aca="1" ref="O11" ca="1">INDIRECT("'data'!$Z$" &amp; $A$1)*parameters!$B$15</f>
        <v>19752.88</v>
      </c>
      <c r="P11" s="27" cm="1">
        <f t="array" aca="1" ref="P11" ca="1">-INDIRECT("'data'!$AA$" &amp; $A$1)*parameters!$B$15</f>
        <v>-32391.94</v>
      </c>
      <c r="Q11" s="16">
        <f ca="1">K9*parameters!$B$10+K10*parameters!$B$11</f>
        <v>78667.054070554761</v>
      </c>
      <c r="R11" s="16">
        <f t="shared" ref="R11:R17" ca="1" si="4">SUM(L11:P11)</f>
        <v>78667.054070554761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-202.07869729294544</v>
      </c>
      <c r="D12" s="9">
        <f ca="1">-(D17-Q4)</f>
        <v>-1.5165140384421818</v>
      </c>
      <c r="E12" s="9">
        <f ca="1">-(E17-Q5)</f>
        <v>-9050.8884125189652</v>
      </c>
      <c r="F12" s="9">
        <f ca="1">-(F17-Q6)</f>
        <v>-2480.1480597014961</v>
      </c>
      <c r="G12" s="9">
        <f ca="1">-(G17-Q7)</f>
        <v>-2336.502277951935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-14071.133961503783</v>
      </c>
      <c r="M12" s="17"/>
      <c r="N12" s="17"/>
      <c r="O12" s="10"/>
      <c r="P12" s="12"/>
      <c r="Q12" s="9">
        <f t="shared" ref="Q12:Q17" ca="1" si="6">SUM(L12:P12)</f>
        <v>-14071.133961503783</v>
      </c>
      <c r="R12" s="17">
        <f t="shared" ca="1" si="4"/>
        <v>-14071.133961503783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-2708.1814250656935</v>
      </c>
      <c r="J13" s="14">
        <f ca="1">-(J17-Q10)</f>
        <v>-5778.7050045217838</v>
      </c>
      <c r="K13" s="13">
        <f ca="1">-(K17-Q11)</f>
        <v>-10143.399499857755</v>
      </c>
      <c r="L13" s="14">
        <f t="shared" ca="1" si="5"/>
        <v>-18630.285929445232</v>
      </c>
      <c r="M13" s="16">
        <f ca="1">-E15</f>
        <v>-63650.517820727153</v>
      </c>
      <c r="N13" s="16"/>
      <c r="O13" s="11"/>
      <c r="P13" s="13"/>
      <c r="Q13" s="14">
        <f t="shared" ca="1" si="6"/>
        <v>-82280.803750172388</v>
      </c>
      <c r="R13" s="16">
        <f t="shared" ca="1" si="4"/>
        <v>-82280.803750172388</v>
      </c>
    </row>
    <row r="14" spans="1:20">
      <c r="A14" s="18" t="s">
        <v>78</v>
      </c>
      <c r="B14" s="11"/>
      <c r="C14" s="14"/>
      <c r="D14" s="14"/>
      <c r="E14" s="14">
        <f ca="1">-(I13+J13)-K13</f>
        <v>18630.285929445232</v>
      </c>
      <c r="F14" s="14"/>
      <c r="G14" s="14"/>
      <c r="H14" s="14"/>
      <c r="I14" s="14"/>
      <c r="J14" s="14"/>
      <c r="K14" s="13"/>
      <c r="L14" s="14">
        <f t="shared" ca="1" si="5"/>
        <v>18630.285929445232</v>
      </c>
      <c r="M14" s="16"/>
      <c r="N14" s="16"/>
      <c r="O14" s="11"/>
      <c r="P14" s="13"/>
      <c r="Q14" s="14">
        <f t="shared" ca="1" si="6"/>
        <v>18630.285929445232</v>
      </c>
      <c r="R14" s="16">
        <f t="shared" ca="1" si="4"/>
        <v>18630.285929445232</v>
      </c>
    </row>
    <row r="15" spans="1:20">
      <c r="A15" s="18" t="s">
        <v>79</v>
      </c>
      <c r="B15" s="11"/>
      <c r="C15" s="14"/>
      <c r="D15" s="14"/>
      <c r="E15" s="14">
        <f ca="1">E17-E14</f>
        <v>63650.517820727153</v>
      </c>
      <c r="F15" s="14"/>
      <c r="G15" s="14"/>
      <c r="H15" s="14"/>
      <c r="I15" s="14"/>
      <c r="J15" s="14"/>
      <c r="K15" s="13"/>
      <c r="L15" s="14">
        <f t="shared" ca="1" si="5"/>
        <v>63650.517820727153</v>
      </c>
      <c r="M15" s="16"/>
      <c r="N15" s="16"/>
      <c r="O15" s="11"/>
      <c r="P15" s="13"/>
      <c r="Q15" s="14">
        <f t="shared" ca="1" si="6"/>
        <v>63650.517820727153</v>
      </c>
      <c r="R15" s="16">
        <f t="shared" ca="1" si="4"/>
        <v>63650.517820727153</v>
      </c>
    </row>
    <row r="16" spans="1:20">
      <c r="A16" s="30" t="s">
        <v>89</v>
      </c>
      <c r="B16" s="21">
        <f ca="1">Q2</f>
        <v>33769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33769</v>
      </c>
      <c r="M16" s="19"/>
      <c r="N16" s="19"/>
      <c r="O16" s="21"/>
      <c r="P16" s="27"/>
      <c r="Q16" s="22">
        <f t="shared" ca="1" si="6"/>
        <v>33769</v>
      </c>
      <c r="R16" s="19">
        <f t="shared" ca="1" si="4"/>
        <v>33769</v>
      </c>
    </row>
    <row r="17" spans="1:18">
      <c r="A17" s="29" t="s">
        <v>88</v>
      </c>
      <c r="B17" s="9">
        <f ca="1">B16</f>
        <v>33769</v>
      </c>
      <c r="C17" s="9">
        <f ca="1">SUM(C$2:C$11)</f>
        <v>32075.983697292944</v>
      </c>
      <c r="D17" s="9">
        <f ca="1">SUM(D$2:D$11)</f>
        <v>240.7165140384422</v>
      </c>
      <c r="E17" s="9">
        <f ca="1">$Q$5/parameters!$B$4</f>
        <v>82280.803750172388</v>
      </c>
      <c r="F17" s="9">
        <f t="shared" ref="F17:K17" ca="1" si="7">SUM(F$2:F$11)</f>
        <v>40002.388059701494</v>
      </c>
      <c r="G17" s="9">
        <f t="shared" ca="1" si="7"/>
        <v>54337.262277951937</v>
      </c>
      <c r="H17" s="9">
        <f t="shared" ca="1" si="7"/>
        <v>89523</v>
      </c>
      <c r="I17" s="9">
        <f t="shared" ca="1" si="7"/>
        <v>30094.281425065692</v>
      </c>
      <c r="J17" s="9">
        <f t="shared" ca="1" si="7"/>
        <v>64215.038574934304</v>
      </c>
      <c r="K17" s="9">
        <f t="shared" ca="1" si="7"/>
        <v>88810.453570412516</v>
      </c>
      <c r="L17" s="17">
        <f t="shared" ca="1" si="5"/>
        <v>515348.92786956974</v>
      </c>
      <c r="M17" s="17"/>
      <c r="N17" s="17"/>
      <c r="O17" s="9"/>
      <c r="P17" s="14"/>
      <c r="Q17" s="11">
        <f t="shared" ca="1" si="6"/>
        <v>515348.92786956974</v>
      </c>
      <c r="R17" s="17">
        <f t="shared" ca="1" si="4"/>
        <v>515348.92786956974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0.91001009837004998</v>
      </c>
      <c r="J18" s="39">
        <f ca="1">I18</f>
        <v>0.91001009837004998</v>
      </c>
      <c r="K18" s="40">
        <f ca="1">1-(-K13)/K17</f>
        <v>0.88578597347421884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45928.12216966891</v>
      </c>
      <c r="D2" s="9">
        <f ca="1">Q4/parameters!$B$3</f>
        <v>4221.7973231357546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50149.919492804664</v>
      </c>
      <c r="M2" s="17"/>
      <c r="N2" s="17">
        <f ca="1">Q2-(L2+O2+P2)</f>
        <v>0</v>
      </c>
      <c r="O2" s="11" cm="1">
        <f t="array" aca="1" ref="O2" ca="1">INDIRECT("'data'!$F$" &amp; $A$1)</f>
        <v>16009.5</v>
      </c>
      <c r="P2" s="13">
        <f ca="1">IF(-(L2-Q2+O2)&lt;0, -(L2-Q2+O2), 0)</f>
        <v>-8359.4194928046636</v>
      </c>
      <c r="Q2" s="17" cm="1">
        <f t="array" aca="1" ref="Q2" ca="1">INDIRECT("'data'!$D$" &amp; $A$1)</f>
        <v>57800</v>
      </c>
      <c r="R2" s="17">
        <f ca="1">SUM(L2:P2)</f>
        <v>57800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40125.504477611947</v>
      </c>
      <c r="G3" s="14">
        <f ca="1">Q3-O3-P3-F3</f>
        <v>136.22052238804463</v>
      </c>
      <c r="H3" s="14"/>
      <c r="I3" s="14"/>
      <c r="J3" s="14"/>
      <c r="K3" s="13"/>
      <c r="L3" s="16">
        <f t="shared" ca="1" si="0"/>
        <v>40261.724999999991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5377.0499999999993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45638.774999999994</v>
      </c>
      <c r="R3" s="16">
        <f t="shared" ref="R3:R10" ca="1" si="2">SUM(L3:P3)</f>
        <v>45638.774999999994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1911.7599999999998</v>
      </c>
      <c r="H4" s="14"/>
      <c r="I4" s="14"/>
      <c r="J4" s="14"/>
      <c r="K4" s="13"/>
      <c r="L4" s="16">
        <f t="shared" ca="1" si="0"/>
        <v>1911.7599999999998</v>
      </c>
      <c r="M4" s="16"/>
      <c r="N4" s="16">
        <f t="shared" ca="1" si="1"/>
        <v>0</v>
      </c>
      <c r="O4" s="11" cm="1">
        <f t="array" aca="1" ref="O4" ca="1">INDIRECT("'data'!$K$" &amp; $A$1)*parameters!$B$14</f>
        <v>2283.44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4195.2</v>
      </c>
      <c r="R4" s="16">
        <f t="shared" ca="1" si="2"/>
        <v>4195.2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Q6/parameters!$B$5*24%</f>
        <v>12671.211940298508</v>
      </c>
      <c r="G5" s="14">
        <f ca="1">Q7/parameters!$B$7-(G3+G4)</f>
        <v>18432.688234142784</v>
      </c>
      <c r="H5" s="14"/>
      <c r="I5" s="14"/>
      <c r="J5" s="14"/>
      <c r="K5" s="13"/>
      <c r="L5" s="16">
        <f t="shared" ca="1" si="0"/>
        <v>31103.900174441293</v>
      </c>
      <c r="M5" s="16"/>
      <c r="N5" s="16"/>
      <c r="O5" s="11" cm="1">
        <f t="array" aca="1" ref="O5" ca="1">INDIRECT("'data'!$M$" &amp; $A$1)*parameters!$B$15</f>
        <v>5025.4399999999996</v>
      </c>
      <c r="P5" s="13" cm="1">
        <f t="array" aca="1" ref="P5" ca="1">-INDIRECT("'data'!$N$" &amp; $A$1)*parameters!$B$15</f>
        <v>-93.1</v>
      </c>
      <c r="Q5" s="16">
        <f ca="1">SUM(L5:P5)</f>
        <v>36036.240174441293</v>
      </c>
      <c r="R5" s="16">
        <f t="shared" ca="1" si="2"/>
        <v>36036.240174441293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49523.32</v>
      </c>
      <c r="I6" s="14"/>
      <c r="J6" s="14"/>
      <c r="K6" s="13"/>
      <c r="L6" s="16">
        <f t="shared" ca="1" si="0"/>
        <v>49523.32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49523.32</v>
      </c>
      <c r="R6" s="16">
        <f t="shared" ca="1" si="2"/>
        <v>49523.32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19600</v>
      </c>
      <c r="I7" s="14"/>
      <c r="J7" s="14"/>
      <c r="K7" s="13"/>
      <c r="L7" s="16">
        <f t="shared" ca="1" si="0"/>
        <v>19600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19600</v>
      </c>
      <c r="R7" s="16">
        <f t="shared" ca="1" si="2"/>
        <v>19600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23100</v>
      </c>
      <c r="J8" s="14">
        <f ca="1">Q10/J18</f>
        <v>34794.137980085346</v>
      </c>
      <c r="K8" s="13"/>
      <c r="L8" s="16">
        <f t="shared" ca="1" si="0"/>
        <v>57894.137980085346</v>
      </c>
      <c r="M8" s="16"/>
      <c r="N8" s="16">
        <f t="shared" ca="1" si="3"/>
        <v>-4469.4379800853349</v>
      </c>
      <c r="O8" s="11" cm="1">
        <f t="array" aca="1" ref="O8" ca="1">INDIRECT("'data'!$R$" &amp; $A$1)*parameters!$B$15</f>
        <v>15709.4</v>
      </c>
      <c r="P8" s="13" cm="1">
        <f t="array" aca="1" ref="P8" ca="1">-INDIRECT("'data'!$S$" &amp; $A$1)*parameters!$B$15</f>
        <v>-10.78</v>
      </c>
      <c r="Q8" s="16">
        <f ca="1">SUM(Q6:Q7)</f>
        <v>69123.320000000007</v>
      </c>
      <c r="R8" s="16">
        <f t="shared" ca="1" si="2"/>
        <v>69123.320000000007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21004.34</v>
      </c>
      <c r="L9" s="16">
        <f t="shared" ca="1" si="0"/>
        <v>21004.34</v>
      </c>
      <c r="M9" s="16"/>
      <c r="N9" s="16">
        <f t="shared" ca="1" si="3"/>
        <v>0</v>
      </c>
      <c r="O9" s="11" cm="1">
        <f t="array" aca="1" ref="O9" ca="1">INDIRECT("'data'!$U$" &amp; $A$1)*parameters!$B$15</f>
        <v>3200.68</v>
      </c>
      <c r="P9" s="13" cm="1">
        <f t="array" aca="1" ref="P9" ca="1">-INDIRECT("'data'!$V$" &amp; $A$1)*parameters!$B$15</f>
        <v>-1567.02</v>
      </c>
      <c r="Q9" s="16" cm="1">
        <f t="array" aca="1" ref="Q9" ca="1">INDIRECT("'data'!$T$" &amp; $A$1)*parameters!$B$15</f>
        <v>22638</v>
      </c>
      <c r="R9" s="16">
        <f t="shared" ca="1" si="2"/>
        <v>22638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29565.755220483639</v>
      </c>
      <c r="L10" s="16">
        <f t="shared" ca="1" si="0"/>
        <v>29565.755220483639</v>
      </c>
      <c r="M10" s="16"/>
      <c r="N10" s="16">
        <f t="shared" ca="1" si="3"/>
        <v>0</v>
      </c>
      <c r="O10" s="11" cm="1">
        <f t="array" aca="1" ref="O10" ca="1">INDIRECT("'data'!$X$" &amp; $A$1)*parameters!$B$15</f>
        <v>7577.36</v>
      </c>
      <c r="P10" s="13" cm="1">
        <f t="array" aca="1" ref="P10" ca="1">-INDIRECT("'data'!$Y$" &amp; $A$1)*parameters!$B$15</f>
        <v>-3044.86</v>
      </c>
      <c r="Q10" s="16" cm="1">
        <f t="array" aca="1" ref="Q10" ca="1">INDIRECT("'data'!$W$" &amp; $A$1)*parameters!$B$15</f>
        <v>34098.255220483639</v>
      </c>
      <c r="R10" s="16">
        <f t="shared" ca="1" si="2"/>
        <v>34098.255220483639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53957.309089615926</v>
      </c>
      <c r="N11" s="19"/>
      <c r="O11" s="21" cm="1">
        <f t="array" aca="1" ref="O11" ca="1">INDIRECT("'data'!$Z$" &amp; $A$1)*parameters!$B$15</f>
        <v>2201.08</v>
      </c>
      <c r="P11" s="27" cm="1">
        <f t="array" aca="1" ref="P11" ca="1">-INDIRECT("'data'!$AA$" &amp; $A$1)*parameters!$B$15</f>
        <v>-10987.76</v>
      </c>
      <c r="Q11" s="16">
        <f ca="1">K9*parameters!$B$10+K10*parameters!$B$11</f>
        <v>45170.629089615926</v>
      </c>
      <c r="R11" s="16">
        <f t="shared" ref="R11:R17" ca="1" si="4">SUM(L11:P11)</f>
        <v>45170.629089615926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-289.34716966891574</v>
      </c>
      <c r="D12" s="9">
        <f ca="1">-(D17-Q4)</f>
        <v>-26.597323135754777</v>
      </c>
      <c r="E12" s="9">
        <f ca="1">-(E17-Q5)</f>
        <v>-4453.9173249309461</v>
      </c>
      <c r="F12" s="9">
        <f ca="1">-(F17-Q6)</f>
        <v>-3273.3964179104587</v>
      </c>
      <c r="G12" s="9">
        <f ca="1">-(G17-Q7)</f>
        <v>-880.66875653082752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-8923.9269921769028</v>
      </c>
      <c r="M12" s="17"/>
      <c r="N12" s="17"/>
      <c r="O12" s="10"/>
      <c r="P12" s="12"/>
      <c r="Q12" s="9">
        <f t="shared" ref="Q12:Q17" ca="1" si="6">SUM(L12:P12)</f>
        <v>-8923.9269921769028</v>
      </c>
      <c r="R12" s="17">
        <f t="shared" ca="1" si="4"/>
        <v>-8923.9269921769028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-462</v>
      </c>
      <c r="J13" s="14">
        <f ca="1">-(J17-Q10)</f>
        <v>-695.88275960170722</v>
      </c>
      <c r="K13" s="13">
        <f ca="1">-(K17-Q11)</f>
        <v>-5399.4661308677096</v>
      </c>
      <c r="L13" s="14">
        <f t="shared" ca="1" si="5"/>
        <v>-6557.3488904694168</v>
      </c>
      <c r="M13" s="16">
        <f ca="1">-E15</f>
        <v>-33932.808608902822</v>
      </c>
      <c r="N13" s="16"/>
      <c r="O13" s="11"/>
      <c r="P13" s="13"/>
      <c r="Q13" s="14">
        <f t="shared" ca="1" si="6"/>
        <v>-40490.157499372239</v>
      </c>
      <c r="R13" s="16">
        <f t="shared" ca="1" si="4"/>
        <v>-40490.157499372239</v>
      </c>
    </row>
    <row r="14" spans="1:20">
      <c r="A14" s="18" t="s">
        <v>78</v>
      </c>
      <c r="B14" s="11"/>
      <c r="C14" s="14"/>
      <c r="D14" s="14"/>
      <c r="E14" s="14">
        <f ca="1">-(I13+J13)-K13</f>
        <v>6557.3488904694168</v>
      </c>
      <c r="F14" s="14"/>
      <c r="G14" s="14"/>
      <c r="H14" s="14"/>
      <c r="I14" s="14"/>
      <c r="J14" s="14"/>
      <c r="K14" s="13"/>
      <c r="L14" s="14">
        <f t="shared" ca="1" si="5"/>
        <v>6557.3488904694168</v>
      </c>
      <c r="M14" s="16"/>
      <c r="N14" s="16"/>
      <c r="O14" s="11"/>
      <c r="P14" s="13"/>
      <c r="Q14" s="14">
        <f t="shared" ca="1" si="6"/>
        <v>6557.3488904694168</v>
      </c>
      <c r="R14" s="16">
        <f t="shared" ca="1" si="4"/>
        <v>6557.3488904694168</v>
      </c>
    </row>
    <row r="15" spans="1:20">
      <c r="A15" s="18" t="s">
        <v>79</v>
      </c>
      <c r="B15" s="11"/>
      <c r="C15" s="14"/>
      <c r="D15" s="14"/>
      <c r="E15" s="14">
        <f ca="1">E17-E14</f>
        <v>33932.808608902822</v>
      </c>
      <c r="F15" s="14"/>
      <c r="G15" s="14"/>
      <c r="H15" s="14"/>
      <c r="I15" s="14"/>
      <c r="J15" s="14"/>
      <c r="K15" s="13"/>
      <c r="L15" s="14">
        <f t="shared" ca="1" si="5"/>
        <v>33932.808608902822</v>
      </c>
      <c r="M15" s="16"/>
      <c r="N15" s="16"/>
      <c r="O15" s="11"/>
      <c r="P15" s="13"/>
      <c r="Q15" s="14">
        <f t="shared" ca="1" si="6"/>
        <v>33932.808608902822</v>
      </c>
      <c r="R15" s="16">
        <f t="shared" ca="1" si="4"/>
        <v>33932.808608902822</v>
      </c>
    </row>
    <row r="16" spans="1:20">
      <c r="A16" s="30" t="s">
        <v>89</v>
      </c>
      <c r="B16" s="21">
        <f ca="1">Q2</f>
        <v>57800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57800</v>
      </c>
      <c r="M16" s="19"/>
      <c r="N16" s="19"/>
      <c r="O16" s="21"/>
      <c r="P16" s="27"/>
      <c r="Q16" s="22">
        <f t="shared" ca="1" si="6"/>
        <v>57800</v>
      </c>
      <c r="R16" s="19">
        <f t="shared" ca="1" si="4"/>
        <v>57800</v>
      </c>
    </row>
    <row r="17" spans="1:18">
      <c r="A17" s="29" t="s">
        <v>88</v>
      </c>
      <c r="B17" s="9">
        <f ca="1">B16</f>
        <v>57800</v>
      </c>
      <c r="C17" s="9">
        <f ca="1">SUM(C$2:C$11)</f>
        <v>45928.12216966891</v>
      </c>
      <c r="D17" s="9">
        <f ca="1">SUM(D$2:D$11)</f>
        <v>4221.7973231357546</v>
      </c>
      <c r="E17" s="9">
        <f ca="1">$Q$5/parameters!$B$4</f>
        <v>40490.157499372239</v>
      </c>
      <c r="F17" s="9">
        <f t="shared" ref="F17:K17" ca="1" si="7">SUM(F$2:F$11)</f>
        <v>52796.716417910458</v>
      </c>
      <c r="G17" s="9">
        <f t="shared" ca="1" si="7"/>
        <v>20480.668756530828</v>
      </c>
      <c r="H17" s="9">
        <f t="shared" ca="1" si="7"/>
        <v>69123.320000000007</v>
      </c>
      <c r="I17" s="9">
        <f t="shared" ca="1" si="7"/>
        <v>23100</v>
      </c>
      <c r="J17" s="9">
        <f t="shared" ca="1" si="7"/>
        <v>34794.137980085346</v>
      </c>
      <c r="K17" s="9">
        <f t="shared" ca="1" si="7"/>
        <v>50570.095220483636</v>
      </c>
      <c r="L17" s="17">
        <f t="shared" ca="1" si="5"/>
        <v>399305.01536718709</v>
      </c>
      <c r="M17" s="17"/>
      <c r="N17" s="17"/>
      <c r="O17" s="9"/>
      <c r="P17" s="14"/>
      <c r="Q17" s="11">
        <f t="shared" ca="1" si="6"/>
        <v>399305.01536718709</v>
      </c>
      <c r="R17" s="17">
        <f t="shared" ca="1" si="4"/>
        <v>399305.01536718709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0.95699999999999985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0.89322808060126746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29521.621213645969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29521.621213645969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-29521.621213645969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25264.358208955226</v>
      </c>
      <c r="G3" s="14">
        <f ca="1">Q3-O3-P3-F3</f>
        <v>5221.3417910447715</v>
      </c>
      <c r="H3" s="14"/>
      <c r="I3" s="14"/>
      <c r="J3" s="14"/>
      <c r="K3" s="13"/>
      <c r="L3" s="16">
        <f t="shared" ca="1" si="0"/>
        <v>30485.699999999997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-1150.0649999999998</v>
      </c>
      <c r="Q3" s="16" cm="1">
        <f t="array" aca="1" ref="Q3" ca="1">INDIRECT("'data'!$G$" &amp; $A$1)*parameters!$B$13</f>
        <v>29335.634999999998</v>
      </c>
      <c r="R3" s="16">
        <f t="shared" ref="R3:R10" ca="1" si="2">SUM(L3:P3)</f>
        <v>29335.634999999998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335.8</v>
      </c>
      <c r="H4" s="14"/>
      <c r="I4" s="14"/>
      <c r="J4" s="14"/>
      <c r="K4" s="13"/>
      <c r="L4" s="16">
        <f t="shared" ca="1" si="0"/>
        <v>335.8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-335.8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6316.0895522388064</v>
      </c>
      <c r="G5" s="14">
        <f ca="1">Q7/parameters!$B$7-(G3+G4)</f>
        <v>18403.192587220645</v>
      </c>
      <c r="H5" s="14"/>
      <c r="I5" s="14"/>
      <c r="J5" s="14"/>
      <c r="K5" s="13"/>
      <c r="L5" s="16">
        <f t="shared" ca="1" si="0"/>
        <v>24719.28213945945</v>
      </c>
      <c r="M5" s="16"/>
      <c r="N5" s="16"/>
      <c r="O5" s="11" cm="1">
        <f t="array" aca="1" ref="O5" ca="1">INDIRECT("'data'!$M$" &amp; $A$1)*parameters!$B$15</f>
        <v>361.62</v>
      </c>
      <c r="P5" s="13" cm="1">
        <f t="array" aca="1" ref="P5" ca="1">-INDIRECT("'data'!$N$" &amp; $A$1)*parameters!$B$15</f>
        <v>-7172.62</v>
      </c>
      <c r="Q5" s="16">
        <f ca="1">SUM(L5:P5)</f>
        <v>17908.28213945945</v>
      </c>
      <c r="R5" s="16">
        <f t="shared" ca="1" si="2"/>
        <v>17908.28213945945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29622.46</v>
      </c>
      <c r="I6" s="14"/>
      <c r="J6" s="14"/>
      <c r="K6" s="13"/>
      <c r="L6" s="16">
        <f t="shared" ca="1" si="0"/>
        <v>29622.46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29622.46</v>
      </c>
      <c r="R6" s="16">
        <f t="shared" ca="1" si="2"/>
        <v>29622.46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22930.04</v>
      </c>
      <c r="I7" s="14"/>
      <c r="J7" s="14"/>
      <c r="K7" s="13"/>
      <c r="L7" s="16">
        <f t="shared" ca="1" si="0"/>
        <v>22930.04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22930.04</v>
      </c>
      <c r="R7" s="16">
        <f t="shared" ca="1" si="2"/>
        <v>22930.04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21043.713827456286</v>
      </c>
      <c r="J8" s="14">
        <f ca="1">Q10/J18</f>
        <v>36918.386172543709</v>
      </c>
      <c r="K8" s="13"/>
      <c r="L8" s="16">
        <f t="shared" ca="1" si="0"/>
        <v>57962.099999999991</v>
      </c>
      <c r="M8" s="16"/>
      <c r="N8" s="16">
        <f t="shared" ca="1" si="3"/>
        <v>0</v>
      </c>
      <c r="O8" s="11" cm="1">
        <f t="array" aca="1" ref="O8" ca="1">INDIRECT("'data'!$R$" &amp; $A$1)*parameters!$B$15</f>
        <v>607.6</v>
      </c>
      <c r="P8" s="13" cm="1">
        <f t="array" aca="1" ref="P8" ca="1">-INDIRECT("'data'!$S$" &amp; $A$1)*parameters!$B$15</f>
        <v>-6017.2</v>
      </c>
      <c r="Q8" s="16">
        <f ca="1">SUM(Q6:Q7)</f>
        <v>52552.5</v>
      </c>
      <c r="R8" s="16">
        <f t="shared" ca="1" si="2"/>
        <v>52552.499999999993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22065.68</v>
      </c>
      <c r="L9" s="16">
        <f t="shared" ca="1" si="0"/>
        <v>22065.68</v>
      </c>
      <c r="M9" s="16"/>
      <c r="N9" s="16">
        <f t="shared" ca="1" si="3"/>
        <v>0</v>
      </c>
      <c r="O9" s="11" cm="1">
        <f t="array" aca="1" ref="O9" ca="1">INDIRECT("'data'!$U$" &amp; $A$1)*parameters!$B$15</f>
        <v>2900.7999999999997</v>
      </c>
      <c r="P9" s="13" cm="1">
        <f t="array" aca="1" ref="P9" ca="1">-INDIRECT("'data'!$V$" &amp; $A$1)*parameters!$B$15</f>
        <v>-5362.5599999999995</v>
      </c>
      <c r="Q9" s="16" cm="1">
        <f t="array" aca="1" ref="Q9" ca="1">INDIRECT("'data'!$T$" &amp; $A$1)*parameters!$B$15</f>
        <v>19603.919999999998</v>
      </c>
      <c r="R9" s="16">
        <f t="shared" ca="1" si="2"/>
        <v>19603.919999999998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35674.300142247506</v>
      </c>
      <c r="L10" s="16">
        <f t="shared" ca="1" si="0"/>
        <v>35674.300142247506</v>
      </c>
      <c r="M10" s="16"/>
      <c r="N10" s="16">
        <f t="shared" ca="1" si="3"/>
        <v>0</v>
      </c>
      <c r="O10" s="11" cm="1">
        <f t="array" aca="1" ref="O10" ca="1">INDIRECT("'data'!$X$" &amp; $A$1)*parameters!$B$15</f>
        <v>14504</v>
      </c>
      <c r="P10" s="13" cm="1">
        <f t="array" aca="1" ref="P10" ca="1">-INDIRECT("'data'!$Y$" &amp; $A$1)*parameters!$B$15</f>
        <v>-15785.84</v>
      </c>
      <c r="Q10" s="16" cm="1">
        <f t="array" aca="1" ref="Q10" ca="1">INDIRECT("'data'!$W$" &amp; $A$1)*parameters!$B$15</f>
        <v>34392.46014224751</v>
      </c>
      <c r="R10" s="16">
        <f t="shared" ca="1" si="2"/>
        <v>34392.46014224751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37343.937322332858</v>
      </c>
      <c r="N11" s="19"/>
      <c r="O11" s="21" cm="1">
        <f t="array" aca="1" ref="O11" ca="1">INDIRECT("'data'!$Z$" &amp; $A$1)*parameters!$B$15</f>
        <v>19428.5</v>
      </c>
      <c r="P11" s="27" cm="1">
        <f t="array" aca="1" ref="P11" ca="1">-INDIRECT("'data'!$AA$" &amp; $A$1)*parameters!$B$15</f>
        <v>-5350.8</v>
      </c>
      <c r="Q11" s="16">
        <f ca="1">K9*parameters!$B$10+K10*parameters!$B$11</f>
        <v>51421.637322332856</v>
      </c>
      <c r="R11" s="16">
        <f t="shared" ref="R11:R17" ca="1" si="4">SUM(L11:P11)</f>
        <v>51421.637322332856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-185.98621364597057</v>
      </c>
      <c r="D12" s="9">
        <f ca="1">-(D17-Q4)</f>
        <v>0</v>
      </c>
      <c r="E12" s="9">
        <f ca="1">-(E17-Q5)</f>
        <v>-2213.3831857758851</v>
      </c>
      <c r="F12" s="9">
        <f ca="1">-(F17-Q6)</f>
        <v>-1957.9877611940319</v>
      </c>
      <c r="G12" s="9">
        <f ca="1">-(G17-Q7)</f>
        <v>-1030.2943782654147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-5387.6515388813023</v>
      </c>
      <c r="M12" s="17"/>
      <c r="N12" s="17"/>
      <c r="O12" s="10"/>
      <c r="P12" s="12"/>
      <c r="Q12" s="9">
        <f t="shared" ref="Q12:Q17" ca="1" si="6">SUM(L12:P12)</f>
        <v>-5387.6515388813023</v>
      </c>
      <c r="R12" s="17">
        <f t="shared" ca="1" si="4"/>
        <v>-5387.6515388813023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-1439.7938274562875</v>
      </c>
      <c r="J13" s="14">
        <f ca="1">-(J17-Q10)</f>
        <v>-2525.9260302961993</v>
      </c>
      <c r="K13" s="13">
        <f ca="1">-(K17-Q11)</f>
        <v>-6318.342819914651</v>
      </c>
      <c r="L13" s="14">
        <f t="shared" ca="1" si="5"/>
        <v>-10284.062677667138</v>
      </c>
      <c r="M13" s="16">
        <f ca="1">-E15</f>
        <v>-9837.6026475681974</v>
      </c>
      <c r="N13" s="16"/>
      <c r="O13" s="11"/>
      <c r="P13" s="13"/>
      <c r="Q13" s="14">
        <f t="shared" ca="1" si="6"/>
        <v>-20121.665325235335</v>
      </c>
      <c r="R13" s="16">
        <f t="shared" ca="1" si="4"/>
        <v>-20121.665325235335</v>
      </c>
    </row>
    <row r="14" spans="1:20">
      <c r="A14" s="18" t="s">
        <v>78</v>
      </c>
      <c r="B14" s="11"/>
      <c r="C14" s="14"/>
      <c r="D14" s="14"/>
      <c r="E14" s="14">
        <f ca="1">-(I13+J13)-K13</f>
        <v>10284.062677667138</v>
      </c>
      <c r="F14" s="14"/>
      <c r="G14" s="14"/>
      <c r="H14" s="14"/>
      <c r="I14" s="14"/>
      <c r="J14" s="14"/>
      <c r="K14" s="13"/>
      <c r="L14" s="14">
        <f t="shared" ca="1" si="5"/>
        <v>10284.062677667138</v>
      </c>
      <c r="M14" s="16"/>
      <c r="N14" s="16"/>
      <c r="O14" s="11"/>
      <c r="P14" s="13"/>
      <c r="Q14" s="14">
        <f t="shared" ca="1" si="6"/>
        <v>10284.062677667138</v>
      </c>
      <c r="R14" s="16">
        <f t="shared" ca="1" si="4"/>
        <v>10284.062677667138</v>
      </c>
    </row>
    <row r="15" spans="1:20">
      <c r="A15" s="18" t="s">
        <v>79</v>
      </c>
      <c r="B15" s="11"/>
      <c r="C15" s="14"/>
      <c r="D15" s="14"/>
      <c r="E15" s="14">
        <f ca="1">E17-E14</f>
        <v>9837.6026475681974</v>
      </c>
      <c r="F15" s="14"/>
      <c r="G15" s="14"/>
      <c r="H15" s="14"/>
      <c r="I15" s="14"/>
      <c r="J15" s="14"/>
      <c r="K15" s="13"/>
      <c r="L15" s="14">
        <f t="shared" ca="1" si="5"/>
        <v>9837.6026475681974</v>
      </c>
      <c r="M15" s="16"/>
      <c r="N15" s="16"/>
      <c r="O15" s="11"/>
      <c r="P15" s="13"/>
      <c r="Q15" s="14">
        <f t="shared" ca="1" si="6"/>
        <v>9837.6026475681974</v>
      </c>
      <c r="R15" s="16">
        <f t="shared" ca="1" si="4"/>
        <v>9837.6026475681974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29521.621213645969</v>
      </c>
      <c r="D17" s="9">
        <f ca="1">SUM(D$2:D$11)</f>
        <v>0</v>
      </c>
      <c r="E17" s="9">
        <f ca="1">$Q$5/parameters!$B$4</f>
        <v>20121.665325235335</v>
      </c>
      <c r="F17" s="9">
        <f t="shared" ref="F17:K17" ca="1" si="7">SUM(F$2:F$11)</f>
        <v>31580.447761194031</v>
      </c>
      <c r="G17" s="9">
        <f t="shared" ca="1" si="7"/>
        <v>23960.334378265416</v>
      </c>
      <c r="H17" s="9">
        <f t="shared" ca="1" si="7"/>
        <v>52552.5</v>
      </c>
      <c r="I17" s="9">
        <f t="shared" ca="1" si="7"/>
        <v>21043.713827456286</v>
      </c>
      <c r="J17" s="9">
        <f t="shared" ca="1" si="7"/>
        <v>36918.386172543709</v>
      </c>
      <c r="K17" s="9">
        <f t="shared" ca="1" si="7"/>
        <v>57739.980142247507</v>
      </c>
      <c r="L17" s="17">
        <f t="shared" ca="1" si="5"/>
        <v>273438.64882058825</v>
      </c>
      <c r="M17" s="17"/>
      <c r="N17" s="17"/>
      <c r="O17" s="9"/>
      <c r="P17" s="14"/>
      <c r="Q17" s="11">
        <f t="shared" ca="1" si="6"/>
        <v>273438.64882058825</v>
      </c>
      <c r="R17" s="17">
        <f t="shared" ca="1" si="4"/>
        <v>273438.64882058825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0.93158081129302617</v>
      </c>
      <c r="J18" s="39">
        <f ca="1">I18</f>
        <v>0.93158081129302617</v>
      </c>
      <c r="K18" s="40">
        <f ca="1">1-(-K13)/K17</f>
        <v>0.89057248020610924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27684.306128610242</v>
      </c>
      <c r="D2" s="9">
        <f ca="1">Q4/parameters!$B$3</f>
        <v>481.4330280768844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28165.739156687127</v>
      </c>
      <c r="M2" s="17"/>
      <c r="N2" s="16">
        <v>0</v>
      </c>
      <c r="O2" s="11" cm="1">
        <f t="array" aca="1" ref="O2" ca="1">INDIRECT("'data'!$F$" &amp; $A$1)</f>
        <v>22.1</v>
      </c>
      <c r="P2" s="13">
        <f ca="1">IF(-(L2-Q2+O2)&lt;0, -(L2-Q2+O2), 0)</f>
        <v>-28140.039156687126</v>
      </c>
      <c r="Q2" s="17" cm="1">
        <f t="array" aca="1" ref="Q2" ca="1">INDIRECT("'data'!$D$" &amp; $A$1)</f>
        <v>47.8</v>
      </c>
      <c r="R2" s="17">
        <f ca="1">SUM(L2:P2)</f>
        <v>47.799999999999272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26071.761194029852</v>
      </c>
      <c r="G3" s="14">
        <f ca="1">Q3-O3-P3-F3</f>
        <v>1966.3888059701458</v>
      </c>
      <c r="H3" s="14"/>
      <c r="I3" s="14"/>
      <c r="J3" s="14"/>
      <c r="K3" s="13"/>
      <c r="L3" s="16">
        <f t="shared" ca="1" si="0"/>
        <v>28038.149999999998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145.53</v>
      </c>
      <c r="P3" s="13" cm="1">
        <f t="array" aca="1" ref="P3" ca="1">-INDIRECT("'data'!$I$" &amp; $A$1)*parameters!$B$13</f>
        <v>-673.78499999999997</v>
      </c>
      <c r="Q3" s="16" cm="1">
        <f t="array" aca="1" ref="Q3" ca="1">INDIRECT("'data'!$G$" &amp; $A$1)*parameters!$B$13</f>
        <v>27509.894999999997</v>
      </c>
      <c r="R3" s="16">
        <f t="shared" ref="R3:R10" ca="1" si="2">SUM(L3:P3)</f>
        <v>27509.894999999997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437.92</v>
      </c>
      <c r="H4" s="14"/>
      <c r="I4" s="14"/>
      <c r="J4" s="14"/>
      <c r="K4" s="13"/>
      <c r="L4" s="16">
        <f t="shared" ca="1" si="0"/>
        <v>437.92</v>
      </c>
      <c r="M4" s="16"/>
      <c r="N4" s="16">
        <f t="shared" ca="1" si="1"/>
        <v>0</v>
      </c>
      <c r="O4" s="11" cm="1">
        <f t="array" aca="1" ref="O4" ca="1">INDIRECT("'data'!$K$" &amp; $A$1)*parameters!$B$14</f>
        <v>66.240000000000009</v>
      </c>
      <c r="P4" s="13" cm="1">
        <f t="array" aca="1" ref="P4" ca="1">-INDIRECT("'data'!$L$" &amp; $A$1)*parameters!$B$14</f>
        <v>-25.76</v>
      </c>
      <c r="Q4" s="16" cm="1">
        <f t="array" aca="1" ref="Q4" ca="1">INDIRECT("'data'!$J$" &amp; $A$1)*parameters!$B$14</f>
        <v>478.40000000000003</v>
      </c>
      <c r="R4" s="16">
        <f t="shared" ca="1" si="2"/>
        <v>478.40000000000003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6517.940298507463</v>
      </c>
      <c r="G5" s="14">
        <f ca="1">Q7/parameters!$B$7-(G3+G4)</f>
        <v>12586.516690372591</v>
      </c>
      <c r="H5" s="14"/>
      <c r="I5" s="14"/>
      <c r="J5" s="14"/>
      <c r="K5" s="13"/>
      <c r="L5" s="16">
        <f t="shared" ca="1" si="0"/>
        <v>19104.456988880054</v>
      </c>
      <c r="M5" s="16"/>
      <c r="N5" s="16"/>
      <c r="O5" s="11" cm="1">
        <f t="array" aca="1" ref="O5" ca="1">INDIRECT("'data'!$M$" &amp; $A$1)*parameters!$B$15</f>
        <v>8103.62</v>
      </c>
      <c r="P5" s="13" cm="1">
        <f t="array" aca="1" ref="P5" ca="1">-INDIRECT("'data'!$N$" &amp; $A$1)*parameters!$B$15</f>
        <v>-5561.5</v>
      </c>
      <c r="Q5" s="16">
        <f ca="1">SUM(L5:P5)</f>
        <v>21646.576988880053</v>
      </c>
      <c r="R5" s="16">
        <f t="shared" ca="1" si="2"/>
        <v>21646.576988880053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30569.14</v>
      </c>
      <c r="I6" s="14"/>
      <c r="J6" s="14"/>
      <c r="K6" s="13"/>
      <c r="L6" s="16">
        <f t="shared" ca="1" si="0"/>
        <v>30569.14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30569.14</v>
      </c>
      <c r="R6" s="16">
        <f t="shared" ca="1" si="2"/>
        <v>30569.14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14346.22</v>
      </c>
      <c r="I7" s="14"/>
      <c r="J7" s="14"/>
      <c r="K7" s="13"/>
      <c r="L7" s="16">
        <f t="shared" ca="1" si="0"/>
        <v>14346.22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14346.22</v>
      </c>
      <c r="R7" s="16">
        <f t="shared" ca="1" si="2"/>
        <v>14346.22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17331.337960191071</v>
      </c>
      <c r="J8" s="14">
        <f ca="1">Q10/J18</f>
        <v>28488.562039808934</v>
      </c>
      <c r="K8" s="13"/>
      <c r="L8" s="16">
        <f t="shared" ca="1" si="0"/>
        <v>45819.900000000009</v>
      </c>
      <c r="M8" s="16"/>
      <c r="N8" s="16">
        <f t="shared" ca="1" si="3"/>
        <v>0</v>
      </c>
      <c r="O8" s="11" cm="1">
        <f t="array" aca="1" ref="O8" ca="1">INDIRECT("'data'!$R$" &amp; $A$1)*parameters!$B$15</f>
        <v>2006.06</v>
      </c>
      <c r="P8" s="13" cm="1">
        <f t="array" aca="1" ref="P8" ca="1">-INDIRECT("'data'!$S$" &amp; $A$1)*parameters!$B$15</f>
        <v>-2910.6</v>
      </c>
      <c r="Q8" s="16">
        <f ca="1">SUM(Q6:Q7)</f>
        <v>44915.360000000001</v>
      </c>
      <c r="R8" s="16">
        <f t="shared" ca="1" si="2"/>
        <v>44915.360000000008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14616.7</v>
      </c>
      <c r="L9" s="16">
        <f t="shared" ca="1" si="0"/>
        <v>14616.7</v>
      </c>
      <c r="M9" s="16"/>
      <c r="N9" s="16">
        <f t="shared" ca="1" si="3"/>
        <v>0</v>
      </c>
      <c r="O9" s="11" cm="1">
        <f t="array" aca="1" ref="O9" ca="1">INDIRECT("'data'!$U$" &amp; $A$1)*parameters!$B$15</f>
        <v>7713.58</v>
      </c>
      <c r="P9" s="13" cm="1">
        <f t="array" aca="1" ref="P9" ca="1">-INDIRECT("'data'!$V$" &amp; $A$1)*parameters!$B$15</f>
        <v>-7218.68</v>
      </c>
      <c r="Q9" s="16" cm="1">
        <f t="array" aca="1" ref="Q9" ca="1">INDIRECT("'data'!$T$" &amp; $A$1)*parameters!$B$15</f>
        <v>15111.6</v>
      </c>
      <c r="R9" s="16">
        <f t="shared" ca="1" si="2"/>
        <v>15111.599999999999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24377.285320056901</v>
      </c>
      <c r="L10" s="16">
        <f t="shared" ca="1" si="0"/>
        <v>24377.285320056901</v>
      </c>
      <c r="M10" s="16"/>
      <c r="N10" s="16">
        <f t="shared" ca="1" si="3"/>
        <v>0</v>
      </c>
      <c r="O10" s="11" cm="1">
        <f t="array" aca="1" ref="O10" ca="1">INDIRECT("'data'!$X$" &amp; $A$1)*parameters!$B$15</f>
        <v>14419.72</v>
      </c>
      <c r="P10" s="13" cm="1">
        <f t="array" aca="1" ref="P10" ca="1">-INDIRECT("'data'!$Y$" &amp; $A$1)*parameters!$B$15</f>
        <v>-13957.16</v>
      </c>
      <c r="Q10" s="16" cm="1">
        <f t="array" aca="1" ref="Q10" ca="1">INDIRECT("'data'!$W$" &amp; $A$1)*parameters!$B$15</f>
        <v>24839.845320056898</v>
      </c>
      <c r="R10" s="16">
        <f t="shared" ca="1" si="2"/>
        <v>24839.845320056902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25510.783375248935</v>
      </c>
      <c r="N11" s="19"/>
      <c r="O11" s="21" cm="1">
        <f t="array" aca="1" ref="O11" ca="1">INDIRECT("'data'!$Z$" &amp; $A$1)*parameters!$B$15</f>
        <v>29644.02</v>
      </c>
      <c r="P11" s="27" cm="1">
        <f t="array" aca="1" ref="P11" ca="1">-INDIRECT("'data'!$AA$" &amp; $A$1)*parameters!$B$15</f>
        <v>-20450.64</v>
      </c>
      <c r="Q11" s="16">
        <f ca="1">K9*parameters!$B$10+K10*parameters!$B$11</f>
        <v>34704.163375248936</v>
      </c>
      <c r="R11" s="16">
        <f t="shared" ref="R11:R17" ca="1" si="4">SUM(L11:P11)</f>
        <v>34704.163375248936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-174.41112861024521</v>
      </c>
      <c r="D12" s="9">
        <f ca="1">-(D17-Q4)</f>
        <v>-3.0330280768843636</v>
      </c>
      <c r="E12" s="9">
        <f ca="1">-(E17-Q5)</f>
        <v>-2675.4196278391064</v>
      </c>
      <c r="F12" s="9">
        <f ca="1">-(F17-Q6)</f>
        <v>-2020.5614925373156</v>
      </c>
      <c r="G12" s="9">
        <f ca="1">-(G17-Q7)</f>
        <v>-644.60549634273775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-5518.0307734062899</v>
      </c>
      <c r="M12" s="17"/>
      <c r="N12" s="17"/>
      <c r="O12" s="10"/>
      <c r="P12" s="12"/>
      <c r="Q12" s="9">
        <f t="shared" ref="Q12:Q17" ca="1" si="6">SUM(L12:P12)</f>
        <v>-5518.0307734062899</v>
      </c>
      <c r="R12" s="17">
        <f t="shared" ca="1" si="4"/>
        <v>-5518.0307734062899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-2219.7379601910707</v>
      </c>
      <c r="J13" s="14">
        <f ca="1">-(J17-Q10)</f>
        <v>-3648.7167197520357</v>
      </c>
      <c r="K13" s="13">
        <f ca="1">-(K17-Q11)</f>
        <v>-4289.821944807969</v>
      </c>
      <c r="L13" s="14">
        <f t="shared" ca="1" si="5"/>
        <v>-10158.276624751075</v>
      </c>
      <c r="M13" s="16">
        <f ca="1">-E15</f>
        <v>-14163.719991968084</v>
      </c>
      <c r="N13" s="16"/>
      <c r="O13" s="11"/>
      <c r="P13" s="13"/>
      <c r="Q13" s="14">
        <f t="shared" ca="1" si="6"/>
        <v>-24321.99661671916</v>
      </c>
      <c r="R13" s="16">
        <f t="shared" ca="1" si="4"/>
        <v>-24321.99661671916</v>
      </c>
    </row>
    <row r="14" spans="1:20">
      <c r="A14" s="18" t="s">
        <v>78</v>
      </c>
      <c r="B14" s="11"/>
      <c r="C14" s="14"/>
      <c r="D14" s="14"/>
      <c r="E14" s="14">
        <f ca="1">-(I13+J13)-K13</f>
        <v>10158.276624751075</v>
      </c>
      <c r="F14" s="14"/>
      <c r="G14" s="14"/>
      <c r="H14" s="14"/>
      <c r="I14" s="14"/>
      <c r="J14" s="14"/>
      <c r="K14" s="13"/>
      <c r="L14" s="14">
        <f t="shared" ca="1" si="5"/>
        <v>10158.276624751075</v>
      </c>
      <c r="M14" s="16"/>
      <c r="N14" s="16"/>
      <c r="O14" s="11"/>
      <c r="P14" s="13"/>
      <c r="Q14" s="14">
        <f t="shared" ca="1" si="6"/>
        <v>10158.276624751075</v>
      </c>
      <c r="R14" s="16">
        <f t="shared" ca="1" si="4"/>
        <v>10158.276624751075</v>
      </c>
    </row>
    <row r="15" spans="1:20">
      <c r="A15" s="18" t="s">
        <v>79</v>
      </c>
      <c r="B15" s="11"/>
      <c r="C15" s="14"/>
      <c r="D15" s="14"/>
      <c r="E15" s="14">
        <f ca="1">E17-E14</f>
        <v>14163.719991968084</v>
      </c>
      <c r="F15" s="14"/>
      <c r="G15" s="14"/>
      <c r="H15" s="14"/>
      <c r="I15" s="14"/>
      <c r="J15" s="14"/>
      <c r="K15" s="13"/>
      <c r="L15" s="14">
        <f t="shared" ca="1" si="5"/>
        <v>14163.719991968084</v>
      </c>
      <c r="M15" s="16"/>
      <c r="N15" s="16"/>
      <c r="O15" s="11"/>
      <c r="P15" s="13"/>
      <c r="Q15" s="14">
        <f t="shared" ca="1" si="6"/>
        <v>14163.719991968084</v>
      </c>
      <c r="R15" s="16">
        <f t="shared" ca="1" si="4"/>
        <v>14163.719991968084</v>
      </c>
    </row>
    <row r="16" spans="1:20">
      <c r="A16" s="30" t="s">
        <v>89</v>
      </c>
      <c r="B16" s="21">
        <f ca="1">Q2</f>
        <v>47.8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47.8</v>
      </c>
      <c r="M16" s="19"/>
      <c r="N16" s="19"/>
      <c r="O16" s="21"/>
      <c r="P16" s="27"/>
      <c r="Q16" s="22">
        <f t="shared" ca="1" si="6"/>
        <v>47.8</v>
      </c>
      <c r="R16" s="19">
        <f t="shared" ca="1" si="4"/>
        <v>47.8</v>
      </c>
    </row>
    <row r="17" spans="1:18">
      <c r="A17" s="29" t="s">
        <v>88</v>
      </c>
      <c r="B17" s="9">
        <f ca="1">B16</f>
        <v>47.8</v>
      </c>
      <c r="C17" s="9">
        <f ca="1">SUM(C$2:C$11)</f>
        <v>27684.306128610242</v>
      </c>
      <c r="D17" s="9">
        <f ca="1">SUM(D$2:D$11)</f>
        <v>481.4330280768844</v>
      </c>
      <c r="E17" s="9">
        <f ca="1">$Q$5/parameters!$B$4</f>
        <v>24321.99661671916</v>
      </c>
      <c r="F17" s="9">
        <f t="shared" ref="F17:K17" ca="1" si="7">SUM(F$2:F$11)</f>
        <v>32589.701492537315</v>
      </c>
      <c r="G17" s="9">
        <f t="shared" ca="1" si="7"/>
        <v>14990.825496342737</v>
      </c>
      <c r="H17" s="9">
        <f t="shared" ca="1" si="7"/>
        <v>44915.360000000001</v>
      </c>
      <c r="I17" s="9">
        <f t="shared" ca="1" si="7"/>
        <v>17331.337960191071</v>
      </c>
      <c r="J17" s="9">
        <f t="shared" ca="1" si="7"/>
        <v>28488.562039808934</v>
      </c>
      <c r="K17" s="9">
        <f t="shared" ca="1" si="7"/>
        <v>38993.985320056905</v>
      </c>
      <c r="L17" s="17">
        <f t="shared" ca="1" si="5"/>
        <v>229845.30808234322</v>
      </c>
      <c r="M17" s="17"/>
      <c r="N17" s="17"/>
      <c r="O17" s="9"/>
      <c r="P17" s="14"/>
      <c r="Q17" s="11">
        <f t="shared" ca="1" si="6"/>
        <v>229845.30808234322</v>
      </c>
      <c r="R17" s="17">
        <f t="shared" ca="1" si="4"/>
        <v>229845.30808234322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0.87192345072898225</v>
      </c>
      <c r="J18" s="39">
        <f ca="1">I18</f>
        <v>0.87192345072898225</v>
      </c>
      <c r="K18" s="40">
        <f ca="1">1-(-K13)/K17</f>
        <v>0.88998759912335867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6375.4453054241721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6375.4453054241721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-3875.4453054241721</v>
      </c>
      <c r="Q2" s="17" cm="1">
        <f t="array" aca="1" ref="Q2" ca="1">INDIRECT("'data'!$D$" &amp; $A$1)</f>
        <v>2500</v>
      </c>
      <c r="R2" s="17">
        <f ca="1">SUM(L2:P2)</f>
        <v>2500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5879.1641791044776</v>
      </c>
      <c r="G3" s="14">
        <f ca="1">Q3-O3-P3-F3</f>
        <v>1205.5008208955223</v>
      </c>
      <c r="H3" s="14"/>
      <c r="I3" s="14"/>
      <c r="J3" s="14"/>
      <c r="K3" s="13"/>
      <c r="L3" s="16">
        <f t="shared" ca="1" si="0"/>
        <v>7084.665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9.4499999999999993</v>
      </c>
      <c r="P3" s="13" cm="1">
        <f t="array" aca="1" ref="P3" ca="1">-INDIRECT("'data'!$I$" &amp; $A$1)*parameters!$B$13</f>
        <v>-758.83499999999992</v>
      </c>
      <c r="Q3" s="16" cm="1">
        <f t="array" aca="1" ref="Q3" ca="1">INDIRECT("'data'!$G$" &amp; $A$1)*parameters!$B$13</f>
        <v>6335.28</v>
      </c>
      <c r="R3" s="16">
        <f t="shared" ref="R3:R10" ca="1" si="2">SUM(L3:P3)</f>
        <v>6335.28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80.960000000000008</v>
      </c>
      <c r="H4" s="14"/>
      <c r="I4" s="14"/>
      <c r="J4" s="14"/>
      <c r="K4" s="13"/>
      <c r="L4" s="16">
        <f t="shared" ca="1" si="0"/>
        <v>80.960000000000008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-80.960000000000008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1469.7910447761196</v>
      </c>
      <c r="G5" s="14">
        <f ca="1">Q7/parameters!$B$7-(G3+G4)</f>
        <v>18959.704278373025</v>
      </c>
      <c r="H5" s="14"/>
      <c r="I5" s="14"/>
      <c r="J5" s="14"/>
      <c r="K5" s="13"/>
      <c r="L5" s="16">
        <f t="shared" ca="1" si="0"/>
        <v>20429.495323149145</v>
      </c>
      <c r="M5" s="16"/>
      <c r="N5" s="16"/>
      <c r="O5" s="11" cm="1">
        <f t="array" aca="1" ref="O5" ca="1">INDIRECT("'data'!$M$" &amp; $A$1)*parameters!$B$15</f>
        <v>76.44</v>
      </c>
      <c r="P5" s="13" cm="1">
        <f t="array" aca="1" ref="P5" ca="1">-INDIRECT("'data'!$N$" &amp; $A$1)*parameters!$B$15</f>
        <v>-17066.7</v>
      </c>
      <c r="Q5" s="16">
        <f ca="1">SUM(L5:P5)</f>
        <v>3439.2353231491434</v>
      </c>
      <c r="R5" s="16">
        <f t="shared" ca="1" si="2"/>
        <v>3439.2353231491434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6893.32</v>
      </c>
      <c r="I6" s="14"/>
      <c r="J6" s="14"/>
      <c r="K6" s="13"/>
      <c r="L6" s="16">
        <f t="shared" ca="1" si="0"/>
        <v>6893.32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6893.32</v>
      </c>
      <c r="R6" s="16">
        <f t="shared" ca="1" si="2"/>
        <v>6893.32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19375.579999999998</v>
      </c>
      <c r="I7" s="14"/>
      <c r="J7" s="14"/>
      <c r="K7" s="13"/>
      <c r="L7" s="16">
        <f t="shared" ca="1" si="0"/>
        <v>19375.579999999998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19375.579999999998</v>
      </c>
      <c r="R7" s="16">
        <f t="shared" ca="1" si="2"/>
        <v>19375.579999999998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15639.011463411303</v>
      </c>
      <c r="J8" s="14">
        <f ca="1">Q10/J18</f>
        <v>11950.928536588695</v>
      </c>
      <c r="K8" s="13"/>
      <c r="L8" s="16">
        <f t="shared" ca="1" si="0"/>
        <v>27589.94</v>
      </c>
      <c r="M8" s="16"/>
      <c r="N8" s="16">
        <f t="shared" ca="1" si="3"/>
        <v>0</v>
      </c>
      <c r="O8" s="11" cm="1">
        <f t="array" aca="1" ref="O8" ca="1">INDIRECT("'data'!$R$" &amp; $A$1)*parameters!$B$15</f>
        <v>2450.98</v>
      </c>
      <c r="P8" s="13" cm="1">
        <f t="array" aca="1" ref="P8" ca="1">-INDIRECT("'data'!$S$" &amp; $A$1)*parameters!$B$15</f>
        <v>-3772.02</v>
      </c>
      <c r="Q8" s="16">
        <f ca="1">SUM(Q6:Q7)</f>
        <v>26268.899999999998</v>
      </c>
      <c r="R8" s="16">
        <f t="shared" ca="1" si="2"/>
        <v>26268.899999999998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2888.0599999999995</v>
      </c>
      <c r="L9" s="16">
        <f t="shared" ca="1" si="0"/>
        <v>2888.0599999999995</v>
      </c>
      <c r="M9" s="16"/>
      <c r="N9" s="16">
        <f t="shared" ca="1" si="3"/>
        <v>0</v>
      </c>
      <c r="O9" s="11" cm="1">
        <f t="array" aca="1" ref="O9" ca="1">INDIRECT("'data'!$U$" &amp; $A$1)*parameters!$B$15</f>
        <v>12678.26</v>
      </c>
      <c r="P9" s="13" cm="1">
        <f t="array" aca="1" ref="P9" ca="1">-INDIRECT("'data'!$V$" &amp; $A$1)*parameters!$B$15</f>
        <v>-964.31999999999994</v>
      </c>
      <c r="Q9" s="16" cm="1">
        <f t="array" aca="1" ref="Q9" ca="1">INDIRECT("'data'!$T$" &amp; $A$1)*parameters!$B$15</f>
        <v>14602</v>
      </c>
      <c r="R9" s="16">
        <f t="shared" ca="1" si="2"/>
        <v>14602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17664.691166770484</v>
      </c>
      <c r="L10" s="16">
        <f t="shared" ca="1" si="0"/>
        <v>17664.691166770484</v>
      </c>
      <c r="M10" s="16"/>
      <c r="N10" s="16">
        <f t="shared" ca="1" si="3"/>
        <v>0</v>
      </c>
      <c r="O10" s="11" cm="1">
        <f t="array" aca="1" ref="O10" ca="1">INDIRECT("'data'!$X$" &amp; $A$1)*parameters!$B$15</f>
        <v>1340.6399999999999</v>
      </c>
      <c r="P10" s="13" cm="1">
        <f t="array" aca="1" ref="P10" ca="1">-INDIRECT("'data'!$Y$" &amp; $A$1)*parameters!$B$15</f>
        <v>-7846.86</v>
      </c>
      <c r="Q10" s="16" cm="1">
        <f t="array" aca="1" ref="Q10" ca="1">INDIRECT("'data'!$W$" &amp; $A$1)*parameters!$B$15</f>
        <v>11158.471166770485</v>
      </c>
      <c r="R10" s="16">
        <f t="shared" ca="1" si="2"/>
        <v>11158.471166770483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15219.250803422616</v>
      </c>
      <c r="N11" s="19"/>
      <c r="O11" s="21" cm="1">
        <f t="array" aca="1" ref="O11" ca="1">INDIRECT("'data'!$Z$" &amp; $A$1)*parameters!$B$15</f>
        <v>5671.26</v>
      </c>
      <c r="P11" s="27" cm="1">
        <f t="array" aca="1" ref="P11" ca="1">-INDIRECT("'data'!$AA$" &amp; $A$1)*parameters!$B$15</f>
        <v>-2984.1</v>
      </c>
      <c r="Q11" s="16">
        <f ca="1">K9*parameters!$B$10+K10*parameters!$B$11</f>
        <v>17906.410803422616</v>
      </c>
      <c r="R11" s="16">
        <f t="shared" ref="R11:R17" ca="1" si="4">SUM(L11:P11)</f>
        <v>17906.410803422616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-40.165305424172402</v>
      </c>
      <c r="D12" s="9">
        <f ca="1">-(D17-Q4)</f>
        <v>0</v>
      </c>
      <c r="E12" s="9">
        <f ca="1">-(E17-Q5)</f>
        <v>-425.07402870382657</v>
      </c>
      <c r="F12" s="9">
        <f ca="1">-(F17-Q6)</f>
        <v>-455.63522388059755</v>
      </c>
      <c r="G12" s="9">
        <f ca="1">-(G17-Q7)</f>
        <v>-870.58509926854822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-1791.4596572771447</v>
      </c>
      <c r="M12" s="17"/>
      <c r="N12" s="17"/>
      <c r="O12" s="10"/>
      <c r="P12" s="12"/>
      <c r="Q12" s="9">
        <f t="shared" ref="Q12:Q17" ca="1" si="6">SUM(L12:P12)</f>
        <v>-1791.4596572771447</v>
      </c>
      <c r="R12" s="17">
        <f t="shared" ca="1" si="4"/>
        <v>-1791.4596572771447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-1037.0114634113033</v>
      </c>
      <c r="J13" s="14">
        <f ca="1">-(J17-Q10)</f>
        <v>-792.45736981821028</v>
      </c>
      <c r="K13" s="13">
        <f ca="1">-(K17-Q11)</f>
        <v>-2646.3403633478665</v>
      </c>
      <c r="L13" s="14">
        <f t="shared" ca="1" si="5"/>
        <v>-4475.8091965773801</v>
      </c>
      <c r="M13" s="16">
        <f ca="1">-E15</f>
        <v>611.4998447244102</v>
      </c>
      <c r="N13" s="16"/>
      <c r="O13" s="11"/>
      <c r="P13" s="13"/>
      <c r="Q13" s="14">
        <f t="shared" ca="1" si="6"/>
        <v>-3864.3093518529699</v>
      </c>
      <c r="R13" s="16">
        <f t="shared" ca="1" si="4"/>
        <v>-3864.3093518529699</v>
      </c>
    </row>
    <row r="14" spans="1:20">
      <c r="A14" s="18" t="s">
        <v>78</v>
      </c>
      <c r="B14" s="11"/>
      <c r="C14" s="14"/>
      <c r="D14" s="14"/>
      <c r="E14" s="14">
        <f ca="1">-(I13+J13)-K13</f>
        <v>4475.8091965773801</v>
      </c>
      <c r="F14" s="14"/>
      <c r="G14" s="14"/>
      <c r="H14" s="14"/>
      <c r="I14" s="14"/>
      <c r="J14" s="14"/>
      <c r="K14" s="13"/>
      <c r="L14" s="14">
        <f t="shared" ca="1" si="5"/>
        <v>4475.8091965773801</v>
      </c>
      <c r="M14" s="16"/>
      <c r="N14" s="16"/>
      <c r="O14" s="11"/>
      <c r="P14" s="13"/>
      <c r="Q14" s="14">
        <f t="shared" ca="1" si="6"/>
        <v>4475.8091965773801</v>
      </c>
      <c r="R14" s="16">
        <f t="shared" ca="1" si="4"/>
        <v>4475.8091965773801</v>
      </c>
    </row>
    <row r="15" spans="1:20">
      <c r="A15" s="18" t="s">
        <v>79</v>
      </c>
      <c r="B15" s="11"/>
      <c r="C15" s="14"/>
      <c r="D15" s="14"/>
      <c r="E15" s="14">
        <f ca="1">E17-E14</f>
        <v>-611.4998447244102</v>
      </c>
      <c r="F15" s="14"/>
      <c r="G15" s="14"/>
      <c r="H15" s="14"/>
      <c r="I15" s="14"/>
      <c r="J15" s="14"/>
      <c r="K15" s="13"/>
      <c r="L15" s="14">
        <f t="shared" ca="1" si="5"/>
        <v>-611.4998447244102</v>
      </c>
      <c r="M15" s="16"/>
      <c r="N15" s="16"/>
      <c r="O15" s="11"/>
      <c r="P15" s="13"/>
      <c r="Q15" s="14">
        <f t="shared" ca="1" si="6"/>
        <v>-611.4998447244102</v>
      </c>
      <c r="R15" s="16">
        <f t="shared" ca="1" si="4"/>
        <v>-611.4998447244102</v>
      </c>
    </row>
    <row r="16" spans="1:20">
      <c r="A16" s="30" t="s">
        <v>89</v>
      </c>
      <c r="B16" s="21">
        <f ca="1">Q2</f>
        <v>2500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2500</v>
      </c>
      <c r="M16" s="19"/>
      <c r="N16" s="19"/>
      <c r="O16" s="21"/>
      <c r="P16" s="27"/>
      <c r="Q16" s="22">
        <f t="shared" ca="1" si="6"/>
        <v>2500</v>
      </c>
      <c r="R16" s="19">
        <f t="shared" ca="1" si="4"/>
        <v>2500</v>
      </c>
    </row>
    <row r="17" spans="1:18">
      <c r="A17" s="29" t="s">
        <v>88</v>
      </c>
      <c r="B17" s="9">
        <f ca="1">B16</f>
        <v>2500</v>
      </c>
      <c r="C17" s="9">
        <f ca="1">SUM(C$2:C$11)</f>
        <v>6375.4453054241721</v>
      </c>
      <c r="D17" s="9">
        <f ca="1">SUM(D$2:D$11)</f>
        <v>0</v>
      </c>
      <c r="E17" s="9">
        <f ca="1">$Q$5/parameters!$B$4</f>
        <v>3864.3093518529699</v>
      </c>
      <c r="F17" s="9">
        <f t="shared" ref="F17:K17" ca="1" si="7">SUM(F$2:F$11)</f>
        <v>7348.9552238805973</v>
      </c>
      <c r="G17" s="9">
        <f t="shared" ca="1" si="7"/>
        <v>20246.165099268546</v>
      </c>
      <c r="H17" s="9">
        <f t="shared" ca="1" si="7"/>
        <v>26268.899999999998</v>
      </c>
      <c r="I17" s="9">
        <f t="shared" ca="1" si="7"/>
        <v>15639.011463411303</v>
      </c>
      <c r="J17" s="9">
        <f t="shared" ca="1" si="7"/>
        <v>11950.928536588695</v>
      </c>
      <c r="K17" s="9">
        <f t="shared" ca="1" si="7"/>
        <v>20552.751166770482</v>
      </c>
      <c r="L17" s="17">
        <f t="shared" ca="1" si="5"/>
        <v>114746.46614719676</v>
      </c>
      <c r="M17" s="17"/>
      <c r="N17" s="17"/>
      <c r="O17" s="9"/>
      <c r="P17" s="14"/>
      <c r="Q17" s="11">
        <f t="shared" ca="1" si="6"/>
        <v>114746.46614719676</v>
      </c>
      <c r="R17" s="17">
        <f t="shared" ca="1" si="4"/>
        <v>114746.46614719676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0.9336907280976503</v>
      </c>
      <c r="J18" s="39">
        <f ca="1">I18</f>
        <v>0.9336907280976503</v>
      </c>
      <c r="K18" s="40">
        <f ca="1">1-(-K13)/K17</f>
        <v>0.87124155097900235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33213.369226124581</v>
      </c>
      <c r="D2" s="9">
        <f ca="1">Q4/parameters!$B$3</f>
        <v>279.60148938311363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33492.970715507698</v>
      </c>
      <c r="M2" s="17"/>
      <c r="N2" s="17">
        <f ca="1">Q2-(L2+O2+P2)</f>
        <v>16613.079284492298</v>
      </c>
      <c r="O2" s="11" cm="1">
        <f t="array" aca="1" ref="O2" ca="1">INDIRECT("'data'!$F$" &amp; $A$1)</f>
        <v>183093.95</v>
      </c>
      <c r="P2" s="13">
        <f ca="1">IF(-(L2-Q2+O2)&lt;0, -(L2-Q2+O2), 0)</f>
        <v>0</v>
      </c>
      <c r="Q2" s="17" cm="1">
        <f t="array" aca="1" ref="Q2" ca="1">INDIRECT("'data'!$D$" &amp; $A$1)</f>
        <v>233200</v>
      </c>
      <c r="R2" s="17">
        <f ca="1">SUM(L2:P2)</f>
        <v>233200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21088.597014925377</v>
      </c>
      <c r="G3" s="14">
        <f ca="1">Q3-O3-P3-F3</f>
        <v>5962.0279850746228</v>
      </c>
      <c r="H3" s="14"/>
      <c r="I3" s="14"/>
      <c r="J3" s="14"/>
      <c r="K3" s="13"/>
      <c r="L3" s="16">
        <f t="shared" ca="1" si="0"/>
        <v>27050.625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5953.5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33004.125</v>
      </c>
      <c r="R3" s="16">
        <f t="shared" ref="R3:R10" ca="1" si="2">SUM(L3:P3)</f>
        <v>33004.125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277.84000000000003</v>
      </c>
      <c r="H4" s="14"/>
      <c r="I4" s="14"/>
      <c r="J4" s="14"/>
      <c r="K4" s="13"/>
      <c r="L4" s="16">
        <f t="shared" ca="1" si="0"/>
        <v>277.84000000000003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277.84000000000003</v>
      </c>
      <c r="R4" s="16">
        <f t="shared" ca="1" si="2"/>
        <v>277.84000000000003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5272.1492537313443</v>
      </c>
      <c r="G5" s="14">
        <f ca="1">Q7/parameters!$B$7-(G3+G4)</f>
        <v>1883.7892772033292</v>
      </c>
      <c r="H5" s="14"/>
      <c r="I5" s="14"/>
      <c r="J5" s="14"/>
      <c r="K5" s="13"/>
      <c r="L5" s="16">
        <f t="shared" ca="1" si="0"/>
        <v>7155.9385309346735</v>
      </c>
      <c r="M5" s="16"/>
      <c r="N5" s="16"/>
      <c r="O5" s="11" cm="1">
        <f t="array" aca="1" ref="O5" ca="1">INDIRECT("'data'!$M$" &amp; $A$1)*parameters!$B$15</f>
        <v>116.62</v>
      </c>
      <c r="P5" s="13" cm="1">
        <f t="array" aca="1" ref="P5" ca="1">-INDIRECT("'data'!$N$" &amp; $A$1)*parameters!$B$15</f>
        <v>-43.12</v>
      </c>
      <c r="Q5" s="16">
        <f ca="1">SUM(L5:P5)</f>
        <v>7229.4385309346735</v>
      </c>
      <c r="R5" s="16">
        <f t="shared" ca="1" si="2"/>
        <v>7229.4385309346735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24726.38</v>
      </c>
      <c r="I6" s="14"/>
      <c r="J6" s="14"/>
      <c r="K6" s="13"/>
      <c r="L6" s="16">
        <f t="shared" ca="1" si="0"/>
        <v>24726.38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24726.38</v>
      </c>
      <c r="R6" s="16">
        <f t="shared" ca="1" si="2"/>
        <v>24726.38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7774.34</v>
      </c>
      <c r="I7" s="14"/>
      <c r="J7" s="14"/>
      <c r="K7" s="13"/>
      <c r="L7" s="16">
        <f t="shared" ca="1" si="0"/>
        <v>7774.34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7774.34</v>
      </c>
      <c r="R7" s="16">
        <f t="shared" ca="1" si="2"/>
        <v>7774.34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11878.274029407885</v>
      </c>
      <c r="J8" s="14">
        <f ca="1">Q10/J18</f>
        <v>15129.545970592111</v>
      </c>
      <c r="K8" s="13"/>
      <c r="L8" s="16">
        <f t="shared" ca="1" si="0"/>
        <v>27007.819999999996</v>
      </c>
      <c r="M8" s="16"/>
      <c r="N8" s="16">
        <f t="shared" ca="1" si="3"/>
        <v>0</v>
      </c>
      <c r="O8" s="11" cm="1">
        <f t="array" aca="1" ref="O8" ca="1">INDIRECT("'data'!$R$" &amp; $A$1)*parameters!$B$15</f>
        <v>5551.7</v>
      </c>
      <c r="P8" s="13" cm="1">
        <f t="array" aca="1" ref="P8" ca="1">-INDIRECT("'data'!$S$" &amp; $A$1)*parameters!$B$15</f>
        <v>-58.8</v>
      </c>
      <c r="Q8" s="16">
        <f ca="1">SUM(Q6:Q7)</f>
        <v>32500.720000000001</v>
      </c>
      <c r="R8" s="16">
        <f t="shared" ca="1" si="2"/>
        <v>32500.719999999998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9817.6400000000012</v>
      </c>
      <c r="L9" s="16">
        <f t="shared" ca="1" si="0"/>
        <v>9817.6400000000012</v>
      </c>
      <c r="M9" s="16"/>
      <c r="N9" s="16">
        <f t="shared" ca="1" si="3"/>
        <v>0</v>
      </c>
      <c r="O9" s="11" cm="1">
        <f t="array" aca="1" ref="O9" ca="1">INDIRECT("'data'!$U$" &amp; $A$1)*parameters!$B$15</f>
        <v>1366.12</v>
      </c>
      <c r="P9" s="13" cm="1">
        <f t="array" aca="1" ref="P9" ca="1">-INDIRECT("'data'!$V$" &amp; $A$1)*parameters!$B$15</f>
        <v>-470.4</v>
      </c>
      <c r="Q9" s="16" cm="1">
        <f t="array" aca="1" ref="Q9" ca="1">INDIRECT("'data'!$T$" &amp; $A$1)*parameters!$B$15</f>
        <v>10713.36</v>
      </c>
      <c r="R9" s="16">
        <f t="shared" ca="1" si="2"/>
        <v>10713.360000000002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13462.516500711237</v>
      </c>
      <c r="L10" s="16">
        <f t="shared" ca="1" si="0"/>
        <v>13462.516500711237</v>
      </c>
      <c r="M10" s="16"/>
      <c r="N10" s="16">
        <f t="shared" ca="1" si="3"/>
        <v>0</v>
      </c>
      <c r="O10" s="11" cm="1">
        <f t="array" aca="1" ref="O10" ca="1">INDIRECT("'data'!$X$" &amp; $A$1)*parameters!$B$15</f>
        <v>1720.8799999999999</v>
      </c>
      <c r="P10" s="13" cm="1">
        <f t="array" aca="1" ref="P10" ca="1">-INDIRECT("'data'!$Y$" &amp; $A$1)*parameters!$B$15</f>
        <v>-1537.62</v>
      </c>
      <c r="Q10" s="16" cm="1">
        <f t="array" aca="1" ref="Q10" ca="1">INDIRECT("'data'!$W$" &amp; $A$1)*parameters!$B$15</f>
        <v>13645.776500711238</v>
      </c>
      <c r="R10" s="16">
        <f t="shared" ca="1" si="2"/>
        <v>13645.776500711236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20530.965790611666</v>
      </c>
      <c r="N11" s="19"/>
      <c r="O11" s="21" cm="1">
        <f t="array" aca="1" ref="O11" ca="1">INDIRECT("'data'!$Z$" &amp; $A$1)*parameters!$B$15</f>
        <v>3363.36</v>
      </c>
      <c r="P11" s="27" cm="1">
        <f t="array" aca="1" ref="P11" ca="1">-INDIRECT("'data'!$AA$" &amp; $A$1)*parameters!$B$15</f>
        <v>-3087.98</v>
      </c>
      <c r="Q11" s="16">
        <f ca="1">K9*parameters!$B$10+K10*parameters!$B$11</f>
        <v>20806.345790611667</v>
      </c>
      <c r="R11" s="16">
        <f t="shared" ref="R11:R17" ca="1" si="4">SUM(L11:P11)</f>
        <v>20806.345790611667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-209.24422612458147</v>
      </c>
      <c r="D12" s="9">
        <f ca="1">-(D17-Q4)</f>
        <v>-1.7614893831135987</v>
      </c>
      <c r="E12" s="9">
        <f ca="1">-(E17-Q5)</f>
        <v>-893.52611056495971</v>
      </c>
      <c r="F12" s="9">
        <f ca="1">-(F17-Q6)</f>
        <v>-1634.3662686567222</v>
      </c>
      <c r="G12" s="9">
        <f ca="1">-(G17-Q7)</f>
        <v>-349.31726227795207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-3088.2153570073292</v>
      </c>
      <c r="M12" s="17"/>
      <c r="N12" s="17"/>
      <c r="O12" s="10"/>
      <c r="P12" s="12"/>
      <c r="Q12" s="9">
        <f t="shared" ref="Q12:Q17" ca="1" si="6">SUM(L12:P12)</f>
        <v>-3088.2153570073292</v>
      </c>
      <c r="R12" s="17">
        <f t="shared" ca="1" si="4"/>
        <v>-3088.2153570073292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-1164.9140294078843</v>
      </c>
      <c r="J13" s="14">
        <f ca="1">-(J17-Q10)</f>
        <v>-1483.7694698808737</v>
      </c>
      <c r="K13" s="13">
        <f ca="1">-(K17-Q11)</f>
        <v>-2473.8107100995694</v>
      </c>
      <c r="L13" s="14">
        <f t="shared" ca="1" si="5"/>
        <v>-5122.4942093883274</v>
      </c>
      <c r="M13" s="16">
        <f ca="1">-E15</f>
        <v>-3000.4704321113059</v>
      </c>
      <c r="N13" s="16"/>
      <c r="O13" s="11"/>
      <c r="P13" s="13"/>
      <c r="Q13" s="14">
        <f t="shared" ca="1" si="6"/>
        <v>-8122.9646414996332</v>
      </c>
      <c r="R13" s="16">
        <f t="shared" ca="1" si="4"/>
        <v>-8122.9646414996332</v>
      </c>
    </row>
    <row r="14" spans="1:19">
      <c r="A14" s="18" t="s">
        <v>78</v>
      </c>
      <c r="B14" s="11"/>
      <c r="C14" s="14"/>
      <c r="D14" s="14"/>
      <c r="E14" s="14">
        <f ca="1">-(I13+J13)-K13</f>
        <v>5122.4942093883274</v>
      </c>
      <c r="F14" s="14"/>
      <c r="G14" s="14"/>
      <c r="H14" s="14"/>
      <c r="I14" s="14"/>
      <c r="J14" s="14"/>
      <c r="K14" s="13"/>
      <c r="L14" s="14">
        <f t="shared" ca="1" si="5"/>
        <v>5122.4942093883274</v>
      </c>
      <c r="M14" s="16"/>
      <c r="N14" s="16"/>
      <c r="O14" s="11"/>
      <c r="P14" s="13"/>
      <c r="Q14" s="14">
        <f t="shared" ca="1" si="6"/>
        <v>5122.4942093883274</v>
      </c>
      <c r="R14" s="16">
        <f t="shared" ca="1" si="4"/>
        <v>5122.4942093883274</v>
      </c>
    </row>
    <row r="15" spans="1:19">
      <c r="A15" s="18" t="s">
        <v>79</v>
      </c>
      <c r="B15" s="11"/>
      <c r="C15" s="14"/>
      <c r="D15" s="14"/>
      <c r="E15" s="14">
        <f ca="1">E17-E14</f>
        <v>3000.4704321113059</v>
      </c>
      <c r="F15" s="14"/>
      <c r="G15" s="14"/>
      <c r="H15" s="14"/>
      <c r="I15" s="14"/>
      <c r="J15" s="14"/>
      <c r="K15" s="13"/>
      <c r="L15" s="14">
        <f t="shared" ca="1" si="5"/>
        <v>3000.4704321113059</v>
      </c>
      <c r="M15" s="16"/>
      <c r="N15" s="16"/>
      <c r="O15" s="11"/>
      <c r="P15" s="13"/>
      <c r="Q15" s="14">
        <f t="shared" ca="1" si="6"/>
        <v>3000.4704321113059</v>
      </c>
      <c r="R15" s="16">
        <f t="shared" ca="1" si="4"/>
        <v>3000.4704321113059</v>
      </c>
    </row>
    <row r="16" spans="1:19">
      <c r="A16" s="30" t="s">
        <v>89</v>
      </c>
      <c r="B16" s="21">
        <f ca="1">Q2</f>
        <v>233200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233200</v>
      </c>
      <c r="M16" s="19"/>
      <c r="N16" s="19"/>
      <c r="O16" s="21"/>
      <c r="P16" s="27"/>
      <c r="Q16" s="22">
        <f t="shared" ca="1" si="6"/>
        <v>233200</v>
      </c>
      <c r="R16" s="19">
        <f t="shared" ca="1" si="4"/>
        <v>233200</v>
      </c>
    </row>
    <row r="17" spans="1:18">
      <c r="A17" s="29" t="s">
        <v>88</v>
      </c>
      <c r="B17" s="9">
        <f ca="1">B16</f>
        <v>233200</v>
      </c>
      <c r="C17" s="9">
        <f ca="1">SUM(C$2:C$11)</f>
        <v>33213.369226124581</v>
      </c>
      <c r="D17" s="9">
        <f ca="1">SUM(D$2:D$11)</f>
        <v>279.60148938311363</v>
      </c>
      <c r="E17" s="9">
        <f ca="1">$Q$5/parameters!$B$4</f>
        <v>8122.9646414996332</v>
      </c>
      <c r="F17" s="9">
        <f t="shared" ref="F17:K17" ca="1" si="7">SUM(F$2:F$11)</f>
        <v>26360.746268656723</v>
      </c>
      <c r="G17" s="9">
        <f t="shared" ca="1" si="7"/>
        <v>8123.6572622779522</v>
      </c>
      <c r="H17" s="9">
        <f t="shared" ca="1" si="7"/>
        <v>32500.720000000001</v>
      </c>
      <c r="I17" s="9">
        <f t="shared" ca="1" si="7"/>
        <v>11878.274029407885</v>
      </c>
      <c r="J17" s="9">
        <f t="shared" ca="1" si="7"/>
        <v>15129.545970592111</v>
      </c>
      <c r="K17" s="9">
        <f t="shared" ca="1" si="7"/>
        <v>23280.156500711237</v>
      </c>
      <c r="L17" s="17">
        <f t="shared" ca="1" si="5"/>
        <v>392089.03538865322</v>
      </c>
      <c r="M17" s="17"/>
      <c r="N17" s="17"/>
      <c r="O17" s="9"/>
      <c r="P17" s="14"/>
      <c r="Q17" s="11">
        <f t="shared" ca="1" si="6"/>
        <v>392089.03538865322</v>
      </c>
      <c r="R17" s="17">
        <f t="shared" ca="1" si="4"/>
        <v>392089.03538865322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0.90192901540040038</v>
      </c>
      <c r="J18" s="39">
        <f ca="1">I18</f>
        <v>0.90192901540040038</v>
      </c>
      <c r="K18" s="40">
        <f ca="1">1-(-K13)/K17</f>
        <v>0.89373736770094347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1825.8497239536184</v>
      </c>
      <c r="D2" s="9">
        <f ca="1">Q4/parameters!$B$3</f>
        <v>6850.2364898862834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8676.0862138399025</v>
      </c>
      <c r="M2" s="17"/>
      <c r="N2" s="17">
        <f ca="1">Q2-(L2+O2+P2)</f>
        <v>1052.0703475856844</v>
      </c>
      <c r="O2" s="11" cm="1">
        <f t="array" aca="1" ref="O2" ca="1">INDIRECT("'data'!$F$" &amp; $A$1)</f>
        <v>3506.75</v>
      </c>
      <c r="P2" s="13">
        <f ca="1">IF(-(L2-Q2+O2)&lt;0, -(L2-Q2+O2), 0)</f>
        <v>0</v>
      </c>
      <c r="Q2" s="17" cm="1">
        <f t="array" aca="1" ref="Q2" ca="1">INDIRECT("'data'!$D$" &amp; $A$1)</f>
        <v>13234.906561425587</v>
      </c>
      <c r="R2" s="17">
        <f ca="1">SUM(L2:P2)</f>
        <v>13234.906561425587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1658.2686567164178</v>
      </c>
      <c r="G3" s="14">
        <f ca="1">Q3-O3-P3-F3</f>
        <v>156.07821397629277</v>
      </c>
      <c r="H3" s="14"/>
      <c r="I3" s="14"/>
      <c r="J3" s="14"/>
      <c r="K3" s="13"/>
      <c r="L3" s="16">
        <f t="shared" ca="1" si="0"/>
        <v>1814.3468706927106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1814.3468706927106</v>
      </c>
      <c r="R3" s="16">
        <f t="shared" ref="R3:R10" ca="1" si="2">SUM(L3:P3)</f>
        <v>1814.3468706927106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6808</v>
      </c>
      <c r="H4" s="14"/>
      <c r="I4" s="14"/>
      <c r="J4" s="14"/>
      <c r="K4" s="13"/>
      <c r="L4" s="16">
        <f t="shared" ca="1" si="0"/>
        <v>6808</v>
      </c>
      <c r="M4" s="16"/>
      <c r="N4" s="16">
        <f t="shared" ca="1" si="1"/>
        <v>0</v>
      </c>
      <c r="O4" s="11" cm="1">
        <f t="array" aca="1" ref="O4" ca="1">INDIRECT("'data'!$K$" &amp; $A$1)*parameters!$B$14</f>
        <v>126.04</v>
      </c>
      <c r="P4" s="13" cm="1">
        <f t="array" aca="1" ref="P4" ca="1">-INDIRECT("'data'!$L$" &amp; $A$1)*parameters!$B$14</f>
        <v>-126.96000000000001</v>
      </c>
      <c r="Q4" s="16" cm="1">
        <f t="array" aca="1" ref="Q4" ca="1">INDIRECT("'data'!$J$" &amp; $A$1)*parameters!$B$14</f>
        <v>6807.08</v>
      </c>
      <c r="R4" s="16">
        <f t="shared" ca="1" si="2"/>
        <v>6807.08</v>
      </c>
      <c r="S4" s="7"/>
    </row>
    <row r="5" spans="1:22">
      <c r="A5" s="18" t="s">
        <v>108</v>
      </c>
      <c r="B5" s="11"/>
      <c r="C5" s="14"/>
      <c r="D5" s="14"/>
      <c r="E5" s="14"/>
      <c r="F5" s="14">
        <f ca="1">Q6/parameters!$B$5*20%</f>
        <v>414.56716417910451</v>
      </c>
      <c r="G5" s="14">
        <f ca="1">Q7/parameters!$B$7-(G3+G4)</f>
        <v>1212.8287870686399</v>
      </c>
      <c r="H5" s="14"/>
      <c r="I5" s="14"/>
      <c r="J5" s="14"/>
      <c r="K5" s="13"/>
      <c r="L5" s="16">
        <f t="shared" ca="1" si="0"/>
        <v>1627.3959512477445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-83.3</v>
      </c>
      <c r="Q5" s="16">
        <f ca="1">SUM(L5:P5)</f>
        <v>1544.0959512477446</v>
      </c>
      <c r="R5" s="16">
        <f t="shared" ca="1" si="2"/>
        <v>1544.0959512477446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1944.32</v>
      </c>
      <c r="I6" s="14"/>
      <c r="J6" s="14"/>
      <c r="K6" s="13"/>
      <c r="L6" s="16">
        <f t="shared" ca="1" si="0"/>
        <v>1944.32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1944.32</v>
      </c>
      <c r="R6" s="16">
        <f t="shared" ca="1" si="2"/>
        <v>1944.32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7825.3</v>
      </c>
      <c r="I7" s="14"/>
      <c r="J7" s="14"/>
      <c r="K7" s="13"/>
      <c r="L7" s="16">
        <f t="shared" ca="1" si="0"/>
        <v>7825.3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7825.3</v>
      </c>
      <c r="R7" s="16">
        <f t="shared" ca="1" si="2"/>
        <v>7825.3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4994</v>
      </c>
      <c r="J8" s="14">
        <f ca="1">Q10/J18</f>
        <v>3706.4651493598863</v>
      </c>
      <c r="K8" s="13"/>
      <c r="L8" s="16">
        <f t="shared" ca="1" si="0"/>
        <v>8700.4651493598867</v>
      </c>
      <c r="M8" s="16"/>
      <c r="N8" s="16">
        <f t="shared" ca="1" si="3"/>
        <v>3883.7148506401136</v>
      </c>
      <c r="O8" s="11" cm="1">
        <f t="array" aca="1" ref="O8" ca="1">INDIRECT("'data'!$R$" &amp; $A$1)*parameters!$B$15</f>
        <v>49</v>
      </c>
      <c r="P8" s="13" cm="1">
        <f t="array" aca="1" ref="P8" ca="1">-INDIRECT("'data'!$S$" &amp; $A$1)*parameters!$B$15</f>
        <v>-2863.56</v>
      </c>
      <c r="Q8" s="16">
        <f ca="1">SUM(Q6:Q7)</f>
        <v>9769.6200000000008</v>
      </c>
      <c r="R8" s="16">
        <f t="shared" ca="1" si="2"/>
        <v>9769.6200000000008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6584.62</v>
      </c>
      <c r="L9" s="16">
        <f t="shared" ca="1" si="0"/>
        <v>6584.62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-1690.5</v>
      </c>
      <c r="Q9" s="16" cm="1">
        <f t="array" aca="1" ref="Q9" ca="1">INDIRECT("'data'!$T$" &amp; $A$1)*parameters!$B$15</f>
        <v>4894.12</v>
      </c>
      <c r="R9" s="16">
        <f t="shared" ca="1" si="2"/>
        <v>4894.12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5972.5758463726888</v>
      </c>
      <c r="L10" s="16">
        <f t="shared" ca="1" si="0"/>
        <v>5972.5758463726888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-2340.2399999999998</v>
      </c>
      <c r="Q10" s="16" cm="1">
        <f t="array" aca="1" ref="Q10" ca="1">INDIRECT("'data'!$W$" &amp; $A$1)*parameters!$B$15</f>
        <v>3632.3358463726886</v>
      </c>
      <c r="R10" s="16">
        <f t="shared" ca="1" si="2"/>
        <v>3632.335846372689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13330.058027880512</v>
      </c>
      <c r="N11" s="19"/>
      <c r="O11" s="21" cm="1">
        <f t="array" aca="1" ref="O11" ca="1">INDIRECT("'data'!$Z$" &amp; $A$1)*parameters!$B$15</f>
        <v>114.66</v>
      </c>
      <c r="P11" s="27" cm="1">
        <f t="array" aca="1" ref="P11" ca="1">-INDIRECT("'data'!$AA$" &amp; $A$1)*parameters!$B$15</f>
        <v>-2118.7599999999998</v>
      </c>
      <c r="Q11" s="16">
        <f ca="1">K9*parameters!$B$10+K10*parameters!$B$11</f>
        <v>11325.958027880512</v>
      </c>
      <c r="R11" s="16">
        <f t="shared" ref="R11:R17" ca="1" si="4">SUM(L11:P11)</f>
        <v>11325.958027880512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-11.502853260907841</v>
      </c>
      <c r="D12" s="9">
        <f ca="1">-(D17-Q4)</f>
        <v>-43.156489886283453</v>
      </c>
      <c r="E12" s="9">
        <f ca="1">-(E17-Q5)</f>
        <v>-190.84331981713694</v>
      </c>
      <c r="F12" s="9">
        <f ca="1">-(F17-Q6)</f>
        <v>-128.51582089552244</v>
      </c>
      <c r="G12" s="9">
        <f ca="1">-(G17-Q7)</f>
        <v>-351.60700104493208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-725.62548490478275</v>
      </c>
      <c r="M12" s="17"/>
      <c r="N12" s="17"/>
      <c r="O12" s="10"/>
      <c r="P12" s="12"/>
      <c r="Q12" s="9">
        <f t="shared" ref="Q12:Q17" ca="1" si="6">SUM(L12:P12)</f>
        <v>-725.62548490478275</v>
      </c>
      <c r="R12" s="17">
        <f t="shared" ca="1" si="4"/>
        <v>-725.62548490478275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-99.880000000000109</v>
      </c>
      <c r="J13" s="14">
        <f ca="1">-(J17-Q10)</f>
        <v>-74.129302987197661</v>
      </c>
      <c r="K13" s="13">
        <f ca="1">-(K17-Q11)</f>
        <v>-1231.2378184921763</v>
      </c>
      <c r="L13" s="14">
        <f t="shared" ca="1" si="5"/>
        <v>-1405.2471214793741</v>
      </c>
      <c r="M13" s="16">
        <f ca="1">-E15</f>
        <v>-329.69214958550742</v>
      </c>
      <c r="N13" s="16"/>
      <c r="O13" s="11"/>
      <c r="P13" s="13"/>
      <c r="Q13" s="14">
        <f t="shared" ca="1" si="6"/>
        <v>-1734.9392710648815</v>
      </c>
      <c r="R13" s="16">
        <f t="shared" ca="1" si="4"/>
        <v>-1734.9392710648815</v>
      </c>
    </row>
    <row r="14" spans="1:22">
      <c r="A14" s="18" t="s">
        <v>78</v>
      </c>
      <c r="B14" s="11"/>
      <c r="C14" s="14"/>
      <c r="D14" s="14"/>
      <c r="E14" s="14">
        <f ca="1">-(I13+J13)-K13</f>
        <v>1405.2471214793741</v>
      </c>
      <c r="F14" s="14"/>
      <c r="G14" s="14"/>
      <c r="H14" s="14"/>
      <c r="I14" s="14"/>
      <c r="J14" s="14"/>
      <c r="K14" s="13"/>
      <c r="L14" s="14">
        <f t="shared" ca="1" si="5"/>
        <v>1405.2471214793741</v>
      </c>
      <c r="M14" s="16"/>
      <c r="N14" s="16"/>
      <c r="O14" s="11"/>
      <c r="P14" s="13"/>
      <c r="Q14" s="14">
        <f t="shared" ca="1" si="6"/>
        <v>1405.2471214793741</v>
      </c>
      <c r="R14" s="16">
        <f t="shared" ca="1" si="4"/>
        <v>1405.2471214793741</v>
      </c>
    </row>
    <row r="15" spans="1:22">
      <c r="A15" s="18" t="s">
        <v>79</v>
      </c>
      <c r="B15" s="11"/>
      <c r="C15" s="14"/>
      <c r="D15" s="14"/>
      <c r="E15" s="14">
        <f ca="1">E17-E14</f>
        <v>329.69214958550742</v>
      </c>
      <c r="F15" s="14"/>
      <c r="G15" s="14"/>
      <c r="H15" s="14"/>
      <c r="I15" s="14"/>
      <c r="J15" s="14"/>
      <c r="K15" s="13"/>
      <c r="L15" s="14">
        <f t="shared" ca="1" si="5"/>
        <v>329.69214958550742</v>
      </c>
      <c r="M15" s="16"/>
      <c r="N15" s="16"/>
      <c r="O15" s="11"/>
      <c r="P15" s="13"/>
      <c r="Q15" s="14">
        <f t="shared" ca="1" si="6"/>
        <v>329.69214958550742</v>
      </c>
      <c r="R15" s="16">
        <f t="shared" ca="1" si="4"/>
        <v>329.69214958550742</v>
      </c>
    </row>
    <row r="16" spans="1:22">
      <c r="A16" s="30" t="s">
        <v>89</v>
      </c>
      <c r="B16" s="21">
        <f ca="1">Q2</f>
        <v>13234.906561425587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13234.906561425587</v>
      </c>
      <c r="M16" s="19"/>
      <c r="N16" s="19"/>
      <c r="O16" s="21"/>
      <c r="P16" s="27"/>
      <c r="Q16" s="22">
        <f t="shared" ca="1" si="6"/>
        <v>13234.906561425587</v>
      </c>
      <c r="R16" s="19">
        <f t="shared" ca="1" si="4"/>
        <v>13234.906561425587</v>
      </c>
    </row>
    <row r="17" spans="1:18">
      <c r="A17" s="29" t="s">
        <v>88</v>
      </c>
      <c r="B17" s="9">
        <f ca="1">B16</f>
        <v>13234.906561425587</v>
      </c>
      <c r="C17" s="9">
        <f ca="1">SUM(C$2:C$11)</f>
        <v>1825.8497239536184</v>
      </c>
      <c r="D17" s="9">
        <f ca="1">SUM(D$2:D$11)</f>
        <v>6850.2364898862834</v>
      </c>
      <c r="E17" s="9">
        <f ca="1">$Q$5/parameters!$B$4</f>
        <v>1734.9392710648815</v>
      </c>
      <c r="F17" s="9">
        <f t="shared" ref="F17:K17" ca="1" si="7">SUM(F$2:F$11)</f>
        <v>2072.8358208955224</v>
      </c>
      <c r="G17" s="9">
        <f t="shared" ca="1" si="7"/>
        <v>8176.9070010449323</v>
      </c>
      <c r="H17" s="9">
        <f t="shared" ca="1" si="7"/>
        <v>9769.6200000000008</v>
      </c>
      <c r="I17" s="9">
        <f t="shared" ca="1" si="7"/>
        <v>4994</v>
      </c>
      <c r="J17" s="9">
        <f t="shared" ca="1" si="7"/>
        <v>3706.4651493598863</v>
      </c>
      <c r="K17" s="9">
        <f t="shared" ca="1" si="7"/>
        <v>12557.195846372688</v>
      </c>
      <c r="L17" s="17">
        <f t="shared" ca="1" si="5"/>
        <v>64922.955864003408</v>
      </c>
      <c r="M17" s="17"/>
      <c r="N17" s="17"/>
      <c r="O17" s="9"/>
      <c r="P17" s="14"/>
      <c r="Q17" s="11">
        <f t="shared" ca="1" si="6"/>
        <v>64922.955864003408</v>
      </c>
      <c r="R17" s="17">
        <f t="shared" ca="1" si="4"/>
        <v>64922.955864003408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0.90194962047614835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9868.4361477307029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9868.4361477307029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-9868.4361477307029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9119.6417910447763</v>
      </c>
      <c r="G3" s="14">
        <f ca="1">Q3-O3-P3-F3</f>
        <v>2767.5132089552226</v>
      </c>
      <c r="H3" s="14"/>
      <c r="I3" s="14"/>
      <c r="J3" s="14"/>
      <c r="K3" s="13"/>
      <c r="L3" s="16">
        <f t="shared" ca="1" si="0"/>
        <v>11887.154999999999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34.019999999999996</v>
      </c>
      <c r="P3" s="13" cm="1">
        <f t="array" aca="1" ref="P3" ca="1">-INDIRECT("'data'!$I$" &amp; $A$1)*parameters!$B$13</f>
        <v>-2114.91</v>
      </c>
      <c r="Q3" s="16" cm="1">
        <f t="array" aca="1" ref="Q3" ca="1">INDIRECT("'data'!$G$" &amp; $A$1)*parameters!$B$13</f>
        <v>9806.2649999999994</v>
      </c>
      <c r="R3" s="16">
        <f t="shared" ref="R3:R10" ca="1" si="2">SUM(L3:P3)</f>
        <v>9806.2649999999994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333.04</v>
      </c>
      <c r="H4" s="14"/>
      <c r="I4" s="14"/>
      <c r="J4" s="14"/>
      <c r="K4" s="13"/>
      <c r="L4" s="16">
        <f t="shared" ca="1" si="0"/>
        <v>333.04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-333.04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2279.9104477611941</v>
      </c>
      <c r="G5" s="14">
        <f ca="1">Q7/parameters!$B$7-(G3+G4)</f>
        <v>17051.400814033284</v>
      </c>
      <c r="H5" s="14"/>
      <c r="I5" s="14"/>
      <c r="J5" s="14"/>
      <c r="K5" s="13"/>
      <c r="L5" s="16">
        <f t="shared" ca="1" si="0"/>
        <v>19331.311261794479</v>
      </c>
      <c r="M5" s="16"/>
      <c r="N5" s="16"/>
      <c r="O5" s="11" cm="1">
        <f t="array" aca="1" ref="O5" ca="1">INDIRECT("'data'!$M$" &amp; $A$1)*parameters!$B$15</f>
        <v>380.24</v>
      </c>
      <c r="P5" s="13" cm="1">
        <f t="array" aca="1" ref="P5" ca="1">-INDIRECT("'data'!$N$" &amp; $A$1)*parameters!$B$15</f>
        <v>-5590.9</v>
      </c>
      <c r="Q5" s="16">
        <f ca="1">SUM(L5:P5)</f>
        <v>14120.651261794481</v>
      </c>
      <c r="R5" s="16">
        <f t="shared" ca="1" si="2"/>
        <v>14120.651261794481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10692.78</v>
      </c>
      <c r="I6" s="14"/>
      <c r="J6" s="14"/>
      <c r="K6" s="13"/>
      <c r="L6" s="16">
        <f t="shared" ca="1" si="0"/>
        <v>10692.78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10692.78</v>
      </c>
      <c r="R6" s="16">
        <f t="shared" ca="1" si="2"/>
        <v>10692.78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19285.419999999998</v>
      </c>
      <c r="I7" s="14"/>
      <c r="J7" s="14"/>
      <c r="K7" s="13"/>
      <c r="L7" s="16">
        <f t="shared" ca="1" si="0"/>
        <v>19285.419999999998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19285.419999999998</v>
      </c>
      <c r="R7" s="16">
        <f t="shared" ca="1" si="2"/>
        <v>19285.419999999998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19296.597165046827</v>
      </c>
      <c r="J8" s="14">
        <f ca="1">Q10/J18</f>
        <v>14941.662834953169</v>
      </c>
      <c r="K8" s="13"/>
      <c r="L8" s="16">
        <f t="shared" ca="1" si="0"/>
        <v>34238.259999999995</v>
      </c>
      <c r="M8" s="16"/>
      <c r="N8" s="16">
        <f t="shared" ca="1" si="3"/>
        <v>0</v>
      </c>
      <c r="O8" s="11" cm="1">
        <f t="array" aca="1" ref="O8" ca="1">INDIRECT("'data'!$R$" &amp; $A$1)*parameters!$B$15</f>
        <v>944.72</v>
      </c>
      <c r="P8" s="13" cm="1">
        <f t="array" aca="1" ref="P8" ca="1">-INDIRECT("'data'!$S$" &amp; $A$1)*parameters!$B$15</f>
        <v>-5204.78</v>
      </c>
      <c r="Q8" s="16">
        <f ca="1">SUM(Q6:Q7)</f>
        <v>29978.199999999997</v>
      </c>
      <c r="R8" s="16">
        <f t="shared" ca="1" si="2"/>
        <v>29978.199999999997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14236.46</v>
      </c>
      <c r="L9" s="16">
        <f t="shared" ca="1" si="0"/>
        <v>14236.46</v>
      </c>
      <c r="M9" s="16"/>
      <c r="N9" s="16">
        <f t="shared" ca="1" si="3"/>
        <v>0</v>
      </c>
      <c r="O9" s="11" cm="1">
        <f t="array" aca="1" ref="O9" ca="1">INDIRECT("'data'!$U$" &amp; $A$1)*parameters!$B$15</f>
        <v>6128.92</v>
      </c>
      <c r="P9" s="13" cm="1">
        <f t="array" aca="1" ref="P9" ca="1">-INDIRECT("'data'!$V$" &amp; $A$1)*parameters!$B$15</f>
        <v>-3175.2</v>
      </c>
      <c r="Q9" s="16" cm="1">
        <f t="array" aca="1" ref="Q9" ca="1">INDIRECT("'data'!$T$" &amp; $A$1)*parameters!$B$15</f>
        <v>17190.18</v>
      </c>
      <c r="R9" s="16">
        <f t="shared" ca="1" si="2"/>
        <v>17190.179999999997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18878.990440967282</v>
      </c>
      <c r="L10" s="16">
        <f t="shared" ca="1" si="0"/>
        <v>18878.990440967282</v>
      </c>
      <c r="M10" s="16"/>
      <c r="N10" s="16">
        <f t="shared" ca="1" si="3"/>
        <v>0</v>
      </c>
      <c r="O10" s="11" cm="1">
        <f t="array" aca="1" ref="O10" ca="1">INDIRECT("'data'!$X$" &amp; $A$1)*parameters!$B$15</f>
        <v>6585.5999999999995</v>
      </c>
      <c r="P10" s="13" cm="1">
        <f t="array" aca="1" ref="P10" ca="1">-INDIRECT("'data'!$Y$" &amp; $A$1)*parameters!$B$15</f>
        <v>-12153.96</v>
      </c>
      <c r="Q10" s="16" cm="1">
        <f t="array" aca="1" ref="Q10" ca="1">INDIRECT("'data'!$W$" &amp; $A$1)*parameters!$B$15</f>
        <v>13310.630440967283</v>
      </c>
      <c r="R10" s="16">
        <f t="shared" ca="1" si="2"/>
        <v>13310.630440967281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24947.524179231859</v>
      </c>
      <c r="N11" s="19"/>
      <c r="O11" s="21" cm="1">
        <f t="array" aca="1" ref="O11" ca="1">INDIRECT("'data'!$Z$" &amp; $A$1)*parameters!$B$15</f>
        <v>14986.16</v>
      </c>
      <c r="P11" s="27" cm="1">
        <f t="array" aca="1" ref="P11" ca="1">-INDIRECT("'data'!$AA$" &amp; $A$1)*parameters!$B$15</f>
        <v>-10315.48</v>
      </c>
      <c r="Q11" s="16">
        <f ca="1">K9*parameters!$B$10+K10*parameters!$B$11</f>
        <v>29618.20417923186</v>
      </c>
      <c r="R11" s="16">
        <f t="shared" ref="R11:R17" ca="1" si="4">SUM(L11:P11)</f>
        <v>29618.20417923186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-62.171147730703524</v>
      </c>
      <c r="D12" s="9">
        <f ca="1">-(D17-Q4)</f>
        <v>0</v>
      </c>
      <c r="E12" s="9">
        <f ca="1">-(E17-Q5)</f>
        <v>-1745.2490323566217</v>
      </c>
      <c r="F12" s="9">
        <f ca="1">-(F17-Q6)</f>
        <v>-706.77223880597012</v>
      </c>
      <c r="G12" s="9">
        <f ca="1">-(G17-Q7)</f>
        <v>-866.53402298850779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-3380.7264418818031</v>
      </c>
      <c r="M12" s="17"/>
      <c r="N12" s="17"/>
      <c r="O12" s="10"/>
      <c r="P12" s="12"/>
      <c r="Q12" s="9">
        <f t="shared" ref="Q12:Q17" ca="1" si="6">SUM(L12:P12)</f>
        <v>-3380.7264418818031</v>
      </c>
      <c r="R12" s="17">
        <f t="shared" ca="1" si="4"/>
        <v>-3380.7264418818031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-2106.417165046827</v>
      </c>
      <c r="J13" s="14">
        <f ca="1">-(J17-Q10)</f>
        <v>-1631.0323939858863</v>
      </c>
      <c r="K13" s="13">
        <f ca="1">-(K17-Q11)</f>
        <v>-3497.2462617354213</v>
      </c>
      <c r="L13" s="14">
        <f t="shared" ca="1" si="5"/>
        <v>-7234.6958207681346</v>
      </c>
      <c r="M13" s="16">
        <f ca="1">-E15</f>
        <v>-8631.204473382968</v>
      </c>
      <c r="N13" s="16"/>
      <c r="O13" s="11"/>
      <c r="P13" s="13"/>
      <c r="Q13" s="14">
        <f t="shared" ca="1" si="6"/>
        <v>-15865.900294151103</v>
      </c>
      <c r="R13" s="16">
        <f t="shared" ca="1" si="4"/>
        <v>-15865.900294151103</v>
      </c>
    </row>
    <row r="14" spans="1:20">
      <c r="A14" s="18" t="s">
        <v>78</v>
      </c>
      <c r="B14" s="11"/>
      <c r="C14" s="14"/>
      <c r="D14" s="14"/>
      <c r="E14" s="14">
        <f ca="1">-(I13+J13)-K13</f>
        <v>7234.6958207681346</v>
      </c>
      <c r="F14" s="14"/>
      <c r="G14" s="14"/>
      <c r="H14" s="14"/>
      <c r="I14" s="14"/>
      <c r="J14" s="14"/>
      <c r="K14" s="13"/>
      <c r="L14" s="14">
        <f t="shared" ca="1" si="5"/>
        <v>7234.6958207681346</v>
      </c>
      <c r="M14" s="16"/>
      <c r="N14" s="16"/>
      <c r="O14" s="11"/>
      <c r="P14" s="13"/>
      <c r="Q14" s="14">
        <f t="shared" ca="1" si="6"/>
        <v>7234.6958207681346</v>
      </c>
      <c r="R14" s="16">
        <f t="shared" ca="1" si="4"/>
        <v>7234.6958207681346</v>
      </c>
    </row>
    <row r="15" spans="1:20">
      <c r="A15" s="18" t="s">
        <v>79</v>
      </c>
      <c r="B15" s="11"/>
      <c r="C15" s="14"/>
      <c r="D15" s="14"/>
      <c r="E15" s="14">
        <f ca="1">E17-E14</f>
        <v>8631.204473382968</v>
      </c>
      <c r="F15" s="14"/>
      <c r="G15" s="14"/>
      <c r="H15" s="14"/>
      <c r="I15" s="14"/>
      <c r="J15" s="14"/>
      <c r="K15" s="13"/>
      <c r="L15" s="14">
        <f t="shared" ca="1" si="5"/>
        <v>8631.204473382968</v>
      </c>
      <c r="M15" s="16"/>
      <c r="N15" s="16"/>
      <c r="O15" s="11"/>
      <c r="P15" s="13"/>
      <c r="Q15" s="14">
        <f t="shared" ca="1" si="6"/>
        <v>8631.204473382968</v>
      </c>
      <c r="R15" s="16">
        <f t="shared" ca="1" si="4"/>
        <v>8631.204473382968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9868.4361477307029</v>
      </c>
      <c r="D17" s="9">
        <f ca="1">SUM(D$2:D$11)</f>
        <v>0</v>
      </c>
      <c r="E17" s="9">
        <f ca="1">$Q$5/parameters!$B$4</f>
        <v>15865.900294151103</v>
      </c>
      <c r="F17" s="9">
        <f t="shared" ref="F17:K17" ca="1" si="7">SUM(F$2:F$11)</f>
        <v>11399.552238805971</v>
      </c>
      <c r="G17" s="9">
        <f t="shared" ca="1" si="7"/>
        <v>20151.954022988506</v>
      </c>
      <c r="H17" s="9">
        <f t="shared" ca="1" si="7"/>
        <v>29978.199999999997</v>
      </c>
      <c r="I17" s="9">
        <f t="shared" ca="1" si="7"/>
        <v>19296.597165046827</v>
      </c>
      <c r="J17" s="9">
        <f t="shared" ca="1" si="7"/>
        <v>14941.662834953169</v>
      </c>
      <c r="K17" s="9">
        <f t="shared" ca="1" si="7"/>
        <v>33115.450440967281</v>
      </c>
      <c r="L17" s="17">
        <f t="shared" ca="1" si="5"/>
        <v>154617.75314464356</v>
      </c>
      <c r="M17" s="17"/>
      <c r="N17" s="17"/>
      <c r="O17" s="9"/>
      <c r="P17" s="14"/>
      <c r="Q17" s="11">
        <f t="shared" ca="1" si="6"/>
        <v>154617.75314464356</v>
      </c>
      <c r="R17" s="17">
        <f t="shared" ca="1" si="4"/>
        <v>154617.75314464356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0.89083996794718212</v>
      </c>
      <c r="J18" s="39">
        <f ca="1">I18</f>
        <v>0.89083996794718212</v>
      </c>
      <c r="K18" s="40">
        <f ca="1">1-(-K13)/K17</f>
        <v>0.89439230887196508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sheetPr>
    <tabColor theme="2" tint="-9.9978637043366805E-2"/>
  </sheetPr>
  <dimension ref="A1:T23"/>
  <sheetViews>
    <sheetView workbookViewId="0">
      <selection activeCell="B2" sqref="B2:K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29462.659756465731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29462.659756465731</v>
      </c>
      <c r="M2" s="17"/>
      <c r="N2" s="17">
        <f ca="1">Q2-(L2+O2+P2)</f>
        <v>0</v>
      </c>
      <c r="O2" s="11" cm="1">
        <f t="array" aca="1" ref="O2" ca="1">INDIRECT("'data'!$F$" &amp; $A$1)</f>
        <v>14806.35</v>
      </c>
      <c r="P2" s="13">
        <f ca="1">IF(-(L2-Q2+O2)&lt;0, -(L2-Q2+O2), 0)</f>
        <v>-4269.0097564657317</v>
      </c>
      <c r="Q2" s="17" cm="1">
        <f t="array" aca="1" ref="Q2" ca="1">INDIRECT("'data'!$D$" &amp; $A$1)</f>
        <v>40000</v>
      </c>
      <c r="R2" s="17">
        <f ca="1">SUM(L2:P2)</f>
        <v>40000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27846.156716417914</v>
      </c>
      <c r="G3" s="14">
        <f ca="1">Q3-O3-P3-F3</f>
        <v>161.75328358208208</v>
      </c>
      <c r="H3" s="14"/>
      <c r="I3" s="14"/>
      <c r="J3" s="14"/>
      <c r="K3" s="13"/>
      <c r="L3" s="16">
        <f t="shared" ca="1" si="0"/>
        <v>28007.909999999996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1391.04</v>
      </c>
      <c r="P3" s="13" cm="1">
        <f t="array" aca="1" ref="P3" ca="1">-INDIRECT("'data'!$I$" &amp; $A$1)*parameters!$B$13</f>
        <v>-121.90499999999999</v>
      </c>
      <c r="Q3" s="16" cm="1">
        <f t="array" aca="1" ref="Q3" ca="1">INDIRECT("'data'!$G$" &amp; $A$1)*parameters!$B$13</f>
        <v>29277.044999999998</v>
      </c>
      <c r="R3" s="16">
        <f t="shared" ref="R3:R10" ca="1" si="2">SUM(L3:P3)</f>
        <v>29277.044999999998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487.6</v>
      </c>
      <c r="H4" s="14"/>
      <c r="I4" s="14"/>
      <c r="J4" s="14"/>
      <c r="K4" s="13"/>
      <c r="L4" s="16">
        <f t="shared" ca="1" si="0"/>
        <v>487.6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-487.6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Q6/parameters!$B$5*25%</f>
        <v>9282.0522388059708</v>
      </c>
      <c r="G5" s="14">
        <f ca="1">Q7/parameters!$B$7-(G3+G4)</f>
        <v>958.37921380558771</v>
      </c>
      <c r="H5" s="14"/>
      <c r="I5" s="14"/>
      <c r="J5" s="14"/>
      <c r="K5" s="13"/>
      <c r="L5" s="16">
        <f t="shared" ca="1" si="0"/>
        <v>10240.431452611558</v>
      </c>
      <c r="M5" s="16"/>
      <c r="N5" s="16"/>
      <c r="O5" s="11" cm="1">
        <f t="array" aca="1" ref="O5" ca="1">INDIRECT("'data'!$M$" &amp; $A$1)*parameters!$B$15</f>
        <v>623.28</v>
      </c>
      <c r="P5" s="13" cm="1">
        <f t="array" aca="1" ref="P5" ca="1">-INDIRECT("'data'!$N$" &amp; $A$1)*parameters!$B$15</f>
        <v>-160.72</v>
      </c>
      <c r="Q5" s="16">
        <f ca="1">SUM(L5:P5)</f>
        <v>10702.991452611559</v>
      </c>
      <c r="R5" s="16">
        <f t="shared" ca="1" si="2"/>
        <v>10702.991452611559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34826.26</v>
      </c>
      <c r="I6" s="14"/>
      <c r="J6" s="14"/>
      <c r="K6" s="13"/>
      <c r="L6" s="16">
        <f t="shared" ca="1" si="0"/>
        <v>34826.26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34826.26</v>
      </c>
      <c r="R6" s="16">
        <f t="shared" ca="1" si="2"/>
        <v>34826.26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1538.6</v>
      </c>
      <c r="I7" s="14"/>
      <c r="J7" s="14"/>
      <c r="K7" s="13"/>
      <c r="L7" s="16">
        <f t="shared" ca="1" si="0"/>
        <v>1538.6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1538.6</v>
      </c>
      <c r="R7" s="16">
        <f t="shared" ca="1" si="2"/>
        <v>1538.6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13940</v>
      </c>
      <c r="J8" s="14">
        <f ca="1">Q10/J18</f>
        <v>18250.576102418207</v>
      </c>
      <c r="K8" s="13"/>
      <c r="L8" s="16">
        <f t="shared" ca="1" si="0"/>
        <v>32190.576102418207</v>
      </c>
      <c r="M8" s="16"/>
      <c r="N8" s="16">
        <f t="shared" ca="1" si="3"/>
        <v>-7953.216102418206</v>
      </c>
      <c r="O8" s="11" cm="1">
        <f t="array" aca="1" ref="O8" ca="1">INDIRECT("'data'!$R$" &amp; $A$1)*parameters!$B$15</f>
        <v>12507.74</v>
      </c>
      <c r="P8" s="13" cm="1">
        <f t="array" aca="1" ref="P8" ca="1">-INDIRECT("'data'!$S$" &amp; $A$1)*parameters!$B$15</f>
        <v>-380.24</v>
      </c>
      <c r="Q8" s="16">
        <f ca="1">SUM(Q6:Q7)</f>
        <v>36364.86</v>
      </c>
      <c r="R8" s="16">
        <f t="shared" ca="1" si="2"/>
        <v>36364.86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8519.14</v>
      </c>
      <c r="L9" s="16">
        <f t="shared" ca="1" si="0"/>
        <v>8519.14</v>
      </c>
      <c r="M9" s="16"/>
      <c r="N9" s="16">
        <f t="shared" ca="1" si="3"/>
        <v>0</v>
      </c>
      <c r="O9" s="11" cm="1">
        <f t="array" aca="1" ref="O9" ca="1">INDIRECT("'data'!$U$" &amp; $A$1)*parameters!$B$15</f>
        <v>5623.24</v>
      </c>
      <c r="P9" s="13" cm="1">
        <f t="array" aca="1" ref="P9" ca="1">-INDIRECT("'data'!$V$" &amp; $A$1)*parameters!$B$15</f>
        <v>-481.18</v>
      </c>
      <c r="Q9" s="16" cm="1">
        <f t="array" aca="1" ref="Q9" ca="1">INDIRECT("'data'!$T$" &amp; $A$1)*parameters!$B$15</f>
        <v>13661.199999999999</v>
      </c>
      <c r="R9" s="16">
        <f t="shared" ca="1" si="2"/>
        <v>13661.199999999999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11166.684580369842</v>
      </c>
      <c r="L10" s="16">
        <f t="shared" ca="1" si="0"/>
        <v>11166.684580369842</v>
      </c>
      <c r="M10" s="16"/>
      <c r="N10" s="16">
        <f t="shared" ca="1" si="3"/>
        <v>0</v>
      </c>
      <c r="O10" s="11" cm="1">
        <f t="array" aca="1" ref="O10" ca="1">INDIRECT("'data'!$X$" &amp; $A$1)*parameters!$B$15</f>
        <v>8084.0199999999995</v>
      </c>
      <c r="P10" s="13" cm="1">
        <f t="array" aca="1" ref="P10" ca="1">-INDIRECT("'data'!$Y$" &amp; $A$1)*parameters!$B$15</f>
        <v>-1365.1399999999999</v>
      </c>
      <c r="Q10" s="16" cm="1">
        <f t="array" aca="1" ref="Q10" ca="1">INDIRECT("'data'!$W$" &amp; $A$1)*parameters!$B$15</f>
        <v>17885.564580369843</v>
      </c>
      <c r="R10" s="16">
        <f t="shared" ca="1" si="2"/>
        <v>17885.564580369843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18530.58033911806</v>
      </c>
      <c r="N11" s="19"/>
      <c r="O11" s="21" cm="1">
        <f t="array" aca="1" ref="O11" ca="1">INDIRECT("'data'!$Z$" &amp; $A$1)*parameters!$B$15</f>
        <v>1995.28</v>
      </c>
      <c r="P11" s="27" cm="1">
        <f t="array" aca="1" ref="P11" ca="1">-INDIRECT("'data'!$AA$" &amp; $A$1)*parameters!$B$15</f>
        <v>-2914.52</v>
      </c>
      <c r="Q11" s="16">
        <f ca="1">K9*parameters!$B$10+K10*parameters!$B$11</f>
        <v>17611.340339118062</v>
      </c>
      <c r="R11" s="16">
        <f t="shared" ref="R11:R17" ca="1" si="4">SUM(L11:P11)</f>
        <v>17611.340339118058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-185.61475646573308</v>
      </c>
      <c r="D12" s="9">
        <f ca="1">-(D17-Q4)</f>
        <v>0</v>
      </c>
      <c r="E12" s="9">
        <f ca="1">-(E17-Q5)</f>
        <v>-1322.8416402104176</v>
      </c>
      <c r="F12" s="9">
        <f ca="1">-(F17-Q6)</f>
        <v>-2301.9489552238811</v>
      </c>
      <c r="G12" s="9">
        <f ca="1">-(G17-Q7)</f>
        <v>-69.1324973876699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-3879.5378492877016</v>
      </c>
      <c r="M12" s="17"/>
      <c r="N12" s="17"/>
      <c r="O12" s="10"/>
      <c r="P12" s="12"/>
      <c r="Q12" s="9">
        <f t="shared" ref="Q12:Q17" ca="1" si="6">SUM(L12:P12)</f>
        <v>-3879.5378492877016</v>
      </c>
      <c r="R12" s="17">
        <f t="shared" ca="1" si="4"/>
        <v>-3879.5378492877016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-278.80000000000109</v>
      </c>
      <c r="J13" s="14">
        <f ca="1">-(J17-Q10)</f>
        <v>-365.01152204836399</v>
      </c>
      <c r="K13" s="13">
        <f ca="1">-(K17-Q11)</f>
        <v>-2074.4842412517792</v>
      </c>
      <c r="L13" s="14">
        <f t="shared" ca="1" si="5"/>
        <v>-2718.2957633001442</v>
      </c>
      <c r="M13" s="16">
        <f ca="1">-E15</f>
        <v>-9307.5373295218324</v>
      </c>
      <c r="N13" s="16"/>
      <c r="O13" s="11"/>
      <c r="P13" s="13"/>
      <c r="Q13" s="14">
        <f t="shared" ca="1" si="6"/>
        <v>-12025.833092821977</v>
      </c>
      <c r="R13" s="16">
        <f t="shared" ca="1" si="4"/>
        <v>-12025.833092821977</v>
      </c>
    </row>
    <row r="14" spans="1:20">
      <c r="A14" s="18" t="s">
        <v>78</v>
      </c>
      <c r="B14" s="11"/>
      <c r="C14" s="14"/>
      <c r="D14" s="14"/>
      <c r="E14" s="14">
        <f ca="1">-(I13+J13)-K13</f>
        <v>2718.2957633001442</v>
      </c>
      <c r="F14" s="14"/>
      <c r="G14" s="14"/>
      <c r="H14" s="14"/>
      <c r="I14" s="14"/>
      <c r="J14" s="14"/>
      <c r="K14" s="13"/>
      <c r="L14" s="14">
        <f t="shared" ca="1" si="5"/>
        <v>2718.2957633001442</v>
      </c>
      <c r="M14" s="16"/>
      <c r="N14" s="16"/>
      <c r="O14" s="11"/>
      <c r="P14" s="13"/>
      <c r="Q14" s="14">
        <f t="shared" ca="1" si="6"/>
        <v>2718.2957633001442</v>
      </c>
      <c r="R14" s="16">
        <f t="shared" ca="1" si="4"/>
        <v>2718.2957633001442</v>
      </c>
    </row>
    <row r="15" spans="1:20">
      <c r="A15" s="18" t="s">
        <v>79</v>
      </c>
      <c r="B15" s="11"/>
      <c r="C15" s="14"/>
      <c r="D15" s="14"/>
      <c r="E15" s="14">
        <f ca="1">E17-E14</f>
        <v>9307.5373295218324</v>
      </c>
      <c r="F15" s="14"/>
      <c r="G15" s="14"/>
      <c r="H15" s="14"/>
      <c r="I15" s="14"/>
      <c r="J15" s="14"/>
      <c r="K15" s="13"/>
      <c r="L15" s="14">
        <f t="shared" ca="1" si="5"/>
        <v>9307.5373295218324</v>
      </c>
      <c r="M15" s="16"/>
      <c r="N15" s="16"/>
      <c r="O15" s="11"/>
      <c r="P15" s="13"/>
      <c r="Q15" s="14">
        <f t="shared" ca="1" si="6"/>
        <v>9307.5373295218324</v>
      </c>
      <c r="R15" s="16">
        <f t="shared" ca="1" si="4"/>
        <v>9307.5373295218324</v>
      </c>
    </row>
    <row r="16" spans="1:20">
      <c r="A16" s="30" t="s">
        <v>89</v>
      </c>
      <c r="B16" s="21">
        <f ca="1">Q2</f>
        <v>40000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40000</v>
      </c>
      <c r="M16" s="19"/>
      <c r="N16" s="19"/>
      <c r="O16" s="21"/>
      <c r="P16" s="27"/>
      <c r="Q16" s="22">
        <f t="shared" ca="1" si="6"/>
        <v>40000</v>
      </c>
      <c r="R16" s="19">
        <f t="shared" ca="1" si="4"/>
        <v>40000</v>
      </c>
    </row>
    <row r="17" spans="1:18">
      <c r="A17" s="29" t="s">
        <v>88</v>
      </c>
      <c r="B17" s="9">
        <f ca="1">B16</f>
        <v>40000</v>
      </c>
      <c r="C17" s="9">
        <f ca="1">SUM(C$2:C$11)</f>
        <v>29462.659756465731</v>
      </c>
      <c r="D17" s="9">
        <f ca="1">SUM(D$2:D$11)</f>
        <v>0</v>
      </c>
      <c r="E17" s="9">
        <f ca="1">$Q$5/parameters!$B$4</f>
        <v>12025.833092821977</v>
      </c>
      <c r="F17" s="9">
        <f t="shared" ref="F17:K17" ca="1" si="7">SUM(F$2:F$11)</f>
        <v>37128.208955223883</v>
      </c>
      <c r="G17" s="9">
        <f t="shared" ca="1" si="7"/>
        <v>1607.7324973876698</v>
      </c>
      <c r="H17" s="9">
        <f t="shared" ca="1" si="7"/>
        <v>36364.86</v>
      </c>
      <c r="I17" s="9">
        <f t="shared" ca="1" si="7"/>
        <v>13940</v>
      </c>
      <c r="J17" s="9">
        <f t="shared" ca="1" si="7"/>
        <v>18250.576102418207</v>
      </c>
      <c r="K17" s="9">
        <f t="shared" ca="1" si="7"/>
        <v>19685.824580369841</v>
      </c>
      <c r="L17" s="17">
        <f t="shared" ca="1" si="5"/>
        <v>208465.69498468732</v>
      </c>
      <c r="M17" s="17"/>
      <c r="N17" s="17"/>
      <c r="O17" s="9"/>
      <c r="P17" s="14"/>
      <c r="Q17" s="11">
        <f t="shared" ca="1" si="6"/>
        <v>208465.69498468732</v>
      </c>
      <c r="R17" s="17">
        <f t="shared" ca="1" si="4"/>
        <v>208465.69498468732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0.89462040399768683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N5" sqref="N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4231.9110395491598</v>
      </c>
      <c r="D2" s="9">
        <f ca="1">Q4/parameters!$B$3</f>
        <v>5566.1064707658243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9798.017510314985</v>
      </c>
      <c r="M2" s="17"/>
      <c r="N2" s="17">
        <f ca="1">Q2-(L2+O2+P2)</f>
        <v>0</v>
      </c>
      <c r="O2" s="11" cm="1">
        <f t="array" aca="1" ref="O2" ca="1">INDIRECT("'data'!$F$" &amp; $A$1)</f>
        <v>1268.8</v>
      </c>
      <c r="P2" s="13">
        <f ca="1">IF(-(L2-Q2+O2)&lt;0, -(L2-Q2+O2), 0)</f>
        <v>-4053.8175103149852</v>
      </c>
      <c r="Q2" s="17" cm="1">
        <f t="array" aca="1" ref="Q2" ca="1">INDIRECT("'data'!$D$" &amp; $A$1)</f>
        <v>7013</v>
      </c>
      <c r="R2" s="17">
        <f ca="1">SUM(L2:P2)</f>
        <v>7012.9999999999991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4188.2985074626868</v>
      </c>
      <c r="G3" s="14">
        <f ca="1">Q3-O3-P3-F3</f>
        <v>273.04649253731259</v>
      </c>
      <c r="H3" s="14"/>
      <c r="I3" s="14"/>
      <c r="J3" s="14"/>
      <c r="K3" s="13"/>
      <c r="L3" s="16">
        <f t="shared" ca="1" si="0"/>
        <v>4461.3449999999993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25.514999999999997</v>
      </c>
      <c r="P3" s="13" cm="1">
        <f t="array" aca="1" ref="P3" ca="1">-INDIRECT("'data'!$I$" &amp; $A$1)*parameters!$B$13</f>
        <v>-281.61</v>
      </c>
      <c r="Q3" s="16" cm="1">
        <f t="array" aca="1" ref="Q3" ca="1">INDIRECT("'data'!$G$" &amp; $A$1)*parameters!$B$13</f>
        <v>4205.25</v>
      </c>
      <c r="R3" s="16">
        <f t="shared" ref="R3:R10" ca="1" si="2">SUM(L3:P3)</f>
        <v>4205.25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5535.64</v>
      </c>
      <c r="H4" s="14"/>
      <c r="I4" s="14"/>
      <c r="J4" s="14"/>
      <c r="K4" s="13"/>
      <c r="L4" s="16">
        <f t="shared" ca="1" si="0"/>
        <v>5535.64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-4.6000000000000005</v>
      </c>
      <c r="Q4" s="16" cm="1">
        <f t="array" aca="1" ref="Q4" ca="1">INDIRECT("'data'!$J$" &amp; $A$1)*parameters!$B$14</f>
        <v>5531.04</v>
      </c>
      <c r="R4" s="16">
        <f t="shared" ca="1" si="2"/>
        <v>5531.04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1047.0746268656717</v>
      </c>
      <c r="G5" s="14">
        <f ca="1">Q7/parameters!$B$7-(G3+G4)</f>
        <v>6682.4733820708379</v>
      </c>
      <c r="H5" s="14"/>
      <c r="I5" s="14"/>
      <c r="J5" s="14"/>
      <c r="K5" s="13"/>
      <c r="L5" s="16">
        <f t="shared" ca="1" si="0"/>
        <v>7729.5480089365101</v>
      </c>
      <c r="M5" s="16"/>
      <c r="N5" s="16"/>
      <c r="O5" s="11" cm="1">
        <f t="array" aca="1" ref="O5" ca="1">INDIRECT("'data'!$M$" &amp; $A$1)*parameters!$B$15</f>
        <v>1055.46</v>
      </c>
      <c r="P5" s="13" cm="1">
        <f t="array" aca="1" ref="P5" ca="1">-INDIRECT("'data'!$N$" &amp; $A$1)*parameters!$B$15</f>
        <v>-1383.76</v>
      </c>
      <c r="Q5" s="16">
        <f ca="1">SUM(L5:P5)</f>
        <v>7401.2480089365108</v>
      </c>
      <c r="R5" s="16">
        <f t="shared" ca="1" si="2"/>
        <v>7401.2480089365108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4910.78</v>
      </c>
      <c r="I6" s="14"/>
      <c r="J6" s="14"/>
      <c r="K6" s="13"/>
      <c r="L6" s="16">
        <f t="shared" ca="1" si="0"/>
        <v>4910.78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4910.78</v>
      </c>
      <c r="R6" s="16">
        <f t="shared" ca="1" si="2"/>
        <v>4910.78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11954.039999999999</v>
      </c>
      <c r="I7" s="14"/>
      <c r="J7" s="14"/>
      <c r="K7" s="13"/>
      <c r="L7" s="16">
        <f t="shared" ca="1" si="0"/>
        <v>11954.039999999999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11954.039999999999</v>
      </c>
      <c r="R7" s="16">
        <f t="shared" ca="1" si="2"/>
        <v>11954.039999999999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8171.5978319222068</v>
      </c>
      <c r="J8" s="14">
        <f ca="1">Q10/J18</f>
        <v>6847.8821680777928</v>
      </c>
      <c r="K8" s="13"/>
      <c r="L8" s="16">
        <f t="shared" ca="1" si="0"/>
        <v>15019.48</v>
      </c>
      <c r="M8" s="16"/>
      <c r="N8" s="16">
        <f t="shared" ca="1" si="3"/>
        <v>0</v>
      </c>
      <c r="O8" s="11" cm="1">
        <f t="array" aca="1" ref="O8" ca="1">INDIRECT("'data'!$R$" &amp; $A$1)*parameters!$B$15</f>
        <v>2840.04</v>
      </c>
      <c r="P8" s="13" cm="1">
        <f t="array" aca="1" ref="P8" ca="1">-INDIRECT("'data'!$S$" &amp; $A$1)*parameters!$B$15</f>
        <v>-994.69999999999993</v>
      </c>
      <c r="Q8" s="16">
        <f ca="1">SUM(Q6:Q7)</f>
        <v>16864.82</v>
      </c>
      <c r="R8" s="16">
        <f t="shared" ca="1" si="2"/>
        <v>16864.82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7276.5</v>
      </c>
      <c r="L9" s="16">
        <f t="shared" ca="1" si="0"/>
        <v>7276.5</v>
      </c>
      <c r="M9" s="16"/>
      <c r="N9" s="16">
        <f t="shared" ca="1" si="3"/>
        <v>0</v>
      </c>
      <c r="O9" s="11" cm="1">
        <f t="array" aca="1" ref="O9" ca="1">INDIRECT("'data'!$U$" &amp; $A$1)*parameters!$B$15</f>
        <v>1430.8</v>
      </c>
      <c r="P9" s="13" cm="1">
        <f t="array" aca="1" ref="P9" ca="1">-INDIRECT("'data'!$V$" &amp; $A$1)*parameters!$B$15</f>
        <v>-1249.5</v>
      </c>
      <c r="Q9" s="16" cm="1">
        <f t="array" aca="1" ref="Q9" ca="1">INDIRECT("'data'!$T$" &amp; $A$1)*parameters!$B$15</f>
        <v>7457.8</v>
      </c>
      <c r="R9" s="16">
        <f t="shared" ca="1" si="2"/>
        <v>7457.7999999999993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9794.3723186344232</v>
      </c>
      <c r="L10" s="16">
        <f t="shared" ca="1" si="0"/>
        <v>9794.3723186344232</v>
      </c>
      <c r="M10" s="16"/>
      <c r="N10" s="16">
        <f t="shared" ca="1" si="3"/>
        <v>0</v>
      </c>
      <c r="O10" s="11" cm="1">
        <f t="array" aca="1" ref="O10" ca="1">INDIRECT("'data'!$X$" &amp; $A$1)*parameters!$B$15</f>
        <v>741.86</v>
      </c>
      <c r="P10" s="13" cm="1">
        <f t="array" aca="1" ref="P10" ca="1">-INDIRECT("'data'!$Y$" &amp; $A$1)*parameters!$B$15</f>
        <v>-4286.5199999999995</v>
      </c>
      <c r="Q10" s="16" cm="1">
        <f t="array" aca="1" ref="Q10" ca="1">INDIRECT("'data'!$W$" &amp; $A$1)*parameters!$B$15</f>
        <v>6249.7123186344234</v>
      </c>
      <c r="R10" s="16">
        <f t="shared" ca="1" si="2"/>
        <v>6249.7123186344243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15215.050194025604</v>
      </c>
      <c r="N11" s="19"/>
      <c r="O11" s="21" cm="1">
        <f t="array" aca="1" ref="O11" ca="1">INDIRECT("'data'!$Z$" &amp; $A$1)*parameters!$B$15</f>
        <v>8026.2</v>
      </c>
      <c r="P11" s="27" cm="1">
        <f t="array" aca="1" ref="P11" ca="1">-INDIRECT("'data'!$AA$" &amp; $A$1)*parameters!$B$15</f>
        <v>-7978.18</v>
      </c>
      <c r="Q11" s="16">
        <f ca="1">K9*parameters!$B$10+K10*parameters!$B$11</f>
        <v>15263.070194025604</v>
      </c>
      <c r="R11" s="16">
        <f t="shared" ref="R11:R17" ca="1" si="4">SUM(L11:P11)</f>
        <v>15263.070194025604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-26.661039549159796</v>
      </c>
      <c r="D12" s="9">
        <f ca="1">-(D17-Q4)</f>
        <v>-35.066470765824306</v>
      </c>
      <c r="E12" s="9">
        <f ca="1">-(E17-Q5)</f>
        <v>-914.76098986855686</v>
      </c>
      <c r="F12" s="9">
        <f ca="1">-(F17-Q6)</f>
        <v>-324.59313432835825</v>
      </c>
      <c r="G12" s="9">
        <f ca="1">-(G17-Q7)</f>
        <v>-537.1198746081518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-1838.201509120051</v>
      </c>
      <c r="M12" s="17"/>
      <c r="N12" s="17"/>
      <c r="O12" s="10"/>
      <c r="P12" s="12"/>
      <c r="Q12" s="9">
        <f t="shared" ref="Q12:Q17" ca="1" si="6">SUM(L12:P12)</f>
        <v>-1838.201509120051</v>
      </c>
      <c r="R12" s="17">
        <f t="shared" ca="1" si="4"/>
        <v>-1838.201509120051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-713.79783192220657</v>
      </c>
      <c r="J13" s="14">
        <f ca="1">-(J17-Q10)</f>
        <v>-598.16984944336946</v>
      </c>
      <c r="K13" s="13">
        <f ca="1">-(K17-Q11)</f>
        <v>-1807.8021246088174</v>
      </c>
      <c r="L13" s="14">
        <f t="shared" ca="1" si="5"/>
        <v>-3119.7698059743934</v>
      </c>
      <c r="M13" s="16">
        <f ca="1">-E15</f>
        <v>-5196.2391928306743</v>
      </c>
      <c r="N13" s="16"/>
      <c r="O13" s="11"/>
      <c r="P13" s="13"/>
      <c r="Q13" s="14">
        <f t="shared" ca="1" si="6"/>
        <v>-8316.0089988050677</v>
      </c>
      <c r="R13" s="16">
        <f t="shared" ca="1" si="4"/>
        <v>-8316.0089988050677</v>
      </c>
    </row>
    <row r="14" spans="1:20">
      <c r="A14" s="18" t="s">
        <v>78</v>
      </c>
      <c r="B14" s="11"/>
      <c r="C14" s="14"/>
      <c r="D14" s="14"/>
      <c r="E14" s="14">
        <f ca="1">-(I13+J13)-K13</f>
        <v>3119.7698059743934</v>
      </c>
      <c r="F14" s="14"/>
      <c r="G14" s="14"/>
      <c r="H14" s="14"/>
      <c r="I14" s="14"/>
      <c r="J14" s="14"/>
      <c r="K14" s="13"/>
      <c r="L14" s="14">
        <f t="shared" ca="1" si="5"/>
        <v>3119.7698059743934</v>
      </c>
      <c r="M14" s="16"/>
      <c r="N14" s="16"/>
      <c r="O14" s="11"/>
      <c r="P14" s="13"/>
      <c r="Q14" s="14">
        <f t="shared" ca="1" si="6"/>
        <v>3119.7698059743934</v>
      </c>
      <c r="R14" s="16">
        <f t="shared" ca="1" si="4"/>
        <v>3119.7698059743934</v>
      </c>
    </row>
    <row r="15" spans="1:20">
      <c r="A15" s="18" t="s">
        <v>79</v>
      </c>
      <c r="B15" s="11"/>
      <c r="C15" s="14"/>
      <c r="D15" s="14"/>
      <c r="E15" s="14">
        <f ca="1">E17-E14</f>
        <v>5196.2391928306743</v>
      </c>
      <c r="F15" s="14"/>
      <c r="G15" s="14"/>
      <c r="H15" s="14"/>
      <c r="I15" s="14"/>
      <c r="J15" s="14"/>
      <c r="K15" s="13"/>
      <c r="L15" s="14">
        <f t="shared" ca="1" si="5"/>
        <v>5196.2391928306743</v>
      </c>
      <c r="M15" s="16"/>
      <c r="N15" s="16"/>
      <c r="O15" s="11"/>
      <c r="P15" s="13"/>
      <c r="Q15" s="14">
        <f t="shared" ca="1" si="6"/>
        <v>5196.2391928306743</v>
      </c>
      <c r="R15" s="16">
        <f t="shared" ca="1" si="4"/>
        <v>5196.2391928306743</v>
      </c>
    </row>
    <row r="16" spans="1:20">
      <c r="A16" s="30" t="s">
        <v>89</v>
      </c>
      <c r="B16" s="21">
        <f ca="1">Q2</f>
        <v>7013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7013</v>
      </c>
      <c r="M16" s="19"/>
      <c r="N16" s="19"/>
      <c r="O16" s="21"/>
      <c r="P16" s="27"/>
      <c r="Q16" s="22">
        <f t="shared" ca="1" si="6"/>
        <v>7013</v>
      </c>
      <c r="R16" s="19">
        <f t="shared" ca="1" si="4"/>
        <v>7013</v>
      </c>
    </row>
    <row r="17" spans="1:18">
      <c r="A17" s="29" t="s">
        <v>88</v>
      </c>
      <c r="B17" s="9">
        <f ca="1">B16</f>
        <v>7013</v>
      </c>
      <c r="C17" s="9">
        <f ca="1">SUM(C$2:C$11)</f>
        <v>4231.9110395491598</v>
      </c>
      <c r="D17" s="9">
        <f ca="1">SUM(D$2:D$11)</f>
        <v>5566.1064707658243</v>
      </c>
      <c r="E17" s="9">
        <f ca="1">$Q$5/parameters!$B$4</f>
        <v>8316.0089988050677</v>
      </c>
      <c r="F17" s="9">
        <f t="shared" ref="F17:K17" ca="1" si="7">SUM(F$2:F$11)</f>
        <v>5235.373134328358</v>
      </c>
      <c r="G17" s="9">
        <f t="shared" ca="1" si="7"/>
        <v>12491.159874608151</v>
      </c>
      <c r="H17" s="9">
        <f t="shared" ca="1" si="7"/>
        <v>16864.82</v>
      </c>
      <c r="I17" s="9">
        <f t="shared" ca="1" si="7"/>
        <v>8171.5978319222068</v>
      </c>
      <c r="J17" s="9">
        <f t="shared" ca="1" si="7"/>
        <v>6847.8821680777928</v>
      </c>
      <c r="K17" s="9">
        <f t="shared" ca="1" si="7"/>
        <v>17070.872318634421</v>
      </c>
      <c r="L17" s="17">
        <f t="shared" ca="1" si="5"/>
        <v>91808.731836690975</v>
      </c>
      <c r="M17" s="17"/>
      <c r="N17" s="17"/>
      <c r="O17" s="9"/>
      <c r="P17" s="14"/>
      <c r="Q17" s="11">
        <f t="shared" ca="1" si="6"/>
        <v>91808.731836690975</v>
      </c>
      <c r="R17" s="17">
        <f t="shared" ca="1" si="4"/>
        <v>91808.731836690975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0.91264892783468032</v>
      </c>
      <c r="J18" s="39">
        <f ca="1">I18</f>
        <v>0.91264892783468032</v>
      </c>
      <c r="K18" s="40">
        <f ca="1">1-(-K13)/K17</f>
        <v>0.89410019061325674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242.50276743483948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242.50276743483948</v>
      </c>
      <c r="M2" s="17"/>
      <c r="N2" s="17">
        <f ca="1">Q2-(L2+O2+P2)</f>
        <v>0</v>
      </c>
      <c r="O2" s="11" cm="1">
        <f t="array" aca="1" ref="O2" ca="1">INDIRECT("'data'!$F$" &amp; $A$1)</f>
        <v>780</v>
      </c>
      <c r="P2" s="13">
        <f ca="1">IF(-(L2-Q2+O2)&lt;0, -(L2-Q2+O2), 0)</f>
        <v>-492.50276743483948</v>
      </c>
      <c r="Q2" s="17" cm="1">
        <f t="array" aca="1" ref="Q2" ca="1">INDIRECT("'data'!$D$" &amp; $A$1)</f>
        <v>530</v>
      </c>
      <c r="R2" s="17">
        <f ca="1">SUM(L2:P2)</f>
        <v>530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257.03999999999996</v>
      </c>
      <c r="H3" s="14"/>
      <c r="I3" s="14"/>
      <c r="J3" s="14"/>
      <c r="K3" s="13"/>
      <c r="L3" s="16">
        <f t="shared" ca="1" si="0"/>
        <v>257.03999999999996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-16.064999999999998</v>
      </c>
      <c r="Q3" s="16" cm="1">
        <f t="array" aca="1" ref="Q3" ca="1">INDIRECT("'data'!$G$" &amp; $A$1)*parameters!$B$13</f>
        <v>240.97499999999999</v>
      </c>
      <c r="R3" s="16">
        <f t="shared" ref="R3:R10" ca="1" si="2">SUM(L3:P3)</f>
        <v>240.97499999999997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2047.0352351097181</v>
      </c>
      <c r="H5" s="14"/>
      <c r="I5" s="14"/>
      <c r="J5" s="14"/>
      <c r="K5" s="13"/>
      <c r="L5" s="16">
        <f t="shared" ca="1" si="0"/>
        <v>2047.0352351097181</v>
      </c>
      <c r="M5" s="16"/>
      <c r="N5" s="50">
        <f ca="1">$E$14*parameters!$B$4-$P$5-$L$5-$O$5</f>
        <v>9.3218928902833795</v>
      </c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-835.93999999999994</v>
      </c>
      <c r="Q5" s="16">
        <f ca="1">SUM(L5:P5)</f>
        <v>1220.4171280000014</v>
      </c>
      <c r="R5" s="16">
        <f t="shared" ca="1" si="2"/>
        <v>1220.4171280000014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2205</v>
      </c>
      <c r="I7" s="14"/>
      <c r="J7" s="14"/>
      <c r="K7" s="13"/>
      <c r="L7" s="16">
        <f t="shared" ca="1" si="0"/>
        <v>2205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2205</v>
      </c>
      <c r="R7" s="16">
        <f t="shared" ca="1" si="2"/>
        <v>2205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4047.4</v>
      </c>
      <c r="J8" s="14">
        <f ca="1">Q10/J18</f>
        <v>0</v>
      </c>
      <c r="K8" s="13"/>
      <c r="L8" s="16">
        <f t="shared" ca="1" si="0"/>
        <v>4047.4</v>
      </c>
      <c r="M8" s="16"/>
      <c r="N8" s="16">
        <f t="shared" ca="1" si="3"/>
        <v>0</v>
      </c>
      <c r="O8" s="11" cm="1">
        <f t="array" aca="1" ref="O8" ca="1">INDIRECT("'data'!$R$" &amp; $A$1)*parameters!$B$15</f>
        <v>388.08</v>
      </c>
      <c r="P8" s="13" cm="1">
        <f t="array" aca="1" ref="P8" ca="1">-INDIRECT("'data'!$S$" &amp; $A$1)*parameters!$B$15</f>
        <v>-2230.48</v>
      </c>
      <c r="Q8" s="16">
        <f ca="1">SUM(Q6:Q7)</f>
        <v>2205</v>
      </c>
      <c r="R8" s="16">
        <f t="shared" ca="1" si="2"/>
        <v>2205.0000000000005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7573.44</v>
      </c>
      <c r="L9" s="16">
        <f t="shared" ca="1" si="0"/>
        <v>7573.44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-3783.7799999999997</v>
      </c>
      <c r="Q9" s="16" cm="1">
        <f t="array" aca="1" ref="Q9" ca="1">INDIRECT("'data'!$T$" &amp; $A$1)*parameters!$B$15</f>
        <v>3789.66</v>
      </c>
      <c r="R9" s="16">
        <f t="shared" ca="1" si="2"/>
        <v>3789.66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4707.92</v>
      </c>
      <c r="L10" s="16">
        <f t="shared" ca="1" si="0"/>
        <v>4707.92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-4707.92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11758.784799999999</v>
      </c>
      <c r="N11" s="19"/>
      <c r="O11" s="21" cm="1">
        <f t="array" aca="1" ref="O11" ca="1">INDIRECT("'data'!$Z$" &amp; $A$1)*parameters!$B$15</f>
        <v>407.68</v>
      </c>
      <c r="P11" s="27" cm="1">
        <f t="array" aca="1" ref="P11" ca="1">-INDIRECT("'data'!$AA$" &amp; $A$1)*parameters!$B$15</f>
        <v>-998.62</v>
      </c>
      <c r="Q11" s="16">
        <f ca="1">K9*parameters!$B$10+K10*parameters!$B$11</f>
        <v>11167.844799999999</v>
      </c>
      <c r="R11" s="16">
        <f t="shared" ref="R11:R17" ca="1" si="4">SUM(L11:P11)</f>
        <v>11167.844799999999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-1.5277674348394896</v>
      </c>
      <c r="D12" s="9">
        <f ca="1">-(D17-Q4)</f>
        <v>0</v>
      </c>
      <c r="E12" s="9">
        <f ca="1">-(E17-Q5)</f>
        <v>-150.83807200000024</v>
      </c>
      <c r="F12" s="9">
        <f ca="1">-(F17-Q6)</f>
        <v>0</v>
      </c>
      <c r="G12" s="9">
        <f ca="1">-(G17-Q7)</f>
        <v>-99.075235109718051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-251.44107454455778</v>
      </c>
      <c r="M12" s="17"/>
      <c r="N12" s="17"/>
      <c r="O12" s="10"/>
      <c r="P12" s="12"/>
      <c r="Q12" s="9">
        <f t="shared" ref="Q12:Q17" ca="1" si="6">SUM(L12:P12)</f>
        <v>-251.44107454455778</v>
      </c>
      <c r="R12" s="17">
        <f t="shared" ca="1" si="4"/>
        <v>-251.44107454455778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-257.74000000000024</v>
      </c>
      <c r="J13" s="14">
        <f ca="1">-(J17-Q10)</f>
        <v>0</v>
      </c>
      <c r="K13" s="13">
        <f ca="1">-(K17-Q11)</f>
        <v>-1113.5152000000016</v>
      </c>
      <c r="L13" s="14">
        <f t="shared" ca="1" si="5"/>
        <v>-1371.2552000000019</v>
      </c>
      <c r="M13" s="16">
        <f ca="1">-E15</f>
        <v>0</v>
      </c>
      <c r="N13" s="16"/>
      <c r="O13" s="11"/>
      <c r="P13" s="13"/>
      <c r="Q13" s="14">
        <f t="shared" ca="1" si="6"/>
        <v>-1371.2552000000019</v>
      </c>
      <c r="R13" s="16">
        <f t="shared" ca="1" si="4"/>
        <v>-1371.2552000000019</v>
      </c>
    </row>
    <row r="14" spans="1:20">
      <c r="A14" s="18" t="s">
        <v>78</v>
      </c>
      <c r="B14" s="11"/>
      <c r="C14" s="14"/>
      <c r="D14" s="14"/>
      <c r="E14" s="14">
        <f ca="1">-(I13+J13)-K13</f>
        <v>1371.2552000000019</v>
      </c>
      <c r="F14" s="14"/>
      <c r="G14" s="14"/>
      <c r="H14" s="14"/>
      <c r="I14" s="14"/>
      <c r="J14" s="14"/>
      <c r="K14" s="13"/>
      <c r="L14" s="14">
        <f t="shared" ca="1" si="5"/>
        <v>1371.2552000000019</v>
      </c>
      <c r="M14" s="16"/>
      <c r="N14" s="16"/>
      <c r="O14" s="11"/>
      <c r="P14" s="13"/>
      <c r="Q14" s="14">
        <f t="shared" ca="1" si="6"/>
        <v>1371.2552000000019</v>
      </c>
      <c r="R14" s="16">
        <f t="shared" ca="1" si="4"/>
        <v>1371.2552000000019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530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530</v>
      </c>
      <c r="M16" s="19"/>
      <c r="N16" s="19"/>
      <c r="O16" s="21"/>
      <c r="P16" s="27"/>
      <c r="Q16" s="22">
        <f t="shared" ca="1" si="6"/>
        <v>530</v>
      </c>
      <c r="R16" s="19">
        <f t="shared" ca="1" si="4"/>
        <v>530</v>
      </c>
    </row>
    <row r="17" spans="1:18">
      <c r="A17" s="29" t="s">
        <v>88</v>
      </c>
      <c r="B17" s="9">
        <f ca="1">B16</f>
        <v>530</v>
      </c>
      <c r="C17" s="9">
        <f ca="1">SUM(C$2:C$11)</f>
        <v>242.50276743483948</v>
      </c>
      <c r="D17" s="9">
        <f ca="1">SUM(D$2:D$11)</f>
        <v>0</v>
      </c>
      <c r="E17" s="9">
        <f ca="1">$Q$5/parameters!$B$4</f>
        <v>1371.2552000000017</v>
      </c>
      <c r="F17" s="9">
        <f t="shared" ref="F17:K17" ca="1" si="7">SUM(F$2:F$11)</f>
        <v>0</v>
      </c>
      <c r="G17" s="9">
        <f t="shared" ca="1" si="7"/>
        <v>2304.0752351097181</v>
      </c>
      <c r="H17" s="9">
        <f t="shared" ca="1" si="7"/>
        <v>2205</v>
      </c>
      <c r="I17" s="9">
        <f t="shared" ca="1" si="7"/>
        <v>4047.4</v>
      </c>
      <c r="J17" s="9">
        <f t="shared" ca="1" si="7"/>
        <v>0</v>
      </c>
      <c r="K17" s="9">
        <f t="shared" ca="1" si="7"/>
        <v>12281.36</v>
      </c>
      <c r="L17" s="17">
        <f t="shared" ca="1" si="5"/>
        <v>22981.593202544558</v>
      </c>
      <c r="M17" s="17"/>
      <c r="N17" s="17"/>
      <c r="O17" s="9"/>
      <c r="P17" s="14"/>
      <c r="Q17" s="11">
        <f t="shared" ca="1" si="6"/>
        <v>22981.593202544558</v>
      </c>
      <c r="R17" s="17">
        <f t="shared" ca="1" si="4"/>
        <v>22981.593202544558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0.93631961259079899</v>
      </c>
      <c r="J18" s="39">
        <f ca="1">I18</f>
        <v>0.93631961259079899</v>
      </c>
      <c r="K18" s="40">
        <f ca="1">1-(-K13)/K17</f>
        <v>0.90933290775614417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10814.672436348998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10814.672436348998</v>
      </c>
      <c r="M2" s="17"/>
      <c r="N2" s="17">
        <f ca="1">Q2-(L2+O2+P2)</f>
        <v>0</v>
      </c>
      <c r="O2" s="11" cm="1">
        <f t="array" aca="1" ref="O2" ca="1">INDIRECT("'data'!$F$" &amp; $A$1)</f>
        <v>37.700000000000003</v>
      </c>
      <c r="P2" s="13">
        <f ca="1">IF(-(L2-Q2+O2)&lt;0, -(L2-Q2+O2), 0)</f>
        <v>-10852.372436348998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8914.8656716417918</v>
      </c>
      <c r="G3" s="14">
        <f ca="1">Q3-O3-P3-F3</f>
        <v>1942.2393283582078</v>
      </c>
      <c r="H3" s="14"/>
      <c r="I3" s="14"/>
      <c r="J3" s="14"/>
      <c r="K3" s="13"/>
      <c r="L3" s="16">
        <f t="shared" ca="1" si="0"/>
        <v>10857.105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83.16</v>
      </c>
      <c r="P3" s="13" cm="1">
        <f t="array" aca="1" ref="P3" ca="1">-INDIRECT("'data'!$I$" &amp; $A$1)*parameters!$B$13</f>
        <v>-193.72499999999999</v>
      </c>
      <c r="Q3" s="16" cm="1">
        <f t="array" aca="1" ref="Q3" ca="1">INDIRECT("'data'!$G$" &amp; $A$1)*parameters!$B$13</f>
        <v>10746.539999999999</v>
      </c>
      <c r="R3" s="16">
        <f t="shared" ref="R3:R10" ca="1" si="2">SUM(L3:P3)</f>
        <v>10746.539999999999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63.480000000000004</v>
      </c>
      <c r="H4" s="14"/>
      <c r="I4" s="14"/>
      <c r="J4" s="14"/>
      <c r="K4" s="13"/>
      <c r="L4" s="16">
        <f t="shared" ca="1" si="0"/>
        <v>63.480000000000004</v>
      </c>
      <c r="M4" s="16"/>
      <c r="N4" s="16">
        <f t="shared" ca="1" si="1"/>
        <v>0</v>
      </c>
      <c r="O4" s="11" cm="1">
        <f t="array" aca="1" ref="O4" ca="1">INDIRECT("'data'!$K$" &amp; $A$1)*parameters!$B$14</f>
        <v>8.2800000000000011</v>
      </c>
      <c r="P4" s="13" cm="1">
        <f t="array" aca="1" ref="P4" ca="1">-INDIRECT("'data'!$L$" &amp; $A$1)*parameters!$B$14</f>
        <v>-71.760000000000005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2228.7164179104479</v>
      </c>
      <c r="G5" s="14">
        <f ca="1">Q7/parameters!$B$7-(G3+G4)</f>
        <v>5380.6338586846341</v>
      </c>
      <c r="H5" s="14"/>
      <c r="I5" s="14"/>
      <c r="J5" s="14"/>
      <c r="K5" s="13"/>
      <c r="L5" s="16">
        <f t="shared" ca="1" si="0"/>
        <v>7609.3502765950816</v>
      </c>
      <c r="M5" s="16"/>
      <c r="N5" s="16"/>
      <c r="O5" s="11" cm="1">
        <f t="array" aca="1" ref="O5" ca="1">INDIRECT("'data'!$M$" &amp; $A$1)*parameters!$B$15</f>
        <v>5680.08</v>
      </c>
      <c r="P5" s="13" cm="1">
        <f t="array" aca="1" ref="P5" ca="1">-INDIRECT("'data'!$N$" &amp; $A$1)*parameters!$B$15</f>
        <v>-3154.62</v>
      </c>
      <c r="Q5" s="16">
        <f ca="1">SUM(L5:P5)</f>
        <v>10134.810276595083</v>
      </c>
      <c r="R5" s="16">
        <f t="shared" ca="1" si="2"/>
        <v>10134.810276595083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10452.68</v>
      </c>
      <c r="I6" s="14"/>
      <c r="J6" s="14"/>
      <c r="K6" s="13"/>
      <c r="L6" s="16">
        <f t="shared" ca="1" si="0"/>
        <v>10452.68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10452.68</v>
      </c>
      <c r="R6" s="16">
        <f t="shared" ca="1" si="2"/>
        <v>10452.68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7068.74</v>
      </c>
      <c r="I7" s="14"/>
      <c r="J7" s="14"/>
      <c r="K7" s="13"/>
      <c r="L7" s="16">
        <f t="shared" ca="1" si="0"/>
        <v>7068.74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7068.74</v>
      </c>
      <c r="R7" s="16">
        <f t="shared" ca="1" si="2"/>
        <v>7068.74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5747.6470550237827</v>
      </c>
      <c r="J8" s="14">
        <f ca="1">Q10/J18</f>
        <v>10729.092944976217</v>
      </c>
      <c r="K8" s="13"/>
      <c r="L8" s="16">
        <f t="shared" ca="1" si="0"/>
        <v>16476.739999999998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2754.7799999999997</v>
      </c>
      <c r="P8" s="13" cm="1">
        <f t="array" aca="1" ref="P8" ca="1">-INDIRECT("'data'!$S$" &amp; $A$1)*parameters!$B$15</f>
        <v>-1710.1</v>
      </c>
      <c r="Q8" s="16">
        <f ca="1">SUM(Q6:Q7)</f>
        <v>17521.419999999998</v>
      </c>
      <c r="R8" s="16">
        <f t="shared" ca="1" si="2"/>
        <v>17521.419999999998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6430.76</v>
      </c>
      <c r="L9" s="16">
        <f t="shared" ca="1" si="0"/>
        <v>6430.76</v>
      </c>
      <c r="M9" s="16"/>
      <c r="N9" s="16">
        <f t="shared" ca="1" si="3"/>
        <v>0</v>
      </c>
      <c r="O9" s="11" cm="1">
        <f t="array" aca="1" ref="O9" ca="1">INDIRECT("'data'!$U$" &amp; $A$1)*parameters!$B$15</f>
        <v>2814.56</v>
      </c>
      <c r="P9" s="13" cm="1">
        <f t="array" aca="1" ref="P9" ca="1">-INDIRECT("'data'!$V$" &amp; $A$1)*parameters!$B$15</f>
        <v>-4036.62</v>
      </c>
      <c r="Q9" s="16" cm="1">
        <f t="array" aca="1" ref="Q9" ca="1">INDIRECT("'data'!$T$" &amp; $A$1)*parameters!$B$15</f>
        <v>5208.7</v>
      </c>
      <c r="R9" s="16">
        <f t="shared" ca="1" si="2"/>
        <v>5208.7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9475.104210526315</v>
      </c>
      <c r="L10" s="16">
        <f t="shared" ca="1" si="0"/>
        <v>9475.104210526315</v>
      </c>
      <c r="M10" s="16"/>
      <c r="N10" s="16">
        <f t="shared" ca="1" si="3"/>
        <v>0</v>
      </c>
      <c r="O10" s="11" cm="1">
        <f t="array" aca="1" ref="O10" ca="1">INDIRECT("'data'!$X$" &amp; $A$1)*parameters!$B$15</f>
        <v>9672.6</v>
      </c>
      <c r="P10" s="13" cm="1">
        <f t="array" aca="1" ref="P10" ca="1">-INDIRECT("'data'!$Y$" &amp; $A$1)*parameters!$B$15</f>
        <v>-9424.66</v>
      </c>
      <c r="Q10" s="16" cm="1">
        <f t="array" aca="1" ref="Q10" ca="1">INDIRECT("'data'!$W$" &amp; $A$1)*parameters!$B$15</f>
        <v>9723.0442105263155</v>
      </c>
      <c r="R10" s="16">
        <f t="shared" ca="1" si="2"/>
        <v>9723.0442105263173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17168.784021052634</v>
      </c>
      <c r="N11" s="19"/>
      <c r="O11" s="21" cm="1">
        <f t="array" aca="1" ref="O11" ca="1">INDIRECT("'data'!$Z$" &amp; $A$1)*parameters!$B$15</f>
        <v>11095.56</v>
      </c>
      <c r="P11" s="27" cm="1">
        <f t="array" aca="1" ref="P11" ca="1">-INDIRECT("'data'!$AA$" &amp; $A$1)*parameters!$B$15</f>
        <v>-14070.84</v>
      </c>
      <c r="Q11" s="16">
        <f ca="1">K9*parameters!$B$10+K10*parameters!$B$11</f>
        <v>14193.504021052631</v>
      </c>
      <c r="R11" s="16">
        <f t="shared" ref="R11:R17" ca="1" si="4">SUM(L11:P11)</f>
        <v>14193.504021052631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-68.132436348998453</v>
      </c>
      <c r="D12" s="9">
        <f ca="1">-(D17-Q4)</f>
        <v>0</v>
      </c>
      <c r="E12" s="9">
        <f ca="1">-(E17-Q5)</f>
        <v>-1252.6170004780433</v>
      </c>
      <c r="F12" s="9">
        <f ca="1">-(F17-Q6)</f>
        <v>-690.90208955223898</v>
      </c>
      <c r="G12" s="9">
        <f ca="1">-(G17-Q7)</f>
        <v>-317.61318704284167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-2329.2647134221224</v>
      </c>
      <c r="M12" s="17"/>
      <c r="N12" s="17"/>
      <c r="O12" s="10"/>
      <c r="P12" s="12"/>
      <c r="Q12" s="9">
        <f t="shared" ref="Q12:Q17" ca="1" si="6">SUM(L12:P12)</f>
        <v>-2329.2647134221224</v>
      </c>
      <c r="R12" s="17">
        <f t="shared" ca="1" si="4"/>
        <v>-2329.2647134221224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-538.94705502378292</v>
      </c>
      <c r="J13" s="14">
        <f ca="1">-(J17-Q10)</f>
        <v>-1006.0487344499015</v>
      </c>
      <c r="K13" s="13">
        <f ca="1">-(K17-Q11)</f>
        <v>-1712.3601894736839</v>
      </c>
      <c r="L13" s="14">
        <f t="shared" ca="1" si="5"/>
        <v>-3257.3559789473684</v>
      </c>
      <c r="M13" s="16">
        <f ca="1">-E15</f>
        <v>-8130.0712981257575</v>
      </c>
      <c r="N13" s="16"/>
      <c r="O13" s="11"/>
      <c r="P13" s="13"/>
      <c r="Q13" s="14">
        <f t="shared" ca="1" si="6"/>
        <v>-11387.427277073126</v>
      </c>
      <c r="R13" s="16">
        <f t="shared" ca="1" si="4"/>
        <v>-11387.427277073126</v>
      </c>
    </row>
    <row r="14" spans="1:20">
      <c r="A14" s="18" t="s">
        <v>78</v>
      </c>
      <c r="B14" s="11"/>
      <c r="C14" s="14"/>
      <c r="D14" s="14"/>
      <c r="E14" s="14">
        <f ca="1">-(I13+J13)-K13</f>
        <v>3257.3559789473684</v>
      </c>
      <c r="F14" s="14"/>
      <c r="G14" s="14"/>
      <c r="H14" s="14"/>
      <c r="I14" s="14"/>
      <c r="J14" s="14"/>
      <c r="K14" s="13"/>
      <c r="L14" s="14">
        <f t="shared" ca="1" si="5"/>
        <v>3257.3559789473684</v>
      </c>
      <c r="M14" s="16"/>
      <c r="N14" s="16"/>
      <c r="O14" s="11"/>
      <c r="P14" s="13"/>
      <c r="Q14" s="14">
        <f t="shared" ca="1" si="6"/>
        <v>3257.3559789473684</v>
      </c>
      <c r="R14" s="16">
        <f t="shared" ca="1" si="4"/>
        <v>3257.3559789473684</v>
      </c>
    </row>
    <row r="15" spans="1:20">
      <c r="A15" s="18" t="s">
        <v>79</v>
      </c>
      <c r="B15" s="11"/>
      <c r="C15" s="14"/>
      <c r="D15" s="14"/>
      <c r="E15" s="14">
        <f ca="1">E17-E14</f>
        <v>8130.0712981257575</v>
      </c>
      <c r="F15" s="14"/>
      <c r="G15" s="14"/>
      <c r="H15" s="14"/>
      <c r="I15" s="14"/>
      <c r="J15" s="14"/>
      <c r="K15" s="13"/>
      <c r="L15" s="14">
        <f t="shared" ca="1" si="5"/>
        <v>8130.0712981257575</v>
      </c>
      <c r="M15" s="16"/>
      <c r="N15" s="16"/>
      <c r="O15" s="11"/>
      <c r="P15" s="13"/>
      <c r="Q15" s="14">
        <f t="shared" ca="1" si="6"/>
        <v>8130.0712981257575</v>
      </c>
      <c r="R15" s="16">
        <f t="shared" ca="1" si="4"/>
        <v>8130.0712981257575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10814.672436348998</v>
      </c>
      <c r="D17" s="9">
        <f ca="1">SUM(D$2:D$11)</f>
        <v>0</v>
      </c>
      <c r="E17" s="9">
        <f ca="1">$Q$5/parameters!$B$4</f>
        <v>11387.427277073126</v>
      </c>
      <c r="F17" s="9">
        <f t="shared" ref="F17:K17" ca="1" si="7">SUM(F$2:F$11)</f>
        <v>11143.582089552239</v>
      </c>
      <c r="G17" s="9">
        <f t="shared" ca="1" si="7"/>
        <v>7386.3531870428415</v>
      </c>
      <c r="H17" s="9">
        <f t="shared" ca="1" si="7"/>
        <v>17521.419999999998</v>
      </c>
      <c r="I17" s="9">
        <f t="shared" ca="1" si="7"/>
        <v>5747.6470550237827</v>
      </c>
      <c r="J17" s="9">
        <f t="shared" ca="1" si="7"/>
        <v>10729.092944976217</v>
      </c>
      <c r="K17" s="9">
        <f t="shared" ca="1" si="7"/>
        <v>15905.864210526315</v>
      </c>
      <c r="L17" s="17">
        <f t="shared" ca="1" si="5"/>
        <v>90636.059200543517</v>
      </c>
      <c r="M17" s="17"/>
      <c r="N17" s="17"/>
      <c r="O17" s="9"/>
      <c r="P17" s="14"/>
      <c r="Q17" s="11">
        <f t="shared" ca="1" si="6"/>
        <v>90636.059200543517</v>
      </c>
      <c r="R17" s="17">
        <f t="shared" ca="1" si="4"/>
        <v>90636.059200543517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0.90623170666808583</v>
      </c>
      <c r="J18" s="39">
        <f ca="1">I18</f>
        <v>0.90623170666808583</v>
      </c>
      <c r="K18" s="40">
        <f ca="1">1-(-K13)/K17</f>
        <v>0.89234409606361009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3598.550870484049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3598.550870484049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-3598.550870484049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3399.2835820895525</v>
      </c>
      <c r="G3" s="14">
        <f ca="1">Q3-O3-P3-F3</f>
        <v>817.30641791044764</v>
      </c>
      <c r="H3" s="14"/>
      <c r="I3" s="14"/>
      <c r="J3" s="14"/>
      <c r="K3" s="13"/>
      <c r="L3" s="16">
        <f t="shared" ca="1" si="0"/>
        <v>4216.59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9.4499999999999993</v>
      </c>
      <c r="P3" s="13" cm="1">
        <f t="array" aca="1" ref="P3" ca="1">-INDIRECT("'data'!$I$" &amp; $A$1)*parameters!$B$13</f>
        <v>-650.16</v>
      </c>
      <c r="Q3" s="16" cm="1">
        <f t="array" aca="1" ref="Q3" ca="1">INDIRECT("'data'!$G$" &amp; $A$1)*parameters!$B$13</f>
        <v>3575.8799999999997</v>
      </c>
      <c r="R3" s="16">
        <f t="shared" ref="R3:R10" ca="1" si="2">SUM(L3:P3)</f>
        <v>3575.88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516.12</v>
      </c>
      <c r="H4" s="14"/>
      <c r="I4" s="14"/>
      <c r="J4" s="14"/>
      <c r="K4" s="13"/>
      <c r="L4" s="16">
        <f t="shared" ca="1" si="0"/>
        <v>516.12</v>
      </c>
      <c r="M4" s="16"/>
      <c r="N4" s="16">
        <f t="shared" ca="1" si="1"/>
        <v>0</v>
      </c>
      <c r="O4" s="11" cm="1">
        <f t="array" aca="1" ref="O4" ca="1">INDIRECT("'data'!$K$" &amp; $A$1)*parameters!$B$14</f>
        <v>2.7600000000000002</v>
      </c>
      <c r="P4" s="13" cm="1">
        <f t="array" aca="1" ref="P4" ca="1">-INDIRECT("'data'!$L$" &amp; $A$1)*parameters!$B$14</f>
        <v>-518.88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849.82089552238813</v>
      </c>
      <c r="G5" s="14">
        <f ca="1">Q7/parameters!$B$7-(G3+G4)</f>
        <v>13589.812871535738</v>
      </c>
      <c r="H5" s="14"/>
      <c r="I5" s="14"/>
      <c r="J5" s="14"/>
      <c r="K5" s="13"/>
      <c r="L5" s="16">
        <f t="shared" ca="1" si="0"/>
        <v>14439.633767058127</v>
      </c>
      <c r="M5" s="16"/>
      <c r="N5" s="16"/>
      <c r="O5" s="11" cm="1">
        <f t="array" aca="1" ref="O5" ca="1">INDIRECT("'data'!$M$" &amp; $A$1)*parameters!$B$15</f>
        <v>210.7</v>
      </c>
      <c r="P5" s="13" cm="1">
        <f t="array" aca="1" ref="P5" ca="1">-INDIRECT("'data'!$N$" &amp; $A$1)*parameters!$B$15</f>
        <v>-6523.86</v>
      </c>
      <c r="Q5" s="16">
        <f ca="1">SUM(L5:P5)</f>
        <v>8126.473767058128</v>
      </c>
      <c r="R5" s="16">
        <f t="shared" ca="1" si="2"/>
        <v>8126.473767058128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3985.66</v>
      </c>
      <c r="I6" s="14"/>
      <c r="J6" s="14"/>
      <c r="K6" s="13"/>
      <c r="L6" s="16">
        <f t="shared" ca="1" si="0"/>
        <v>3985.66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3985.66</v>
      </c>
      <c r="R6" s="16">
        <f t="shared" ca="1" si="2"/>
        <v>3985.66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14281.539999999999</v>
      </c>
      <c r="I7" s="14"/>
      <c r="J7" s="14"/>
      <c r="K7" s="13"/>
      <c r="L7" s="16">
        <f t="shared" ca="1" si="0"/>
        <v>14281.539999999999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14281.539999999999</v>
      </c>
      <c r="R7" s="16">
        <f t="shared" ca="1" si="2"/>
        <v>14281.539999999999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13446.010609836383</v>
      </c>
      <c r="J8" s="14">
        <f ca="1">Q10/J18</f>
        <v>6072.6493901636168</v>
      </c>
      <c r="K8" s="13"/>
      <c r="L8" s="16">
        <f t="shared" ca="1" si="0"/>
        <v>19518.66</v>
      </c>
      <c r="M8" s="16"/>
      <c r="N8" s="16">
        <f t="shared" ca="1" si="3"/>
        <v>0</v>
      </c>
      <c r="O8" s="11" cm="1">
        <f t="array" aca="1" ref="O8" ca="1">INDIRECT("'data'!$R$" &amp; $A$1)*parameters!$B$15</f>
        <v>304.77999999999997</v>
      </c>
      <c r="P8" s="13" cm="1">
        <f t="array" aca="1" ref="P8" ca="1">-INDIRECT("'data'!$S$" &amp; $A$1)*parameters!$B$15</f>
        <v>-1556.24</v>
      </c>
      <c r="Q8" s="16">
        <f ca="1">SUM(Q6:Q7)</f>
        <v>18267.199999999997</v>
      </c>
      <c r="R8" s="16">
        <f t="shared" ca="1" si="2"/>
        <v>18267.199999999997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8628.9000000000015</v>
      </c>
      <c r="L9" s="16">
        <f t="shared" ca="1" si="0"/>
        <v>8628.9000000000015</v>
      </c>
      <c r="M9" s="16"/>
      <c r="N9" s="16">
        <f t="shared" ca="1" si="3"/>
        <v>0</v>
      </c>
      <c r="O9" s="11" cm="1">
        <f t="array" aca="1" ref="O9" ca="1">INDIRECT("'data'!$U$" &amp; $A$1)*parameters!$B$15</f>
        <v>5525.24</v>
      </c>
      <c r="P9" s="13" cm="1">
        <f t="array" aca="1" ref="P9" ca="1">-INDIRECT("'data'!$V$" &amp; $A$1)*parameters!$B$15</f>
        <v>-2023.7</v>
      </c>
      <c r="Q9" s="16" cm="1">
        <f t="array" aca="1" ref="Q9" ca="1">INDIRECT("'data'!$T$" &amp; $A$1)*parameters!$B$15</f>
        <v>12130.44</v>
      </c>
      <c r="R9" s="16">
        <f t="shared" ca="1" si="2"/>
        <v>12130.44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9769.9155334281641</v>
      </c>
      <c r="L10" s="16">
        <f t="shared" ca="1" si="0"/>
        <v>9769.9155334281641</v>
      </c>
      <c r="M10" s="16"/>
      <c r="N10" s="16">
        <f t="shared" ca="1" si="3"/>
        <v>0</v>
      </c>
      <c r="O10" s="11" cm="1">
        <f t="array" aca="1" ref="O10" ca="1">INDIRECT("'data'!$X$" &amp; $A$1)*parameters!$B$15</f>
        <v>2499</v>
      </c>
      <c r="P10" s="13" cm="1">
        <f t="array" aca="1" ref="P10" ca="1">-INDIRECT("'data'!$Y$" &amp; $A$1)*parameters!$B$15</f>
        <v>-6790.42</v>
      </c>
      <c r="Q10" s="16" cm="1">
        <f t="array" aca="1" ref="Q10" ca="1">INDIRECT("'data'!$W$" &amp; $A$1)*parameters!$B$15</f>
        <v>5478.4955334281649</v>
      </c>
      <c r="R10" s="16">
        <f t="shared" ca="1" si="2"/>
        <v>5478.495533428164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15414.713358748222</v>
      </c>
      <c r="N11" s="19"/>
      <c r="O11" s="21" cm="1">
        <f t="array" aca="1" ref="O11" ca="1">INDIRECT("'data'!$Z$" &amp; $A$1)*parameters!$B$15</f>
        <v>9468.76</v>
      </c>
      <c r="P11" s="27" cm="1">
        <f t="array" aca="1" ref="P11" ca="1">-INDIRECT("'data'!$AA$" &amp; $A$1)*parameters!$B$15</f>
        <v>-8370.18</v>
      </c>
      <c r="Q11" s="16">
        <f ca="1">K9*parameters!$B$10+K10*parameters!$B$11</f>
        <v>16513.293358748222</v>
      </c>
      <c r="R11" s="16">
        <f t="shared" ref="R11:R17" ca="1" si="4">SUM(L11:P11)</f>
        <v>16513.293358748222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-22.670870484049374</v>
      </c>
      <c r="D12" s="9">
        <f ca="1">-(D17-Q4)</f>
        <v>0</v>
      </c>
      <c r="E12" s="9">
        <f ca="1">-(E17-Q5)</f>
        <v>-1004.3956341307794</v>
      </c>
      <c r="F12" s="9">
        <f ca="1">-(F17-Q6)</f>
        <v>-263.44447761194078</v>
      </c>
      <c r="G12" s="9">
        <f ca="1">-(G17-Q7)</f>
        <v>-641.6992894461855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-1932.2102716729551</v>
      </c>
      <c r="M12" s="17"/>
      <c r="N12" s="17"/>
      <c r="O12" s="10"/>
      <c r="P12" s="12"/>
      <c r="Q12" s="9">
        <f t="shared" ref="Q12:Q17" ca="1" si="6">SUM(L12:P12)</f>
        <v>-1932.2102716729551</v>
      </c>
      <c r="R12" s="17">
        <f t="shared" ca="1" si="4"/>
        <v>-1932.2102716729551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-1315.5706098363826</v>
      </c>
      <c r="J13" s="14">
        <f ca="1">-(J17-Q10)</f>
        <v>-594.15385673545188</v>
      </c>
      <c r="K13" s="13">
        <f ca="1">-(K17-Q11)</f>
        <v>-1885.5221746799434</v>
      </c>
      <c r="L13" s="14">
        <f t="shared" ca="1" si="5"/>
        <v>-3795.2466412517779</v>
      </c>
      <c r="M13" s="16">
        <f ca="1">-E15</f>
        <v>-5335.6227599371296</v>
      </c>
      <c r="N13" s="16"/>
      <c r="O13" s="11"/>
      <c r="P13" s="13"/>
      <c r="Q13" s="14">
        <f t="shared" ca="1" si="6"/>
        <v>-9130.8694011889074</v>
      </c>
      <c r="R13" s="16">
        <f t="shared" ca="1" si="4"/>
        <v>-9130.8694011889074</v>
      </c>
    </row>
    <row r="14" spans="1:20">
      <c r="A14" s="18" t="s">
        <v>78</v>
      </c>
      <c r="B14" s="11"/>
      <c r="C14" s="14"/>
      <c r="D14" s="14"/>
      <c r="E14" s="14">
        <f ca="1">-(I13+J13)-K13</f>
        <v>3795.2466412517779</v>
      </c>
      <c r="F14" s="14"/>
      <c r="G14" s="14"/>
      <c r="H14" s="14"/>
      <c r="I14" s="14"/>
      <c r="J14" s="14"/>
      <c r="K14" s="13"/>
      <c r="L14" s="14">
        <f t="shared" ca="1" si="5"/>
        <v>3795.2466412517779</v>
      </c>
      <c r="M14" s="16"/>
      <c r="N14" s="16"/>
      <c r="O14" s="11"/>
      <c r="P14" s="13"/>
      <c r="Q14" s="14">
        <f t="shared" ca="1" si="6"/>
        <v>3795.2466412517779</v>
      </c>
      <c r="R14" s="16">
        <f t="shared" ca="1" si="4"/>
        <v>3795.2466412517779</v>
      </c>
    </row>
    <row r="15" spans="1:20">
      <c r="A15" s="18" t="s">
        <v>79</v>
      </c>
      <c r="B15" s="11"/>
      <c r="C15" s="14"/>
      <c r="D15" s="14"/>
      <c r="E15" s="14">
        <f ca="1">E17-E14</f>
        <v>5335.6227599371296</v>
      </c>
      <c r="F15" s="14"/>
      <c r="G15" s="14"/>
      <c r="H15" s="14"/>
      <c r="I15" s="14"/>
      <c r="J15" s="14"/>
      <c r="K15" s="13"/>
      <c r="L15" s="14">
        <f t="shared" ca="1" si="5"/>
        <v>5335.6227599371296</v>
      </c>
      <c r="M15" s="16"/>
      <c r="N15" s="16"/>
      <c r="O15" s="11"/>
      <c r="P15" s="13"/>
      <c r="Q15" s="14">
        <f t="shared" ca="1" si="6"/>
        <v>5335.6227599371296</v>
      </c>
      <c r="R15" s="16">
        <f t="shared" ca="1" si="4"/>
        <v>5335.6227599371296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3598.550870484049</v>
      </c>
      <c r="D17" s="9">
        <f ca="1">SUM(D$2:D$11)</f>
        <v>0</v>
      </c>
      <c r="E17" s="9">
        <f ca="1">$Q$5/parameters!$B$4</f>
        <v>9130.8694011889074</v>
      </c>
      <c r="F17" s="9">
        <f t="shared" ref="F17:K17" ca="1" si="7">SUM(F$2:F$11)</f>
        <v>4249.1044776119406</v>
      </c>
      <c r="G17" s="9">
        <f t="shared" ca="1" si="7"/>
        <v>14923.239289446185</v>
      </c>
      <c r="H17" s="9">
        <f t="shared" ca="1" si="7"/>
        <v>18267.199999999997</v>
      </c>
      <c r="I17" s="9">
        <f t="shared" ca="1" si="7"/>
        <v>13446.010609836383</v>
      </c>
      <c r="J17" s="9">
        <f t="shared" ca="1" si="7"/>
        <v>6072.6493901636168</v>
      </c>
      <c r="K17" s="9">
        <f t="shared" ca="1" si="7"/>
        <v>18398.815533428166</v>
      </c>
      <c r="L17" s="17">
        <f t="shared" ca="1" si="5"/>
        <v>88086.439572159245</v>
      </c>
      <c r="M17" s="17"/>
      <c r="N17" s="17"/>
      <c r="O17" s="9"/>
      <c r="P17" s="14"/>
      <c r="Q17" s="11">
        <f t="shared" ca="1" si="6"/>
        <v>88086.439572159245</v>
      </c>
      <c r="R17" s="17">
        <f t="shared" ca="1" si="4"/>
        <v>88086.439572159245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0.902159038244847</v>
      </c>
      <c r="J18" s="39">
        <f ca="1">I18</f>
        <v>0.902159038244847</v>
      </c>
      <c r="K18" s="40">
        <f ca="1">1-(-K13)/K17</f>
        <v>0.89751937176313312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8340.1932172687921</v>
      </c>
      <c r="D2" s="9">
        <f ca="1">Q4/parameters!$B$3</f>
        <v>651.78625339639734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8991.9794706651901</v>
      </c>
      <c r="M2" s="17"/>
      <c r="N2" s="17">
        <f ca="1">Q2-(L2+O2+P2)</f>
        <v>0</v>
      </c>
      <c r="O2" s="11" cm="1">
        <f t="array" aca="1" ref="O2" ca="1">INDIRECT("'data'!$F$" &amp; $A$1)</f>
        <v>18236.400000000001</v>
      </c>
      <c r="P2" s="13">
        <f ca="1">IF(-(L2-Q2+O2)&lt;0, -(L2-Q2+O2), 0)</f>
        <v>-7528.3794706651915</v>
      </c>
      <c r="Q2" s="17" cm="1">
        <f t="array" aca="1" ref="Q2" ca="1">INDIRECT("'data'!$D$" &amp; $A$1)</f>
        <v>19700</v>
      </c>
      <c r="R2" s="17">
        <f ca="1">SUM(L2:P2)</f>
        <v>19700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7338.5074626865662</v>
      </c>
      <c r="G3" s="14">
        <f ca="1">Q3-O3-P3-F3</f>
        <v>830.0725373134328</v>
      </c>
      <c r="H3" s="14"/>
      <c r="I3" s="14"/>
      <c r="J3" s="14"/>
      <c r="K3" s="13"/>
      <c r="L3" s="16">
        <f t="shared" ca="1" si="0"/>
        <v>8168.579999999999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172.935</v>
      </c>
      <c r="P3" s="13" cm="1">
        <f t="array" aca="1" ref="P3" ca="1">-INDIRECT("'data'!$I$" &amp; $A$1)*parameters!$B$13</f>
        <v>-53.864999999999995</v>
      </c>
      <c r="Q3" s="16" cm="1">
        <f t="array" aca="1" ref="Q3" ca="1">INDIRECT("'data'!$G$" &amp; $A$1)*parameters!$B$13</f>
        <v>8287.65</v>
      </c>
      <c r="R3" s="16">
        <f t="shared" ref="R3:R10" ca="1" si="2">SUM(L3:P3)</f>
        <v>8287.65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910.80000000000007</v>
      </c>
      <c r="H4" s="14"/>
      <c r="I4" s="14"/>
      <c r="J4" s="14"/>
      <c r="K4" s="13"/>
      <c r="L4" s="16">
        <f t="shared" ca="1" si="0"/>
        <v>910.80000000000007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-263.12</v>
      </c>
      <c r="Q4" s="16" cm="1">
        <f t="array" aca="1" ref="Q4" ca="1">INDIRECT("'data'!$J$" &amp; $A$1)*parameters!$B$14</f>
        <v>647.68000000000006</v>
      </c>
      <c r="R4" s="16">
        <f t="shared" ca="1" si="2"/>
        <v>647.68000000000006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1834.6268656716418</v>
      </c>
      <c r="G5" s="14">
        <f ca="1">Q7/parameters!$B$7-(G3+G4)</f>
        <v>4469.8902631045403</v>
      </c>
      <c r="H5" s="14"/>
      <c r="I5" s="14"/>
      <c r="J5" s="14"/>
      <c r="K5" s="13"/>
      <c r="L5" s="16">
        <f t="shared" ca="1" si="0"/>
        <v>6304.5171287761823</v>
      </c>
      <c r="M5" s="16"/>
      <c r="N5" s="16"/>
      <c r="O5" s="11" cm="1">
        <f t="array" aca="1" ref="O5" ca="1">INDIRECT("'data'!$M$" &amp; $A$1)*parameters!$B$15</f>
        <v>3967.04</v>
      </c>
      <c r="P5" s="13" cm="1">
        <f t="array" aca="1" ref="P5" ca="1">-INDIRECT("'data'!$N$" &amp; $A$1)*parameters!$B$15</f>
        <v>-1657.18</v>
      </c>
      <c r="Q5" s="16">
        <f ca="1">SUM(L5:P5)</f>
        <v>8614.3771287761811</v>
      </c>
      <c r="R5" s="16">
        <f t="shared" ca="1" si="2"/>
        <v>8614.3771287761811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8604.4</v>
      </c>
      <c r="I6" s="14"/>
      <c r="J6" s="14"/>
      <c r="K6" s="13"/>
      <c r="L6" s="16">
        <f t="shared" ca="1" si="0"/>
        <v>8604.4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8604.4</v>
      </c>
      <c r="R6" s="16">
        <f t="shared" ca="1" si="2"/>
        <v>8604.4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5943.7</v>
      </c>
      <c r="I7" s="14"/>
      <c r="J7" s="14"/>
      <c r="K7" s="13"/>
      <c r="L7" s="16">
        <f t="shared" ca="1" si="0"/>
        <v>5943.7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5943.7</v>
      </c>
      <c r="R7" s="16">
        <f t="shared" ca="1" si="2"/>
        <v>5943.7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3088.2922544533194</v>
      </c>
      <c r="J8" s="14">
        <f ca="1">Q10/J18</f>
        <v>10486.66774554668</v>
      </c>
      <c r="K8" s="13"/>
      <c r="L8" s="16">
        <f t="shared" ca="1" si="0"/>
        <v>13574.96</v>
      </c>
      <c r="M8" s="16"/>
      <c r="N8" s="16">
        <f t="shared" ca="1" si="3"/>
        <v>0</v>
      </c>
      <c r="O8" s="11" cm="1">
        <f t="array" aca="1" ref="O8" ca="1">INDIRECT("'data'!$R$" &amp; $A$1)*parameters!$B$15</f>
        <v>1294.58</v>
      </c>
      <c r="P8" s="13" cm="1">
        <f t="array" aca="1" ref="P8" ca="1">-INDIRECT("'data'!$S$" &amp; $A$1)*parameters!$B$15</f>
        <v>-321.44</v>
      </c>
      <c r="Q8" s="16">
        <f ca="1">SUM(Q6:Q7)</f>
        <v>14548.099999999999</v>
      </c>
      <c r="R8" s="16">
        <f t="shared" ca="1" si="2"/>
        <v>14548.099999999999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3457.44</v>
      </c>
      <c r="L9" s="16">
        <f t="shared" ca="1" si="0"/>
        <v>3457.44</v>
      </c>
      <c r="M9" s="16"/>
      <c r="N9" s="16">
        <f t="shared" ca="1" si="3"/>
        <v>0</v>
      </c>
      <c r="O9" s="11" cm="1">
        <f t="array" aca="1" ref="O9" ca="1">INDIRECT("'data'!$U$" &amp; $A$1)*parameters!$B$15</f>
        <v>1741.46</v>
      </c>
      <c r="P9" s="13" cm="1">
        <f t="array" aca="1" ref="P9" ca="1">-INDIRECT("'data'!$V$" &amp; $A$1)*parameters!$B$15</f>
        <v>-2227.54</v>
      </c>
      <c r="Q9" s="16" cm="1">
        <f t="array" aca="1" ref="Q9" ca="1">INDIRECT("'data'!$T$" &amp; $A$1)*parameters!$B$15</f>
        <v>2971.36</v>
      </c>
      <c r="R9" s="16">
        <f t="shared" ca="1" si="2"/>
        <v>2971.3599999999997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9916.1502133712638</v>
      </c>
      <c r="L10" s="16">
        <f t="shared" ca="1" si="0"/>
        <v>9916.1502133712638</v>
      </c>
      <c r="M10" s="16"/>
      <c r="N10" s="16">
        <f t="shared" ca="1" si="3"/>
        <v>0</v>
      </c>
      <c r="O10" s="11" cm="1">
        <f t="array" aca="1" ref="O10" ca="1">INDIRECT("'data'!$X$" &amp; $A$1)*parameters!$B$15</f>
        <v>3454.5</v>
      </c>
      <c r="P10" s="13" cm="1">
        <f t="array" aca="1" ref="P10" ca="1">-INDIRECT("'data'!$Y$" &amp; $A$1)*parameters!$B$15</f>
        <v>-3281.04</v>
      </c>
      <c r="Q10" s="16" cm="1">
        <f t="array" aca="1" ref="Q10" ca="1">INDIRECT("'data'!$W$" &amp; $A$1)*parameters!$B$15</f>
        <v>10089.610213371265</v>
      </c>
      <c r="R10" s="16">
        <f t="shared" ca="1" si="2"/>
        <v>10089.610213371263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17140.442783499286</v>
      </c>
      <c r="N11" s="19"/>
      <c r="O11" s="21" cm="1">
        <f t="array" aca="1" ref="O11" ca="1">INDIRECT("'data'!$Z$" &amp; $A$1)*parameters!$B$15</f>
        <v>5769.26</v>
      </c>
      <c r="P11" s="27" cm="1">
        <f t="array" aca="1" ref="P11" ca="1">-INDIRECT("'data'!$AA$" &amp; $A$1)*parameters!$B$15</f>
        <v>-11131.82</v>
      </c>
      <c r="Q11" s="16">
        <f ca="1">K9*parameters!$B$10+K10*parameters!$B$11</f>
        <v>11777.882783499286</v>
      </c>
      <c r="R11" s="16">
        <f t="shared" ref="R11:R17" ca="1" si="4">SUM(L11:P11)</f>
        <v>11777.882783499284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-52.543217268792432</v>
      </c>
      <c r="D12" s="9">
        <f ca="1">-(D17-Q4)</f>
        <v>-4.1062533963972783</v>
      </c>
      <c r="E12" s="9">
        <f ca="1">-(E17-Q5)</f>
        <v>-1064.6982968150332</v>
      </c>
      <c r="F12" s="9">
        <f ca="1">-(F17-Q6)</f>
        <v>-568.73432835820859</v>
      </c>
      <c r="G12" s="9">
        <f ca="1">-(G17-Q7)</f>
        <v>-267.06280041797345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-1957.144896256405</v>
      </c>
      <c r="M12" s="17"/>
      <c r="N12" s="17"/>
      <c r="O12" s="10"/>
      <c r="P12" s="12"/>
      <c r="Q12" s="9">
        <f t="shared" ref="Q12:Q17" ca="1" si="6">SUM(L12:P12)</f>
        <v>-1957.144896256405</v>
      </c>
      <c r="R12" s="17">
        <f t="shared" ca="1" si="4"/>
        <v>-1957.144896256405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-116.93225445331927</v>
      </c>
      <c r="J13" s="14">
        <f ca="1">-(J17-Q10)</f>
        <v>-397.05753217541496</v>
      </c>
      <c r="K13" s="13">
        <f ca="1">-(K17-Q11)</f>
        <v>-1595.7074298719781</v>
      </c>
      <c r="L13" s="14">
        <f t="shared" ca="1" si="5"/>
        <v>-2109.6972165007123</v>
      </c>
      <c r="M13" s="16">
        <f ca="1">-E15</f>
        <v>-7569.3782090905024</v>
      </c>
      <c r="N13" s="16"/>
      <c r="O13" s="11"/>
      <c r="P13" s="13"/>
      <c r="Q13" s="14">
        <f t="shared" ca="1" si="6"/>
        <v>-9679.0754255912143</v>
      </c>
      <c r="R13" s="16">
        <f t="shared" ca="1" si="4"/>
        <v>-9679.0754255912143</v>
      </c>
    </row>
    <row r="14" spans="1:20">
      <c r="A14" s="18" t="s">
        <v>78</v>
      </c>
      <c r="B14" s="11"/>
      <c r="C14" s="14"/>
      <c r="D14" s="14"/>
      <c r="E14" s="14">
        <f ca="1">-(I13+J13)-K13</f>
        <v>2109.6972165007123</v>
      </c>
      <c r="F14" s="14"/>
      <c r="G14" s="14"/>
      <c r="H14" s="14"/>
      <c r="I14" s="14"/>
      <c r="J14" s="14"/>
      <c r="K14" s="13"/>
      <c r="L14" s="14">
        <f t="shared" ca="1" si="5"/>
        <v>2109.6972165007123</v>
      </c>
      <c r="M14" s="16"/>
      <c r="N14" s="16"/>
      <c r="O14" s="11"/>
      <c r="P14" s="13"/>
      <c r="Q14" s="14">
        <f t="shared" ca="1" si="6"/>
        <v>2109.6972165007123</v>
      </c>
      <c r="R14" s="16">
        <f t="shared" ca="1" si="4"/>
        <v>2109.6972165007123</v>
      </c>
    </row>
    <row r="15" spans="1:20">
      <c r="A15" s="18" t="s">
        <v>79</v>
      </c>
      <c r="B15" s="11"/>
      <c r="C15" s="14"/>
      <c r="D15" s="14"/>
      <c r="E15" s="14">
        <f ca="1">E17-E14</f>
        <v>7569.3782090905024</v>
      </c>
      <c r="F15" s="14"/>
      <c r="G15" s="14"/>
      <c r="H15" s="14"/>
      <c r="I15" s="14"/>
      <c r="J15" s="14"/>
      <c r="K15" s="13"/>
      <c r="L15" s="14">
        <f t="shared" ca="1" si="5"/>
        <v>7569.3782090905024</v>
      </c>
      <c r="M15" s="16"/>
      <c r="N15" s="16"/>
      <c r="O15" s="11"/>
      <c r="P15" s="13"/>
      <c r="Q15" s="14">
        <f t="shared" ca="1" si="6"/>
        <v>7569.3782090905024</v>
      </c>
      <c r="R15" s="16">
        <f t="shared" ca="1" si="4"/>
        <v>7569.3782090905024</v>
      </c>
    </row>
    <row r="16" spans="1:20">
      <c r="A16" s="30" t="s">
        <v>89</v>
      </c>
      <c r="B16" s="21">
        <f ca="1">Q2</f>
        <v>19700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19700</v>
      </c>
      <c r="M16" s="19"/>
      <c r="N16" s="19"/>
      <c r="O16" s="21"/>
      <c r="P16" s="27"/>
      <c r="Q16" s="22">
        <f t="shared" ca="1" si="6"/>
        <v>19700</v>
      </c>
      <c r="R16" s="19">
        <f t="shared" ca="1" si="4"/>
        <v>19700</v>
      </c>
    </row>
    <row r="17" spans="1:18">
      <c r="A17" s="29" t="s">
        <v>88</v>
      </c>
      <c r="B17" s="9">
        <f ca="1">B16</f>
        <v>19700</v>
      </c>
      <c r="C17" s="9">
        <f ca="1">SUM(C$2:C$11)</f>
        <v>8340.1932172687921</v>
      </c>
      <c r="D17" s="9">
        <f ca="1">SUM(D$2:D$11)</f>
        <v>651.78625339639734</v>
      </c>
      <c r="E17" s="9">
        <f ca="1">$Q$5/parameters!$B$4</f>
        <v>9679.0754255912143</v>
      </c>
      <c r="F17" s="9">
        <f t="shared" ref="F17:K17" ca="1" si="7">SUM(F$2:F$11)</f>
        <v>9173.1343283582082</v>
      </c>
      <c r="G17" s="9">
        <f t="shared" ca="1" si="7"/>
        <v>6210.7628004179733</v>
      </c>
      <c r="H17" s="9">
        <f t="shared" ca="1" si="7"/>
        <v>14548.099999999999</v>
      </c>
      <c r="I17" s="9">
        <f t="shared" ca="1" si="7"/>
        <v>3088.2922544533194</v>
      </c>
      <c r="J17" s="9">
        <f t="shared" ca="1" si="7"/>
        <v>10486.66774554668</v>
      </c>
      <c r="K17" s="9">
        <f t="shared" ca="1" si="7"/>
        <v>13373.590213371264</v>
      </c>
      <c r="L17" s="17">
        <f t="shared" ca="1" si="5"/>
        <v>95251.602238403852</v>
      </c>
      <c r="M17" s="17"/>
      <c r="N17" s="17"/>
      <c r="O17" s="9"/>
      <c r="P17" s="14"/>
      <c r="Q17" s="11">
        <f t="shared" ca="1" si="6"/>
        <v>95251.602238403852</v>
      </c>
      <c r="R17" s="17">
        <f t="shared" ca="1" si="4"/>
        <v>95251.602238403852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0.9621369207254582</v>
      </c>
      <c r="J18" s="39">
        <f ca="1">I18</f>
        <v>0.9621369207254582</v>
      </c>
      <c r="K18" s="40">
        <f ca="1">1-(-K13)/K17</f>
        <v>0.88068219495191735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1119.3317902787562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1119.3317902787562</v>
      </c>
      <c r="M2" s="17"/>
      <c r="N2" s="17">
        <f ca="1">Q2-(L2+O2+P2)</f>
        <v>0</v>
      </c>
      <c r="O2" s="11" cm="1">
        <f t="array" aca="1" ref="O2" ca="1">INDIRECT("'data'!$F$" &amp; $A$1)</f>
        <v>4233.45</v>
      </c>
      <c r="P2" s="13">
        <f ca="1">IF(-(L2-Q2+O2)&lt;0, -(L2-Q2+O2), 0)</f>
        <v>-5315.7817902787556</v>
      </c>
      <c r="Q2" s="17" cm="1">
        <f t="array" aca="1" ref="Q2" ca="1">INDIRECT("'data'!$D$" &amp; $A$1)</f>
        <v>37</v>
      </c>
      <c r="R2" s="17">
        <f ca="1">SUM(L2:P2)</f>
        <v>37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152.14499999999998</v>
      </c>
      <c r="H3" s="14"/>
      <c r="I3" s="14"/>
      <c r="J3" s="14"/>
      <c r="K3" s="13"/>
      <c r="L3" s="16">
        <f t="shared" ca="1" si="0"/>
        <v>152.14499999999998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-152.14499999999998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f ca="1">Q7/parameters!$B$7-G3-G5</f>
        <v>6.2346079244798602</v>
      </c>
      <c r="H4" s="14"/>
      <c r="I4" s="14"/>
      <c r="J4" s="14"/>
      <c r="K4" s="13"/>
      <c r="L4" s="16">
        <f t="shared" ca="1" si="0"/>
        <v>6.2346079244798602</v>
      </c>
      <c r="M4" s="16"/>
      <c r="N4" s="16">
        <f t="shared" ca="1" si="1"/>
        <v>1372.8453920755201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-266.8</v>
      </c>
      <c r="Q4" s="16" cm="1">
        <f t="array" aca="1" ref="Q4" ca="1">INDIRECT("'data'!$J$" &amp; $A$1)*parameters!$B$14</f>
        <v>1112.28</v>
      </c>
      <c r="R4" s="16">
        <f t="shared" ca="1" si="2"/>
        <v>1112.28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0</v>
      </c>
      <c r="G5" s="38">
        <f ca="1">E14*parameters!$B$4-O5-P5-F5</f>
        <v>3850.7113011664292</v>
      </c>
      <c r="H5" s="14"/>
      <c r="I5" s="14"/>
      <c r="J5" s="14"/>
      <c r="K5" s="13"/>
      <c r="L5" s="16">
        <f t="shared" ca="1" si="0"/>
        <v>3850.7113011664292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-1868.86</v>
      </c>
      <c r="Q5" s="16">
        <f ca="1">SUM(L5:P5)</f>
        <v>1981.8513011664293</v>
      </c>
      <c r="R5" s="16">
        <f t="shared" ca="1" si="2"/>
        <v>1981.8513011664293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3836.7</v>
      </c>
      <c r="I7" s="14"/>
      <c r="J7" s="14"/>
      <c r="K7" s="13"/>
      <c r="L7" s="16">
        <f t="shared" ca="1" si="0"/>
        <v>3836.7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3836.7</v>
      </c>
      <c r="R7" s="16">
        <f t="shared" ca="1" si="2"/>
        <v>3836.7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3346.4252969208392</v>
      </c>
      <c r="J8" s="14">
        <f ca="1">Q10/J18</f>
        <v>3001.0347030791609</v>
      </c>
      <c r="K8" s="13"/>
      <c r="L8" s="16">
        <f t="shared" ca="1" si="0"/>
        <v>6347.46</v>
      </c>
      <c r="M8" s="16"/>
      <c r="N8" s="16">
        <f t="shared" ca="1" si="3"/>
        <v>0</v>
      </c>
      <c r="O8" s="11" cm="1">
        <f t="array" aca="1" ref="O8" ca="1">INDIRECT("'data'!$R$" &amp; $A$1)*parameters!$B$15</f>
        <v>35.28</v>
      </c>
      <c r="P8" s="13" cm="1">
        <f t="array" aca="1" ref="P8" ca="1">-INDIRECT("'data'!$S$" &amp; $A$1)*parameters!$B$15</f>
        <v>-2546.04</v>
      </c>
      <c r="Q8" s="16">
        <f ca="1">SUM(Q6:Q7)</f>
        <v>3836.7</v>
      </c>
      <c r="R8" s="16">
        <f t="shared" ca="1" si="2"/>
        <v>3836.7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3511.34</v>
      </c>
      <c r="L9" s="16">
        <f t="shared" ca="1" si="0"/>
        <v>3511.34</v>
      </c>
      <c r="M9" s="16"/>
      <c r="N9" s="16">
        <f t="shared" ca="1" si="3"/>
        <v>0</v>
      </c>
      <c r="O9" s="11" cm="1">
        <f t="array" aca="1" ref="O9" ca="1">INDIRECT("'data'!$U$" &amp; $A$1)*parameters!$B$15</f>
        <v>308.7</v>
      </c>
      <c r="P9" s="13" cm="1">
        <f t="array" aca="1" ref="P9" ca="1">-INDIRECT("'data'!$V$" &amp; $A$1)*parameters!$B$15</f>
        <v>-1171.0999999999999</v>
      </c>
      <c r="Q9" s="16" cm="1">
        <f t="array" aca="1" ref="Q9" ca="1">INDIRECT("'data'!$T$" &amp; $A$1)*parameters!$B$15</f>
        <v>2648.94</v>
      </c>
      <c r="R9" s="16">
        <f t="shared" ca="1" si="2"/>
        <v>2648.94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4950.9781223328591</v>
      </c>
      <c r="L10" s="16">
        <f t="shared" ca="1" si="0"/>
        <v>4950.9781223328591</v>
      </c>
      <c r="M10" s="16"/>
      <c r="N10" s="16">
        <f t="shared" ca="1" si="3"/>
        <v>0</v>
      </c>
      <c r="O10" s="11" cm="1">
        <f t="array" aca="1" ref="O10" ca="1">INDIRECT("'data'!$X$" &amp; $A$1)*parameters!$B$15</f>
        <v>875.14</v>
      </c>
      <c r="P10" s="13" cm="1">
        <f t="array" aca="1" ref="P10" ca="1">-INDIRECT("'data'!$Y$" &amp; $A$1)*parameters!$B$15</f>
        <v>-3450.58</v>
      </c>
      <c r="Q10" s="16" cm="1">
        <f t="array" aca="1" ref="Q10" ca="1">INDIRECT("'data'!$W$" &amp; $A$1)*parameters!$B$15</f>
        <v>2375.5381223328595</v>
      </c>
      <c r="R10" s="16">
        <f t="shared" ca="1" si="2"/>
        <v>2375.5381223328595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9719.4007852062605</v>
      </c>
      <c r="N11" s="19"/>
      <c r="O11" s="21" cm="1">
        <f t="array" aca="1" ref="O11" ca="1">INDIRECT("'data'!$Z$" &amp; $A$1)*parameters!$B$15</f>
        <v>1659.1399999999999</v>
      </c>
      <c r="P11" s="27" cm="1">
        <f t="array" aca="1" ref="P11" ca="1">-INDIRECT("'data'!$AA$" &amp; $A$1)*parameters!$B$15</f>
        <v>-3820.04</v>
      </c>
      <c r="Q11" s="16">
        <f ca="1">K9*parameters!$B$10+K10*parameters!$B$11</f>
        <v>7558.500785206259</v>
      </c>
      <c r="R11" s="16">
        <f t="shared" ref="R11:R17" ca="1" si="4">SUM(L11:P11)</f>
        <v>7558.5007852062599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-7.0517902787562434</v>
      </c>
      <c r="E12" s="9">
        <f ca="1">-(E17-Q5)</f>
        <v>-244.94791362731144</v>
      </c>
      <c r="F12" s="9">
        <f ca="1">-(F17-Q6)</f>
        <v>0</v>
      </c>
      <c r="G12" s="9">
        <f ca="1">-(G17-Q7)</f>
        <v>-172.39090909090919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-424.39061299697687</v>
      </c>
      <c r="M12" s="17"/>
      <c r="N12" s="17"/>
      <c r="O12" s="10"/>
      <c r="P12" s="12"/>
      <c r="Q12" s="9">
        <f t="shared" ref="Q12:Q17" ca="1" si="6">SUM(L12:P12)</f>
        <v>-424.39061299697687</v>
      </c>
      <c r="R12" s="17">
        <f t="shared" ca="1" si="4"/>
        <v>-424.39061299697687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-697.48529692083912</v>
      </c>
      <c r="J13" s="14">
        <f ca="1">-(J17-Q10)</f>
        <v>-625.49658074630133</v>
      </c>
      <c r="K13" s="13">
        <f ca="1">-(K17-Q11)</f>
        <v>-903.81733712660025</v>
      </c>
      <c r="L13" s="14">
        <f t="shared" ca="1" si="5"/>
        <v>-2226.7992147937407</v>
      </c>
      <c r="M13" s="16">
        <f ca="1">-E15</f>
        <v>0</v>
      </c>
      <c r="N13" s="16"/>
      <c r="O13" s="11"/>
      <c r="P13" s="13"/>
      <c r="Q13" s="14">
        <f t="shared" ca="1" si="6"/>
        <v>-2226.7992147937407</v>
      </c>
      <c r="R13" s="16">
        <f t="shared" ca="1" si="4"/>
        <v>-2226.7992147937407</v>
      </c>
    </row>
    <row r="14" spans="1:19">
      <c r="A14" s="18" t="s">
        <v>78</v>
      </c>
      <c r="B14" s="11"/>
      <c r="C14" s="14"/>
      <c r="D14" s="14"/>
      <c r="E14" s="14">
        <f ca="1">-(I13+J13)-K13</f>
        <v>2226.7992147937407</v>
      </c>
      <c r="F14" s="14"/>
      <c r="G14" s="14"/>
      <c r="H14" s="14"/>
      <c r="I14" s="14"/>
      <c r="J14" s="14"/>
      <c r="K14" s="13"/>
      <c r="L14" s="14">
        <f t="shared" ca="1" si="5"/>
        <v>2226.7992147937407</v>
      </c>
      <c r="M14" s="16"/>
      <c r="N14" s="16"/>
      <c r="O14" s="11"/>
      <c r="P14" s="13"/>
      <c r="Q14" s="14">
        <f t="shared" ca="1" si="6"/>
        <v>2226.7992147937407</v>
      </c>
      <c r="R14" s="16">
        <f t="shared" ca="1" si="4"/>
        <v>2226.7992147937407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37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37</v>
      </c>
      <c r="M16" s="19"/>
      <c r="N16" s="19"/>
      <c r="O16" s="21"/>
      <c r="P16" s="27"/>
      <c r="Q16" s="22">
        <f t="shared" ca="1" si="6"/>
        <v>37</v>
      </c>
      <c r="R16" s="19">
        <f t="shared" ca="1" si="4"/>
        <v>37</v>
      </c>
    </row>
    <row r="17" spans="1:18">
      <c r="A17" s="29" t="s">
        <v>88</v>
      </c>
      <c r="B17" s="9">
        <f ca="1">B16</f>
        <v>37</v>
      </c>
      <c r="C17" s="9">
        <f ca="1">SUM(C$2:C$11)</f>
        <v>0</v>
      </c>
      <c r="D17" s="9">
        <f ca="1">SUM(D$2:D$11)</f>
        <v>1119.3317902787562</v>
      </c>
      <c r="E17" s="9">
        <f ca="1">$Q$5/parameters!$B$4</f>
        <v>2226.7992147937407</v>
      </c>
      <c r="F17" s="9">
        <f t="shared" ref="F17:K17" ca="1" si="7">SUM(F$2:F$11)</f>
        <v>0</v>
      </c>
      <c r="G17" s="9">
        <f t="shared" ca="1" si="7"/>
        <v>4009.090909090909</v>
      </c>
      <c r="H17" s="9">
        <f t="shared" ca="1" si="7"/>
        <v>3836.7</v>
      </c>
      <c r="I17" s="9">
        <f t="shared" ca="1" si="7"/>
        <v>3346.4252969208392</v>
      </c>
      <c r="J17" s="9">
        <f t="shared" ca="1" si="7"/>
        <v>3001.0347030791609</v>
      </c>
      <c r="K17" s="9">
        <f t="shared" ca="1" si="7"/>
        <v>8462.3181223328593</v>
      </c>
      <c r="L17" s="17">
        <f t="shared" ca="1" si="5"/>
        <v>26038.700036496266</v>
      </c>
      <c r="M17" s="17"/>
      <c r="N17" s="17"/>
      <c r="O17" s="9"/>
      <c r="P17" s="14"/>
      <c r="Q17" s="11">
        <f t="shared" ca="1" si="6"/>
        <v>26038.700036496266</v>
      </c>
      <c r="R17" s="17">
        <f t="shared" ca="1" si="4"/>
        <v>26038.700036496266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0.79157302642834448</v>
      </c>
      <c r="J18" s="39">
        <f ca="1">I18</f>
        <v>0.79157302642834448</v>
      </c>
      <c r="K18" s="40">
        <f ca="1">1-(-K13)/K17</f>
        <v>0.89319506498564016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4692.1908020529336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4692.1908020529336</v>
      </c>
      <c r="M2" s="17"/>
      <c r="N2" s="17">
        <f ca="1">Q2-(L2+O2+P2)</f>
        <v>0</v>
      </c>
      <c r="O2" s="11" cm="1">
        <f t="array" aca="1" ref="O2" ca="1">INDIRECT("'data'!$F$" &amp; $A$1)</f>
        <v>6.5</v>
      </c>
      <c r="P2" s="13">
        <f ca="1">IF(-(L2-Q2+O2)&lt;0, -(L2-Q2+O2), 0)</f>
        <v>-4698.6908020529336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4367.1641791044776</v>
      </c>
      <c r="G3" s="14">
        <f ca="1">Q3-O3-P3-F3</f>
        <v>514.70582089552227</v>
      </c>
      <c r="H3" s="14"/>
      <c r="I3" s="14"/>
      <c r="J3" s="14"/>
      <c r="K3" s="13"/>
      <c r="L3" s="16">
        <f t="shared" ca="1" si="0"/>
        <v>4881.87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4.7249999999999996</v>
      </c>
      <c r="P3" s="13" cm="1">
        <f t="array" aca="1" ref="P3" ca="1">-INDIRECT("'data'!$I$" &amp; $A$1)*parameters!$B$13</f>
        <v>-223.96499999999997</v>
      </c>
      <c r="Q3" s="16" cm="1">
        <f t="array" aca="1" ref="Q3" ca="1">INDIRECT("'data'!$G$" &amp; $A$1)*parameters!$B$13</f>
        <v>4662.63</v>
      </c>
      <c r="R3" s="16">
        <f t="shared" ref="R3:R10" ca="1" si="2">SUM(L3:P3)</f>
        <v>4662.63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1091.7910447761194</v>
      </c>
      <c r="G5" s="14">
        <f ca="1">Q7/parameters!$B$7-(G3+G4)</f>
        <v>4096.5167496373924</v>
      </c>
      <c r="H5" s="14"/>
      <c r="I5" s="14"/>
      <c r="J5" s="14"/>
      <c r="K5" s="13"/>
      <c r="L5" s="16">
        <f t="shared" ca="1" si="0"/>
        <v>5188.3077944135121</v>
      </c>
      <c r="M5" s="16"/>
      <c r="N5" s="16"/>
      <c r="O5" s="11" cm="1">
        <f t="array" aca="1" ref="O5" ca="1">INDIRECT("'data'!$M$" &amp; $A$1)*parameters!$B$15</f>
        <v>1341.62</v>
      </c>
      <c r="P5" s="13" cm="1">
        <f t="array" aca="1" ref="P5" ca="1">-INDIRECT("'data'!$N$" &amp; $A$1)*parameters!$B$15</f>
        <v>-456.68</v>
      </c>
      <c r="Q5" s="16">
        <f ca="1">SUM(L5:P5)</f>
        <v>6073.2477944135117</v>
      </c>
      <c r="R5" s="16">
        <f t="shared" ca="1" si="2"/>
        <v>6073.2477944135117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5120.5</v>
      </c>
      <c r="I6" s="14"/>
      <c r="J6" s="14"/>
      <c r="K6" s="13"/>
      <c r="L6" s="16">
        <f t="shared" ca="1" si="0"/>
        <v>5120.5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5120.5</v>
      </c>
      <c r="R6" s="16">
        <f t="shared" ca="1" si="2"/>
        <v>5120.5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4412.9399999999996</v>
      </c>
      <c r="I7" s="14"/>
      <c r="J7" s="14"/>
      <c r="K7" s="13"/>
      <c r="L7" s="16">
        <f t="shared" ca="1" si="0"/>
        <v>4412.9399999999996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4412.9399999999996</v>
      </c>
      <c r="R7" s="16">
        <f t="shared" ca="1" si="2"/>
        <v>4412.9399999999996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5505.6808299578697</v>
      </c>
      <c r="J8" s="14">
        <f ca="1">Q10/J18</f>
        <v>3051.679170042129</v>
      </c>
      <c r="K8" s="13"/>
      <c r="L8" s="16">
        <f t="shared" ca="1" si="0"/>
        <v>8557.3599999999988</v>
      </c>
      <c r="M8" s="16"/>
      <c r="N8" s="16">
        <f t="shared" ca="1" si="3"/>
        <v>0</v>
      </c>
      <c r="O8" s="11" cm="1">
        <f t="array" aca="1" ref="O8" ca="1">INDIRECT("'data'!$R$" &amp; $A$1)*parameters!$B$15</f>
        <v>1548.3999999999999</v>
      </c>
      <c r="P8" s="13" cm="1">
        <f t="array" aca="1" ref="P8" ca="1">-INDIRECT("'data'!$S$" &amp; $A$1)*parameters!$B$15</f>
        <v>-572.31999999999994</v>
      </c>
      <c r="Q8" s="16">
        <f ca="1">SUM(Q6:Q7)</f>
        <v>9533.4399999999987</v>
      </c>
      <c r="R8" s="16">
        <f t="shared" ca="1" si="2"/>
        <v>9533.4399999999987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4379.62</v>
      </c>
      <c r="L9" s="16">
        <f t="shared" ca="1" si="0"/>
        <v>4379.62</v>
      </c>
      <c r="M9" s="16"/>
      <c r="N9" s="16">
        <f t="shared" ca="1" si="3"/>
        <v>0</v>
      </c>
      <c r="O9" s="11" cm="1">
        <f t="array" aca="1" ref="O9" ca="1">INDIRECT("'data'!$U$" &amp; $A$1)*parameters!$B$15</f>
        <v>2282.42</v>
      </c>
      <c r="P9" s="13" cm="1">
        <f t="array" aca="1" ref="P9" ca="1">-INDIRECT("'data'!$V$" &amp; $A$1)*parameters!$B$15</f>
        <v>-1790.46</v>
      </c>
      <c r="Q9" s="16" cm="1">
        <f t="array" aca="1" ref="Q9" ca="1">INDIRECT("'data'!$T$" &amp; $A$1)*parameters!$B$15</f>
        <v>4871.58</v>
      </c>
      <c r="R9" s="16">
        <f t="shared" ca="1" si="2"/>
        <v>4871.58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6449.6908677098145</v>
      </c>
      <c r="L10" s="16">
        <f t="shared" ca="1" si="0"/>
        <v>6449.6908677098145</v>
      </c>
      <c r="M10" s="16"/>
      <c r="N10" s="16">
        <f t="shared" ca="1" si="3"/>
        <v>0</v>
      </c>
      <c r="O10" s="11" cm="1">
        <f t="array" aca="1" ref="O10" ca="1">INDIRECT("'data'!$X$" &amp; $A$1)*parameters!$B$15</f>
        <v>1054.48</v>
      </c>
      <c r="P10" s="13" cm="1">
        <f t="array" aca="1" ref="P10" ca="1">-INDIRECT("'data'!$Y$" &amp; $A$1)*parameters!$B$15</f>
        <v>-4803.96</v>
      </c>
      <c r="Q10" s="16" cm="1">
        <f t="array" aca="1" ref="Q10" ca="1">INDIRECT("'data'!$W$" &amp; $A$1)*parameters!$B$15</f>
        <v>2700.2108677098149</v>
      </c>
      <c r="R10" s="16">
        <f t="shared" ca="1" si="2"/>
        <v>2700.210867709814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8503.25694623044</v>
      </c>
      <c r="N11" s="19"/>
      <c r="O11" s="21" cm="1">
        <f t="array" aca="1" ref="O11" ca="1">INDIRECT("'data'!$Z$" &amp; $A$1)*parameters!$B$15</f>
        <v>7225.54</v>
      </c>
      <c r="P11" s="27" cm="1">
        <f t="array" aca="1" ref="P11" ca="1">-INDIRECT("'data'!$AA$" &amp; $A$1)*parameters!$B$15</f>
        <v>-6065.22</v>
      </c>
      <c r="Q11" s="16">
        <f ca="1">K9*parameters!$B$10+K10*parameters!$B$11</f>
        <v>9663.5769462304397</v>
      </c>
      <c r="R11" s="16">
        <f t="shared" ref="R11:R17" ca="1" si="4">SUM(L11:P11)</f>
        <v>9663.5769462304379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-29.560802052933468</v>
      </c>
      <c r="D12" s="9">
        <f ca="1">-(D17-Q4)</f>
        <v>0</v>
      </c>
      <c r="E12" s="9">
        <f ca="1">-(E17-Q5)</f>
        <v>-750.626131893805</v>
      </c>
      <c r="F12" s="9">
        <f ca="1">-(F17-Q6)</f>
        <v>-338.45522388059726</v>
      </c>
      <c r="G12" s="9">
        <f ca="1">-(G17-Q7)</f>
        <v>-198.28257053291509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-1316.9247283602508</v>
      </c>
      <c r="M12" s="17"/>
      <c r="N12" s="17"/>
      <c r="O12" s="10"/>
      <c r="P12" s="12"/>
      <c r="Q12" s="9">
        <f t="shared" ref="Q12:Q17" ca="1" si="6">SUM(L12:P12)</f>
        <v>-1316.9247283602508</v>
      </c>
      <c r="R12" s="17">
        <f t="shared" ca="1" si="4"/>
        <v>-1316.9247283602508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-634.10082995786979</v>
      </c>
      <c r="J13" s="14">
        <f ca="1">-(J17-Q10)</f>
        <v>-351.46830233231412</v>
      </c>
      <c r="K13" s="13">
        <f ca="1">-(K17-Q11)</f>
        <v>-1165.7339214793737</v>
      </c>
      <c r="L13" s="14">
        <f t="shared" ca="1" si="5"/>
        <v>-2151.3030537695577</v>
      </c>
      <c r="M13" s="16">
        <f ca="1">-E15</f>
        <v>-4672.570872537759</v>
      </c>
      <c r="N13" s="16"/>
      <c r="O13" s="11"/>
      <c r="P13" s="13"/>
      <c r="Q13" s="14">
        <f t="shared" ca="1" si="6"/>
        <v>-6823.8739263073167</v>
      </c>
      <c r="R13" s="16">
        <f t="shared" ca="1" si="4"/>
        <v>-6823.8739263073167</v>
      </c>
    </row>
    <row r="14" spans="1:20">
      <c r="A14" s="18" t="s">
        <v>78</v>
      </c>
      <c r="B14" s="11"/>
      <c r="C14" s="14"/>
      <c r="D14" s="14"/>
      <c r="E14" s="14">
        <f ca="1">-(I13+J13)-K13</f>
        <v>2151.3030537695577</v>
      </c>
      <c r="F14" s="14"/>
      <c r="G14" s="14"/>
      <c r="H14" s="14"/>
      <c r="I14" s="14"/>
      <c r="J14" s="14"/>
      <c r="K14" s="13"/>
      <c r="L14" s="14">
        <f t="shared" ca="1" si="5"/>
        <v>2151.3030537695577</v>
      </c>
      <c r="M14" s="16"/>
      <c r="N14" s="16"/>
      <c r="O14" s="11"/>
      <c r="P14" s="13"/>
      <c r="Q14" s="14">
        <f t="shared" ca="1" si="6"/>
        <v>2151.3030537695577</v>
      </c>
      <c r="R14" s="16">
        <f t="shared" ca="1" si="4"/>
        <v>2151.3030537695577</v>
      </c>
    </row>
    <row r="15" spans="1:20">
      <c r="A15" s="18" t="s">
        <v>79</v>
      </c>
      <c r="B15" s="11"/>
      <c r="C15" s="14"/>
      <c r="D15" s="14"/>
      <c r="E15" s="14">
        <f ca="1">E17-E14</f>
        <v>4672.570872537759</v>
      </c>
      <c r="F15" s="14"/>
      <c r="G15" s="14"/>
      <c r="H15" s="14"/>
      <c r="I15" s="14"/>
      <c r="J15" s="14"/>
      <c r="K15" s="13"/>
      <c r="L15" s="14">
        <f t="shared" ca="1" si="5"/>
        <v>4672.570872537759</v>
      </c>
      <c r="M15" s="16"/>
      <c r="N15" s="16"/>
      <c r="O15" s="11"/>
      <c r="P15" s="13"/>
      <c r="Q15" s="14">
        <f t="shared" ca="1" si="6"/>
        <v>4672.570872537759</v>
      </c>
      <c r="R15" s="16">
        <f t="shared" ca="1" si="4"/>
        <v>4672.570872537759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4692.1908020529336</v>
      </c>
      <c r="D17" s="9">
        <f ca="1">SUM(D$2:D$11)</f>
        <v>0</v>
      </c>
      <c r="E17" s="9">
        <f ca="1">$Q$5/parameters!$B$4</f>
        <v>6823.8739263073167</v>
      </c>
      <c r="F17" s="9">
        <f t="shared" ref="F17:K17" ca="1" si="7">SUM(F$2:F$11)</f>
        <v>5458.9552238805973</v>
      </c>
      <c r="G17" s="9">
        <f t="shared" ca="1" si="7"/>
        <v>4611.2225705329147</v>
      </c>
      <c r="H17" s="9">
        <f t="shared" ca="1" si="7"/>
        <v>9533.4399999999987</v>
      </c>
      <c r="I17" s="9">
        <f t="shared" ca="1" si="7"/>
        <v>5505.6808299578697</v>
      </c>
      <c r="J17" s="9">
        <f t="shared" ca="1" si="7"/>
        <v>3051.679170042129</v>
      </c>
      <c r="K17" s="9">
        <f t="shared" ca="1" si="7"/>
        <v>10829.310867709813</v>
      </c>
      <c r="L17" s="17">
        <f t="shared" ca="1" si="5"/>
        <v>50506.353390483571</v>
      </c>
      <c r="M17" s="17"/>
      <c r="N17" s="17"/>
      <c r="O17" s="9"/>
      <c r="P17" s="14"/>
      <c r="Q17" s="11">
        <f t="shared" ca="1" si="6"/>
        <v>50506.353390483571</v>
      </c>
      <c r="R17" s="17">
        <f t="shared" ca="1" si="4"/>
        <v>50506.353390483571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0.8848278987573055</v>
      </c>
      <c r="J18" s="39">
        <f ca="1">I18</f>
        <v>0.8848278987573055</v>
      </c>
      <c r="K18" s="40">
        <f ca="1">1-(-K13)/K17</f>
        <v>0.89235382235121818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S28"/>
  <sheetViews>
    <sheetView tabSelected="1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855.89212035825699</v>
      </c>
      <c r="D2" s="9">
        <f ca="1">Q4/parameters!$B$3</f>
        <v>2446.9759484753949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3302.8680688336517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-2392.8680688336517</v>
      </c>
      <c r="Q2" s="17" cm="1">
        <f t="array" aca="1" ref="Q2" ca="1">INDIRECT("'data'!$D$" &amp; $A$1)</f>
        <v>910</v>
      </c>
      <c r="R2" s="17">
        <f ca="1">SUM(L2:P2)</f>
        <v>910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752.23880597014931</v>
      </c>
      <c r="G3" s="14">
        <f ca="1">Q3-O3-P3-F3</f>
        <v>98.261194029850685</v>
      </c>
      <c r="H3" s="14"/>
      <c r="I3" s="14"/>
      <c r="J3" s="14"/>
      <c r="K3" s="13"/>
      <c r="L3" s="16">
        <f t="shared" ca="1" si="0"/>
        <v>850.5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850.5</v>
      </c>
      <c r="R3" s="16">
        <f t="shared" ref="R3:R10" ca="1" si="2">SUM(L3:P3)</f>
        <v>850.5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f ca="1">Q7/parameters!$B$7-G3-G5</f>
        <v>1764.4787746460602</v>
      </c>
      <c r="H4" s="14"/>
      <c r="I4" s="14"/>
      <c r="J4" s="14"/>
      <c r="K4" s="13"/>
      <c r="L4" s="16">
        <f t="shared" ca="1" si="0"/>
        <v>1764.4787746460602</v>
      </c>
      <c r="M4" s="16"/>
      <c r="N4" s="16">
        <f t="shared" ca="1" si="1"/>
        <v>667.08122535393977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2431.56</v>
      </c>
      <c r="R4" s="16">
        <f t="shared" ca="1" si="2"/>
        <v>2431.56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188.05970149253733</v>
      </c>
      <c r="G5" s="38">
        <f ca="1">E14*parameters!$B$4-O5-P5-F5</f>
        <v>3564.6372518047579</v>
      </c>
      <c r="H5" s="14"/>
      <c r="I5" s="14"/>
      <c r="J5" s="14"/>
      <c r="K5" s="13"/>
      <c r="L5" s="16">
        <f t="shared" ca="1" si="0"/>
        <v>3752.6969532972953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-2350.04</v>
      </c>
      <c r="Q5" s="16">
        <f ca="1">SUM(L5:P5)</f>
        <v>1402.6569532972953</v>
      </c>
      <c r="R5" s="16">
        <f t="shared" ca="1" si="2"/>
        <v>1402.6569532972953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882</v>
      </c>
      <c r="I6" s="14"/>
      <c r="J6" s="14"/>
      <c r="K6" s="13"/>
      <c r="L6" s="16">
        <f t="shared" ca="1" si="0"/>
        <v>882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882</v>
      </c>
      <c r="R6" s="16">
        <f t="shared" ca="1" si="2"/>
        <v>882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5194</v>
      </c>
      <c r="I7" s="14"/>
      <c r="J7" s="14"/>
      <c r="K7" s="13"/>
      <c r="L7" s="16">
        <f t="shared" ca="1" si="0"/>
        <v>5194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5194</v>
      </c>
      <c r="R7" s="16">
        <f t="shared" ca="1" si="2"/>
        <v>5194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5619.1316121711552</v>
      </c>
      <c r="J8" s="14">
        <f ca="1">Q10/J18</f>
        <v>1873.948387828844</v>
      </c>
      <c r="K8" s="13"/>
      <c r="L8" s="16">
        <f t="shared" ca="1" si="0"/>
        <v>7493.079999999999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3.92</v>
      </c>
      <c r="P8" s="13" cm="1">
        <f t="array" aca="1" ref="P8" ca="1">-INDIRECT("'data'!$S$" &amp; $A$1)*parameters!$B$15</f>
        <v>-1421</v>
      </c>
      <c r="Q8" s="16">
        <f ca="1">SUM(Q6:Q7)</f>
        <v>6076</v>
      </c>
      <c r="R8" s="16">
        <f t="shared" ca="1" si="2"/>
        <v>6075.9999999999991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5259.66</v>
      </c>
      <c r="L9" s="16">
        <f t="shared" ca="1" si="0"/>
        <v>5259.66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-323.39999999999998</v>
      </c>
      <c r="Q9" s="16" cm="1">
        <f t="array" aca="1" ref="Q9" ca="1">INDIRECT("'data'!$T$" &amp; $A$1)*parameters!$B$15</f>
        <v>4936.26</v>
      </c>
      <c r="R9" s="16">
        <f t="shared" ca="1" si="2"/>
        <v>4936.26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2498.8145945945948</v>
      </c>
      <c r="L10" s="16">
        <f t="shared" ca="1" si="0"/>
        <v>2498.8145945945948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-852.6</v>
      </c>
      <c r="Q10" s="16" cm="1">
        <f t="array" aca="1" ref="Q10" ca="1">INDIRECT("'data'!$W$" &amp; $A$1)*parameters!$B$15</f>
        <v>1646.2145945945947</v>
      </c>
      <c r="R10" s="16">
        <f t="shared" ca="1" si="2"/>
        <v>1646.2145945945949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7978.0009513513514</v>
      </c>
      <c r="N11" s="19"/>
      <c r="O11" s="21" cm="1">
        <f t="array" aca="1" ref="O11" ca="1">INDIRECT("'data'!$Z$" &amp; $A$1)*parameters!$B$15</f>
        <v>228.34</v>
      </c>
      <c r="P11" s="27" cm="1">
        <f t="array" aca="1" ref="P11" ca="1">-INDIRECT("'data'!$AA$" &amp; $A$1)*parameters!$B$15</f>
        <v>-1113.28</v>
      </c>
      <c r="Q11" s="16">
        <f ca="1">K9*parameters!$B$10+K10*parameters!$B$11</f>
        <v>7093.0609513513518</v>
      </c>
      <c r="R11" s="16">
        <f t="shared" ref="R11:R17" ca="1" si="4">SUM(L11:P11)</f>
        <v>7093.0609513513509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-5.3921203582569888</v>
      </c>
      <c r="D12" s="9">
        <f ca="1">-(D17-Q4)</f>
        <v>-15.415948475394998</v>
      </c>
      <c r="E12" s="9">
        <f ca="1">-(E17-Q5)</f>
        <v>-173.36209535135117</v>
      </c>
      <c r="F12" s="9">
        <f ca="1">-(F17-Q6)</f>
        <v>-58.298507462686644</v>
      </c>
      <c r="G12" s="9">
        <f ca="1">-(G17-Q7)</f>
        <v>-233.37722048066826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-485.84589212835806</v>
      </c>
      <c r="M12" s="17"/>
      <c r="N12" s="17"/>
      <c r="O12" s="10"/>
      <c r="P12" s="12"/>
      <c r="Q12" s="9">
        <f t="shared" ref="Q12:Q17" ca="1" si="6">SUM(L12:P12)</f>
        <v>-485.84589212835806</v>
      </c>
      <c r="R12" s="17">
        <f t="shared" ca="1" si="4"/>
        <v>-485.84589212835806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-682.87161217115499</v>
      </c>
      <c r="J13" s="14">
        <f ca="1">-(J17-Q10)</f>
        <v>-227.73379323424933</v>
      </c>
      <c r="K13" s="13">
        <f ca="1">-(K17-Q11)</f>
        <v>-665.4136432432424</v>
      </c>
      <c r="L13" s="14">
        <f t="shared" ca="1" si="5"/>
        <v>-1576.0190486486467</v>
      </c>
      <c r="M13" s="16">
        <f ca="1">-E15</f>
        <v>0</v>
      </c>
      <c r="N13" s="16"/>
      <c r="O13" s="11"/>
      <c r="P13" s="13"/>
      <c r="Q13" s="14">
        <f t="shared" ca="1" si="6"/>
        <v>-1576.0190486486467</v>
      </c>
      <c r="R13" s="16">
        <f t="shared" ca="1" si="4"/>
        <v>-1576.0190486486467</v>
      </c>
    </row>
    <row r="14" spans="1:19">
      <c r="A14" s="18" t="s">
        <v>78</v>
      </c>
      <c r="B14" s="11"/>
      <c r="C14" s="14"/>
      <c r="D14" s="14"/>
      <c r="E14" s="14">
        <f ca="1">-(I13+J13)-K13</f>
        <v>1576.0190486486467</v>
      </c>
      <c r="F14" s="14"/>
      <c r="G14" s="14"/>
      <c r="H14" s="14"/>
      <c r="I14" s="14"/>
      <c r="J14" s="14"/>
      <c r="K14" s="13"/>
      <c r="L14" s="14">
        <f t="shared" ca="1" si="5"/>
        <v>1576.0190486486467</v>
      </c>
      <c r="M14" s="16"/>
      <c r="N14" s="16"/>
      <c r="O14" s="11"/>
      <c r="P14" s="13"/>
      <c r="Q14" s="14">
        <f t="shared" ca="1" si="6"/>
        <v>1576.0190486486467</v>
      </c>
      <c r="R14" s="16">
        <f t="shared" ca="1" si="4"/>
        <v>1576.0190486486467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910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910</v>
      </c>
      <c r="M16" s="19"/>
      <c r="N16" s="19"/>
      <c r="O16" s="21"/>
      <c r="P16" s="27"/>
      <c r="Q16" s="22">
        <f t="shared" ca="1" si="6"/>
        <v>910</v>
      </c>
      <c r="R16" s="19">
        <f t="shared" ca="1" si="4"/>
        <v>910</v>
      </c>
    </row>
    <row r="17" spans="1:18">
      <c r="A17" s="29" t="s">
        <v>88</v>
      </c>
      <c r="B17" s="9">
        <f ca="1">B16</f>
        <v>910</v>
      </c>
      <c r="C17" s="9">
        <f ca="1">SUM(C$2:C$11)</f>
        <v>855.89212035825699</v>
      </c>
      <c r="D17" s="9">
        <f ca="1">SUM(D$2:D$11)</f>
        <v>2446.9759484753949</v>
      </c>
      <c r="E17" s="9">
        <f ca="1">$Q$5/parameters!$B$4</f>
        <v>1576.0190486486465</v>
      </c>
      <c r="F17" s="9">
        <f t="shared" ref="F17:K17" ca="1" si="7">SUM(F$2:F$11)</f>
        <v>940.29850746268664</v>
      </c>
      <c r="G17" s="9">
        <f t="shared" ca="1" si="7"/>
        <v>5427.3772204806683</v>
      </c>
      <c r="H17" s="9">
        <f t="shared" ca="1" si="7"/>
        <v>6076</v>
      </c>
      <c r="I17" s="9">
        <f t="shared" ca="1" si="7"/>
        <v>5619.1316121711552</v>
      </c>
      <c r="J17" s="9">
        <f t="shared" ca="1" si="7"/>
        <v>1873.948387828844</v>
      </c>
      <c r="K17" s="9">
        <f t="shared" ca="1" si="7"/>
        <v>7758.4745945945942</v>
      </c>
      <c r="L17" s="17">
        <f t="shared" ca="1" si="5"/>
        <v>33484.117440020244</v>
      </c>
      <c r="M17" s="17"/>
      <c r="N17" s="17"/>
      <c r="O17" s="9"/>
      <c r="P17" s="14"/>
      <c r="Q17" s="11">
        <f t="shared" ca="1" si="6"/>
        <v>33484.117440020244</v>
      </c>
      <c r="R17" s="17">
        <f t="shared" ca="1" si="4"/>
        <v>33484.117440020244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0.87847381778849221</v>
      </c>
      <c r="J18" s="39">
        <f ca="1">I18</f>
        <v>0.87847381778849221</v>
      </c>
      <c r="K18" s="40">
        <f ca="1">1-(-K13)/K17</f>
        <v>0.91423395989376022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4194.0223407467047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4194.0223407467047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-4194.0223407467047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0</v>
      </c>
      <c r="H3" s="14"/>
      <c r="I3" s="14"/>
      <c r="J3" s="14"/>
      <c r="K3" s="13"/>
      <c r="L3" s="16">
        <f t="shared" ca="1" si="0"/>
        <v>0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38">
        <f ca="1">Q7/parameters!$B$7-G3-G5</f>
        <v>2810.0255200941538</v>
      </c>
      <c r="H4" s="14"/>
      <c r="I4" s="14"/>
      <c r="J4" s="14"/>
      <c r="K4" s="13"/>
      <c r="L4" s="16">
        <f t="shared" ca="1" si="0"/>
        <v>2810.0255200941538</v>
      </c>
      <c r="M4" s="16"/>
      <c r="N4" s="16">
        <f t="shared" ca="1" si="1"/>
        <v>1357.5744799058466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4167.6000000000004</v>
      </c>
      <c r="R4" s="16">
        <f t="shared" ca="1" si="2"/>
        <v>4167.6000000000004</v>
      </c>
      <c r="S4" s="7"/>
    </row>
    <row r="5" spans="1:22">
      <c r="A5" s="18" t="s">
        <v>108</v>
      </c>
      <c r="B5" s="11"/>
      <c r="C5" s="14"/>
      <c r="D5" s="14"/>
      <c r="E5" s="14"/>
      <c r="F5" s="14">
        <f ca="1">Q6/parameters!$B$5*20%</f>
        <v>0</v>
      </c>
      <c r="G5" s="38">
        <f ca="1">E14*parameters!$B$4-O5-P5-F5</f>
        <v>1969.1385342423146</v>
      </c>
      <c r="H5" s="14"/>
      <c r="I5" s="14"/>
      <c r="J5" s="14"/>
      <c r="K5" s="13"/>
      <c r="L5" s="16">
        <f t="shared" ca="1" si="0"/>
        <v>1969.1385342423146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1969.1385342423146</v>
      </c>
      <c r="R5" s="16">
        <f t="shared" ca="1" si="2"/>
        <v>1969.1385342423146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4573.66</v>
      </c>
      <c r="I7" s="14"/>
      <c r="J7" s="14"/>
      <c r="K7" s="13"/>
      <c r="L7" s="16">
        <f t="shared" ca="1" si="0"/>
        <v>4573.66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4573.66</v>
      </c>
      <c r="R7" s="16">
        <f t="shared" ca="1" si="2"/>
        <v>4573.66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3239.4298081089332</v>
      </c>
      <c r="J8" s="14">
        <f ca="1">Q10/J18</f>
        <v>3077.6501918910672</v>
      </c>
      <c r="K8" s="13"/>
      <c r="L8" s="16">
        <f t="shared" ca="1" si="0"/>
        <v>6317.08</v>
      </c>
      <c r="M8" s="16"/>
      <c r="N8" s="16">
        <f t="shared" ca="1" si="3"/>
        <v>0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-1743.42</v>
      </c>
      <c r="Q8" s="16">
        <f ca="1">SUM(Q6:Q7)</f>
        <v>4573.66</v>
      </c>
      <c r="R8" s="16">
        <f t="shared" ca="1" si="2"/>
        <v>4573.66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3985.66</v>
      </c>
      <c r="L9" s="16">
        <f t="shared" ca="1" si="0"/>
        <v>3985.66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-1457.26</v>
      </c>
      <c r="Q9" s="16" cm="1">
        <f t="array" aca="1" ref="Q9" ca="1">INDIRECT("'data'!$T$" &amp; $A$1)*parameters!$B$15</f>
        <v>2528.4</v>
      </c>
      <c r="R9" s="16">
        <f t="shared" ca="1" si="2"/>
        <v>2528.3999999999996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4191.609759286237</v>
      </c>
      <c r="L10" s="16">
        <f t="shared" ca="1" si="0"/>
        <v>4191.609759286237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-1789.48</v>
      </c>
      <c r="Q10" s="16" cm="1">
        <f t="array" aca="1" ref="Q10" ca="1">INDIRECT("'data'!$W$" &amp; $A$1)*parameters!$B$15</f>
        <v>2402.1297592862375</v>
      </c>
      <c r="R10" s="16">
        <f t="shared" ca="1" si="2"/>
        <v>2402.129759286237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10040.424792986163</v>
      </c>
      <c r="N11" s="19"/>
      <c r="O11" s="21" cm="1">
        <f t="array" aca="1" ref="O11" ca="1">INDIRECT("'data'!$Z$" &amp; $A$1)*parameters!$B$15</f>
        <v>152.88</v>
      </c>
      <c r="P11" s="27" cm="1">
        <f t="array" aca="1" ref="P11" ca="1">-INDIRECT("'data'!$AA$" &amp; $A$1)*parameters!$B$15</f>
        <v>-2842</v>
      </c>
      <c r="Q11" s="16">
        <f ca="1">K9*parameters!$B$10+K10*parameters!$B$11</f>
        <v>7351.3047929861632</v>
      </c>
      <c r="R11" s="16">
        <f t="shared" ref="R11:R17" ca="1" si="4">SUM(L11:P11)</f>
        <v>7351.3047929861623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-26.422340746704322</v>
      </c>
      <c r="E12" s="9">
        <f ca="1">-(E17-Q5)</f>
        <v>-243.37667277152195</v>
      </c>
      <c r="F12" s="9">
        <f ca="1">-(F17-Q6)</f>
        <v>0</v>
      </c>
      <c r="G12" s="9">
        <f ca="1">-(G17-Q7)</f>
        <v>-205.50405433646847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-475.30306785469475</v>
      </c>
      <c r="M12" s="17"/>
      <c r="N12" s="17"/>
      <c r="O12" s="10"/>
      <c r="P12" s="12"/>
      <c r="Q12" s="9">
        <f t="shared" ref="Q12:Q17" ca="1" si="6">SUM(L12:P12)</f>
        <v>-475.30306785469475</v>
      </c>
      <c r="R12" s="17">
        <f t="shared" ca="1" si="4"/>
        <v>-475.30306785469475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-711.02980810893314</v>
      </c>
      <c r="J13" s="14">
        <f ca="1">-(J17-Q10)</f>
        <v>-675.52043260482969</v>
      </c>
      <c r="K13" s="13">
        <f ca="1">-(K17-Q11)</f>
        <v>-825.96496630007368</v>
      </c>
      <c r="L13" s="14">
        <f t="shared" ca="1" si="5"/>
        <v>-2212.5152070138365</v>
      </c>
      <c r="M13" s="16">
        <f ca="1">-E15</f>
        <v>0</v>
      </c>
      <c r="N13" s="16"/>
      <c r="O13" s="11"/>
      <c r="P13" s="13"/>
      <c r="Q13" s="14">
        <f t="shared" ca="1" si="6"/>
        <v>-2212.5152070138365</v>
      </c>
      <c r="R13" s="16">
        <f t="shared" ca="1" si="4"/>
        <v>-2212.5152070138365</v>
      </c>
    </row>
    <row r="14" spans="1:22">
      <c r="A14" s="18" t="s">
        <v>78</v>
      </c>
      <c r="B14" s="11"/>
      <c r="C14" s="14"/>
      <c r="D14" s="14"/>
      <c r="E14" s="14">
        <f ca="1">-(I13+J13)-K13</f>
        <v>2212.5152070138365</v>
      </c>
      <c r="F14" s="14"/>
      <c r="G14" s="14"/>
      <c r="H14" s="14"/>
      <c r="I14" s="14"/>
      <c r="J14" s="14"/>
      <c r="K14" s="13"/>
      <c r="L14" s="14">
        <f t="shared" ca="1" si="5"/>
        <v>2212.5152070138365</v>
      </c>
      <c r="M14" s="16"/>
      <c r="N14" s="16"/>
      <c r="O14" s="11"/>
      <c r="P14" s="13"/>
      <c r="Q14" s="14">
        <f t="shared" ca="1" si="6"/>
        <v>2212.5152070138365</v>
      </c>
      <c r="R14" s="16">
        <f t="shared" ca="1" si="4"/>
        <v>2212.5152070138365</v>
      </c>
    </row>
    <row r="15" spans="1:22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4194.0223407467047</v>
      </c>
      <c r="E17" s="9">
        <f ca="1">$Q$5/parameters!$B$4</f>
        <v>2212.5152070138365</v>
      </c>
      <c r="F17" s="9">
        <f t="shared" ref="F17:K17" ca="1" si="7">SUM(F$2:F$11)</f>
        <v>0</v>
      </c>
      <c r="G17" s="9">
        <f t="shared" ca="1" si="7"/>
        <v>4779.1640543364683</v>
      </c>
      <c r="H17" s="9">
        <f t="shared" ca="1" si="7"/>
        <v>4573.66</v>
      </c>
      <c r="I17" s="9">
        <f t="shared" ca="1" si="7"/>
        <v>3239.4298081089332</v>
      </c>
      <c r="J17" s="9">
        <f t="shared" ca="1" si="7"/>
        <v>3077.6501918910672</v>
      </c>
      <c r="K17" s="9">
        <f t="shared" ca="1" si="7"/>
        <v>8177.2697592862369</v>
      </c>
      <c r="L17" s="17">
        <f t="shared" ca="1" si="5"/>
        <v>30253.711361383248</v>
      </c>
      <c r="M17" s="17"/>
      <c r="N17" s="17"/>
      <c r="O17" s="9"/>
      <c r="P17" s="14"/>
      <c r="Q17" s="11">
        <f t="shared" ca="1" si="6"/>
        <v>30253.711361383248</v>
      </c>
      <c r="R17" s="17">
        <f t="shared" ca="1" si="4"/>
        <v>30253.711361383248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0.78050772814120406</v>
      </c>
      <c r="J18" s="39">
        <f ca="1">I18</f>
        <v>0.78050772814120406</v>
      </c>
      <c r="K18" s="40">
        <f ca="1">1-(-K13)/K17</f>
        <v>0.89899257446385517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5510.9942638623324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5510.9942638623324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-4860.5392638623325</v>
      </c>
      <c r="Q2" s="17" cm="1">
        <f t="array" aca="1" ref="Q2" ca="1">INDIRECT("'data'!$D$" &amp; $A$1)</f>
        <v>650.45500000000004</v>
      </c>
      <c r="R2" s="17">
        <f ca="1">SUM(L2:P2)</f>
        <v>650.45499999999993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5454.9850746268658</v>
      </c>
      <c r="G3" s="14">
        <f ca="1">Q3-O3-P3-F3</f>
        <v>57.199925373133738</v>
      </c>
      <c r="H3" s="14"/>
      <c r="I3" s="14"/>
      <c r="J3" s="14"/>
      <c r="K3" s="13"/>
      <c r="L3" s="16">
        <f t="shared" ca="1" si="0"/>
        <v>5512.1849999999995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5.67</v>
      </c>
      <c r="P3" s="13" cm="1">
        <f t="array" aca="1" ref="P3" ca="1">-INDIRECT("'data'!$I$" &amp; $A$1)*parameters!$B$13</f>
        <v>-41.58</v>
      </c>
      <c r="Q3" s="16" cm="1">
        <f t="array" aca="1" ref="Q3" ca="1">INDIRECT("'data'!$G$" &amp; $A$1)*parameters!$B$13</f>
        <v>5476.2749999999996</v>
      </c>
      <c r="R3" s="16">
        <f t="shared" ref="R3:R10" ca="1" si="2">SUM(L3:P3)</f>
        <v>5476.2749999999996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37.72</v>
      </c>
      <c r="H4" s="14"/>
      <c r="I4" s="14"/>
      <c r="J4" s="14"/>
      <c r="K4" s="13"/>
      <c r="L4" s="16">
        <f t="shared" ca="1" si="0"/>
        <v>37.72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-37.72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Q6/parameters!$B$5*24%</f>
        <v>1722.6268656716416</v>
      </c>
      <c r="G5" s="14">
        <f ca="1">Q7/parameters!$B$7-(G3+G4)</f>
        <v>645.45625017545558</v>
      </c>
      <c r="H5" s="14"/>
      <c r="I5" s="14"/>
      <c r="J5" s="14"/>
      <c r="K5" s="13"/>
      <c r="L5" s="16">
        <f t="shared" ca="1" si="0"/>
        <v>2368.0831158470974</v>
      </c>
      <c r="M5" s="16"/>
      <c r="N5" s="16"/>
      <c r="O5" s="11" cm="1">
        <f t="array" aca="1" ref="O5" ca="1">INDIRECT("'data'!$M$" &amp; $A$1)*parameters!$B$15</f>
        <v>1369.06</v>
      </c>
      <c r="P5" s="13" cm="1">
        <f t="array" aca="1" ref="P5" ca="1">-INDIRECT("'data'!$N$" &amp; $A$1)*parameters!$B$15</f>
        <v>-1761.06</v>
      </c>
      <c r="Q5" s="16">
        <f ca="1">SUM(L5:P5)</f>
        <v>1976.0831158470974</v>
      </c>
      <c r="R5" s="16">
        <f t="shared" ca="1" si="2"/>
        <v>1976.0831158470974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6732.5999999999995</v>
      </c>
      <c r="I6" s="14"/>
      <c r="J6" s="14"/>
      <c r="K6" s="13"/>
      <c r="L6" s="16">
        <f t="shared" ca="1" si="0"/>
        <v>6732.5999999999995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6732.5999999999995</v>
      </c>
      <c r="R6" s="16">
        <f t="shared" ca="1" si="2"/>
        <v>6732.5999999999995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708.54</v>
      </c>
      <c r="I7" s="14"/>
      <c r="J7" s="14"/>
      <c r="K7" s="13"/>
      <c r="L7" s="16">
        <f t="shared" ca="1" si="0"/>
        <v>708.54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708.54</v>
      </c>
      <c r="R7" s="16">
        <f t="shared" ca="1" si="2"/>
        <v>708.54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1953.1845555652187</v>
      </c>
      <c r="J8" s="14">
        <f ca="1">Q10/J18</f>
        <v>5396.8154444347811</v>
      </c>
      <c r="K8" s="13"/>
      <c r="L8" s="16">
        <f t="shared" ca="1" si="0"/>
        <v>7350</v>
      </c>
      <c r="M8" s="16"/>
      <c r="N8" s="16">
        <f t="shared" ca="1" si="3"/>
        <v>0</v>
      </c>
      <c r="O8" s="11" cm="1">
        <f t="array" aca="1" ref="O8" ca="1">INDIRECT("'data'!$R$" &amp; $A$1)*parameters!$B$15</f>
        <v>279.3</v>
      </c>
      <c r="P8" s="13" cm="1">
        <f t="array" aca="1" ref="P8" ca="1">-INDIRECT("'data'!$S$" &amp; $A$1)*parameters!$B$15</f>
        <v>-188.16</v>
      </c>
      <c r="Q8" s="16">
        <f ca="1">SUM(Q6:Q7)</f>
        <v>7441.1399999999994</v>
      </c>
      <c r="R8" s="16">
        <f t="shared" ca="1" si="2"/>
        <v>7441.14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2029.58</v>
      </c>
      <c r="L9" s="16">
        <f t="shared" ca="1" si="0"/>
        <v>2029.58</v>
      </c>
      <c r="M9" s="16"/>
      <c r="N9" s="16">
        <f t="shared" ca="1" si="3"/>
        <v>0</v>
      </c>
      <c r="O9" s="11" cm="1">
        <f t="array" aca="1" ref="O9" ca="1">INDIRECT("'data'!$U$" &amp; $A$1)*parameters!$B$15</f>
        <v>1137.78</v>
      </c>
      <c r="P9" s="13" cm="1">
        <f t="array" aca="1" ref="P9" ca="1">-INDIRECT("'data'!$V$" &amp; $A$1)*parameters!$B$15</f>
        <v>-1421</v>
      </c>
      <c r="Q9" s="16" cm="1">
        <f t="array" aca="1" ref="Q9" ca="1">INDIRECT("'data'!$T$" &amp; $A$1)*parameters!$B$15</f>
        <v>1746.36</v>
      </c>
      <c r="R9" s="16">
        <f t="shared" ca="1" si="2"/>
        <v>1746.3599999999997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2450.8015647226171</v>
      </c>
      <c r="L10" s="16">
        <f t="shared" ca="1" si="0"/>
        <v>2450.8015647226171</v>
      </c>
      <c r="M10" s="16"/>
      <c r="N10" s="16">
        <f t="shared" ca="1" si="3"/>
        <v>0</v>
      </c>
      <c r="O10" s="11" cm="1">
        <f t="array" aca="1" ref="O10" ca="1">INDIRECT("'data'!$X$" &amp; $A$1)*parameters!$B$15</f>
        <v>4329.6400000000003</v>
      </c>
      <c r="P10" s="13" cm="1">
        <f t="array" aca="1" ref="P10" ca="1">-INDIRECT("'data'!$Y$" &amp; $A$1)*parameters!$B$15</f>
        <v>-1955.1</v>
      </c>
      <c r="Q10" s="16" cm="1">
        <f t="array" aca="1" ref="Q10" ca="1">INDIRECT("'data'!$W$" &amp; $A$1)*parameters!$B$15</f>
        <v>4825.3415647226175</v>
      </c>
      <c r="R10" s="16">
        <f t="shared" ca="1" si="2"/>
        <v>4825.3415647226175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3993.9345456614506</v>
      </c>
      <c r="N11" s="19"/>
      <c r="O11" s="21" cm="1">
        <f t="array" aca="1" ref="O11" ca="1">INDIRECT("'data'!$Z$" &amp; $A$1)*parameters!$B$15</f>
        <v>3757.3199999999997</v>
      </c>
      <c r="P11" s="27" cm="1">
        <f t="array" aca="1" ref="P11" ca="1">-INDIRECT("'data'!$AA$" &amp; $A$1)*parameters!$B$15</f>
        <v>-3735.7599999999998</v>
      </c>
      <c r="Q11" s="16">
        <f ca="1">K9*parameters!$B$10+K10*parameters!$B$11</f>
        <v>4015.4945456614505</v>
      </c>
      <c r="R11" s="16">
        <f t="shared" ref="R11:R17" ca="1" si="4">SUM(L11:P11)</f>
        <v>4015.49454566145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-34.719263862332809</v>
      </c>
      <c r="D12" s="9">
        <f ca="1">-(D17-Q4)</f>
        <v>0</v>
      </c>
      <c r="E12" s="9">
        <f ca="1">-(E17-Q5)</f>
        <v>-244.23499184627053</v>
      </c>
      <c r="F12" s="9">
        <f ca="1">-(F17-Q6)</f>
        <v>-445.01194029850831</v>
      </c>
      <c r="G12" s="9">
        <f ca="1">-(G17-Q7)</f>
        <v>-31.836175548589381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-755.80237155570103</v>
      </c>
      <c r="M12" s="17"/>
      <c r="N12" s="17"/>
      <c r="O12" s="10"/>
      <c r="P12" s="12"/>
      <c r="Q12" s="9">
        <f t="shared" ref="Q12:Q17" ca="1" si="6">SUM(L12:P12)</f>
        <v>-755.80237155570103</v>
      </c>
      <c r="R12" s="17">
        <f t="shared" ca="1" si="4"/>
        <v>-755.80237155570103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-206.82455556521882</v>
      </c>
      <c r="J13" s="14">
        <f ca="1">-(J17-Q10)</f>
        <v>-571.47387971216358</v>
      </c>
      <c r="K13" s="13">
        <f ca="1">-(K17-Q11)</f>
        <v>-464.88701906116603</v>
      </c>
      <c r="L13" s="14">
        <f t="shared" ca="1" si="5"/>
        <v>-1243.1854543385484</v>
      </c>
      <c r="M13" s="16">
        <f ca="1">-E15</f>
        <v>-977.13265335481947</v>
      </c>
      <c r="N13" s="16"/>
      <c r="O13" s="11"/>
      <c r="P13" s="13"/>
      <c r="Q13" s="14">
        <f t="shared" ca="1" si="6"/>
        <v>-2220.3181076933679</v>
      </c>
      <c r="R13" s="16">
        <f t="shared" ca="1" si="4"/>
        <v>-2220.3181076933679</v>
      </c>
    </row>
    <row r="14" spans="1:20">
      <c r="A14" s="18" t="s">
        <v>78</v>
      </c>
      <c r="B14" s="11"/>
      <c r="C14" s="14"/>
      <c r="D14" s="14"/>
      <c r="E14" s="14">
        <f ca="1">-(I13+J13)-K13</f>
        <v>1243.1854543385484</v>
      </c>
      <c r="F14" s="14"/>
      <c r="G14" s="14"/>
      <c r="H14" s="14"/>
      <c r="I14" s="14"/>
      <c r="J14" s="14"/>
      <c r="K14" s="13"/>
      <c r="L14" s="14">
        <f t="shared" ca="1" si="5"/>
        <v>1243.1854543385484</v>
      </c>
      <c r="M14" s="16"/>
      <c r="N14" s="16"/>
      <c r="O14" s="11"/>
      <c r="P14" s="13"/>
      <c r="Q14" s="14">
        <f t="shared" ca="1" si="6"/>
        <v>1243.1854543385484</v>
      </c>
      <c r="R14" s="16">
        <f t="shared" ca="1" si="4"/>
        <v>1243.1854543385484</v>
      </c>
    </row>
    <row r="15" spans="1:20">
      <c r="A15" s="18" t="s">
        <v>79</v>
      </c>
      <c r="B15" s="11"/>
      <c r="C15" s="14"/>
      <c r="D15" s="14"/>
      <c r="E15" s="14">
        <f ca="1">E17-E14</f>
        <v>977.13265335481947</v>
      </c>
      <c r="F15" s="14"/>
      <c r="G15" s="14"/>
      <c r="H15" s="14"/>
      <c r="I15" s="14"/>
      <c r="J15" s="14"/>
      <c r="K15" s="13"/>
      <c r="L15" s="14">
        <f t="shared" ca="1" si="5"/>
        <v>977.13265335481947</v>
      </c>
      <c r="M15" s="16"/>
      <c r="N15" s="16"/>
      <c r="O15" s="11"/>
      <c r="P15" s="13"/>
      <c r="Q15" s="14">
        <f t="shared" ca="1" si="6"/>
        <v>977.13265335481947</v>
      </c>
      <c r="R15" s="16">
        <f t="shared" ca="1" si="4"/>
        <v>977.13265335481947</v>
      </c>
    </row>
    <row r="16" spans="1:20">
      <c r="A16" s="30" t="s">
        <v>89</v>
      </c>
      <c r="B16" s="21">
        <f ca="1">Q2</f>
        <v>650.45500000000004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650.45500000000004</v>
      </c>
      <c r="M16" s="19"/>
      <c r="N16" s="19"/>
      <c r="O16" s="21"/>
      <c r="P16" s="27"/>
      <c r="Q16" s="22">
        <f t="shared" ca="1" si="6"/>
        <v>650.45500000000004</v>
      </c>
      <c r="R16" s="19">
        <f t="shared" ca="1" si="4"/>
        <v>650.45500000000004</v>
      </c>
    </row>
    <row r="17" spans="1:18">
      <c r="A17" s="29" t="s">
        <v>88</v>
      </c>
      <c r="B17" s="9">
        <f ca="1">B16</f>
        <v>650.45500000000004</v>
      </c>
      <c r="C17" s="9">
        <f ca="1">SUM(C$2:C$11)</f>
        <v>5510.9942638623324</v>
      </c>
      <c r="D17" s="9">
        <f ca="1">SUM(D$2:D$11)</f>
        <v>0</v>
      </c>
      <c r="E17" s="9">
        <f ca="1">$Q$5/parameters!$B$4</f>
        <v>2220.3181076933679</v>
      </c>
      <c r="F17" s="9">
        <f t="shared" ref="F17:K17" ca="1" si="7">SUM(F$2:F$11)</f>
        <v>7177.6119402985078</v>
      </c>
      <c r="G17" s="9">
        <f t="shared" ca="1" si="7"/>
        <v>740.37617554858934</v>
      </c>
      <c r="H17" s="9">
        <f t="shared" ca="1" si="7"/>
        <v>7441.1399999999994</v>
      </c>
      <c r="I17" s="9">
        <f t="shared" ca="1" si="7"/>
        <v>1953.1845555652187</v>
      </c>
      <c r="J17" s="9">
        <f t="shared" ca="1" si="7"/>
        <v>5396.8154444347811</v>
      </c>
      <c r="K17" s="9">
        <f t="shared" ca="1" si="7"/>
        <v>4480.3815647226165</v>
      </c>
      <c r="L17" s="17">
        <f t="shared" ca="1" si="5"/>
        <v>35571.277052125413</v>
      </c>
      <c r="M17" s="17"/>
      <c r="N17" s="17"/>
      <c r="O17" s="9"/>
      <c r="P17" s="14"/>
      <c r="Q17" s="11">
        <f t="shared" ca="1" si="6"/>
        <v>35571.277052125413</v>
      </c>
      <c r="R17" s="17">
        <f t="shared" ca="1" si="4"/>
        <v>35571.277052125413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0.89410905642484595</v>
      </c>
      <c r="J18" s="39">
        <f ca="1">I18</f>
        <v>0.89410905642484595</v>
      </c>
      <c r="K18" s="40">
        <f ca="1">1-(-K13)/K17</f>
        <v>0.89623941346389602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6635.0659152661765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6635.0659152661765</v>
      </c>
      <c r="M2" s="17"/>
      <c r="N2" s="17">
        <f ca="1">Q2-(L2+O2+P2)</f>
        <v>0</v>
      </c>
      <c r="O2" s="11" cm="1">
        <f t="array" aca="1" ref="O2" ca="1">INDIRECT("'data'!$F$" &amp; $A$1)</f>
        <v>58.5</v>
      </c>
      <c r="P2" s="13">
        <f ca="1">IF(-(L2-Q2+O2)&lt;0, -(L2-Q2+O2), 0)</f>
        <v>-6693.5659152661765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6190.9253731343288</v>
      </c>
      <c r="G3" s="14">
        <f ca="1">Q3-O3-P3-F3</f>
        <v>599.84462686567076</v>
      </c>
      <c r="H3" s="14"/>
      <c r="I3" s="14"/>
      <c r="J3" s="14"/>
      <c r="K3" s="13"/>
      <c r="L3" s="16">
        <f t="shared" ca="1" si="0"/>
        <v>6790.7699999999995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277.83</v>
      </c>
      <c r="P3" s="13" cm="1">
        <f t="array" aca="1" ref="P3" ca="1">-INDIRECT("'data'!$I$" &amp; $A$1)*parameters!$B$13</f>
        <v>-475.33499999999998</v>
      </c>
      <c r="Q3" s="16" cm="1">
        <f t="array" aca="1" ref="Q3" ca="1">INDIRECT("'data'!$G$" &amp; $A$1)*parameters!$B$13</f>
        <v>6593.2649999999994</v>
      </c>
      <c r="R3" s="16">
        <f t="shared" ref="R3:R10" ca="1" si="2">SUM(L3:P3)</f>
        <v>6593.2649999999994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0.92</v>
      </c>
      <c r="H4" s="14"/>
      <c r="I4" s="14"/>
      <c r="J4" s="14"/>
      <c r="K4" s="13"/>
      <c r="L4" s="16">
        <f t="shared" ca="1" si="0"/>
        <v>0.92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1547.7313432835822</v>
      </c>
      <c r="G5" s="14">
        <f ca="1">Q7/parameters!$B$7-(G3+G4)</f>
        <v>2742.7045476379863</v>
      </c>
      <c r="H5" s="14"/>
      <c r="I5" s="14"/>
      <c r="J5" s="14"/>
      <c r="K5" s="13"/>
      <c r="L5" s="16">
        <f t="shared" ca="1" si="0"/>
        <v>4290.435890921568</v>
      </c>
      <c r="M5" s="16"/>
      <c r="N5" s="16"/>
      <c r="O5" s="11" cm="1">
        <f t="array" aca="1" ref="O5" ca="1">INDIRECT("'data'!$M$" &amp; $A$1)*parameters!$B$15</f>
        <v>3097.7799999999997</v>
      </c>
      <c r="P5" s="13" cm="1">
        <f t="array" aca="1" ref="P5" ca="1">-INDIRECT("'data'!$N$" &amp; $A$1)*parameters!$B$15</f>
        <v>-4733.3999999999996</v>
      </c>
      <c r="Q5" s="16">
        <f ca="1">SUM(L5:P5)</f>
        <v>2654.8158909215681</v>
      </c>
      <c r="R5" s="16">
        <f t="shared" ca="1" si="2"/>
        <v>2654.8158909215681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7258.86</v>
      </c>
      <c r="I6" s="14"/>
      <c r="J6" s="14"/>
      <c r="K6" s="13"/>
      <c r="L6" s="16">
        <f t="shared" ca="1" si="0"/>
        <v>7258.86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7258.86</v>
      </c>
      <c r="R6" s="16">
        <f t="shared" ca="1" si="2"/>
        <v>7258.86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3199.7</v>
      </c>
      <c r="I7" s="14"/>
      <c r="J7" s="14"/>
      <c r="K7" s="13"/>
      <c r="L7" s="16">
        <f t="shared" ca="1" si="0"/>
        <v>3199.7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3199.7</v>
      </c>
      <c r="R7" s="16">
        <f t="shared" ca="1" si="2"/>
        <v>3199.7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1146.611226988874</v>
      </c>
      <c r="J8" s="14">
        <f ca="1">Q10/J18</f>
        <v>11152.388773011127</v>
      </c>
      <c r="K8" s="13"/>
      <c r="L8" s="16">
        <f t="shared" ca="1" si="0"/>
        <v>12299.000000000002</v>
      </c>
      <c r="M8" s="16"/>
      <c r="N8" s="16">
        <f t="shared" ca="1" si="3"/>
        <v>0</v>
      </c>
      <c r="O8" s="11" cm="1">
        <f t="array" aca="1" ref="O8" ca="1">INDIRECT("'data'!$R$" &amp; $A$1)*parameters!$B$15</f>
        <v>893.76</v>
      </c>
      <c r="P8" s="13" cm="1">
        <f t="array" aca="1" ref="P8" ca="1">-INDIRECT("'data'!$S$" &amp; $A$1)*parameters!$B$15</f>
        <v>-2734.2</v>
      </c>
      <c r="Q8" s="16">
        <f ca="1">SUM(Q6:Q7)</f>
        <v>10458.56</v>
      </c>
      <c r="R8" s="16">
        <f t="shared" ca="1" si="2"/>
        <v>10458.560000000001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1303.3999999999996</v>
      </c>
      <c r="L9" s="16">
        <f t="shared" ca="1" si="0"/>
        <v>1303.3999999999996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2504.88</v>
      </c>
      <c r="P9" s="13" cm="1">
        <f t="array" aca="1" ref="P9" ca="1">-INDIRECT("'data'!$V$" &amp; $A$1)*parameters!$B$15</f>
        <v>-2758.7</v>
      </c>
      <c r="Q9" s="16" cm="1">
        <f t="array" aca="1" ref="Q9" ca="1">INDIRECT("'data'!$T$" &amp; $A$1)*parameters!$B$15</f>
        <v>1049.58</v>
      </c>
      <c r="R9" s="16">
        <f t="shared" ca="1" si="2"/>
        <v>1049.58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2010.9251493598858</v>
      </c>
      <c r="L10" s="16">
        <f t="shared" ca="1" si="0"/>
        <v>2010.9251493598858</v>
      </c>
      <c r="M10" s="16"/>
      <c r="N10" s="16">
        <f t="shared" ca="1" si="3"/>
        <v>0</v>
      </c>
      <c r="O10" s="11" cm="1">
        <f t="array" aca="1" ref="O10" ca="1">INDIRECT("'data'!$X$" &amp; $A$1)*parameters!$B$15</f>
        <v>16668.82</v>
      </c>
      <c r="P10" s="13" cm="1">
        <f t="array" aca="1" ref="P10" ca="1">-INDIRECT("'data'!$Y$" &amp; $A$1)*parameters!$B$15</f>
        <v>-8471.119999999999</v>
      </c>
      <c r="Q10" s="16" cm="1">
        <f t="array" aca="1" ref="Q10" ca="1">INDIRECT("'data'!$W$" &amp; $A$1)*parameters!$B$15</f>
        <v>10208.625149359887</v>
      </c>
      <c r="R10" s="16">
        <f t="shared" ca="1" si="2"/>
        <v>10208.625149359887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3244.6716284495014</v>
      </c>
      <c r="N11" s="19"/>
      <c r="O11" s="21" cm="1">
        <f t="array" aca="1" ref="O11" ca="1">INDIRECT("'data'!$Z$" &amp; $A$1)*parameters!$B$15</f>
        <v>6777.68</v>
      </c>
      <c r="P11" s="27" cm="1">
        <f t="array" aca="1" ref="P11" ca="1">-INDIRECT("'data'!$AA$" &amp; $A$1)*parameters!$B$15</f>
        <v>-7067.76</v>
      </c>
      <c r="Q11" s="16">
        <f ca="1">K9*parameters!$B$10+K10*parameters!$B$11</f>
        <v>2954.5916284495015</v>
      </c>
      <c r="R11" s="16">
        <f t="shared" ref="R11:R17" ca="1" si="4">SUM(L11:P11)</f>
        <v>2954.5916284495015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-41.800915266177071</v>
      </c>
      <c r="D12" s="9">
        <f ca="1">-(D17-Q4)</f>
        <v>0</v>
      </c>
      <c r="E12" s="9">
        <f ca="1">-(E17-Q5)</f>
        <v>-328.12331236109276</v>
      </c>
      <c r="F12" s="9">
        <f ca="1">-(F17-Q6)</f>
        <v>-479.79671641791083</v>
      </c>
      <c r="G12" s="9">
        <f ca="1">-(G17-Q7)</f>
        <v>-143.76917450365727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-993.49011854883793</v>
      </c>
      <c r="M12" s="17"/>
      <c r="N12" s="17"/>
      <c r="O12" s="10"/>
      <c r="P12" s="12"/>
      <c r="Q12" s="9">
        <f t="shared" ref="Q12:Q17" ca="1" si="6">SUM(L12:P12)</f>
        <v>-993.49011854883793</v>
      </c>
      <c r="R12" s="17">
        <f t="shared" ca="1" si="4"/>
        <v>-993.49011854883793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-97.031226988874096</v>
      </c>
      <c r="J13" s="14">
        <f ca="1">-(J17-Q10)</f>
        <v>-943.76362365124078</v>
      </c>
      <c r="K13" s="13">
        <f ca="1">-(K17-Q11)</f>
        <v>-359.73352091038396</v>
      </c>
      <c r="L13" s="14">
        <f t="shared" ca="1" si="5"/>
        <v>-1400.5283715504988</v>
      </c>
      <c r="M13" s="16">
        <f ca="1">-E15</f>
        <v>-1582.410831732162</v>
      </c>
      <c r="N13" s="16"/>
      <c r="O13" s="11"/>
      <c r="P13" s="13"/>
      <c r="Q13" s="14">
        <f t="shared" ca="1" si="6"/>
        <v>-2982.9392032826609</v>
      </c>
      <c r="R13" s="16">
        <f t="shared" ca="1" si="4"/>
        <v>-2982.9392032826609</v>
      </c>
    </row>
    <row r="14" spans="1:20">
      <c r="A14" s="18" t="s">
        <v>78</v>
      </c>
      <c r="B14" s="11"/>
      <c r="C14" s="14"/>
      <c r="D14" s="14"/>
      <c r="E14" s="14">
        <f ca="1">-(I13+J13)-K13</f>
        <v>1400.5283715504988</v>
      </c>
      <c r="F14" s="14"/>
      <c r="G14" s="14"/>
      <c r="H14" s="14"/>
      <c r="I14" s="14"/>
      <c r="J14" s="14"/>
      <c r="K14" s="13"/>
      <c r="L14" s="14">
        <f t="shared" ca="1" si="5"/>
        <v>1400.5283715504988</v>
      </c>
      <c r="M14" s="16"/>
      <c r="N14" s="16"/>
      <c r="O14" s="11"/>
      <c r="P14" s="13"/>
      <c r="Q14" s="14">
        <f t="shared" ca="1" si="6"/>
        <v>1400.5283715504988</v>
      </c>
      <c r="R14" s="16">
        <f t="shared" ca="1" si="4"/>
        <v>1400.5283715504988</v>
      </c>
    </row>
    <row r="15" spans="1:20">
      <c r="A15" s="18" t="s">
        <v>79</v>
      </c>
      <c r="B15" s="11"/>
      <c r="C15" s="14"/>
      <c r="D15" s="14"/>
      <c r="E15" s="14">
        <f ca="1">E17-E14</f>
        <v>1582.410831732162</v>
      </c>
      <c r="F15" s="14"/>
      <c r="G15" s="14"/>
      <c r="H15" s="14"/>
      <c r="I15" s="14"/>
      <c r="J15" s="14"/>
      <c r="K15" s="13"/>
      <c r="L15" s="14">
        <f t="shared" ca="1" si="5"/>
        <v>1582.410831732162</v>
      </c>
      <c r="M15" s="16"/>
      <c r="N15" s="16"/>
      <c r="O15" s="11"/>
      <c r="P15" s="13"/>
      <c r="Q15" s="14">
        <f t="shared" ca="1" si="6"/>
        <v>1582.410831732162</v>
      </c>
      <c r="R15" s="16">
        <f t="shared" ca="1" si="4"/>
        <v>1582.410831732162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6635.0659152661765</v>
      </c>
      <c r="D17" s="9">
        <f ca="1">SUM(D$2:D$11)</f>
        <v>0</v>
      </c>
      <c r="E17" s="9">
        <f ca="1">$Q$5/parameters!$B$4</f>
        <v>2982.9392032826609</v>
      </c>
      <c r="F17" s="9">
        <f t="shared" ref="F17:K17" ca="1" si="7">SUM(F$2:F$11)</f>
        <v>7738.6567164179105</v>
      </c>
      <c r="G17" s="9">
        <f t="shared" ca="1" si="7"/>
        <v>3343.4691745036571</v>
      </c>
      <c r="H17" s="9">
        <f t="shared" ca="1" si="7"/>
        <v>10458.56</v>
      </c>
      <c r="I17" s="9">
        <f t="shared" ca="1" si="7"/>
        <v>1146.611226988874</v>
      </c>
      <c r="J17" s="9">
        <f t="shared" ca="1" si="7"/>
        <v>11152.388773011127</v>
      </c>
      <c r="K17" s="9">
        <f t="shared" ca="1" si="7"/>
        <v>3314.3251493598855</v>
      </c>
      <c r="L17" s="17">
        <f t="shared" ca="1" si="5"/>
        <v>46772.016158830294</v>
      </c>
      <c r="M17" s="17"/>
      <c r="N17" s="17"/>
      <c r="O17" s="9"/>
      <c r="P17" s="14"/>
      <c r="Q17" s="11">
        <f t="shared" ca="1" si="6"/>
        <v>46772.016158830294</v>
      </c>
      <c r="R17" s="17">
        <f t="shared" ca="1" si="4"/>
        <v>46772.016158830294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0.9153756524400265</v>
      </c>
      <c r="J18" s="39">
        <f ca="1">I18</f>
        <v>0.9153756524400265</v>
      </c>
      <c r="K18" s="40">
        <f ca="1">1-(-K13)/K17</f>
        <v>0.89146100497114433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9640.1982489685015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9640.1982489685015</v>
      </c>
      <c r="M2" s="17"/>
      <c r="N2" s="17">
        <f ca="1">Q2-(L2+O2+P2)</f>
        <v>0</v>
      </c>
      <c r="O2" s="11" cm="1">
        <f t="array" aca="1" ref="O2" ca="1">INDIRECT("'data'!$F$" &amp; $A$1)</f>
        <v>5.2</v>
      </c>
      <c r="P2" s="13">
        <f ca="1">IF(-(L2-Q2+O2)&lt;0, -(L2-Q2+O2), 0)</f>
        <v>-9645.3982489685022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9195.6179104477615</v>
      </c>
      <c r="G3" s="14">
        <f ca="1">Q3-O3-P3-F3</f>
        <v>439.6020895522397</v>
      </c>
      <c r="H3" s="14"/>
      <c r="I3" s="14"/>
      <c r="J3" s="14"/>
      <c r="K3" s="13"/>
      <c r="L3" s="16">
        <f t="shared" ca="1" si="0"/>
        <v>9635.2200000000012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2.835</v>
      </c>
      <c r="P3" s="13" cm="1">
        <f t="array" aca="1" ref="P3" ca="1">-INDIRECT("'data'!$I$" &amp; $A$1)*parameters!$B$13</f>
        <v>-58.589999999999996</v>
      </c>
      <c r="Q3" s="16" cm="1">
        <f t="array" aca="1" ref="Q3" ca="1">INDIRECT("'data'!$G$" &amp; $A$1)*parameters!$B$13</f>
        <v>9579.4650000000001</v>
      </c>
      <c r="R3" s="16">
        <f t="shared" ref="R3:R10" ca="1" si="2">SUM(L3:P3)</f>
        <v>9579.4650000000001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Q6/parameters!$B$5*16%</f>
        <v>1751.5462686567166</v>
      </c>
      <c r="G5" s="14">
        <f ca="1">Q7/parameters!$B$7-(G3+G4)</f>
        <v>2676.5316617539252</v>
      </c>
      <c r="H5" s="14"/>
      <c r="I5" s="14"/>
      <c r="J5" s="14"/>
      <c r="K5" s="13"/>
      <c r="L5" s="16">
        <f t="shared" ca="1" si="0"/>
        <v>4428.0779304106418</v>
      </c>
      <c r="M5" s="16"/>
      <c r="N5" s="16"/>
      <c r="O5" s="11" cm="1">
        <f t="array" aca="1" ref="O5" ca="1">INDIRECT("'data'!$M$" &amp; $A$1)*parameters!$B$15</f>
        <v>6507.2</v>
      </c>
      <c r="P5" s="13" cm="1">
        <f t="array" aca="1" ref="P5" ca="1">-INDIRECT("'data'!$N$" &amp; $A$1)*parameters!$B$15</f>
        <v>-232.26</v>
      </c>
      <c r="Q5" s="16">
        <f ca="1">SUM(L5:P5)</f>
        <v>10703.01793041064</v>
      </c>
      <c r="R5" s="16">
        <f t="shared" ca="1" si="2"/>
        <v>10703.01793041064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10268.44</v>
      </c>
      <c r="I6" s="14"/>
      <c r="J6" s="14"/>
      <c r="K6" s="13"/>
      <c r="L6" s="16">
        <f t="shared" ca="1" si="0"/>
        <v>10268.44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10268.44</v>
      </c>
      <c r="R6" s="16">
        <f t="shared" ca="1" si="2"/>
        <v>10268.44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2982.14</v>
      </c>
      <c r="I7" s="14"/>
      <c r="J7" s="14"/>
      <c r="K7" s="13"/>
      <c r="L7" s="16">
        <f t="shared" ca="1" si="0"/>
        <v>2982.14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2982.14</v>
      </c>
      <c r="R7" s="16">
        <f t="shared" ca="1" si="2"/>
        <v>2982.14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5034.1230022411964</v>
      </c>
      <c r="J8" s="14">
        <f ca="1">Q10/J18</f>
        <v>5594.9569977588026</v>
      </c>
      <c r="K8" s="13"/>
      <c r="L8" s="16">
        <f t="shared" ca="1" si="0"/>
        <v>10629.079999999998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3290.84</v>
      </c>
      <c r="P8" s="13" cm="1">
        <f t="array" aca="1" ref="P8" ca="1">-INDIRECT("'data'!$S$" &amp; $A$1)*parameters!$B$15</f>
        <v>-669.34</v>
      </c>
      <c r="Q8" s="16">
        <f ca="1">SUM(Q6:Q7)</f>
        <v>13250.58</v>
      </c>
      <c r="R8" s="16">
        <f t="shared" ca="1" si="2"/>
        <v>13250.579999999998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3892.56</v>
      </c>
      <c r="L9" s="16">
        <f t="shared" ca="1" si="0"/>
        <v>3892.56</v>
      </c>
      <c r="M9" s="16"/>
      <c r="N9" s="16">
        <f t="shared" ca="1" si="3"/>
        <v>0</v>
      </c>
      <c r="O9" s="11" cm="1">
        <f t="array" aca="1" ref="O9" ca="1">INDIRECT("'data'!$U$" &amp; $A$1)*parameters!$B$15</f>
        <v>2651.88</v>
      </c>
      <c r="P9" s="13" cm="1">
        <f t="array" aca="1" ref="P9" ca="1">-INDIRECT("'data'!$V$" &amp; $A$1)*parameters!$B$15</f>
        <v>-2194.2199999999998</v>
      </c>
      <c r="Q9" s="16" cm="1">
        <f t="array" aca="1" ref="Q9" ca="1">INDIRECT("'data'!$T$" &amp; $A$1)*parameters!$B$15</f>
        <v>4350.22</v>
      </c>
      <c r="R9" s="16">
        <f t="shared" ca="1" si="2"/>
        <v>4350.2200000000012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6623.3627596017068</v>
      </c>
      <c r="L10" s="16">
        <f t="shared" ca="1" si="0"/>
        <v>6623.3627596017068</v>
      </c>
      <c r="M10" s="16"/>
      <c r="N10" s="16">
        <f t="shared" ca="1" si="3"/>
        <v>0</v>
      </c>
      <c r="O10" s="11" cm="1">
        <f t="array" aca="1" ref="O10" ca="1">INDIRECT("'data'!$X$" &amp; $A$1)*parameters!$B$15</f>
        <v>2009.98</v>
      </c>
      <c r="P10" s="13" cm="1">
        <f t="array" aca="1" ref="P10" ca="1">-INDIRECT("'data'!$Y$" &amp; $A$1)*parameters!$B$15</f>
        <v>-3798.48</v>
      </c>
      <c r="Q10" s="16" cm="1">
        <f t="array" aca="1" ref="Q10" ca="1">INDIRECT("'data'!$W$" &amp; $A$1)*parameters!$B$15</f>
        <v>4834.8627596017068</v>
      </c>
      <c r="R10" s="16">
        <f t="shared" ca="1" si="2"/>
        <v>4834.8627596017068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13319.198373257468</v>
      </c>
      <c r="N11" s="19"/>
      <c r="O11" s="21" cm="1">
        <f t="array" aca="1" ref="O11" ca="1">INDIRECT("'data'!$Z$" &amp; $A$1)*parameters!$B$15</f>
        <v>6696.34</v>
      </c>
      <c r="P11" s="27" cm="1">
        <f t="array" aca="1" ref="P11" ca="1">-INDIRECT("'data'!$AA$" &amp; $A$1)*parameters!$B$15</f>
        <v>-10660.44</v>
      </c>
      <c r="Q11" s="16">
        <f ca="1">K9*parameters!$B$10+K10*parameters!$B$11</f>
        <v>9355.0983732574678</v>
      </c>
      <c r="R11" s="16">
        <f t="shared" ref="R11:R17" ca="1" si="4">SUM(L11:P11)</f>
        <v>9355.0983732574696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-60.733248968501357</v>
      </c>
      <c r="D12" s="9">
        <f ca="1">-(D17-Q4)</f>
        <v>0</v>
      </c>
      <c r="E12" s="9">
        <f ca="1">-(E17-Q5)</f>
        <v>-1322.8449127473832</v>
      </c>
      <c r="F12" s="9">
        <f ca="1">-(F17-Q6)</f>
        <v>-678.72417910447803</v>
      </c>
      <c r="G12" s="9">
        <f ca="1">-(G17-Q7)</f>
        <v>-133.993751306165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-2196.2960921265276</v>
      </c>
      <c r="M12" s="17"/>
      <c r="N12" s="17"/>
      <c r="O12" s="10"/>
      <c r="P12" s="12"/>
      <c r="Q12" s="9">
        <f t="shared" ref="Q12:Q17" ca="1" si="6">SUM(L12:P12)</f>
        <v>-2196.2960921265276</v>
      </c>
      <c r="R12" s="17">
        <f t="shared" ca="1" si="4"/>
        <v>-2196.2960921265276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-683.90300224119619</v>
      </c>
      <c r="J13" s="14">
        <f ca="1">-(J17-Q10)</f>
        <v>-760.09423815709579</v>
      </c>
      <c r="K13" s="13">
        <f ca="1">-(K17-Q11)</f>
        <v>-1160.8243863442385</v>
      </c>
      <c r="L13" s="14">
        <f t="shared" ca="1" si="5"/>
        <v>-2604.8216267425305</v>
      </c>
      <c r="M13" s="16">
        <f ca="1">-E15</f>
        <v>-9421.0412164154932</v>
      </c>
      <c r="N13" s="16"/>
      <c r="O13" s="11"/>
      <c r="P13" s="13"/>
      <c r="Q13" s="14">
        <f t="shared" ca="1" si="6"/>
        <v>-12025.862843158024</v>
      </c>
      <c r="R13" s="16">
        <f t="shared" ca="1" si="4"/>
        <v>-12025.862843158024</v>
      </c>
    </row>
    <row r="14" spans="1:20">
      <c r="A14" s="18" t="s">
        <v>78</v>
      </c>
      <c r="B14" s="11"/>
      <c r="C14" s="14"/>
      <c r="D14" s="14"/>
      <c r="E14" s="14">
        <f ca="1">-(I13+J13)-K13</f>
        <v>2604.8216267425305</v>
      </c>
      <c r="F14" s="14"/>
      <c r="G14" s="14"/>
      <c r="H14" s="14"/>
      <c r="I14" s="14"/>
      <c r="J14" s="14"/>
      <c r="K14" s="13"/>
      <c r="L14" s="14">
        <f t="shared" ca="1" si="5"/>
        <v>2604.8216267425305</v>
      </c>
      <c r="M14" s="16"/>
      <c r="N14" s="16"/>
      <c r="O14" s="11"/>
      <c r="P14" s="13"/>
      <c r="Q14" s="14">
        <f t="shared" ca="1" si="6"/>
        <v>2604.8216267425305</v>
      </c>
      <c r="R14" s="16">
        <f t="shared" ca="1" si="4"/>
        <v>2604.8216267425305</v>
      </c>
    </row>
    <row r="15" spans="1:20">
      <c r="A15" s="18" t="s">
        <v>79</v>
      </c>
      <c r="B15" s="11"/>
      <c r="C15" s="14"/>
      <c r="D15" s="14"/>
      <c r="E15" s="14">
        <f ca="1">E17-E14</f>
        <v>9421.0412164154932</v>
      </c>
      <c r="F15" s="14"/>
      <c r="G15" s="14"/>
      <c r="H15" s="14"/>
      <c r="I15" s="14"/>
      <c r="J15" s="14"/>
      <c r="K15" s="13"/>
      <c r="L15" s="14">
        <f t="shared" ca="1" si="5"/>
        <v>9421.0412164154932</v>
      </c>
      <c r="M15" s="16"/>
      <c r="N15" s="16"/>
      <c r="O15" s="11"/>
      <c r="P15" s="13"/>
      <c r="Q15" s="14">
        <f t="shared" ca="1" si="6"/>
        <v>9421.0412164154932</v>
      </c>
      <c r="R15" s="16">
        <f t="shared" ca="1" si="4"/>
        <v>9421.0412164154932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9640.1982489685015</v>
      </c>
      <c r="D17" s="9">
        <f ca="1">SUM(D$2:D$11)</f>
        <v>0</v>
      </c>
      <c r="E17" s="9">
        <f ca="1">$Q$5/parameters!$B$4</f>
        <v>12025.862843158024</v>
      </c>
      <c r="F17" s="9">
        <f t="shared" ref="F17:K17" ca="1" si="7">SUM(F$2:F$11)</f>
        <v>10947.164179104479</v>
      </c>
      <c r="G17" s="9">
        <f t="shared" ca="1" si="7"/>
        <v>3116.1337513061649</v>
      </c>
      <c r="H17" s="9">
        <f t="shared" ca="1" si="7"/>
        <v>13250.58</v>
      </c>
      <c r="I17" s="9">
        <f t="shared" ca="1" si="7"/>
        <v>5034.1230022411964</v>
      </c>
      <c r="J17" s="9">
        <f t="shared" ca="1" si="7"/>
        <v>5594.9569977588026</v>
      </c>
      <c r="K17" s="9">
        <f t="shared" ca="1" si="7"/>
        <v>10515.922759601706</v>
      </c>
      <c r="L17" s="17">
        <f t="shared" ca="1" si="5"/>
        <v>70124.941782138878</v>
      </c>
      <c r="M17" s="17"/>
      <c r="N17" s="17"/>
      <c r="O17" s="9"/>
      <c r="P17" s="14"/>
      <c r="Q17" s="11">
        <f t="shared" ca="1" si="6"/>
        <v>70124.941782138878</v>
      </c>
      <c r="R17" s="17">
        <f t="shared" ca="1" si="4"/>
        <v>70124.941782138878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0.86414654510095967</v>
      </c>
      <c r="J18" s="39">
        <f ca="1">I18</f>
        <v>0.86414654510095967</v>
      </c>
      <c r="K18" s="40">
        <f ca="1">1-(-K13)/K17</f>
        <v>0.88961269373300289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5252.2751429241926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5252.2751429241926</v>
      </c>
      <c r="M2" s="17"/>
      <c r="N2" s="17">
        <f ca="1">Q2-(L2+O2+P2)</f>
        <v>0</v>
      </c>
      <c r="O2" s="11" cm="1">
        <f t="array" aca="1" ref="O2" ca="1">INDIRECT("'data'!$F$" &amp; $A$1)</f>
        <v>16087.5</v>
      </c>
      <c r="P2" s="13">
        <f ca="1">IF(-(L2-Q2+O2)&lt;0, -(L2-Q2+O2), 0)</f>
        <v>-21339.775142924191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5254.7014925373132</v>
      </c>
      <c r="G3" s="14">
        <f ca="1">Q3-O3-P3-F3</f>
        <v>4.1743169864575975</v>
      </c>
      <c r="H3" s="14"/>
      <c r="I3" s="14"/>
      <c r="J3" s="14"/>
      <c r="K3" s="13"/>
      <c r="L3" s="16">
        <f t="shared" ca="1" si="0"/>
        <v>5258.8758095237708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320.35499999999996</v>
      </c>
      <c r="P3" s="13" cm="1">
        <f t="array" aca="1" ref="P3" ca="1">-INDIRECT("'data'!$I$" &amp; $A$1)*parameters!$B$13</f>
        <v>-360.04499999999996</v>
      </c>
      <c r="Q3" s="16" cm="1">
        <f t="array" aca="1" ref="Q3" ca="1">INDIRECT("'data'!$G$" &amp; $A$1)*parameters!$B$13</f>
        <v>5219.1858095237703</v>
      </c>
      <c r="R3" s="16">
        <f t="shared" ref="R3:R10" ca="1" si="2">SUM(L3:P3)</f>
        <v>5219.1858095237703</v>
      </c>
    </row>
    <row r="4" spans="1:19">
      <c r="A4" s="18" t="s">
        <v>65</v>
      </c>
      <c r="B4" s="11"/>
      <c r="C4" s="14"/>
      <c r="D4" s="14"/>
      <c r="E4" s="14"/>
      <c r="F4" s="14"/>
      <c r="G4" s="49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226.32</v>
      </c>
      <c r="O4" s="11" cm="1">
        <f t="array" aca="1" ref="O4" ca="1">INDIRECT("'data'!$K$" &amp; $A$1)*parameters!$B$14</f>
        <v>85.56</v>
      </c>
      <c r="P4" s="13" cm="1">
        <f t="array" aca="1" ref="P4" ca="1">-INDIRECT("'data'!$L$" &amp; $A$1)*parameters!$B$14</f>
        <v>-311.88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>
      <c r="A5" s="18" t="s">
        <v>108</v>
      </c>
      <c r="B5" s="11"/>
      <c r="C5" s="14"/>
      <c r="D5" s="14"/>
      <c r="E5" s="14"/>
      <c r="F5" s="14">
        <f ca="1">Q6/parameters!$B$5*25%</f>
        <v>1751.5671641791046</v>
      </c>
      <c r="G5" s="14">
        <f ca="1">Q7/parameters!$B$7-(G3+G4)</f>
        <v>147.38263181187051</v>
      </c>
      <c r="H5" s="14"/>
      <c r="I5" s="14"/>
      <c r="J5" s="14"/>
      <c r="K5" s="13"/>
      <c r="L5" s="16">
        <f t="shared" ca="1" si="0"/>
        <v>1898.949795990975</v>
      </c>
      <c r="M5" s="16"/>
      <c r="N5" s="16"/>
      <c r="O5" s="11" cm="1">
        <f t="array" aca="1" ref="O5" ca="1">INDIRECT("'data'!$M$" &amp; $A$1)*parameters!$B$15</f>
        <v>3852.38</v>
      </c>
      <c r="P5" s="13" cm="1">
        <f t="array" aca="1" ref="P5" ca="1">-INDIRECT("'data'!$N$" &amp; $A$1)*parameters!$B$15</f>
        <v>-1531.74</v>
      </c>
      <c r="Q5" s="16">
        <f ca="1">SUM(L5:P5)</f>
        <v>4219.5897959909753</v>
      </c>
      <c r="R5" s="16">
        <f t="shared" ca="1" si="2"/>
        <v>4219.5897959909753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48"/>
      <c r="H6" s="14">
        <f ca="1">Q6</f>
        <v>6571.88</v>
      </c>
      <c r="I6" s="14"/>
      <c r="J6" s="14"/>
      <c r="K6" s="13"/>
      <c r="L6" s="16">
        <f t="shared" ca="1" si="0"/>
        <v>6571.88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6571.88</v>
      </c>
      <c r="R6" s="16">
        <f t="shared" ca="1" si="2"/>
        <v>6571.88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145.04</v>
      </c>
      <c r="I7" s="14"/>
      <c r="J7" s="14"/>
      <c r="K7" s="13"/>
      <c r="L7" s="16">
        <f t="shared" ca="1" si="0"/>
        <v>145.04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145.04</v>
      </c>
      <c r="R7" s="16">
        <f t="shared" ca="1" si="2"/>
        <v>145.04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218.67228706374615</v>
      </c>
      <c r="J8" s="14">
        <f ca="1">Q10/J18</f>
        <v>6025.8877129362545</v>
      </c>
      <c r="K8" s="13"/>
      <c r="L8" s="16">
        <f t="shared" ca="1" si="0"/>
        <v>6244.56</v>
      </c>
      <c r="M8" s="16"/>
      <c r="N8" s="16">
        <f t="shared" ca="1" si="3"/>
        <v>0</v>
      </c>
      <c r="O8" s="11" cm="1">
        <f t="array" aca="1" ref="O8" ca="1">INDIRECT("'data'!$R$" &amp; $A$1)*parameters!$B$15</f>
        <v>845.74</v>
      </c>
      <c r="P8" s="13" cm="1">
        <f t="array" aca="1" ref="P8" ca="1">-INDIRECT("'data'!$S$" &amp; $A$1)*parameters!$B$15</f>
        <v>-373.38</v>
      </c>
      <c r="Q8" s="16">
        <f ca="1">SUM(Q6:Q7)</f>
        <v>6716.92</v>
      </c>
      <c r="R8" s="16">
        <f t="shared" ca="1" si="2"/>
        <v>6716.92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1856.12</v>
      </c>
      <c r="L9" s="16">
        <f t="shared" ca="1" si="0"/>
        <v>1856.12</v>
      </c>
      <c r="M9" s="16"/>
      <c r="N9" s="16">
        <f t="shared" ca="1" si="3"/>
        <v>0</v>
      </c>
      <c r="O9" s="11" cm="1">
        <f t="array" aca="1" ref="O9" ca="1">INDIRECT("'data'!$U$" &amp; $A$1)*parameters!$B$15</f>
        <v>1155.42</v>
      </c>
      <c r="P9" s="13" cm="1">
        <f t="array" aca="1" ref="P9" ca="1">-INDIRECT("'data'!$V$" &amp; $A$1)*parameters!$B$15</f>
        <v>-2817.5</v>
      </c>
      <c r="Q9" s="16" cm="1">
        <f t="array" aca="1" ref="Q9" ca="1">INDIRECT("'data'!$T$" &amp; $A$1)*parameters!$B$15</f>
        <v>194.04</v>
      </c>
      <c r="R9" s="16">
        <f t="shared" ca="1" si="2"/>
        <v>194.03999999999996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2067.0430440967284</v>
      </c>
      <c r="L10" s="16">
        <f t="shared" ca="1" si="0"/>
        <v>2067.0430440967284</v>
      </c>
      <c r="M10" s="16"/>
      <c r="N10" s="16">
        <f t="shared" ca="1" si="3"/>
        <v>0</v>
      </c>
      <c r="O10" s="11" cm="1">
        <f t="array" aca="1" ref="O10" ca="1">INDIRECT("'data'!$X$" &amp; $A$1)*parameters!$B$15</f>
        <v>7163.8</v>
      </c>
      <c r="P10" s="13" cm="1">
        <f t="array" aca="1" ref="P10" ca="1">-INDIRECT("'data'!$Y$" &amp; $A$1)*parameters!$B$15</f>
        <v>-3883.74</v>
      </c>
      <c r="Q10" s="16" cm="1">
        <f t="array" aca="1" ref="Q10" ca="1">INDIRECT("'data'!$W$" &amp; $A$1)*parameters!$B$15</f>
        <v>5347.1030440967288</v>
      </c>
      <c r="R10" s="16">
        <f t="shared" ca="1" si="2"/>
        <v>5347.1030440967279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4169.2098179231853</v>
      </c>
      <c r="N11" s="19"/>
      <c r="O11" s="21" cm="1">
        <f t="array" aca="1" ref="O11" ca="1">INDIRECT("'data'!$Z$" &amp; $A$1)*parameters!$B$15</f>
        <v>6036.8</v>
      </c>
      <c r="P11" s="27" cm="1">
        <f t="array" aca="1" ref="P11" ca="1">-INDIRECT("'data'!$AA$" &amp; $A$1)*parameters!$B$15</f>
        <v>-6683.5999999999995</v>
      </c>
      <c r="Q11" s="16">
        <f ca="1">K9*parameters!$B$10+K10*parameters!$B$11</f>
        <v>3522.409817923186</v>
      </c>
      <c r="R11" s="16">
        <f t="shared" ref="R11:R17" ca="1" si="4">SUM(L11:P11)</f>
        <v>3522.4098179231869</v>
      </c>
    </row>
    <row r="12" spans="1:19">
      <c r="A12" s="29" t="s">
        <v>86</v>
      </c>
      <c r="B12" s="10">
        <f ca="1">-(B17-Q2)</f>
        <v>0</v>
      </c>
      <c r="C12" s="9">
        <f ca="1">-(C17-Q3)</f>
        <v>-33.08933340042222</v>
      </c>
      <c r="D12" s="9">
        <f ca="1">-(D17-Q4)</f>
        <v>0</v>
      </c>
      <c r="E12" s="9">
        <f ca="1">-(E17-Q5)</f>
        <v>-521.52233433596302</v>
      </c>
      <c r="F12" s="9">
        <f ca="1">-(F17-Q6)</f>
        <v>-434.38865671641815</v>
      </c>
      <c r="G12" s="9">
        <f ca="1">-(G17-Q7)</f>
        <v>-6.5169487983281158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-995.51727325113154</v>
      </c>
      <c r="M12" s="17"/>
      <c r="N12" s="17"/>
      <c r="O12" s="10"/>
      <c r="P12" s="12"/>
      <c r="Q12" s="9">
        <f t="shared" ref="Q12:Q17" ca="1" si="6">SUM(L12:P12)</f>
        <v>-995.51727325113154</v>
      </c>
      <c r="R12" s="17">
        <f t="shared" ca="1" si="4"/>
        <v>-995.51727325113154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-24.632287063746162</v>
      </c>
      <c r="J13" s="14">
        <f ca="1">-(J17-Q10)</f>
        <v>-678.78466883952569</v>
      </c>
      <c r="K13" s="13">
        <f ca="1">-(K17-Q11)</f>
        <v>-400.75322617354232</v>
      </c>
      <c r="L13" s="14">
        <f t="shared" ca="1" si="5"/>
        <v>-1104.1701820768142</v>
      </c>
      <c r="M13" s="16">
        <f ca="1">-E15</f>
        <v>-3636.9419482501244</v>
      </c>
      <c r="N13" s="16"/>
      <c r="O13" s="11"/>
      <c r="P13" s="13"/>
      <c r="Q13" s="14">
        <f t="shared" ca="1" si="6"/>
        <v>-4741.1121303269383</v>
      </c>
      <c r="R13" s="16">
        <f t="shared" ca="1" si="4"/>
        <v>-4741.1121303269383</v>
      </c>
    </row>
    <row r="14" spans="1:19">
      <c r="A14" s="18" t="s">
        <v>78</v>
      </c>
      <c r="B14" s="11"/>
      <c r="C14" s="14"/>
      <c r="D14" s="14"/>
      <c r="E14" s="14">
        <f ca="1">-(I13+J13)-K13</f>
        <v>1104.1701820768142</v>
      </c>
      <c r="F14" s="14"/>
      <c r="G14" s="14"/>
      <c r="H14" s="14"/>
      <c r="I14" s="14"/>
      <c r="J14" s="14"/>
      <c r="K14" s="13"/>
      <c r="L14" s="14">
        <f t="shared" ca="1" si="5"/>
        <v>1104.1701820768142</v>
      </c>
      <c r="M14" s="16"/>
      <c r="N14" s="16"/>
      <c r="O14" s="11"/>
      <c r="P14" s="13"/>
      <c r="Q14" s="14">
        <f t="shared" ca="1" si="6"/>
        <v>1104.1701820768142</v>
      </c>
      <c r="R14" s="16">
        <f t="shared" ca="1" si="4"/>
        <v>1104.1701820768142</v>
      </c>
    </row>
    <row r="15" spans="1:19">
      <c r="A15" s="18" t="s">
        <v>79</v>
      </c>
      <c r="B15" s="11"/>
      <c r="C15" s="14"/>
      <c r="D15" s="14"/>
      <c r="E15" s="14">
        <f ca="1">E17-E14</f>
        <v>3636.9419482501244</v>
      </c>
      <c r="F15" s="14"/>
      <c r="G15" s="14"/>
      <c r="H15" s="14"/>
      <c r="I15" s="14"/>
      <c r="J15" s="14"/>
      <c r="K15" s="13"/>
      <c r="L15" s="14">
        <f t="shared" ca="1" si="5"/>
        <v>3636.9419482501244</v>
      </c>
      <c r="M15" s="16"/>
      <c r="N15" s="16"/>
      <c r="O15" s="11"/>
      <c r="P15" s="13"/>
      <c r="Q15" s="14">
        <f t="shared" ca="1" si="6"/>
        <v>3636.9419482501244</v>
      </c>
      <c r="R15" s="16">
        <f t="shared" ca="1" si="4"/>
        <v>3636.9419482501244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5252.2751429241926</v>
      </c>
      <c r="D17" s="9">
        <f ca="1">SUM(D$2:D$11)</f>
        <v>0</v>
      </c>
      <c r="E17" s="9">
        <f ca="1">$Q$5/parameters!$B$4</f>
        <v>4741.1121303269383</v>
      </c>
      <c r="F17" s="9">
        <f t="shared" ref="F17:K17" ca="1" si="7">SUM(F$2:F$11)</f>
        <v>7006.2686567164183</v>
      </c>
      <c r="G17" s="9">
        <f t="shared" ca="1" si="7"/>
        <v>151.55694879832811</v>
      </c>
      <c r="H17" s="9">
        <f t="shared" ca="1" si="7"/>
        <v>6716.92</v>
      </c>
      <c r="I17" s="9">
        <f t="shared" ca="1" si="7"/>
        <v>218.67228706374615</v>
      </c>
      <c r="J17" s="9">
        <f t="shared" ca="1" si="7"/>
        <v>6025.8877129362545</v>
      </c>
      <c r="K17" s="9">
        <f t="shared" ca="1" si="7"/>
        <v>3923.1630440967283</v>
      </c>
      <c r="L17" s="17">
        <f t="shared" ca="1" si="5"/>
        <v>34035.855922862611</v>
      </c>
      <c r="M17" s="17"/>
      <c r="N17" s="17"/>
      <c r="O17" s="9"/>
      <c r="P17" s="14"/>
      <c r="Q17" s="11">
        <f t="shared" ca="1" si="6"/>
        <v>34035.855922862611</v>
      </c>
      <c r="R17" s="17">
        <f t="shared" ca="1" si="4"/>
        <v>34035.855922862611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0.8873552410572928</v>
      </c>
      <c r="J18" s="39">
        <f ca="1">I18</f>
        <v>0.8873552410572928</v>
      </c>
      <c r="K18" s="40">
        <f ca="1">1-(-K13)/K17</f>
        <v>0.89784945930897142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5760.1539700110698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5760.1539700110698</v>
      </c>
      <c r="M2" s="17"/>
      <c r="N2" s="17">
        <f ca="1">Q2-(L2+O2+P2)</f>
        <v>2434.6960299889324</v>
      </c>
      <c r="O2" s="11" cm="1">
        <f t="array" aca="1" ref="O2" ca="1">INDIRECT("'data'!$F$" &amp; $A$1)</f>
        <v>200805.15</v>
      </c>
      <c r="P2" s="13">
        <f ca="1">IF(-(L2-Q2+O2)&lt;0, -(L2-Q2+O2), 0)</f>
        <v>0</v>
      </c>
      <c r="Q2" s="17" cm="1">
        <f t="array" aca="1" ref="Q2" ca="1">INDIRECT("'data'!$D$" &amp; $A$1)</f>
        <v>209000</v>
      </c>
      <c r="R2" s="17">
        <f ca="1">SUM(L2:P2)</f>
        <v>209000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5146.9850746268658</v>
      </c>
      <c r="G3" s="14">
        <f ca="1">Q3-O3-P3-F3</f>
        <v>635.46992537313417</v>
      </c>
      <c r="H3" s="14"/>
      <c r="I3" s="14"/>
      <c r="J3" s="14"/>
      <c r="K3" s="13"/>
      <c r="L3" s="16">
        <f t="shared" ca="1" si="0"/>
        <v>5782.4549999999999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76.545000000000002</v>
      </c>
      <c r="P3" s="13" cm="1">
        <f t="array" aca="1" ref="P3" ca="1">-INDIRECT("'data'!$I$" &amp; $A$1)*parameters!$B$13</f>
        <v>-135.13499999999999</v>
      </c>
      <c r="Q3" s="16" cm="1">
        <f t="array" aca="1" ref="Q3" ca="1">INDIRECT("'data'!$G$" &amp; $A$1)*parameters!$B$13</f>
        <v>5723.8649999999998</v>
      </c>
      <c r="R3" s="16">
        <f t="shared" ref="R3:R10" ca="1" si="2">SUM(L3:P3)</f>
        <v>5723.8649999999998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18.399999999999991</v>
      </c>
      <c r="H4" s="14"/>
      <c r="I4" s="14"/>
      <c r="J4" s="14"/>
      <c r="K4" s="13"/>
      <c r="L4" s="16">
        <f t="shared" ca="1" si="0"/>
        <v>18.399999999999991</v>
      </c>
      <c r="M4" s="16"/>
      <c r="N4" s="16">
        <f t="shared" ca="1" si="1"/>
        <v>0</v>
      </c>
      <c r="O4" s="11" cm="1">
        <f t="array" aca="1" ref="O4" ca="1">INDIRECT("'data'!$K$" &amp; $A$1)*parameters!$B$14</f>
        <v>74.52000000000001</v>
      </c>
      <c r="P4" s="13" cm="1">
        <f t="array" aca="1" ref="P4" ca="1">-INDIRECT("'data'!$L$" &amp; $A$1)*parameters!$B$14</f>
        <v>-92.92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1286.7462686567167</v>
      </c>
      <c r="G5" s="14">
        <f ca="1">Q7/parameters!$B$7-(G3+G4)</f>
        <v>847.36309448057557</v>
      </c>
      <c r="H5" s="14"/>
      <c r="I5" s="14"/>
      <c r="J5" s="14"/>
      <c r="K5" s="13"/>
      <c r="L5" s="16">
        <f t="shared" ca="1" si="0"/>
        <v>2134.1093631372923</v>
      </c>
      <c r="M5" s="16"/>
      <c r="N5" s="16"/>
      <c r="O5" s="11" cm="1">
        <f t="array" aca="1" ref="O5" ca="1">INDIRECT("'data'!$M$" &amp; $A$1)*parameters!$B$15</f>
        <v>1673.84</v>
      </c>
      <c r="P5" s="13" cm="1">
        <f t="array" aca="1" ref="P5" ca="1">-INDIRECT("'data'!$N$" &amp; $A$1)*parameters!$B$15</f>
        <v>-4.9000000000000004</v>
      </c>
      <c r="Q5" s="16">
        <f ca="1">SUM(L5:P5)</f>
        <v>3803.0493631372924</v>
      </c>
      <c r="R5" s="16">
        <f t="shared" ca="1" si="2"/>
        <v>3803.0493631372924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6034.84</v>
      </c>
      <c r="I6" s="14"/>
      <c r="J6" s="14"/>
      <c r="K6" s="13"/>
      <c r="L6" s="16">
        <f t="shared" ca="1" si="0"/>
        <v>6034.84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6034.84</v>
      </c>
      <c r="R6" s="16">
        <f t="shared" ca="1" si="2"/>
        <v>6034.84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1436.68</v>
      </c>
      <c r="I7" s="14"/>
      <c r="J7" s="14"/>
      <c r="K7" s="13"/>
      <c r="L7" s="16">
        <f t="shared" ca="1" si="0"/>
        <v>1436.68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1436.68</v>
      </c>
      <c r="R7" s="16">
        <f t="shared" ca="1" si="2"/>
        <v>1436.68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2715.4895823493489</v>
      </c>
      <c r="J8" s="14">
        <f ca="1">Q10/J18</f>
        <v>4836.3904176506521</v>
      </c>
      <c r="K8" s="13"/>
      <c r="L8" s="16">
        <f t="shared" ca="1" si="0"/>
        <v>7551.880000000001</v>
      </c>
      <c r="M8" s="16"/>
      <c r="N8" s="16">
        <f t="shared" ca="1" si="3"/>
        <v>0</v>
      </c>
      <c r="O8" s="11" cm="1">
        <f t="array" aca="1" ref="O8" ca="1">INDIRECT("'data'!$R$" &amp; $A$1)*parameters!$B$15</f>
        <v>2.94</v>
      </c>
      <c r="P8" s="13" cm="1">
        <f t="array" aca="1" ref="P8" ca="1">-INDIRECT("'data'!$S$" &amp; $A$1)*parameters!$B$15</f>
        <v>-83.3</v>
      </c>
      <c r="Q8" s="16">
        <f ca="1">SUM(Q6:Q7)</f>
        <v>7471.52</v>
      </c>
      <c r="R8" s="16">
        <f t="shared" ca="1" si="2"/>
        <v>7471.52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2999.78</v>
      </c>
      <c r="L9" s="16">
        <f t="shared" ca="1" si="0"/>
        <v>2999.78</v>
      </c>
      <c r="M9" s="16"/>
      <c r="N9" s="16">
        <f t="shared" ca="1" si="3"/>
        <v>0</v>
      </c>
      <c r="O9" s="11" cm="1">
        <f t="array" aca="1" ref="O9" ca="1">INDIRECT("'data'!$U$" &amp; $A$1)*parameters!$B$15</f>
        <v>162.68</v>
      </c>
      <c r="P9" s="13" cm="1">
        <f t="array" aca="1" ref="P9" ca="1">-INDIRECT("'data'!$V$" &amp; $A$1)*parameters!$B$15</f>
        <v>-859.46</v>
      </c>
      <c r="Q9" s="16" cm="1">
        <f t="array" aca="1" ref="Q9" ca="1">INDIRECT("'data'!$T$" &amp; $A$1)*parameters!$B$15</f>
        <v>2303</v>
      </c>
      <c r="R9" s="16">
        <f t="shared" ca="1" si="2"/>
        <v>2303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4187.9707539118062</v>
      </c>
      <c r="L10" s="16">
        <f t="shared" ca="1" si="0"/>
        <v>4187.9707539118062</v>
      </c>
      <c r="M10" s="16"/>
      <c r="N10" s="16">
        <f t="shared" ca="1" si="3"/>
        <v>0</v>
      </c>
      <c r="O10" s="11" cm="1">
        <f t="array" aca="1" ref="O10" ca="1">INDIRECT("'data'!$X$" &amp; $A$1)*parameters!$B$15</f>
        <v>1149.54</v>
      </c>
      <c r="P10" s="13" cm="1">
        <f t="array" aca="1" ref="P10" ca="1">-INDIRECT("'data'!$Y$" &amp; $A$1)*parameters!$B$15</f>
        <v>-1235.78</v>
      </c>
      <c r="Q10" s="16" cm="1">
        <f t="array" aca="1" ref="Q10" ca="1">INDIRECT("'data'!$W$" &amp; $A$1)*parameters!$B$15</f>
        <v>4101.7307539118065</v>
      </c>
      <c r="R10" s="16">
        <f t="shared" ca="1" si="2"/>
        <v>4101.7307539118065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10222.868048364153</v>
      </c>
      <c r="N11" s="19"/>
      <c r="O11" s="21" cm="1">
        <f t="array" aca="1" ref="O11" ca="1">INDIRECT("'data'!$Z$" &amp; $A$1)*parameters!$B$15</f>
        <v>683.06</v>
      </c>
      <c r="P11" s="27" cm="1">
        <f t="array" aca="1" ref="P11" ca="1">-INDIRECT("'data'!$AA$" &amp; $A$1)*parameters!$B$15</f>
        <v>-4484.4799999999996</v>
      </c>
      <c r="Q11" s="16">
        <f ca="1">K9*parameters!$B$10+K10*parameters!$B$11</f>
        <v>6421.4480483641528</v>
      </c>
      <c r="R11" s="16">
        <f t="shared" ref="R11:R17" ca="1" si="4">SUM(L11:P11)</f>
        <v>6421.4480483641528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-36.288970011069978</v>
      </c>
      <c r="D12" s="9">
        <f ca="1">-(D17-Q4)</f>
        <v>0</v>
      </c>
      <c r="E12" s="9">
        <f ca="1">-(E17-Q5)</f>
        <v>-470.03980892708068</v>
      </c>
      <c r="F12" s="9">
        <f ca="1">-(F17-Q6)</f>
        <v>-398.8913432835825</v>
      </c>
      <c r="G12" s="9">
        <f ca="1">-(G17-Q7)</f>
        <v>-64.553019853709657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-969.77314207544282</v>
      </c>
      <c r="M12" s="17"/>
      <c r="N12" s="17"/>
      <c r="O12" s="10"/>
      <c r="P12" s="12"/>
      <c r="Q12" s="9">
        <f t="shared" ref="Q12:Q17" ca="1" si="6">SUM(L12:P12)</f>
        <v>-969.77314207544282</v>
      </c>
      <c r="R12" s="17">
        <f t="shared" ca="1" si="4"/>
        <v>-969.77314207544282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-412.48958234934889</v>
      </c>
      <c r="J13" s="14">
        <f ca="1">-(J17-Q10)</f>
        <v>-734.65966373884567</v>
      </c>
      <c r="K13" s="13">
        <f ca="1">-(K17-Q11)</f>
        <v>-766.30270554765411</v>
      </c>
      <c r="L13" s="14">
        <f t="shared" ca="1" si="5"/>
        <v>-1913.4519516358487</v>
      </c>
      <c r="M13" s="16">
        <f ca="1">-E15</f>
        <v>-2359.6372204285244</v>
      </c>
      <c r="N13" s="16"/>
      <c r="O13" s="11"/>
      <c r="P13" s="13"/>
      <c r="Q13" s="14">
        <f t="shared" ca="1" si="6"/>
        <v>-4273.0891720643731</v>
      </c>
      <c r="R13" s="16">
        <f t="shared" ca="1" si="4"/>
        <v>-4273.0891720643731</v>
      </c>
    </row>
    <row r="14" spans="1:19">
      <c r="A14" s="18" t="s">
        <v>78</v>
      </c>
      <c r="B14" s="11"/>
      <c r="C14" s="14"/>
      <c r="D14" s="14"/>
      <c r="E14" s="14">
        <f ca="1">-(I13+J13)-K13</f>
        <v>1913.4519516358487</v>
      </c>
      <c r="F14" s="14"/>
      <c r="G14" s="14"/>
      <c r="H14" s="14"/>
      <c r="I14" s="14"/>
      <c r="J14" s="14"/>
      <c r="K14" s="13"/>
      <c r="L14" s="14">
        <f t="shared" ca="1" si="5"/>
        <v>1913.4519516358487</v>
      </c>
      <c r="M14" s="16"/>
      <c r="N14" s="16"/>
      <c r="O14" s="11"/>
      <c r="P14" s="13"/>
      <c r="Q14" s="14">
        <f t="shared" ca="1" si="6"/>
        <v>1913.4519516358487</v>
      </c>
      <c r="R14" s="16">
        <f t="shared" ca="1" si="4"/>
        <v>1913.4519516358487</v>
      </c>
    </row>
    <row r="15" spans="1:19">
      <c r="A15" s="18" t="s">
        <v>79</v>
      </c>
      <c r="B15" s="11"/>
      <c r="C15" s="14"/>
      <c r="D15" s="14"/>
      <c r="E15" s="14">
        <f ca="1">E17-E14</f>
        <v>2359.6372204285244</v>
      </c>
      <c r="F15" s="14"/>
      <c r="G15" s="14"/>
      <c r="H15" s="14"/>
      <c r="I15" s="14"/>
      <c r="J15" s="14"/>
      <c r="K15" s="13"/>
      <c r="L15" s="14">
        <f t="shared" ca="1" si="5"/>
        <v>2359.6372204285244</v>
      </c>
      <c r="M15" s="16"/>
      <c r="N15" s="16"/>
      <c r="O15" s="11"/>
      <c r="P15" s="13"/>
      <c r="Q15" s="14">
        <f t="shared" ca="1" si="6"/>
        <v>2359.6372204285244</v>
      </c>
      <c r="R15" s="16">
        <f t="shared" ca="1" si="4"/>
        <v>2359.6372204285244</v>
      </c>
    </row>
    <row r="16" spans="1:19">
      <c r="A16" s="30" t="s">
        <v>89</v>
      </c>
      <c r="B16" s="21">
        <f ca="1">Q2</f>
        <v>209000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209000</v>
      </c>
      <c r="M16" s="19"/>
      <c r="N16" s="19"/>
      <c r="O16" s="21"/>
      <c r="P16" s="27"/>
      <c r="Q16" s="22">
        <f t="shared" ca="1" si="6"/>
        <v>209000</v>
      </c>
      <c r="R16" s="19">
        <f t="shared" ca="1" si="4"/>
        <v>209000</v>
      </c>
    </row>
    <row r="17" spans="1:18">
      <c r="A17" s="29" t="s">
        <v>88</v>
      </c>
      <c r="B17" s="9">
        <f ca="1">B16</f>
        <v>209000</v>
      </c>
      <c r="C17" s="9">
        <f ca="1">SUM(C$2:C$11)</f>
        <v>5760.1539700110698</v>
      </c>
      <c r="D17" s="9">
        <f ca="1">SUM(D$2:D$11)</f>
        <v>0</v>
      </c>
      <c r="E17" s="9">
        <f ca="1">$Q$5/parameters!$B$4</f>
        <v>4273.0891720643731</v>
      </c>
      <c r="F17" s="9">
        <f t="shared" ref="F17:K17" ca="1" si="7">SUM(F$2:F$11)</f>
        <v>6433.7313432835826</v>
      </c>
      <c r="G17" s="9">
        <f t="shared" ca="1" si="7"/>
        <v>1501.2330198537097</v>
      </c>
      <c r="H17" s="9">
        <f t="shared" ca="1" si="7"/>
        <v>7471.52</v>
      </c>
      <c r="I17" s="9">
        <f t="shared" ca="1" si="7"/>
        <v>2715.4895823493489</v>
      </c>
      <c r="J17" s="9">
        <f t="shared" ca="1" si="7"/>
        <v>4836.3904176506521</v>
      </c>
      <c r="K17" s="9">
        <f t="shared" ca="1" si="7"/>
        <v>7187.7507539118069</v>
      </c>
      <c r="L17" s="17">
        <f t="shared" ca="1" si="5"/>
        <v>249179.35825912454</v>
      </c>
      <c r="M17" s="17"/>
      <c r="N17" s="17"/>
      <c r="O17" s="9"/>
      <c r="P17" s="14"/>
      <c r="Q17" s="11">
        <f t="shared" ca="1" si="6"/>
        <v>249179.35825912454</v>
      </c>
      <c r="R17" s="17">
        <f t="shared" ca="1" si="4"/>
        <v>249179.35825912454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0.84809752722657217</v>
      </c>
      <c r="J18" s="39">
        <f ca="1">I18</f>
        <v>0.84809752722657217</v>
      </c>
      <c r="K18" s="40">
        <f ca="1">1-(-K13)/K17</f>
        <v>0.89338769083908376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4907.11482338734</v>
      </c>
      <c r="D2" s="9">
        <f ca="1">Q4/parameters!$B$3</f>
        <v>1090.6309751434035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5997.7457985307437</v>
      </c>
      <c r="M2" s="17"/>
      <c r="N2" s="17">
        <f ca="1">Q2-(L2+O2+P2)</f>
        <v>4467.4542014692561</v>
      </c>
      <c r="O2" s="11" cm="1">
        <f t="array" aca="1" ref="O2" ca="1">INDIRECT("'data'!$F$" &amp; $A$1)</f>
        <v>20534.8</v>
      </c>
      <c r="P2" s="13">
        <f ca="1">IF(-(L2-Q2+O2)&lt;0, -(L2-Q2+O2), 0)</f>
        <v>0</v>
      </c>
      <c r="Q2" s="17" cm="1">
        <f t="array" aca="1" ref="Q2" ca="1">INDIRECT("'data'!$D$" &amp; $A$1)</f>
        <v>31000</v>
      </c>
      <c r="R2" s="17">
        <f ca="1">SUM(L2:P2)</f>
        <v>31000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3764.5373134328356</v>
      </c>
      <c r="G3" s="14">
        <f ca="1">Q3-O3-P3-F3</f>
        <v>585.29768656716351</v>
      </c>
      <c r="H3" s="14"/>
      <c r="I3" s="14"/>
      <c r="J3" s="14"/>
      <c r="K3" s="13"/>
      <c r="L3" s="16">
        <f t="shared" ca="1" si="0"/>
        <v>4349.8349999999991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527.30999999999995</v>
      </c>
      <c r="P3" s="13" cm="1">
        <f t="array" aca="1" ref="P3" ca="1">-INDIRECT("'data'!$I$" &amp; $A$1)*parameters!$B$13</f>
        <v>-0.94499999999999995</v>
      </c>
      <c r="Q3" s="16" cm="1">
        <f t="array" aca="1" ref="Q3" ca="1">INDIRECT("'data'!$G$" &amp; $A$1)*parameters!$B$13</f>
        <v>4876.2</v>
      </c>
      <c r="R3" s="16">
        <f t="shared" ref="R3:R10" ca="1" si="2">SUM(L3:P3)</f>
        <v>4876.1999999999989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1083.76</v>
      </c>
      <c r="H4" s="14"/>
      <c r="I4" s="14"/>
      <c r="J4" s="14"/>
      <c r="K4" s="13"/>
      <c r="L4" s="16">
        <f t="shared" ca="1" si="0"/>
        <v>1083.76</v>
      </c>
      <c r="M4" s="16"/>
      <c r="N4" s="16">
        <f t="shared" ca="1" si="1"/>
        <v>0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-1.84</v>
      </c>
      <c r="Q4" s="16" cm="1">
        <f t="array" aca="1" ref="Q4" ca="1">INDIRECT("'data'!$J$" &amp; $A$1)*parameters!$B$14</f>
        <v>1083.76</v>
      </c>
      <c r="R4" s="16">
        <f t="shared" ca="1" si="2"/>
        <v>1083.76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941.13432835820902</v>
      </c>
      <c r="G5" s="14">
        <f ca="1">Q7/parameters!$B$7-(G3+G4)</f>
        <v>2186.4282068497641</v>
      </c>
      <c r="H5" s="14"/>
      <c r="I5" s="14"/>
      <c r="J5" s="14"/>
      <c r="K5" s="13"/>
      <c r="L5" s="16">
        <f t="shared" ca="1" si="0"/>
        <v>3127.5625352079733</v>
      </c>
      <c r="M5" s="16"/>
      <c r="N5" s="16"/>
      <c r="O5" s="11" cm="1">
        <f t="array" aca="1" ref="O5" ca="1">INDIRECT("'data'!$M$" &amp; $A$1)*parameters!$B$15</f>
        <v>1244.5999999999999</v>
      </c>
      <c r="P5" s="13" cm="1">
        <f t="array" aca="1" ref="P5" ca="1">-INDIRECT("'data'!$N$" &amp; $A$1)*parameters!$B$15</f>
        <v>-83.3</v>
      </c>
      <c r="Q5" s="16">
        <f ca="1">SUM(L5:P5)</f>
        <v>4288.8625352079735</v>
      </c>
      <c r="R5" s="16">
        <f t="shared" ca="1" si="2"/>
        <v>4288.8625352079735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4413.92</v>
      </c>
      <c r="I6" s="14"/>
      <c r="J6" s="14"/>
      <c r="K6" s="13"/>
      <c r="L6" s="16">
        <f t="shared" ca="1" si="0"/>
        <v>4413.92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4413.92</v>
      </c>
      <c r="R6" s="16">
        <f t="shared" ca="1" si="2"/>
        <v>4413.92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3689.7</v>
      </c>
      <c r="I7" s="14"/>
      <c r="J7" s="14"/>
      <c r="K7" s="13"/>
      <c r="L7" s="16">
        <f t="shared" ca="1" si="0"/>
        <v>3689.7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3689.7</v>
      </c>
      <c r="R7" s="16">
        <f t="shared" ca="1" si="2"/>
        <v>3689.7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3445.9718766297788</v>
      </c>
      <c r="J8" s="14">
        <f ca="1">Q10/J18</f>
        <v>4578.2681233702206</v>
      </c>
      <c r="K8" s="13"/>
      <c r="L8" s="16">
        <f t="shared" ca="1" si="0"/>
        <v>8024.24</v>
      </c>
      <c r="M8" s="16"/>
      <c r="N8" s="16">
        <f t="shared" ca="1" si="3"/>
        <v>0</v>
      </c>
      <c r="O8" s="11" cm="1">
        <f t="array" aca="1" ref="O8" ca="1">INDIRECT("'data'!$R$" &amp; $A$1)*parameters!$B$15</f>
        <v>87.22</v>
      </c>
      <c r="P8" s="13" cm="1">
        <f t="array" aca="1" ref="P8" ca="1">-INDIRECT("'data'!$S$" &amp; $A$1)*parameters!$B$15</f>
        <v>-7.84</v>
      </c>
      <c r="Q8" s="16">
        <f ca="1">SUM(Q6:Q7)</f>
        <v>8103.62</v>
      </c>
      <c r="R8" s="16">
        <f t="shared" ca="1" si="2"/>
        <v>8103.62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2338.2799999999997</v>
      </c>
      <c r="L9" s="16">
        <f t="shared" ca="1" si="0"/>
        <v>2338.2799999999997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467.46</v>
      </c>
      <c r="P9" s="13" cm="1">
        <f t="array" aca="1" ref="P9" ca="1">-INDIRECT("'data'!$V$" &amp; $A$1)*parameters!$B$15</f>
        <v>-147</v>
      </c>
      <c r="Q9" s="16" cm="1">
        <f t="array" aca="1" ref="Q9" ca="1">INDIRECT("'data'!$T$" &amp; $A$1)*parameters!$B$15</f>
        <v>2658.74</v>
      </c>
      <c r="R9" s="16">
        <f t="shared" ca="1" si="2"/>
        <v>2658.74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2530.8033001422473</v>
      </c>
      <c r="L10" s="16">
        <f t="shared" ca="1" si="0"/>
        <v>2530.8033001422473</v>
      </c>
      <c r="M10" s="16"/>
      <c r="N10" s="16">
        <f t="shared" ca="1" si="3"/>
        <v>0</v>
      </c>
      <c r="O10" s="11" cm="1">
        <f t="array" aca="1" ref="O10" ca="1">INDIRECT("'data'!$X$" &amp; $A$1)*parameters!$B$15</f>
        <v>1398.46</v>
      </c>
      <c r="P10" s="13" cm="1">
        <f t="array" aca="1" ref="P10" ca="1">-INDIRECT("'data'!$Y$" &amp; $A$1)*parameters!$B$15</f>
        <v>-396.9</v>
      </c>
      <c r="Q10" s="16" cm="1">
        <f t="array" aca="1" ref="Q10" ca="1">INDIRECT("'data'!$W$" &amp; $A$1)*parameters!$B$15</f>
        <v>3532.3633001422472</v>
      </c>
      <c r="R10" s="16">
        <f t="shared" ca="1" si="2"/>
        <v>3532.3633001422472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4686.1140381223322</v>
      </c>
      <c r="N11" s="19"/>
      <c r="O11" s="21" cm="1">
        <f t="array" aca="1" ref="O11" ca="1">INDIRECT("'data'!$Z$" &amp; $A$1)*parameters!$B$15</f>
        <v>1445.5</v>
      </c>
      <c r="P11" s="27" cm="1">
        <f t="array" aca="1" ref="P11" ca="1">-INDIRECT("'data'!$AA$" &amp; $A$1)*parameters!$B$15</f>
        <v>-1757.1399999999999</v>
      </c>
      <c r="Q11" s="16">
        <f ca="1">K9*parameters!$B$10+K10*parameters!$B$11</f>
        <v>4374.4740381223328</v>
      </c>
      <c r="R11" s="16">
        <f t="shared" ref="R11:R17" ca="1" si="4">SUM(L11:P11)</f>
        <v>4374.4740381223328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-30.914823387340221</v>
      </c>
      <c r="D12" s="9">
        <f ca="1">-(D17-Q4)</f>
        <v>-6.8709751434034843</v>
      </c>
      <c r="E12" s="9">
        <f ca="1">-(E17-Q5)</f>
        <v>-530.08413356503024</v>
      </c>
      <c r="F12" s="9">
        <f ca="1">-(F17-Q6)</f>
        <v>-291.75164179104468</v>
      </c>
      <c r="G12" s="9">
        <f ca="1">-(G17-Q7)</f>
        <v>-165.78589341692805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-1025.4074673037467</v>
      </c>
      <c r="M12" s="17"/>
      <c r="N12" s="17"/>
      <c r="O12" s="10"/>
      <c r="P12" s="12"/>
      <c r="Q12" s="9">
        <f t="shared" ref="Q12:Q17" ca="1" si="6">SUM(L12:P12)</f>
        <v>-1025.4074673037467</v>
      </c>
      <c r="R12" s="17">
        <f t="shared" ca="1" si="4"/>
        <v>-1025.4074673037467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-787.23187662977898</v>
      </c>
      <c r="J13" s="14">
        <f ca="1">-(J17-Q10)</f>
        <v>-1045.9048232279733</v>
      </c>
      <c r="K13" s="13">
        <f ca="1">-(K17-Q11)</f>
        <v>-494.60926201991424</v>
      </c>
      <c r="L13" s="14">
        <f t="shared" ca="1" si="5"/>
        <v>-2327.7459618776666</v>
      </c>
      <c r="M13" s="16">
        <f ca="1">-E15</f>
        <v>-2491.2007068953371</v>
      </c>
      <c r="N13" s="16"/>
      <c r="O13" s="11"/>
      <c r="P13" s="13"/>
      <c r="Q13" s="14">
        <f t="shared" ca="1" si="6"/>
        <v>-4818.9466687730037</v>
      </c>
      <c r="R13" s="16">
        <f t="shared" ca="1" si="4"/>
        <v>-4818.9466687730037</v>
      </c>
    </row>
    <row r="14" spans="1:20">
      <c r="A14" s="18" t="s">
        <v>78</v>
      </c>
      <c r="B14" s="11"/>
      <c r="C14" s="14"/>
      <c r="D14" s="14"/>
      <c r="E14" s="14">
        <f ca="1">-(I13+J13)-K13</f>
        <v>2327.7459618776666</v>
      </c>
      <c r="F14" s="14"/>
      <c r="G14" s="14"/>
      <c r="H14" s="14"/>
      <c r="I14" s="14"/>
      <c r="J14" s="14"/>
      <c r="K14" s="13"/>
      <c r="L14" s="14">
        <f t="shared" ca="1" si="5"/>
        <v>2327.7459618776666</v>
      </c>
      <c r="M14" s="16"/>
      <c r="N14" s="16"/>
      <c r="O14" s="11"/>
      <c r="P14" s="13"/>
      <c r="Q14" s="14">
        <f t="shared" ca="1" si="6"/>
        <v>2327.7459618776666</v>
      </c>
      <c r="R14" s="16">
        <f t="shared" ca="1" si="4"/>
        <v>2327.7459618776666</v>
      </c>
    </row>
    <row r="15" spans="1:20">
      <c r="A15" s="18" t="s">
        <v>79</v>
      </c>
      <c r="B15" s="11"/>
      <c r="C15" s="14"/>
      <c r="D15" s="14"/>
      <c r="E15" s="14">
        <f ca="1">E17-E14</f>
        <v>2491.2007068953371</v>
      </c>
      <c r="F15" s="14"/>
      <c r="G15" s="14"/>
      <c r="H15" s="14"/>
      <c r="I15" s="14"/>
      <c r="J15" s="14"/>
      <c r="K15" s="13"/>
      <c r="L15" s="14">
        <f t="shared" ca="1" si="5"/>
        <v>2491.2007068953371</v>
      </c>
      <c r="M15" s="16"/>
      <c r="N15" s="16"/>
      <c r="O15" s="11"/>
      <c r="P15" s="13"/>
      <c r="Q15" s="14">
        <f t="shared" ca="1" si="6"/>
        <v>2491.2007068953371</v>
      </c>
      <c r="R15" s="16">
        <f t="shared" ca="1" si="4"/>
        <v>2491.2007068953371</v>
      </c>
    </row>
    <row r="16" spans="1:20">
      <c r="A16" s="30" t="s">
        <v>89</v>
      </c>
      <c r="B16" s="21">
        <f ca="1">Q2</f>
        <v>31000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31000</v>
      </c>
      <c r="M16" s="19"/>
      <c r="N16" s="19"/>
      <c r="O16" s="21"/>
      <c r="P16" s="27"/>
      <c r="Q16" s="22">
        <f t="shared" ca="1" si="6"/>
        <v>31000</v>
      </c>
      <c r="R16" s="19">
        <f t="shared" ca="1" si="4"/>
        <v>31000</v>
      </c>
    </row>
    <row r="17" spans="1:18">
      <c r="A17" s="29" t="s">
        <v>88</v>
      </c>
      <c r="B17" s="9">
        <f ca="1">B16</f>
        <v>31000</v>
      </c>
      <c r="C17" s="9">
        <f ca="1">SUM(C$2:C$11)</f>
        <v>4907.11482338734</v>
      </c>
      <c r="D17" s="9">
        <f ca="1">SUM(D$2:D$11)</f>
        <v>1090.6309751434035</v>
      </c>
      <c r="E17" s="9">
        <f ca="1">$Q$5/parameters!$B$4</f>
        <v>4818.9466687730037</v>
      </c>
      <c r="F17" s="9">
        <f t="shared" ref="F17:K17" ca="1" si="7">SUM(F$2:F$11)</f>
        <v>4705.6716417910447</v>
      </c>
      <c r="G17" s="9">
        <f t="shared" ca="1" si="7"/>
        <v>3855.4858934169279</v>
      </c>
      <c r="H17" s="9">
        <f t="shared" ca="1" si="7"/>
        <v>8103.62</v>
      </c>
      <c r="I17" s="9">
        <f t="shared" ca="1" si="7"/>
        <v>3445.9718766297788</v>
      </c>
      <c r="J17" s="9">
        <f t="shared" ca="1" si="7"/>
        <v>4578.2681233702206</v>
      </c>
      <c r="K17" s="9">
        <f t="shared" ca="1" si="7"/>
        <v>4869.083300142247</v>
      </c>
      <c r="L17" s="17">
        <f t="shared" ca="1" si="5"/>
        <v>71374.793302653954</v>
      </c>
      <c r="M17" s="17"/>
      <c r="N17" s="17"/>
      <c r="O17" s="9"/>
      <c r="P17" s="14"/>
      <c r="Q17" s="11">
        <f t="shared" ca="1" si="6"/>
        <v>71374.793302653954</v>
      </c>
      <c r="R17" s="17">
        <f t="shared" ca="1" si="4"/>
        <v>71374.793302653954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0.77155011566730902</v>
      </c>
      <c r="J18" s="39">
        <f ca="1">I18</f>
        <v>0.77155011566730902</v>
      </c>
      <c r="K18" s="40">
        <f ca="1">1-(-K13)/K17</f>
        <v>0.89841840208290036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1812.78051725873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1812.78051725873</v>
      </c>
      <c r="M2" s="17"/>
      <c r="N2" s="17">
        <f ca="1">Q2-(L2+O2+P2)</f>
        <v>0</v>
      </c>
      <c r="O2" s="11" cm="1">
        <f t="array" aca="1" ref="O2" ca="1">INDIRECT("'data'!$F$" &amp; $A$1)</f>
        <v>523.25</v>
      </c>
      <c r="P2" s="13">
        <f ca="1">IF(-(L2-Q2+O2)&lt;0, -(L2-Q2+O2), 0)</f>
        <v>-1776.03051725873</v>
      </c>
      <c r="Q2" s="17" cm="1">
        <f t="array" aca="1" ref="Q2" ca="1">INDIRECT("'data'!$D$" &amp; $A$1)</f>
        <v>560</v>
      </c>
      <c r="R2" s="17">
        <f ca="1">SUM(L2:P2)</f>
        <v>560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132.30000000000001</v>
      </c>
      <c r="H3" s="14"/>
      <c r="I3" s="14"/>
      <c r="J3" s="14"/>
      <c r="K3" s="13"/>
      <c r="L3" s="16">
        <f t="shared" ca="1" si="0"/>
        <v>132.30000000000001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-133.245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1759.0400000000002</v>
      </c>
      <c r="H4" s="14"/>
      <c r="I4" s="14"/>
      <c r="J4" s="14"/>
      <c r="K4" s="13"/>
      <c r="L4" s="16">
        <f t="shared" ca="1" si="0"/>
        <v>1759.0400000000002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296.24</v>
      </c>
      <c r="P4" s="13" cm="1">
        <f t="array" aca="1" ref="P4" ca="1">-INDIRECT("'data'!$L$" &amp; $A$1)*parameters!$B$14</f>
        <v>-253.92000000000002</v>
      </c>
      <c r="Q4" s="16" cm="1">
        <f t="array" aca="1" ref="Q4" ca="1">INDIRECT("'data'!$J$" &amp; $A$1)*parameters!$B$14</f>
        <v>1801.3600000000001</v>
      </c>
      <c r="R4" s="16">
        <f t="shared" ca="1" si="2"/>
        <v>1801.3600000000001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4686.0267711598744</v>
      </c>
      <c r="H5" s="14"/>
      <c r="I5" s="14"/>
      <c r="J5" s="14"/>
      <c r="K5" s="13"/>
      <c r="L5" s="16">
        <f t="shared" ca="1" si="0"/>
        <v>4686.0267711598744</v>
      </c>
      <c r="M5" s="16"/>
      <c r="N5" s="16"/>
      <c r="O5" s="11" cm="1">
        <f t="array" aca="1" ref="O5" ca="1">INDIRECT("'data'!$M$" &amp; $A$1)*parameters!$B$15</f>
        <v>31.36</v>
      </c>
      <c r="P5" s="13" cm="1">
        <f t="array" aca="1" ref="P5" ca="1">-INDIRECT("'data'!$N$" &amp; $A$1)*parameters!$B$15</f>
        <v>-2448.04</v>
      </c>
      <c r="Q5" s="16">
        <f ca="1">SUM(L5:P5)</f>
        <v>2269.3467711598742</v>
      </c>
      <c r="R5" s="16">
        <f t="shared" ca="1" si="2"/>
        <v>2269.3467711598742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6294.54</v>
      </c>
      <c r="I7" s="14"/>
      <c r="J7" s="14"/>
      <c r="K7" s="13"/>
      <c r="L7" s="16">
        <f t="shared" ca="1" si="0"/>
        <v>6294.54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6294.54</v>
      </c>
      <c r="R7" s="16">
        <f t="shared" ca="1" si="2"/>
        <v>6294.54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3889.0052996925638</v>
      </c>
      <c r="J8" s="14">
        <f ca="1">Q10/J18</f>
        <v>1937.0947003074361</v>
      </c>
      <c r="K8" s="13"/>
      <c r="L8" s="16">
        <f t="shared" ca="1" si="0"/>
        <v>5826.1</v>
      </c>
      <c r="M8" s="16"/>
      <c r="N8" s="16">
        <f t="shared" ca="1" si="3"/>
        <v>0</v>
      </c>
      <c r="O8" s="11" cm="1">
        <f t="array" aca="1" ref="O8" ca="1">INDIRECT("'data'!$R$" &amp; $A$1)*parameters!$B$15</f>
        <v>692.86</v>
      </c>
      <c r="P8" s="13" cm="1">
        <f t="array" aca="1" ref="P8" ca="1">-INDIRECT("'data'!$S$" &amp; $A$1)*parameters!$B$15</f>
        <v>-224.42</v>
      </c>
      <c r="Q8" s="16">
        <f ca="1">SUM(Q6:Q7)</f>
        <v>6294.54</v>
      </c>
      <c r="R8" s="16">
        <f t="shared" ca="1" si="2"/>
        <v>6294.54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3899.42</v>
      </c>
      <c r="L9" s="16">
        <f t="shared" ca="1" si="0"/>
        <v>3899.42</v>
      </c>
      <c r="M9" s="16"/>
      <c r="N9" s="16">
        <f t="shared" ca="1" si="3"/>
        <v>0</v>
      </c>
      <c r="O9" s="11" cm="1">
        <f t="array" aca="1" ref="O9" ca="1">INDIRECT("'data'!$U$" &amp; $A$1)*parameters!$B$15</f>
        <v>659.54</v>
      </c>
      <c r="P9" s="13" cm="1">
        <f t="array" aca="1" ref="P9" ca="1">-INDIRECT("'data'!$V$" &amp; $A$1)*parameters!$B$15</f>
        <v>-965.3</v>
      </c>
      <c r="Q9" s="16" cm="1">
        <f t="array" aca="1" ref="Q9" ca="1">INDIRECT("'data'!$T$" &amp; $A$1)*parameters!$B$15</f>
        <v>3593.66</v>
      </c>
      <c r="R9" s="16">
        <f t="shared" ca="1" si="2"/>
        <v>3593.66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3859.7446372688478</v>
      </c>
      <c r="L10" s="16">
        <f t="shared" ca="1" si="0"/>
        <v>3859.7446372688478</v>
      </c>
      <c r="M10" s="16"/>
      <c r="N10" s="16">
        <f t="shared" ca="1" si="3"/>
        <v>0</v>
      </c>
      <c r="O10" s="11" cm="1">
        <f t="array" aca="1" ref="O10" ca="1">INDIRECT("'data'!$X$" &amp; $A$1)*parameters!$B$15</f>
        <v>793.8</v>
      </c>
      <c r="P10" s="13" cm="1">
        <f t="array" aca="1" ref="P10" ca="1">-INDIRECT("'data'!$Y$" &amp; $A$1)*parameters!$B$15</f>
        <v>-2863.56</v>
      </c>
      <c r="Q10" s="16" cm="1">
        <f t="array" aca="1" ref="Q10" ca="1">INDIRECT("'data'!$W$" &amp; $A$1)*parameters!$B$15</f>
        <v>1789.9846372688478</v>
      </c>
      <c r="R10" s="16">
        <f t="shared" ca="1" si="2"/>
        <v>1789.9846372688476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6970.1351880512093</v>
      </c>
      <c r="N11" s="19"/>
      <c r="O11" s="21" cm="1">
        <f t="array" aca="1" ref="O11" ca="1">INDIRECT("'data'!$Z$" &amp; $A$1)*parameters!$B$15</f>
        <v>1713.04</v>
      </c>
      <c r="P11" s="27" cm="1">
        <f t="array" aca="1" ref="P11" ca="1">-INDIRECT("'data'!$AA$" &amp; $A$1)*parameters!$B$15</f>
        <v>-1698.34</v>
      </c>
      <c r="Q11" s="16">
        <f ca="1">K9*parameters!$B$10+K10*parameters!$B$11</f>
        <v>6984.8351880512091</v>
      </c>
      <c r="R11" s="16">
        <f t="shared" ref="R11:R17" ca="1" si="4">SUM(L11:P11)</f>
        <v>6984.8351880512091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-11.420517258729888</v>
      </c>
      <c r="E12" s="9">
        <f ca="1">-(E17-Q5)</f>
        <v>-280.48106160402949</v>
      </c>
      <c r="F12" s="9">
        <f ca="1">-(F17-Q6)</f>
        <v>0</v>
      </c>
      <c r="G12" s="9">
        <f ca="1">-(G17-Q7)</f>
        <v>-282.82677115987462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-574.728350022634</v>
      </c>
      <c r="M12" s="17"/>
      <c r="N12" s="17"/>
      <c r="O12" s="10"/>
      <c r="P12" s="12"/>
      <c r="Q12" s="9">
        <f t="shared" ref="Q12:Q17" ca="1" si="6">SUM(L12:P12)</f>
        <v>-574.728350022634</v>
      </c>
      <c r="R12" s="17">
        <f t="shared" ca="1" si="4"/>
        <v>-574.728350022634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-295.34529969256391</v>
      </c>
      <c r="J13" s="14">
        <f ca="1">-(J17-Q10)</f>
        <v>-147.11006303858835</v>
      </c>
      <c r="K13" s="13">
        <f ca="1">-(K17-Q11)</f>
        <v>-774.32944921763919</v>
      </c>
      <c r="L13" s="14">
        <f t="shared" ca="1" si="5"/>
        <v>-1216.7848119487915</v>
      </c>
      <c r="M13" s="16">
        <f ca="1">-E15</f>
        <v>-1333.0430208151122</v>
      </c>
      <c r="N13" s="16"/>
      <c r="O13" s="11"/>
      <c r="P13" s="13"/>
      <c r="Q13" s="14">
        <f t="shared" ca="1" si="6"/>
        <v>-2549.8278327639036</v>
      </c>
      <c r="R13" s="16">
        <f t="shared" ca="1" si="4"/>
        <v>-2549.8278327639036</v>
      </c>
    </row>
    <row r="14" spans="1:19">
      <c r="A14" s="18" t="s">
        <v>78</v>
      </c>
      <c r="B14" s="11"/>
      <c r="C14" s="14"/>
      <c r="D14" s="14"/>
      <c r="E14" s="14">
        <f ca="1">-(I13+J13)-K13</f>
        <v>1216.7848119487915</v>
      </c>
      <c r="F14" s="14"/>
      <c r="G14" s="14"/>
      <c r="H14" s="14"/>
      <c r="I14" s="14"/>
      <c r="J14" s="14"/>
      <c r="K14" s="13"/>
      <c r="L14" s="14">
        <f t="shared" ca="1" si="5"/>
        <v>1216.7848119487915</v>
      </c>
      <c r="M14" s="16"/>
      <c r="N14" s="16"/>
      <c r="O14" s="11"/>
      <c r="P14" s="13"/>
      <c r="Q14" s="14">
        <f t="shared" ca="1" si="6"/>
        <v>1216.7848119487915</v>
      </c>
      <c r="R14" s="16">
        <f t="shared" ca="1" si="4"/>
        <v>1216.7848119487915</v>
      </c>
    </row>
    <row r="15" spans="1:19">
      <c r="A15" s="18" t="s">
        <v>79</v>
      </c>
      <c r="B15" s="11"/>
      <c r="C15" s="14"/>
      <c r="D15" s="14"/>
      <c r="E15" s="14">
        <f ca="1">E17-E14</f>
        <v>1333.0430208151122</v>
      </c>
      <c r="F15" s="14"/>
      <c r="G15" s="14"/>
      <c r="H15" s="14"/>
      <c r="I15" s="14"/>
      <c r="J15" s="14"/>
      <c r="K15" s="13"/>
      <c r="L15" s="14">
        <f t="shared" ca="1" si="5"/>
        <v>1333.0430208151122</v>
      </c>
      <c r="M15" s="16"/>
      <c r="N15" s="16"/>
      <c r="O15" s="11"/>
      <c r="P15" s="13"/>
      <c r="Q15" s="14">
        <f t="shared" ca="1" si="6"/>
        <v>1333.0430208151122</v>
      </c>
      <c r="R15" s="16">
        <f t="shared" ca="1" si="4"/>
        <v>1333.0430208151122</v>
      </c>
    </row>
    <row r="16" spans="1:19">
      <c r="A16" s="30" t="s">
        <v>89</v>
      </c>
      <c r="B16" s="21">
        <f ca="1">Q2</f>
        <v>560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560</v>
      </c>
      <c r="M16" s="19"/>
      <c r="N16" s="19"/>
      <c r="O16" s="21"/>
      <c r="P16" s="27"/>
      <c r="Q16" s="22">
        <f t="shared" ca="1" si="6"/>
        <v>560</v>
      </c>
      <c r="R16" s="19">
        <f t="shared" ca="1" si="4"/>
        <v>560</v>
      </c>
    </row>
    <row r="17" spans="1:18">
      <c r="A17" s="29" t="s">
        <v>88</v>
      </c>
      <c r="B17" s="9">
        <f ca="1">B16</f>
        <v>560</v>
      </c>
      <c r="C17" s="9">
        <f ca="1">SUM(C$2:C$11)</f>
        <v>0</v>
      </c>
      <c r="D17" s="9">
        <f ca="1">SUM(D$2:D$11)</f>
        <v>1812.78051725873</v>
      </c>
      <c r="E17" s="9">
        <f ca="1">$Q$5/parameters!$B$4</f>
        <v>2549.8278327639036</v>
      </c>
      <c r="F17" s="9">
        <f t="shared" ref="F17:K17" ca="1" si="7">SUM(F$2:F$11)</f>
        <v>0</v>
      </c>
      <c r="G17" s="9">
        <f t="shared" ca="1" si="7"/>
        <v>6577.3667711598746</v>
      </c>
      <c r="H17" s="9">
        <f t="shared" ca="1" si="7"/>
        <v>6294.54</v>
      </c>
      <c r="I17" s="9">
        <f t="shared" ca="1" si="7"/>
        <v>3889.0052996925638</v>
      </c>
      <c r="J17" s="9">
        <f t="shared" ca="1" si="7"/>
        <v>1937.0947003074361</v>
      </c>
      <c r="K17" s="9">
        <f t="shared" ca="1" si="7"/>
        <v>7759.1646372688483</v>
      </c>
      <c r="L17" s="17">
        <f t="shared" ca="1" si="5"/>
        <v>31379.779758451357</v>
      </c>
      <c r="M17" s="17"/>
      <c r="N17" s="17"/>
      <c r="O17" s="9"/>
      <c r="P17" s="14"/>
      <c r="Q17" s="11">
        <f t="shared" ca="1" si="6"/>
        <v>31379.779758451357</v>
      </c>
      <c r="R17" s="17">
        <f t="shared" ca="1" si="4"/>
        <v>31379.779758451357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0.92405633910658036</v>
      </c>
      <c r="J18" s="39">
        <f ca="1">I18</f>
        <v>0.92405633910658036</v>
      </c>
      <c r="K18" s="40">
        <f ca="1">1-(-K13)/K17</f>
        <v>0.90020453419709934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855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855</v>
      </c>
      <c r="R2" s="17">
        <f ca="1">SUM(L2:P2)</f>
        <v>855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716.31</v>
      </c>
      <c r="H3" s="14"/>
      <c r="I3" s="14"/>
      <c r="J3" s="14"/>
      <c r="K3" s="13"/>
      <c r="L3" s="16">
        <f t="shared" ca="1" si="0"/>
        <v>716.31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21.734999999999999</v>
      </c>
      <c r="P3" s="13" cm="1">
        <f t="array" aca="1" ref="P3" ca="1">-INDIRECT("'data'!$I$" &amp; $A$1)*parameters!$B$13</f>
        <v>-738.04499999999996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4619.9282445141071</v>
      </c>
      <c r="H5" s="14"/>
      <c r="I5" s="14"/>
      <c r="J5" s="14"/>
      <c r="K5" s="13"/>
      <c r="L5" s="16">
        <f t="shared" ca="1" si="0"/>
        <v>4619.9282445141071</v>
      </c>
      <c r="M5" s="16"/>
      <c r="N5" s="16"/>
      <c r="O5" s="11" cm="1">
        <f t="array" aca="1" ref="O5" ca="1">INDIRECT("'data'!$M$" &amp; $A$1)*parameters!$B$15</f>
        <v>353.78</v>
      </c>
      <c r="P5" s="13" cm="1">
        <f t="array" aca="1" ref="P5" ca="1">-INDIRECT("'data'!$N$" &amp; $A$1)*parameters!$B$15</f>
        <v>-2696.96</v>
      </c>
      <c r="Q5" s="16">
        <f ca="1">SUM(L5:P5)</f>
        <v>2276.7482445141068</v>
      </c>
      <c r="R5" s="16">
        <f t="shared" ca="1" si="2"/>
        <v>2276.7482445141068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5106.78</v>
      </c>
      <c r="I7" s="14"/>
      <c r="J7" s="14"/>
      <c r="K7" s="13"/>
      <c r="L7" s="16">
        <f t="shared" ca="1" si="0"/>
        <v>5106.78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5106.78</v>
      </c>
      <c r="R7" s="16">
        <f t="shared" ca="1" si="2"/>
        <v>5106.78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4760.8593996078353</v>
      </c>
      <c r="J8" s="14">
        <f ca="1">Q10/J18</f>
        <v>3662.2406003921651</v>
      </c>
      <c r="K8" s="13"/>
      <c r="L8" s="16">
        <f t="shared" ca="1" si="0"/>
        <v>8423.1</v>
      </c>
      <c r="M8" s="16"/>
      <c r="N8" s="16">
        <f t="shared" ca="1" si="3"/>
        <v>0</v>
      </c>
      <c r="O8" s="11" cm="1">
        <f t="array" aca="1" ref="O8" ca="1">INDIRECT("'data'!$R$" &amp; $A$1)*parameters!$B$15</f>
        <v>178.35999999999999</v>
      </c>
      <c r="P8" s="13" cm="1">
        <f t="array" aca="1" ref="P8" ca="1">-INDIRECT("'data'!$S$" &amp; $A$1)*parameters!$B$15</f>
        <v>-3494.68</v>
      </c>
      <c r="Q8" s="16">
        <f ca="1">SUM(Q6:Q7)</f>
        <v>5106.78</v>
      </c>
      <c r="R8" s="16">
        <f t="shared" ca="1" si="2"/>
        <v>5106.7800000000007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5049.9400000000005</v>
      </c>
      <c r="L9" s="16">
        <f t="shared" ca="1" si="0"/>
        <v>5049.9400000000005</v>
      </c>
      <c r="M9" s="16"/>
      <c r="N9" s="16">
        <f t="shared" ca="1" si="3"/>
        <v>0</v>
      </c>
      <c r="O9" s="11" cm="1">
        <f t="array" aca="1" ref="O9" ca="1">INDIRECT("'data'!$U$" &amp; $A$1)*parameters!$B$15</f>
        <v>637.98</v>
      </c>
      <c r="P9" s="13" cm="1">
        <f t="array" aca="1" ref="P9" ca="1">-INDIRECT("'data'!$V$" &amp; $A$1)*parameters!$B$15</f>
        <v>-1522.92</v>
      </c>
      <c r="Q9" s="16" cm="1">
        <f t="array" aca="1" ref="Q9" ca="1">INDIRECT("'data'!$T$" &amp; $A$1)*parameters!$B$15</f>
        <v>4165</v>
      </c>
      <c r="R9" s="16">
        <f t="shared" ca="1" si="2"/>
        <v>4165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8011.7620768136558</v>
      </c>
      <c r="L10" s="16">
        <f t="shared" ca="1" si="0"/>
        <v>8011.7620768136558</v>
      </c>
      <c r="M10" s="16"/>
      <c r="N10" s="16">
        <f t="shared" ca="1" si="3"/>
        <v>0</v>
      </c>
      <c r="O10" s="11" cm="1">
        <f t="array" aca="1" ref="O10" ca="1">INDIRECT("'data'!$X$" &amp; $A$1)*parameters!$B$15</f>
        <v>1263.22</v>
      </c>
      <c r="P10" s="13" cm="1">
        <f t="array" aca="1" ref="P10" ca="1">-INDIRECT("'data'!$Y$" &amp; $A$1)*parameters!$B$15</f>
        <v>-6071.0999999999995</v>
      </c>
      <c r="Q10" s="16" cm="1">
        <f t="array" aca="1" ref="Q10" ca="1">INDIRECT("'data'!$W$" &amp; $A$1)*parameters!$B$15</f>
        <v>3203.8820768136561</v>
      </c>
      <c r="R10" s="16">
        <f t="shared" ca="1" si="2"/>
        <v>3203.8820768136566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10622.758986059744</v>
      </c>
      <c r="N11" s="19"/>
      <c r="O11" s="21" cm="1">
        <f t="array" aca="1" ref="O11" ca="1">INDIRECT("'data'!$Z$" &amp; $A$1)*parameters!$B$15</f>
        <v>3358.46</v>
      </c>
      <c r="P11" s="27" cm="1">
        <f t="array" aca="1" ref="P11" ca="1">-INDIRECT("'data'!$AA$" &amp; $A$1)*parameters!$B$15</f>
        <v>-2344.16</v>
      </c>
      <c r="Q11" s="16">
        <f ca="1">K9*parameters!$B$10+K10*parameters!$B$11</f>
        <v>11637.058986059745</v>
      </c>
      <c r="R11" s="16">
        <f t="shared" ref="R11:R17" ca="1" si="4">SUM(L11:P11)</f>
        <v>11637.058986059743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-281.39585044556361</v>
      </c>
      <c r="F12" s="9">
        <f ca="1">-(F17-Q6)</f>
        <v>0</v>
      </c>
      <c r="G12" s="9">
        <f ca="1">-(G17-Q7)</f>
        <v>-229.45824451410681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-510.85409495967042</v>
      </c>
      <c r="M12" s="17"/>
      <c r="N12" s="17"/>
      <c r="O12" s="10"/>
      <c r="P12" s="12"/>
      <c r="Q12" s="9">
        <f t="shared" ref="Q12:Q17" ca="1" si="6">SUM(L12:P12)</f>
        <v>-510.85409495967042</v>
      </c>
      <c r="R12" s="17">
        <f t="shared" ca="1" si="4"/>
        <v>-510.85409495967042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-595.85939960783526</v>
      </c>
      <c r="J13" s="14">
        <f ca="1">-(J17-Q10)</f>
        <v>-458.35852357850899</v>
      </c>
      <c r="K13" s="13">
        <f ca="1">-(K17-Q11)</f>
        <v>-1424.6430907539125</v>
      </c>
      <c r="L13" s="14">
        <f t="shared" ca="1" si="5"/>
        <v>-2478.8610139402567</v>
      </c>
      <c r="M13" s="16">
        <f ca="1">-E15</f>
        <v>-79.283081019413657</v>
      </c>
      <c r="N13" s="16"/>
      <c r="O13" s="11"/>
      <c r="P13" s="13"/>
      <c r="Q13" s="14">
        <f t="shared" ca="1" si="6"/>
        <v>-2558.1440949596704</v>
      </c>
      <c r="R13" s="16">
        <f t="shared" ca="1" si="4"/>
        <v>-2558.1440949596704</v>
      </c>
    </row>
    <row r="14" spans="1:20">
      <c r="A14" s="18" t="s">
        <v>78</v>
      </c>
      <c r="B14" s="11"/>
      <c r="C14" s="14"/>
      <c r="D14" s="14"/>
      <c r="E14" s="14">
        <f ca="1">-(I13+J13)-K13</f>
        <v>2478.8610139402567</v>
      </c>
      <c r="F14" s="14"/>
      <c r="G14" s="14"/>
      <c r="H14" s="14"/>
      <c r="I14" s="14"/>
      <c r="J14" s="14"/>
      <c r="K14" s="13"/>
      <c r="L14" s="14">
        <f t="shared" ca="1" si="5"/>
        <v>2478.8610139402567</v>
      </c>
      <c r="M14" s="16"/>
      <c r="N14" s="16"/>
      <c r="O14" s="11"/>
      <c r="P14" s="13"/>
      <c r="Q14" s="14">
        <f t="shared" ca="1" si="6"/>
        <v>2478.8610139402567</v>
      </c>
      <c r="R14" s="16">
        <f t="shared" ca="1" si="4"/>
        <v>2478.8610139402567</v>
      </c>
    </row>
    <row r="15" spans="1:20">
      <c r="A15" s="18" t="s">
        <v>79</v>
      </c>
      <c r="B15" s="11"/>
      <c r="C15" s="14"/>
      <c r="D15" s="14"/>
      <c r="E15" s="14">
        <f ca="1">E17-E14</f>
        <v>79.283081019413657</v>
      </c>
      <c r="F15" s="14"/>
      <c r="G15" s="14"/>
      <c r="H15" s="14"/>
      <c r="I15" s="14"/>
      <c r="J15" s="14"/>
      <c r="K15" s="13"/>
      <c r="L15" s="14">
        <f t="shared" ca="1" si="5"/>
        <v>79.283081019413657</v>
      </c>
      <c r="M15" s="16"/>
      <c r="N15" s="16"/>
      <c r="O15" s="11"/>
      <c r="P15" s="13"/>
      <c r="Q15" s="14">
        <f t="shared" ca="1" si="6"/>
        <v>79.283081019413657</v>
      </c>
      <c r="R15" s="16">
        <f t="shared" ca="1" si="4"/>
        <v>79.283081019413657</v>
      </c>
    </row>
    <row r="16" spans="1:20">
      <c r="A16" s="30" t="s">
        <v>89</v>
      </c>
      <c r="B16" s="21">
        <f ca="1">Q2</f>
        <v>855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855</v>
      </c>
      <c r="M16" s="19"/>
      <c r="N16" s="19"/>
      <c r="O16" s="21"/>
      <c r="P16" s="27"/>
      <c r="Q16" s="22">
        <f t="shared" ca="1" si="6"/>
        <v>855</v>
      </c>
      <c r="R16" s="19">
        <f t="shared" ca="1" si="4"/>
        <v>855</v>
      </c>
    </row>
    <row r="17" spans="1:18">
      <c r="A17" s="29" t="s">
        <v>88</v>
      </c>
      <c r="B17" s="9">
        <f ca="1">B16</f>
        <v>855</v>
      </c>
      <c r="C17" s="9">
        <f ca="1">SUM(C$2:C$11)</f>
        <v>0</v>
      </c>
      <c r="D17" s="9">
        <f ca="1">SUM(D$2:D$11)</f>
        <v>0</v>
      </c>
      <c r="E17" s="9">
        <f ca="1">$Q$5/parameters!$B$4</f>
        <v>2558.1440949596704</v>
      </c>
      <c r="F17" s="9">
        <f t="shared" ref="F17:K17" ca="1" si="7">SUM(F$2:F$11)</f>
        <v>0</v>
      </c>
      <c r="G17" s="9">
        <f t="shared" ca="1" si="7"/>
        <v>5336.2382445141066</v>
      </c>
      <c r="H17" s="9">
        <f t="shared" ca="1" si="7"/>
        <v>5106.78</v>
      </c>
      <c r="I17" s="9">
        <f t="shared" ca="1" si="7"/>
        <v>4760.8593996078353</v>
      </c>
      <c r="J17" s="9">
        <f t="shared" ca="1" si="7"/>
        <v>3662.2406003921651</v>
      </c>
      <c r="K17" s="9">
        <f t="shared" ca="1" si="7"/>
        <v>13061.702076813657</v>
      </c>
      <c r="L17" s="17">
        <f t="shared" ca="1" si="5"/>
        <v>35340.964416287432</v>
      </c>
      <c r="M17" s="17"/>
      <c r="N17" s="17"/>
      <c r="O17" s="9"/>
      <c r="P17" s="14"/>
      <c r="Q17" s="11">
        <f t="shared" ca="1" si="6"/>
        <v>35340.964416287432</v>
      </c>
      <c r="R17" s="17">
        <f t="shared" ca="1" si="4"/>
        <v>35340.964416287432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0.87484205064805776</v>
      </c>
      <c r="J18" s="39">
        <f ca="1">I18</f>
        <v>0.87484205064805776</v>
      </c>
      <c r="K18" s="40">
        <f ca="1">1-(-K13)/K17</f>
        <v>0.8909297515457153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3407.4016302707055</v>
      </c>
      <c r="D2" s="9">
        <f ca="1">Q4/parameters!$B$3</f>
        <v>115.72909328771259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3523.1307235584181</v>
      </c>
      <c r="M2" s="17"/>
      <c r="N2" s="17">
        <f ca="1">Q2-(L2+O2+P2)</f>
        <v>0</v>
      </c>
      <c r="O2" s="11" cm="1">
        <f t="array" aca="1" ref="O2" ca="1">INDIRECT("'data'!$F$" &amp; $A$1)</f>
        <v>11451.050000000001</v>
      </c>
      <c r="P2" s="13">
        <f ca="1">IF(-(L2-Q2+O2)&lt;0, -(L2-Q2+O2), 0)</f>
        <v>-694.18072355841832</v>
      </c>
      <c r="Q2" s="17" cm="1">
        <f t="array" aca="1" ref="Q2" ca="1">INDIRECT("'data'!$D$" &amp; $A$1)</f>
        <v>14280</v>
      </c>
      <c r="R2" s="17">
        <f ca="1">SUM(L2:P2)</f>
        <v>14280.000000000002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2876.0597014925374</v>
      </c>
      <c r="G3" s="14">
        <f ca="1">Q3-O3-P3-F3</f>
        <v>525.94029850746256</v>
      </c>
      <c r="H3" s="14"/>
      <c r="I3" s="14"/>
      <c r="J3" s="14"/>
      <c r="K3" s="13"/>
      <c r="L3" s="16">
        <f t="shared" ca="1" si="0"/>
        <v>3402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59.534999999999997</v>
      </c>
      <c r="P3" s="13" cm="1">
        <f t="array" aca="1" ref="P3" ca="1">-INDIRECT("'data'!$I$" &amp; $A$1)*parameters!$B$13</f>
        <v>-75.599999999999994</v>
      </c>
      <c r="Q3" s="16" cm="1">
        <f t="array" aca="1" ref="Q3" ca="1">INDIRECT("'data'!$G$" &amp; $A$1)*parameters!$B$13</f>
        <v>3385.9349999999999</v>
      </c>
      <c r="R3" s="16">
        <f t="shared" ref="R3:R10" ca="1" si="2">SUM(L3:P3)</f>
        <v>3385.9349999999999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103.96</v>
      </c>
      <c r="H4" s="14"/>
      <c r="I4" s="14"/>
      <c r="J4" s="14"/>
      <c r="K4" s="13"/>
      <c r="L4" s="16">
        <f t="shared" ca="1" si="0"/>
        <v>103.96</v>
      </c>
      <c r="M4" s="16"/>
      <c r="N4" s="16">
        <f t="shared" ca="1" si="1"/>
        <v>0</v>
      </c>
      <c r="O4" s="11" cm="1">
        <f t="array" aca="1" ref="O4" ca="1">INDIRECT("'data'!$K$" &amp; $A$1)*parameters!$B$14</f>
        <v>11.040000000000001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115</v>
      </c>
      <c r="R4" s="16">
        <f t="shared" ca="1" si="2"/>
        <v>115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719.01492537313436</v>
      </c>
      <c r="G5" s="14">
        <f ca="1">Q7/parameters!$B$7-(G3+G4)</f>
        <v>1134.5093148676681</v>
      </c>
      <c r="H5" s="14"/>
      <c r="I5" s="14"/>
      <c r="J5" s="14"/>
      <c r="K5" s="13"/>
      <c r="L5" s="16">
        <f t="shared" ca="1" si="0"/>
        <v>1853.5242402408026</v>
      </c>
      <c r="M5" s="16"/>
      <c r="N5" s="16"/>
      <c r="O5" s="11" cm="1">
        <f t="array" aca="1" ref="O5" ca="1">INDIRECT("'data'!$M$" &amp; $A$1)*parameters!$B$15</f>
        <v>1420.02</v>
      </c>
      <c r="P5" s="13" cm="1">
        <f t="array" aca="1" ref="P5" ca="1">-INDIRECT("'data'!$N$" &amp; $A$1)*parameters!$B$15</f>
        <v>-189.14</v>
      </c>
      <c r="Q5" s="16">
        <f ca="1">SUM(L5:P5)</f>
        <v>3084.4042402408027</v>
      </c>
      <c r="R5" s="16">
        <f t="shared" ca="1" si="2"/>
        <v>3084.4042402408027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3372.18</v>
      </c>
      <c r="I6" s="14"/>
      <c r="J6" s="14"/>
      <c r="K6" s="13"/>
      <c r="L6" s="16">
        <f t="shared" ca="1" si="0"/>
        <v>3372.18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3372.18</v>
      </c>
      <c r="R6" s="16">
        <f t="shared" ca="1" si="2"/>
        <v>3372.18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1688.54</v>
      </c>
      <c r="I7" s="14"/>
      <c r="J7" s="14"/>
      <c r="K7" s="13"/>
      <c r="L7" s="16">
        <f t="shared" ca="1" si="0"/>
        <v>1688.54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1688.54</v>
      </c>
      <c r="R7" s="16">
        <f t="shared" ca="1" si="2"/>
        <v>1688.54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760.66918602915871</v>
      </c>
      <c r="J8" s="14">
        <f ca="1">Q10/J18</f>
        <v>4459.7908139708397</v>
      </c>
      <c r="K8" s="13"/>
      <c r="L8" s="16">
        <f t="shared" ca="1" si="0"/>
        <v>5220.4599999999982</v>
      </c>
      <c r="M8" s="16"/>
      <c r="N8" s="16">
        <f t="shared" ca="1" si="3"/>
        <v>0</v>
      </c>
      <c r="O8" s="11" cm="1">
        <f t="array" aca="1" ref="O8" ca="1">INDIRECT("'data'!$R$" &amp; $A$1)*parameters!$B$15</f>
        <v>99.96</v>
      </c>
      <c r="P8" s="13" cm="1">
        <f t="array" aca="1" ref="P8" ca="1">-INDIRECT("'data'!$S$" &amp; $A$1)*parameters!$B$15</f>
        <v>-259.7</v>
      </c>
      <c r="Q8" s="16">
        <f ca="1">SUM(Q6:Q7)</f>
        <v>5060.7199999999993</v>
      </c>
      <c r="R8" s="16">
        <f t="shared" ca="1" si="2"/>
        <v>5060.7199999999984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938.84</v>
      </c>
      <c r="L9" s="16">
        <f t="shared" ca="1" si="0"/>
        <v>938.84</v>
      </c>
      <c r="M9" s="16"/>
      <c r="N9" s="16">
        <f t="shared" ca="1" si="3"/>
        <v>0</v>
      </c>
      <c r="O9" s="11" cm="1">
        <f t="array" aca="1" ref="O9" ca="1">INDIRECT("'data'!$U$" &amp; $A$1)*parameters!$B$15</f>
        <v>759.5</v>
      </c>
      <c r="P9" s="13" cm="1">
        <f t="array" aca="1" ref="P9" ca="1">-INDIRECT("'data'!$V$" &amp; $A$1)*parameters!$B$15</f>
        <v>-963.34</v>
      </c>
      <c r="Q9" s="16" cm="1">
        <f t="array" aca="1" ref="Q9" ca="1">INDIRECT("'data'!$T$" &amp; $A$1)*parameters!$B$15</f>
        <v>735</v>
      </c>
      <c r="R9" s="16">
        <f t="shared" ca="1" si="2"/>
        <v>735.00000000000011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3709.5328022759609</v>
      </c>
      <c r="L10" s="16">
        <f t="shared" ca="1" si="0"/>
        <v>3709.5328022759609</v>
      </c>
      <c r="M10" s="16"/>
      <c r="N10" s="16">
        <f t="shared" ca="1" si="3"/>
        <v>0</v>
      </c>
      <c r="O10" s="11" cm="1">
        <f t="array" aca="1" ref="O10" ca="1">INDIRECT("'data'!$X$" &amp; $A$1)*parameters!$B$15</f>
        <v>2804.7599999999998</v>
      </c>
      <c r="P10" s="13" cm="1">
        <f t="array" aca="1" ref="P10" ca="1">-INDIRECT("'data'!$Y$" &amp; $A$1)*parameters!$B$15</f>
        <v>-2205</v>
      </c>
      <c r="Q10" s="16" cm="1">
        <f t="array" aca="1" ref="Q10" ca="1">INDIRECT("'data'!$W$" &amp; $A$1)*parameters!$B$15</f>
        <v>4309.2928022759606</v>
      </c>
      <c r="R10" s="16">
        <f t="shared" ca="1" si="2"/>
        <v>4309.2928022759606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4396.107809957326</v>
      </c>
      <c r="N11" s="19"/>
      <c r="O11" s="21" cm="1">
        <f t="array" aca="1" ref="O11" ca="1">INDIRECT("'data'!$Z$" &amp; $A$1)*parameters!$B$15</f>
        <v>3093.86</v>
      </c>
      <c r="P11" s="27" cm="1">
        <f t="array" aca="1" ref="P11" ca="1">-INDIRECT("'data'!$AA$" &amp; $A$1)*parameters!$B$15</f>
        <v>-3417.2599999999998</v>
      </c>
      <c r="Q11" s="16">
        <f ca="1">K9*parameters!$B$10+K10*parameters!$B$11</f>
        <v>4072.7078099573264</v>
      </c>
      <c r="R11" s="16">
        <f t="shared" ref="R11:R17" ca="1" si="4">SUM(L11:P11)</f>
        <v>4072.7078099573268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-21.466630270705537</v>
      </c>
      <c r="D12" s="9">
        <f ca="1">-(D17-Q4)</f>
        <v>-0.72909328771258686</v>
      </c>
      <c r="E12" s="9">
        <f ca="1">-(E17-Q5)</f>
        <v>-381.21850160279564</v>
      </c>
      <c r="F12" s="9">
        <f ca="1">-(F17-Q6)</f>
        <v>-222.89462686567185</v>
      </c>
      <c r="G12" s="9">
        <f ca="1">-(G17-Q7)</f>
        <v>-75.869613375130712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-702.1784654020164</v>
      </c>
      <c r="M12" s="17"/>
      <c r="N12" s="17"/>
      <c r="O12" s="10"/>
      <c r="P12" s="12"/>
      <c r="Q12" s="9">
        <f t="shared" ref="Q12:Q17" ca="1" si="6">SUM(L12:P12)</f>
        <v>-702.1784654020164</v>
      </c>
      <c r="R12" s="17">
        <f t="shared" ca="1" si="4"/>
        <v>-702.1784654020164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-25.669186029158709</v>
      </c>
      <c r="J13" s="14">
        <f ca="1">-(J17-Q10)</f>
        <v>-150.4980116948791</v>
      </c>
      <c r="K13" s="13">
        <f ca="1">-(K17-Q11)</f>
        <v>-575.66499231863418</v>
      </c>
      <c r="L13" s="14">
        <f t="shared" ca="1" si="5"/>
        <v>-751.83219004267198</v>
      </c>
      <c r="M13" s="16">
        <f ca="1">-E15</f>
        <v>-2713.7905518009266</v>
      </c>
      <c r="N13" s="16"/>
      <c r="O13" s="11"/>
      <c r="P13" s="13"/>
      <c r="Q13" s="14">
        <f t="shared" ca="1" si="6"/>
        <v>-3465.6227418435983</v>
      </c>
      <c r="R13" s="16">
        <f t="shared" ca="1" si="4"/>
        <v>-3465.6227418435983</v>
      </c>
    </row>
    <row r="14" spans="1:20">
      <c r="A14" s="18" t="s">
        <v>78</v>
      </c>
      <c r="B14" s="11"/>
      <c r="C14" s="14"/>
      <c r="D14" s="14"/>
      <c r="E14" s="14">
        <f ca="1">-(I13+J13)-K13</f>
        <v>751.83219004267198</v>
      </c>
      <c r="F14" s="14"/>
      <c r="G14" s="14"/>
      <c r="H14" s="14"/>
      <c r="I14" s="14"/>
      <c r="J14" s="14"/>
      <c r="K14" s="13"/>
      <c r="L14" s="14">
        <f t="shared" ca="1" si="5"/>
        <v>751.83219004267198</v>
      </c>
      <c r="M14" s="16"/>
      <c r="N14" s="16"/>
      <c r="O14" s="11"/>
      <c r="P14" s="13"/>
      <c r="Q14" s="14">
        <f t="shared" ca="1" si="6"/>
        <v>751.83219004267198</v>
      </c>
      <c r="R14" s="16">
        <f t="shared" ca="1" si="4"/>
        <v>751.83219004267198</v>
      </c>
    </row>
    <row r="15" spans="1:20">
      <c r="A15" s="18" t="s">
        <v>79</v>
      </c>
      <c r="B15" s="11"/>
      <c r="C15" s="14"/>
      <c r="D15" s="14"/>
      <c r="E15" s="14">
        <f ca="1">E17-E14</f>
        <v>2713.7905518009266</v>
      </c>
      <c r="F15" s="14"/>
      <c r="G15" s="14"/>
      <c r="H15" s="14"/>
      <c r="I15" s="14"/>
      <c r="J15" s="14"/>
      <c r="K15" s="13"/>
      <c r="L15" s="14">
        <f t="shared" ca="1" si="5"/>
        <v>2713.7905518009266</v>
      </c>
      <c r="M15" s="16"/>
      <c r="N15" s="16"/>
      <c r="O15" s="11"/>
      <c r="P15" s="13"/>
      <c r="Q15" s="14">
        <f t="shared" ca="1" si="6"/>
        <v>2713.7905518009266</v>
      </c>
      <c r="R15" s="16">
        <f t="shared" ca="1" si="4"/>
        <v>2713.7905518009266</v>
      </c>
    </row>
    <row r="16" spans="1:20">
      <c r="A16" s="30" t="s">
        <v>89</v>
      </c>
      <c r="B16" s="21">
        <f ca="1">Q2</f>
        <v>14280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14280</v>
      </c>
      <c r="M16" s="19"/>
      <c r="N16" s="19"/>
      <c r="O16" s="21"/>
      <c r="P16" s="27"/>
      <c r="Q16" s="22">
        <f t="shared" ca="1" si="6"/>
        <v>14280</v>
      </c>
      <c r="R16" s="19">
        <f t="shared" ca="1" si="4"/>
        <v>14280</v>
      </c>
    </row>
    <row r="17" spans="1:18">
      <c r="A17" s="29" t="s">
        <v>88</v>
      </c>
      <c r="B17" s="9">
        <f ca="1">B16</f>
        <v>14280</v>
      </c>
      <c r="C17" s="9">
        <f ca="1">SUM(C$2:C$11)</f>
        <v>3407.4016302707055</v>
      </c>
      <c r="D17" s="9">
        <f ca="1">SUM(D$2:D$11)</f>
        <v>115.72909328771259</v>
      </c>
      <c r="E17" s="9">
        <f ca="1">$Q$5/parameters!$B$4</f>
        <v>3465.6227418435983</v>
      </c>
      <c r="F17" s="9">
        <f t="shared" ref="F17:K17" ca="1" si="7">SUM(F$2:F$11)</f>
        <v>3595.0746268656717</v>
      </c>
      <c r="G17" s="9">
        <f t="shared" ca="1" si="7"/>
        <v>1764.4096133751307</v>
      </c>
      <c r="H17" s="9">
        <f t="shared" ca="1" si="7"/>
        <v>5060.7199999999993</v>
      </c>
      <c r="I17" s="9">
        <f t="shared" ca="1" si="7"/>
        <v>760.66918602915871</v>
      </c>
      <c r="J17" s="9">
        <f t="shared" ca="1" si="7"/>
        <v>4459.7908139708397</v>
      </c>
      <c r="K17" s="9">
        <f t="shared" ca="1" si="7"/>
        <v>4648.3728022759606</v>
      </c>
      <c r="L17" s="17">
        <f t="shared" ca="1" si="5"/>
        <v>41557.790507918777</v>
      </c>
      <c r="M17" s="17"/>
      <c r="N17" s="17"/>
      <c r="O17" s="9"/>
      <c r="P17" s="14"/>
      <c r="Q17" s="11">
        <f t="shared" ca="1" si="6"/>
        <v>41557.790507918777</v>
      </c>
      <c r="R17" s="17">
        <f t="shared" ca="1" si="4"/>
        <v>41557.790507918777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0.96625446843304263</v>
      </c>
      <c r="J18" s="39">
        <f ca="1">I18</f>
        <v>0.96625446843304263</v>
      </c>
      <c r="K18" s="40">
        <f ca="1">1-(-K13)/K17</f>
        <v>0.87615774018022519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2024-08-12T09:08:39Z</dcterms:modified>
</cp:coreProperties>
</file>