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A3DC5141-ACFB-D44D-B719-8EEF1D90DF25}" xr6:coauthVersionLast="47" xr6:coauthVersionMax="47" xr10:uidLastSave="{00000000-0000-0000-0000-000000000000}"/>
  <bookViews>
    <workbookView xWindow="0" yWindow="500" windowWidth="38400" windowHeight="21100" firstSheet="7" activeTab="23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43" l="1"/>
  <c r="J18" i="43" s="1"/>
  <c r="I18" i="41"/>
  <c r="J18" i="41" s="1"/>
  <c r="J18" i="15" l="1"/>
  <c r="I18" i="15"/>
  <c r="Q4" i="49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L4" i="39" l="1"/>
  <c r="Q10" i="33" a="1"/>
  <c r="P11" i="31" a="1"/>
  <c r="P5" i="22" a="1"/>
  <c r="P9" i="35" a="1"/>
  <c r="Q7" i="24" a="1"/>
  <c r="O11" i="15" a="1"/>
  <c r="O10" i="34" a="1"/>
  <c r="P5" i="37" a="1"/>
  <c r="Q6" i="41" a="1"/>
  <c r="Q2" i="42" a="1"/>
  <c r="P10" i="41" a="1"/>
  <c r="P10" i="29" a="1"/>
  <c r="P8" i="43" a="1"/>
  <c r="P10" i="30" a="1"/>
  <c r="O5" i="11" a="1"/>
  <c r="Q6" i="34" a="1"/>
  <c r="Q6" i="40" a="1"/>
  <c r="O9" i="24" a="1"/>
  <c r="Q2" i="41" a="1"/>
  <c r="P3" i="19" a="1"/>
  <c r="O5" i="27" a="1"/>
  <c r="P3" i="23" a="1"/>
  <c r="Q3" i="43" a="1"/>
  <c r="Q10" i="36" a="1"/>
  <c r="P11" i="42" a="1"/>
  <c r="Q4" i="30" a="1"/>
  <c r="P4" i="11" a="1"/>
  <c r="O3" i="28" a="1"/>
  <c r="O9" i="39" a="1"/>
  <c r="O2" i="35" a="1"/>
  <c r="O11" i="22" a="1"/>
  <c r="O9" i="17" a="1"/>
  <c r="O11" i="28" a="1"/>
  <c r="Q9" i="21" a="1"/>
  <c r="Q6" i="32" a="1"/>
  <c r="O5" i="15" a="1"/>
  <c r="O5" i="37" a="1"/>
  <c r="O2" i="23" a="1"/>
  <c r="P11" i="11" a="1"/>
  <c r="Q4" i="27" a="1"/>
  <c r="Q2" i="36" a="1"/>
  <c r="P10" i="16" a="1"/>
  <c r="Q6" i="20" a="1"/>
  <c r="O8" i="34" a="1"/>
  <c r="O2" i="34" a="1"/>
  <c r="O5" i="28" a="1"/>
  <c r="O11" i="17" a="1"/>
  <c r="P3" i="14" a="1"/>
  <c r="Q3" i="42" a="1"/>
  <c r="P8" i="33" a="1"/>
  <c r="P4" i="36" a="1"/>
  <c r="O9" i="42" a="1"/>
  <c r="Q9" i="17" a="1"/>
  <c r="O10" i="19" a="1"/>
  <c r="Q6" i="21" a="1"/>
  <c r="P9" i="36" a="1"/>
  <c r="O5" i="39" a="1"/>
  <c r="O11" i="38" a="1"/>
  <c r="P3" i="35" a="1"/>
  <c r="O5" i="17" a="1"/>
  <c r="Q2" i="33" a="1"/>
  <c r="Q10" i="31" a="1"/>
  <c r="O4" i="39" a="1"/>
  <c r="P8" i="31" a="1"/>
  <c r="P8" i="11" a="1"/>
  <c r="Q10" i="16" a="1"/>
  <c r="Q3" i="34" a="1"/>
  <c r="O4" i="34" a="1"/>
  <c r="Q3" i="36" a="1"/>
  <c r="Q7" i="15" a="1"/>
  <c r="Q3" i="40" a="1"/>
  <c r="P4" i="21" a="1"/>
  <c r="Q3" i="31" a="1"/>
  <c r="Q3" i="19" a="1"/>
  <c r="Q10" i="22" a="1"/>
  <c r="O11" i="37" a="1"/>
  <c r="O5" i="32" a="1"/>
  <c r="P9" i="34" a="1"/>
  <c r="O11" i="34" a="1"/>
  <c r="P8" i="23" a="1"/>
  <c r="Q10" i="21" a="1"/>
  <c r="P11" i="35" a="1"/>
  <c r="P10" i="23" a="1"/>
  <c r="Q6" i="23" a="1"/>
  <c r="O9" i="23" a="1"/>
  <c r="O4" i="20" a="1"/>
  <c r="O3" i="39" a="1"/>
  <c r="O4" i="19" a="1"/>
  <c r="P11" i="21" a="1"/>
  <c r="P8" i="17" a="1"/>
  <c r="Q3" i="24" a="1"/>
  <c r="O10" i="40" a="1"/>
  <c r="Q10" i="28" a="1"/>
  <c r="Q2" i="32" a="1"/>
  <c r="Q7" i="14" a="1"/>
  <c r="P3" i="16" a="1"/>
  <c r="O10" i="39" a="1"/>
  <c r="P9" i="18" a="1"/>
  <c r="P3" i="31" a="1"/>
  <c r="Q10" i="23" a="1"/>
  <c r="Q7" i="29" a="1"/>
  <c r="P5" i="32" a="1"/>
  <c r="O3" i="26" a="1"/>
  <c r="Q6" i="29" a="1"/>
  <c r="O3" i="43" a="1"/>
  <c r="O9" i="11" a="1"/>
  <c r="O2" i="17" a="1"/>
  <c r="Q10" i="35" a="1"/>
  <c r="O3" i="37" a="1"/>
  <c r="O3" i="31" a="1"/>
  <c r="O11" i="26" a="1"/>
  <c r="Q4" i="42" a="1"/>
  <c r="Q9" i="23" a="1"/>
  <c r="Q9" i="43" a="1"/>
  <c r="O11" i="20" a="1"/>
  <c r="O9" i="19" a="1"/>
  <c r="P10" i="20" a="1"/>
  <c r="Q3" i="32" a="1"/>
  <c r="Q2" i="16" a="1"/>
  <c r="O3" i="11" a="1"/>
  <c r="P3" i="36" a="1"/>
  <c r="O10" i="20" a="1"/>
  <c r="Q6" i="14" a="1"/>
  <c r="P5" i="30" a="1"/>
  <c r="Q3" i="37" a="1"/>
  <c r="O11" i="35" a="1"/>
  <c r="Q2" i="20" a="1"/>
  <c r="P4" i="17" a="1"/>
  <c r="O3" i="24" a="1"/>
  <c r="O4" i="31" a="1"/>
  <c r="O5" i="21" a="1"/>
  <c r="Q10" i="19" a="1"/>
  <c r="Q9" i="35" a="1"/>
  <c r="Q4" i="33" a="1"/>
  <c r="O10" i="18" a="1"/>
  <c r="Q2" i="35" a="1"/>
  <c r="O4" i="42" a="1"/>
  <c r="Q6" i="35" a="1"/>
  <c r="P4" i="26" a="1"/>
  <c r="O11" i="43" a="1"/>
  <c r="O2" i="19" a="1"/>
  <c r="P10" i="26" a="1"/>
  <c r="Q4" i="34" a="1"/>
  <c r="O3" i="18" a="1"/>
  <c r="Q2" i="29" a="1"/>
  <c r="Q2" i="28" a="1"/>
  <c r="O4" i="14" a="1"/>
  <c r="O9" i="38" a="1"/>
  <c r="O5" i="35" a="1"/>
  <c r="O10" i="35" a="1"/>
  <c r="P11" i="34" a="1"/>
  <c r="O11" i="30" a="1"/>
  <c r="Q3" i="26" a="1"/>
  <c r="Q4" i="38" a="1"/>
  <c r="O9" i="34" a="1"/>
  <c r="O8" i="28" a="1"/>
  <c r="Q7" i="34" a="1"/>
  <c r="Q7" i="30" a="1"/>
  <c r="Q4" i="32" a="1"/>
  <c r="O4" i="18" a="1"/>
  <c r="O11" i="27" a="1"/>
  <c r="P4" i="27" a="1"/>
  <c r="O8" i="14" a="1"/>
  <c r="O8" i="36" a="1"/>
  <c r="P5" i="16" a="1"/>
  <c r="Q7" i="21" a="1"/>
  <c r="O4" i="16" a="1"/>
  <c r="O2" i="29" a="1"/>
  <c r="O11" i="41" a="1"/>
  <c r="Q7" i="41" a="1"/>
  <c r="O9" i="36" a="1"/>
  <c r="P3" i="34" a="1"/>
  <c r="P11" i="30" a="1"/>
  <c r="P10" i="40" a="1"/>
  <c r="P9" i="15" a="1"/>
  <c r="P11" i="40" a="1"/>
  <c r="P10" i="28" a="1"/>
  <c r="Q9" i="30" a="1"/>
  <c r="P4" i="37" a="1"/>
  <c r="O4" i="26" a="1"/>
  <c r="O4" i="21" a="1"/>
  <c r="Q10" i="34" a="1"/>
  <c r="O3" i="34" a="1"/>
  <c r="Q9" i="40" a="1"/>
  <c r="P8" i="39" a="1"/>
  <c r="P9" i="20" a="1"/>
  <c r="Q7" i="17" a="1"/>
  <c r="O3" i="29" a="1"/>
  <c r="Q10" i="11" a="1"/>
  <c r="P10" i="11" a="1"/>
  <c r="Q3" i="28" a="1"/>
  <c r="Q10" i="40" a="1"/>
  <c r="P3" i="30" a="1"/>
  <c r="O11" i="31" a="1"/>
  <c r="Q6" i="27" a="1"/>
  <c r="O5" i="16" a="1"/>
  <c r="P8" i="16" a="1"/>
  <c r="P11" i="17" a="1"/>
  <c r="O8" i="42" a="1"/>
  <c r="O8" i="43" a="1"/>
  <c r="P3" i="40" a="1"/>
  <c r="P9" i="14" a="1"/>
  <c r="P4" i="32" a="1"/>
  <c r="O4" i="15" a="1"/>
  <c r="Q6" i="22" a="1"/>
  <c r="Q10" i="24" a="1"/>
  <c r="O8" i="21" a="1"/>
  <c r="P11" i="20" a="1"/>
  <c r="Q4" i="40" a="1"/>
  <c r="Q2" i="27" a="1"/>
  <c r="Q9" i="39" a="1"/>
  <c r="Q2" i="39" a="1"/>
  <c r="Q3" i="21" a="1"/>
  <c r="Q10" i="38" a="1"/>
  <c r="P9" i="29" a="1"/>
  <c r="Q10" i="42" a="1"/>
  <c r="O5" i="38" a="1"/>
  <c r="P4" i="15" a="1"/>
  <c r="O8" i="24" a="1"/>
  <c r="Q7" i="31" a="1"/>
  <c r="O3" i="38" a="1"/>
  <c r="O9" i="27" a="1"/>
  <c r="O8" i="31" a="1"/>
  <c r="P9" i="43" a="1"/>
  <c r="P4" i="18" a="1"/>
  <c r="O2" i="24" a="1"/>
  <c r="Q2" i="15" a="1"/>
  <c r="P9" i="37" a="1"/>
  <c r="Q6" i="37" a="1"/>
  <c r="O10" i="23" a="1"/>
  <c r="Q3" i="33" a="1"/>
  <c r="O3" i="22" a="1"/>
  <c r="Q9" i="22" a="1"/>
  <c r="O8" i="19" a="1"/>
  <c r="O8" i="17" a="1"/>
  <c r="O11" i="32" a="1"/>
  <c r="O3" i="27" a="1"/>
  <c r="O4" i="28" a="1"/>
  <c r="O9" i="28" a="1"/>
  <c r="Q6" i="39" a="1"/>
  <c r="O5" i="40" a="1"/>
  <c r="P10" i="33" a="1"/>
  <c r="O8" i="23" a="1"/>
  <c r="P5" i="14" a="1"/>
  <c r="O8" i="30" a="1"/>
  <c r="O9" i="41" a="1"/>
  <c r="O2" i="33" a="1"/>
  <c r="P10" i="37" a="1"/>
  <c r="O4" i="24" a="1"/>
  <c r="Q10" i="14" a="1"/>
  <c r="Q9" i="24" a="1"/>
  <c r="O9" i="43" a="1"/>
  <c r="O5" i="24" a="1"/>
  <c r="O10" i="37" a="1"/>
  <c r="P8" i="29" a="1"/>
  <c r="P8" i="34" a="1"/>
  <c r="Q10" i="39" a="1"/>
  <c r="P4" i="22" a="1"/>
  <c r="P5" i="41" a="1"/>
  <c r="Q6" i="43" a="1"/>
  <c r="Q2" i="34" a="1"/>
  <c r="O8" i="32" a="1"/>
  <c r="P3" i="15" a="1"/>
  <c r="O2" i="31" a="1"/>
  <c r="O4" i="41" a="1"/>
  <c r="O9" i="16" a="1"/>
  <c r="Q4" i="37" a="1"/>
  <c r="P4" i="41" a="1"/>
  <c r="P8" i="24" a="1"/>
  <c r="P3" i="20" a="1"/>
  <c r="Q2" i="23" a="1"/>
  <c r="Q4" i="20" a="1"/>
  <c r="P11" i="29" a="1"/>
  <c r="O4" i="38" a="1"/>
  <c r="P4" i="14" a="1"/>
  <c r="O11" i="16" a="1"/>
  <c r="Q3" i="22" a="1"/>
  <c r="P8" i="41" a="1"/>
  <c r="O10" i="26" a="1"/>
  <c r="Q7" i="18" a="1"/>
  <c r="Q4" i="24" a="1"/>
  <c r="Q2" i="19" a="1"/>
  <c r="O8" i="27" a="1"/>
  <c r="Q2" i="37" a="1"/>
  <c r="O3" i="30" a="1"/>
  <c r="O9" i="31" a="1"/>
  <c r="P5" i="28" a="1"/>
  <c r="O8" i="39" a="1"/>
  <c r="Q4" i="26" a="1"/>
  <c r="O4" i="43" a="1"/>
  <c r="Q10" i="20" a="1"/>
  <c r="P10" i="32" a="1"/>
  <c r="Q6" i="31" a="1"/>
  <c r="O9" i="26" a="1"/>
  <c r="P11" i="22" a="1"/>
  <c r="O5" i="34" a="1"/>
  <c r="P9" i="38" a="1"/>
  <c r="O2" i="30" a="1"/>
  <c r="O10" i="30" a="1"/>
  <c r="O9" i="30" a="1"/>
  <c r="O11" i="24" a="1"/>
  <c r="P3" i="17" a="1"/>
  <c r="P5" i="29" a="1"/>
  <c r="P10" i="27" a="1"/>
  <c r="Q9" i="31" a="1"/>
  <c r="P9" i="11" a="1"/>
  <c r="P5" i="40" a="1"/>
  <c r="P8" i="28" a="1"/>
  <c r="Q9" i="20" a="1"/>
  <c r="O10" i="42" a="1"/>
  <c r="Q7" i="23" a="1"/>
  <c r="Q4" i="14" a="1"/>
  <c r="O2" i="28" a="1"/>
  <c r="P10" i="31" a="1"/>
  <c r="Q10" i="32" a="1"/>
  <c r="P4" i="16" a="1"/>
  <c r="O3" i="35" a="1"/>
  <c r="P4" i="31" a="1"/>
  <c r="P3" i="38" a="1"/>
  <c r="Q4" i="22" a="1"/>
  <c r="Q2" i="21" a="1"/>
  <c r="O2" i="26" a="1"/>
  <c r="P10" i="43" a="1"/>
  <c r="P9" i="42" a="1"/>
  <c r="P11" i="26" a="1"/>
  <c r="O4" i="23" a="1"/>
  <c r="P9" i="31" a="1"/>
  <c r="P8" i="20" a="1"/>
  <c r="O8" i="26" a="1"/>
  <c r="P9" i="28" a="1"/>
  <c r="P5" i="39" a="1"/>
  <c r="P9" i="39" a="1"/>
  <c r="Q4" i="21" a="1"/>
  <c r="P11" i="41" a="1"/>
  <c r="P8" i="21" a="1"/>
  <c r="O11" i="29" a="1"/>
  <c r="Q10" i="29" a="1"/>
  <c r="O3" i="19" a="1"/>
  <c r="P5" i="21" a="1"/>
  <c r="Q2" i="43" a="1"/>
  <c r="P3" i="21" a="1"/>
  <c r="O10" i="14" a="1"/>
  <c r="P4" i="34" a="1"/>
  <c r="O3" i="20" a="1"/>
  <c r="Q4" i="41" a="1"/>
  <c r="P3" i="24" a="1"/>
  <c r="Q4" i="31" a="1"/>
  <c r="P8" i="40" a="1"/>
  <c r="P9" i="33" a="1"/>
  <c r="Q2" i="17" a="1"/>
  <c r="P11" i="36" a="1"/>
  <c r="O3" i="36" a="1"/>
  <c r="P4" i="42" a="1"/>
  <c r="O5" i="43" a="1"/>
  <c r="P11" i="27" a="1"/>
  <c r="Q4" i="39" a="1"/>
  <c r="P11" i="32" a="1"/>
  <c r="Q4" i="29" a="1"/>
  <c r="O8" i="11" a="1"/>
  <c r="O10" i="31" a="1"/>
  <c r="Q7" i="16" a="1"/>
  <c r="P11" i="37" a="1"/>
  <c r="Q2" i="38" a="1"/>
  <c r="Q6" i="16" a="1"/>
  <c r="Q4" i="15" a="1"/>
  <c r="O2" i="42" a="1"/>
  <c r="P10" i="39" a="1"/>
  <c r="O10" i="21" a="1"/>
  <c r="P9" i="24" a="1"/>
  <c r="P5" i="23" a="1"/>
  <c r="Q6" i="15" a="1"/>
  <c r="O2" i="40" a="1"/>
  <c r="Q4" i="36" a="1"/>
  <c r="Q4" i="43" a="1"/>
  <c r="O9" i="22" a="1"/>
  <c r="O2" i="32" a="1"/>
  <c r="O5" i="36" a="1"/>
  <c r="Q3" i="35" a="1"/>
  <c r="Q7" i="27" a="1"/>
  <c r="P11" i="19" a="1"/>
  <c r="O3" i="41" a="1"/>
  <c r="Q7" i="38" a="1"/>
  <c r="O4" i="36" a="1"/>
  <c r="Q3" i="23" a="1"/>
  <c r="P4" i="35" a="1"/>
  <c r="O10" i="17" a="1"/>
  <c r="P8" i="38" a="1"/>
  <c r="Q10" i="30" a="1"/>
  <c r="O10" i="28" a="1"/>
  <c r="O4" i="29" a="1"/>
  <c r="Q2" i="40" a="1"/>
  <c r="P9" i="30" a="1"/>
  <c r="O9" i="33" a="1"/>
  <c r="O5" i="20" a="1"/>
  <c r="P10" i="14" a="1"/>
  <c r="O9" i="40" a="1"/>
  <c r="Q7" i="40" a="1"/>
  <c r="P10" i="17" a="1"/>
  <c r="Q10" i="15" a="1"/>
  <c r="Q7" i="33" a="1"/>
  <c r="Q4" i="35" a="1"/>
  <c r="Q4" i="18" a="1"/>
  <c r="Q9" i="16" a="1"/>
  <c r="O10" i="15" a="1"/>
  <c r="P5" i="26" a="1"/>
  <c r="O8" i="18" a="1"/>
  <c r="O11" i="39" a="1"/>
  <c r="Q2" i="31" a="1"/>
  <c r="P8" i="30" a="1"/>
  <c r="O2" i="27" a="1"/>
  <c r="P5" i="17" a="1"/>
  <c r="P4" i="39" a="1"/>
  <c r="P11" i="23" a="1"/>
  <c r="Q7" i="28" a="1"/>
  <c r="O10" i="11" a="1"/>
  <c r="P8" i="14" a="1"/>
  <c r="P10" i="24" a="1"/>
  <c r="P11" i="14" a="1"/>
  <c r="P8" i="37" a="1"/>
  <c r="Q3" i="29" a="1"/>
  <c r="P11" i="18" a="1"/>
  <c r="O3" i="23" a="1"/>
  <c r="O2" i="22" a="1"/>
  <c r="P3" i="42" a="1"/>
  <c r="P5" i="31" a="1"/>
  <c r="O10" i="41" a="1"/>
  <c r="P10" i="15" a="1"/>
  <c r="Q6" i="11" a="1"/>
  <c r="Q3" i="18" a="1"/>
  <c r="P5" i="38" a="1"/>
  <c r="O8" i="41" a="1"/>
  <c r="P10" i="38" a="1"/>
  <c r="O4" i="17" a="1"/>
  <c r="O5" i="33" a="1"/>
  <c r="O9" i="21" a="1"/>
  <c r="O2" i="43" a="1"/>
  <c r="O9" i="32" a="1"/>
  <c r="O2" i="20" a="1"/>
  <c r="Q3" i="39" a="1"/>
  <c r="O9" i="18" a="1"/>
  <c r="Q7" i="39" a="1"/>
  <c r="Q9" i="36" a="1"/>
  <c r="Q7" i="11" a="1"/>
  <c r="O11" i="19" a="1"/>
  <c r="O9" i="37" a="1"/>
  <c r="Q7" i="22" a="1"/>
  <c r="P9" i="16" a="1"/>
  <c r="P5" i="35" a="1"/>
  <c r="Q4" i="28" a="1"/>
  <c r="Q7" i="35" a="1"/>
  <c r="O5" i="30" a="1"/>
  <c r="P5" i="34" a="1"/>
  <c r="Q9" i="18" a="1"/>
  <c r="O9" i="20" a="1"/>
  <c r="P3" i="32" a="1"/>
  <c r="O4" i="30" a="1"/>
  <c r="P4" i="30" a="1"/>
  <c r="P3" i="29" a="1"/>
  <c r="P5" i="18" a="1"/>
  <c r="Q2" i="18" a="1"/>
  <c r="Q10" i="37" a="1"/>
  <c r="O10" i="33" a="1"/>
  <c r="O10" i="22" a="1"/>
  <c r="O11" i="36" a="1"/>
  <c r="O5" i="18" a="1"/>
  <c r="Q9" i="15" a="1"/>
  <c r="O4" i="35" a="1"/>
  <c r="Q9" i="28" a="1"/>
  <c r="Q2" i="11" a="1"/>
  <c r="Q4" i="16" a="1"/>
  <c r="O8" i="38" a="1"/>
  <c r="P11" i="38" a="1"/>
  <c r="P5" i="36" a="1"/>
  <c r="O9" i="15" a="1"/>
  <c r="P11" i="24" a="1"/>
  <c r="O8" i="29" a="1"/>
  <c r="Q3" i="16" a="1"/>
  <c r="O2" i="15" a="1"/>
  <c r="Q7" i="19" a="1"/>
  <c r="P3" i="43" a="1"/>
  <c r="O5" i="29" a="1"/>
  <c r="Q9" i="29" a="1"/>
  <c r="O3" i="17" a="1"/>
  <c r="P8" i="19" a="1"/>
  <c r="Q9" i="19" a="1"/>
  <c r="O2" i="36" a="1"/>
  <c r="Q6" i="30" a="1"/>
  <c r="Q6" i="36" a="1"/>
  <c r="P3" i="11" a="1"/>
  <c r="O4" i="33" a="1"/>
  <c r="P10" i="22" a="1"/>
  <c r="P4" i="38" a="1"/>
  <c r="P4" i="29" a="1"/>
  <c r="Q6" i="42" a="1"/>
  <c r="O5" i="19" a="1"/>
  <c r="O11" i="40" a="1"/>
  <c r="Q4" i="17" a="1"/>
  <c r="Q7" i="26" a="1"/>
  <c r="Q6" i="18" a="1"/>
  <c r="O5" i="41" a="1"/>
  <c r="Q3" i="27" a="1"/>
  <c r="Q9" i="34" a="1"/>
  <c r="P4" i="40" a="1"/>
  <c r="Q10" i="18" a="1"/>
  <c r="P11" i="43" a="1"/>
  <c r="P4" i="33" a="1"/>
  <c r="O2" i="18" a="1"/>
  <c r="P8" i="22" a="1"/>
  <c r="Q10" i="17" a="1"/>
  <c r="P4" i="23" a="1"/>
  <c r="O5" i="22" a="1"/>
  <c r="Q4" i="19" a="1"/>
  <c r="P5" i="27" a="1"/>
  <c r="P11" i="16" a="1"/>
  <c r="O11" i="23" a="1"/>
  <c r="O2" i="11" a="1"/>
  <c r="O3" i="33" a="1"/>
  <c r="P3" i="22" a="1"/>
  <c r="O4" i="40" a="1"/>
  <c r="P3" i="26" a="1"/>
  <c r="Q6" i="26" a="1"/>
  <c r="O8" i="40" a="1"/>
  <c r="Q9" i="14" a="1"/>
  <c r="Q3" i="20" a="1"/>
  <c r="P8" i="35" a="1"/>
  <c r="O10" i="36" a="1"/>
  <c r="Q7" i="42" a="1"/>
  <c r="P11" i="33" a="1"/>
  <c r="Q9" i="33" a="1"/>
  <c r="P11" i="15" a="1"/>
  <c r="O9" i="29" a="1"/>
  <c r="Q6" i="33" a="1"/>
  <c r="O5" i="42" a="1"/>
  <c r="Q10" i="43" a="1"/>
  <c r="O8" i="35" a="1"/>
  <c r="Q4" i="23" a="1"/>
  <c r="P10" i="35" a="1"/>
  <c r="Q10" i="26" a="1"/>
  <c r="Q9" i="41" a="1"/>
  <c r="O3" i="16" a="1"/>
  <c r="Q3" i="14" a="1"/>
  <c r="O8" i="16" a="1"/>
  <c r="P8" i="15" a="1"/>
  <c r="P4" i="19" a="1"/>
  <c r="P8" i="32" a="1"/>
  <c r="P5" i="20" a="1"/>
  <c r="O11" i="33" a="1"/>
  <c r="O8" i="15" a="1"/>
  <c r="Q7" i="37" a="1"/>
  <c r="O4" i="32" a="1"/>
  <c r="Q7" i="36" a="1"/>
  <c r="P10" i="34" a="1"/>
  <c r="Q9" i="11" a="1"/>
  <c r="Q6" i="38" a="1"/>
  <c r="Q2" i="30" a="1"/>
  <c r="O10" i="16" a="1"/>
  <c r="O9" i="35" a="1"/>
  <c r="O5" i="23" a="1"/>
  <c r="O4" i="22" a="1"/>
  <c r="O2" i="39" a="1"/>
  <c r="O5" i="31" a="1"/>
  <c r="O10" i="32" a="1"/>
  <c r="P5" i="43" a="1"/>
  <c r="O8" i="37" a="1"/>
  <c r="O10" i="27" a="1"/>
  <c r="Q3" i="30" a="1"/>
  <c r="Q3" i="38" a="1"/>
  <c r="O4" i="37" a="1"/>
  <c r="Q2" i="14" a="1"/>
  <c r="P10" i="19" a="1"/>
  <c r="O10" i="24" a="1"/>
  <c r="O3" i="42" a="1"/>
  <c r="O8" i="22" a="1"/>
  <c r="O4" i="11" a="1"/>
  <c r="Q7" i="43" a="1"/>
  <c r="P5" i="11" a="1"/>
  <c r="P8" i="36" a="1"/>
  <c r="Q6" i="17" a="1"/>
  <c r="P8" i="27" a="1"/>
  <c r="O8" i="33" a="1"/>
  <c r="P9" i="17" a="1"/>
  <c r="Q6" i="24" a="1"/>
  <c r="P9" i="23" a="1"/>
  <c r="O2" i="14" a="1"/>
  <c r="P5" i="33" a="1"/>
  <c r="P3" i="39" a="1"/>
  <c r="Q7" i="32" a="1"/>
  <c r="P3" i="27" a="1"/>
  <c r="O4" i="27" a="1"/>
  <c r="P9" i="32" a="1"/>
  <c r="P4" i="20" a="1"/>
  <c r="O11" i="21" a="1"/>
  <c r="O9" i="14" a="1"/>
  <c r="P8" i="18" a="1"/>
  <c r="Q9" i="27" a="1"/>
  <c r="O3" i="14" a="1"/>
  <c r="P5" i="24" a="1"/>
  <c r="P9" i="22" a="1"/>
  <c r="P11" i="39" a="1"/>
  <c r="Q10" i="27" a="1"/>
  <c r="P4" i="24" a="1"/>
  <c r="P3" i="33" a="1"/>
  <c r="Q2" i="26" a="1"/>
  <c r="P8" i="26" a="1"/>
  <c r="P9" i="26" a="1"/>
  <c r="O10" i="29" a="1"/>
  <c r="Q9" i="38" a="1"/>
  <c r="Q3" i="15" a="1"/>
  <c r="P10" i="36" a="1"/>
  <c r="O2" i="38" a="1"/>
  <c r="O2" i="37" a="1"/>
  <c r="Q6" i="19" a="1"/>
  <c r="O3" i="32" a="1"/>
  <c r="O10" i="43" a="1"/>
  <c r="Q4" i="11" a="1"/>
  <c r="P10" i="18" a="1"/>
  <c r="O11" i="11" a="1"/>
  <c r="P9" i="27" a="1"/>
  <c r="P10" i="42" a="1"/>
  <c r="P4" i="43" a="1"/>
  <c r="Q9" i="42" a="1"/>
  <c r="P4" i="28" a="1"/>
  <c r="O2" i="41" a="1"/>
  <c r="O3" i="40" a="1"/>
  <c r="O5" i="14" a="1"/>
  <c r="P3" i="37" a="1"/>
  <c r="Q9" i="26" a="1"/>
  <c r="P9" i="21" a="1"/>
  <c r="Q10" i="41" a="1"/>
  <c r="P11" i="28" a="1"/>
  <c r="Q3" i="17" a="1"/>
  <c r="P9" i="19" a="1"/>
  <c r="O5" i="26" a="1"/>
  <c r="O11" i="14" a="1"/>
  <c r="O11" i="42" a="1"/>
  <c r="Q9" i="37" a="1"/>
  <c r="P8" i="42" a="1"/>
  <c r="Q2" i="22" a="1"/>
  <c r="P5" i="42" a="1"/>
  <c r="P3" i="41" a="1"/>
  <c r="O2" i="16" a="1"/>
  <c r="O10" i="38" a="1"/>
  <c r="P3" i="18" a="1"/>
  <c r="O11" i="18" a="1"/>
  <c r="O2" i="21" a="1"/>
  <c r="P5" i="15" a="1"/>
  <c r="P3" i="28" a="1"/>
  <c r="Q3" i="41" a="1"/>
  <c r="P10" i="21" a="1"/>
  <c r="O3" i="15" a="1"/>
  <c r="Q7" i="20" a="1"/>
  <c r="Q9" i="32" a="1"/>
  <c r="Q2" i="24" a="1"/>
  <c r="P9" i="40" a="1"/>
  <c r="O3" i="21" a="1"/>
  <c r="O8" i="20" a="1"/>
  <c r="P5" i="19" a="1"/>
  <c r="Q3" i="11" a="1"/>
  <c r="Q6" i="28" a="1"/>
  <c r="P9" i="41" a="1"/>
  <c r="Q2" i="36" l="1"/>
  <c r="O9" i="43"/>
  <c r="Q10" i="14"/>
  <c r="O5" i="20"/>
  <c r="O9" i="33"/>
  <c r="O8" i="23"/>
  <c r="Q2" i="21"/>
  <c r="O4" i="28"/>
  <c r="P3" i="34"/>
  <c r="P8" i="29"/>
  <c r="Q4" i="27"/>
  <c r="O10" i="15"/>
  <c r="O4" i="24"/>
  <c r="O8" i="16"/>
  <c r="P9" i="30"/>
  <c r="P4" i="35"/>
  <c r="Q4" i="22"/>
  <c r="O3" i="27"/>
  <c r="O9" i="36"/>
  <c r="P10" i="16"/>
  <c r="P11" i="11"/>
  <c r="P8" i="32"/>
  <c r="P10" i="37"/>
  <c r="Q3" i="14"/>
  <c r="P8" i="40"/>
  <c r="P3" i="24"/>
  <c r="P3" i="38"/>
  <c r="O11" i="32"/>
  <c r="Q7" i="41"/>
  <c r="O9" i="11"/>
  <c r="Q2" i="31"/>
  <c r="O8" i="38"/>
  <c r="P4" i="19"/>
  <c r="O3" i="16"/>
  <c r="Q2" i="40"/>
  <c r="Q4" i="41"/>
  <c r="P4" i="31"/>
  <c r="O8" i="17"/>
  <c r="O11" i="41"/>
  <c r="O3" i="43"/>
  <c r="Q3" i="16"/>
  <c r="Q9" i="16"/>
  <c r="Q4" i="35"/>
  <c r="D2" i="35" s="1"/>
  <c r="D17" i="35" s="1"/>
  <c r="D12" i="35" s="1"/>
  <c r="D18" i="35" s="1"/>
  <c r="Q9" i="41"/>
  <c r="O4" i="29"/>
  <c r="O3" i="20"/>
  <c r="O3" i="35"/>
  <c r="O8" i="19"/>
  <c r="O2" i="29"/>
  <c r="Q6" i="29"/>
  <c r="O10" i="29"/>
  <c r="P9" i="22"/>
  <c r="O4" i="35"/>
  <c r="Q10" i="26"/>
  <c r="O10" i="28"/>
  <c r="P4" i="34"/>
  <c r="P4" i="16"/>
  <c r="Q9" i="22"/>
  <c r="O4" i="16"/>
  <c r="O3" i="26"/>
  <c r="P9" i="26"/>
  <c r="P5" i="24"/>
  <c r="O3" i="14"/>
  <c r="P10" i="35"/>
  <c r="Q10" i="30"/>
  <c r="O10" i="14"/>
  <c r="Q10" i="32"/>
  <c r="O3" i="22"/>
  <c r="Q7" i="21"/>
  <c r="P5" i="32"/>
  <c r="P8" i="26"/>
  <c r="Q4" i="16"/>
  <c r="Q9" i="27"/>
  <c r="Q4" i="23"/>
  <c r="P8" i="38"/>
  <c r="Q3" i="23"/>
  <c r="P10" i="31"/>
  <c r="Q3" i="33"/>
  <c r="P5" i="16"/>
  <c r="Q7" i="29"/>
  <c r="Q2" i="26"/>
  <c r="Q4" i="18"/>
  <c r="P9" i="33"/>
  <c r="O8" i="35"/>
  <c r="Q4" i="31"/>
  <c r="P3" i="21"/>
  <c r="O2" i="28"/>
  <c r="O10" i="23"/>
  <c r="O8" i="36"/>
  <c r="Q10" i="23"/>
  <c r="O11" i="39"/>
  <c r="Q2" i="11"/>
  <c r="O2" i="33"/>
  <c r="Q10" i="43"/>
  <c r="O10" i="17"/>
  <c r="Q2" i="43"/>
  <c r="Q4" i="14"/>
  <c r="Q6" i="37"/>
  <c r="O8" i="14"/>
  <c r="P3" i="31"/>
  <c r="O8" i="29"/>
  <c r="P9" i="41"/>
  <c r="P8" i="18"/>
  <c r="O5" i="42"/>
  <c r="O11" i="36"/>
  <c r="P5" i="21"/>
  <c r="Q7" i="23"/>
  <c r="P9" i="37"/>
  <c r="P4" i="27"/>
  <c r="P9" i="18"/>
  <c r="O4" i="32"/>
  <c r="Q9" i="28"/>
  <c r="O9" i="14"/>
  <c r="Q6" i="33"/>
  <c r="O10" i="22"/>
  <c r="P10" i="33"/>
  <c r="O10" i="42"/>
  <c r="Q2" i="15"/>
  <c r="O11" i="27"/>
  <c r="O10" i="39"/>
  <c r="O8" i="18"/>
  <c r="Q6" i="28"/>
  <c r="Q9" i="15"/>
  <c r="O9" i="29"/>
  <c r="O10" i="33"/>
  <c r="O4" i="36"/>
  <c r="Q9" i="20"/>
  <c r="O2" i="24"/>
  <c r="O4" i="18"/>
  <c r="P3" i="16"/>
  <c r="P11" i="24"/>
  <c r="Q9" i="24"/>
  <c r="Q7" i="33"/>
  <c r="P11" i="15"/>
  <c r="Q10" i="37"/>
  <c r="Q7" i="38"/>
  <c r="P8" i="28"/>
  <c r="P4" i="18"/>
  <c r="Q4" i="32"/>
  <c r="Q7" i="14"/>
  <c r="Q7" i="37"/>
  <c r="Q3" i="11"/>
  <c r="P8" i="15"/>
  <c r="Q9" i="33"/>
  <c r="Q2" i="18"/>
  <c r="O3" i="41"/>
  <c r="P5" i="40"/>
  <c r="P9" i="43"/>
  <c r="Q7" i="30"/>
  <c r="Q2" i="32"/>
  <c r="O8" i="15"/>
  <c r="P5" i="19"/>
  <c r="Q10" i="15"/>
  <c r="P11" i="33"/>
  <c r="P5" i="18"/>
  <c r="O3" i="19"/>
  <c r="P9" i="11"/>
  <c r="O8" i="31"/>
  <c r="Q7" i="34"/>
  <c r="Q10" i="28"/>
  <c r="O9" i="15"/>
  <c r="O8" i="20"/>
  <c r="P10" i="17"/>
  <c r="Q7" i="42"/>
  <c r="P3" i="29"/>
  <c r="P11" i="19"/>
  <c r="Q9" i="31"/>
  <c r="O9" i="27"/>
  <c r="O8" i="28"/>
  <c r="O10" i="40"/>
  <c r="O11" i="33"/>
  <c r="O3" i="21"/>
  <c r="Q7" i="40"/>
  <c r="O10" i="36"/>
  <c r="P4" i="30"/>
  <c r="O5" i="40"/>
  <c r="P10" i="27"/>
  <c r="O3" i="38"/>
  <c r="O9" i="34"/>
  <c r="Q3" i="24"/>
  <c r="C2" i="24" s="1"/>
  <c r="P3" i="33"/>
  <c r="P9" i="40"/>
  <c r="O9" i="40"/>
  <c r="P8" i="35"/>
  <c r="O4" i="30"/>
  <c r="Q10" i="29"/>
  <c r="P5" i="29"/>
  <c r="Q7" i="31"/>
  <c r="Q4" i="38"/>
  <c r="P8" i="17"/>
  <c r="P4" i="24"/>
  <c r="Q2" i="24"/>
  <c r="O9" i="41"/>
  <c r="Q3" i="20"/>
  <c r="P3" i="32"/>
  <c r="Q6" i="39"/>
  <c r="P3" i="17"/>
  <c r="O8" i="24"/>
  <c r="Q3" i="26"/>
  <c r="P11" i="21"/>
  <c r="O2" i="23"/>
  <c r="Q9" i="32"/>
  <c r="O5" i="18"/>
  <c r="Q9" i="14"/>
  <c r="O9" i="20"/>
  <c r="O9" i="28"/>
  <c r="O11" i="24"/>
  <c r="P4" i="15"/>
  <c r="O11" i="30"/>
  <c r="O4" i="19"/>
  <c r="O10" i="37"/>
  <c r="Q7" i="20"/>
  <c r="O8" i="30"/>
  <c r="O8" i="40"/>
  <c r="Q9" i="18"/>
  <c r="O11" i="29"/>
  <c r="O9" i="30"/>
  <c r="O5" i="38"/>
  <c r="P11" i="34"/>
  <c r="O3" i="39"/>
  <c r="Q10" i="27"/>
  <c r="O3" i="15"/>
  <c r="O11" i="21"/>
  <c r="Q6" i="26"/>
  <c r="P5" i="34"/>
  <c r="P8" i="21"/>
  <c r="O10" i="30"/>
  <c r="Q10" i="42"/>
  <c r="O10" i="35"/>
  <c r="O4" i="20"/>
  <c r="P11" i="39"/>
  <c r="P10" i="21"/>
  <c r="P4" i="20"/>
  <c r="P3" i="26"/>
  <c r="O5" i="30"/>
  <c r="P11" i="41"/>
  <c r="O2" i="30"/>
  <c r="P9" i="29"/>
  <c r="O5" i="35"/>
  <c r="O9" i="23"/>
  <c r="P5" i="36"/>
  <c r="Q3" i="41"/>
  <c r="P5" i="14"/>
  <c r="O4" i="40"/>
  <c r="Q7" i="35"/>
  <c r="Q4" i="21"/>
  <c r="P9" i="38"/>
  <c r="Q10" i="38"/>
  <c r="O9" i="38"/>
  <c r="Q6" i="23"/>
  <c r="O5" i="37"/>
  <c r="P3" i="28"/>
  <c r="P10" i="14"/>
  <c r="P3" i="22"/>
  <c r="Q4" i="28"/>
  <c r="P9" i="39"/>
  <c r="O5" i="34"/>
  <c r="Q3" i="21"/>
  <c r="O4" i="14"/>
  <c r="P10" i="23"/>
  <c r="P5" i="26"/>
  <c r="P5" i="15"/>
  <c r="P9" i="32"/>
  <c r="O3" i="33"/>
  <c r="P5" i="35"/>
  <c r="Q7" i="27"/>
  <c r="P11" i="22"/>
  <c r="Q2" i="39"/>
  <c r="Q2" i="28"/>
  <c r="P11" i="35"/>
  <c r="P5" i="20"/>
  <c r="O2" i="21"/>
  <c r="O4" i="27"/>
  <c r="O2" i="11"/>
  <c r="P9" i="16"/>
  <c r="Q3" i="35"/>
  <c r="O9" i="26"/>
  <c r="Q9" i="39"/>
  <c r="Q2" i="29"/>
  <c r="Q10" i="21"/>
  <c r="P11" i="38"/>
  <c r="O11" i="18"/>
  <c r="P3" i="27"/>
  <c r="O11" i="23"/>
  <c r="Q7" i="22"/>
  <c r="O5" i="36"/>
  <c r="Q6" i="31"/>
  <c r="Q2" i="27"/>
  <c r="O3" i="18"/>
  <c r="P8" i="23"/>
  <c r="O5" i="15"/>
  <c r="P3" i="18"/>
  <c r="Q7" i="32"/>
  <c r="P11" i="16"/>
  <c r="O9" i="37"/>
  <c r="O2" i="32"/>
  <c r="P10" i="32"/>
  <c r="Q4" i="40"/>
  <c r="Q4" i="34"/>
  <c r="D2" i="34" s="1"/>
  <c r="D17" i="34" s="1"/>
  <c r="D12" i="34" s="1"/>
  <c r="D18" i="34" s="1"/>
  <c r="O11" i="34"/>
  <c r="Q6" i="32"/>
  <c r="O10" i="38"/>
  <c r="P3" i="39"/>
  <c r="P5" i="27"/>
  <c r="O11" i="19"/>
  <c r="P5" i="39"/>
  <c r="Q10" i="20"/>
  <c r="P11" i="20"/>
  <c r="P10" i="26"/>
  <c r="P9" i="34"/>
  <c r="O5" i="24"/>
  <c r="O2" i="16"/>
  <c r="P5" i="33"/>
  <c r="Q4" i="19"/>
  <c r="Q7" i="11"/>
  <c r="O9" i="22"/>
  <c r="O4" i="43"/>
  <c r="O8" i="21"/>
  <c r="O2" i="19"/>
  <c r="O5" i="32"/>
  <c r="Q9" i="21"/>
  <c r="P3" i="41"/>
  <c r="O2" i="14"/>
  <c r="O5" i="22"/>
  <c r="Q9" i="36"/>
  <c r="P9" i="28"/>
  <c r="Q4" i="26"/>
  <c r="Q10" i="24"/>
  <c r="O11" i="43"/>
  <c r="O11" i="37"/>
  <c r="O11" i="28"/>
  <c r="P5" i="42"/>
  <c r="P9" i="23"/>
  <c r="P4" i="23"/>
  <c r="Q7" i="39"/>
  <c r="H7" i="39" s="1"/>
  <c r="L7" i="39" s="1"/>
  <c r="N7" i="39" s="1"/>
  <c r="R7" i="39" s="1"/>
  <c r="Q4" i="43"/>
  <c r="O8" i="39"/>
  <c r="Q6" i="22"/>
  <c r="P4" i="26"/>
  <c r="Q10" i="22"/>
  <c r="O9" i="17"/>
  <c r="Q2" i="22"/>
  <c r="Q6" i="24"/>
  <c r="Q10" i="17"/>
  <c r="O9" i="18"/>
  <c r="Q4" i="36"/>
  <c r="P5" i="28"/>
  <c r="O4" i="15"/>
  <c r="Q6" i="35"/>
  <c r="Q3" i="19"/>
  <c r="C2" i="19" s="1"/>
  <c r="O11" i="22"/>
  <c r="P8" i="42"/>
  <c r="P9" i="17"/>
  <c r="P8" i="22"/>
  <c r="Q3" i="39"/>
  <c r="O2" i="40"/>
  <c r="O9" i="31"/>
  <c r="P4" i="32"/>
  <c r="O4" i="42"/>
  <c r="Q3" i="31"/>
  <c r="O2" i="35"/>
  <c r="Q9" i="37"/>
  <c r="O8" i="33"/>
  <c r="O2" i="18"/>
  <c r="O2" i="20"/>
  <c r="Q6" i="15"/>
  <c r="O3" i="30"/>
  <c r="P9" i="14"/>
  <c r="Q2" i="35"/>
  <c r="B16" i="35" s="1"/>
  <c r="B17" i="35" s="1"/>
  <c r="B12" i="35" s="1"/>
  <c r="B18" i="35" s="1"/>
  <c r="P4" i="21"/>
  <c r="O9" i="39"/>
  <c r="O11" i="42"/>
  <c r="P8" i="27"/>
  <c r="P4" i="33"/>
  <c r="O9" i="32"/>
  <c r="P5" i="23"/>
  <c r="Q2" i="37"/>
  <c r="P3" i="40"/>
  <c r="O10" i="18"/>
  <c r="Q3" i="40"/>
  <c r="O3" i="28"/>
  <c r="O11" i="14"/>
  <c r="Q6" i="17"/>
  <c r="P11" i="43"/>
  <c r="O2" i="43"/>
  <c r="O8" i="26"/>
  <c r="O8" i="27"/>
  <c r="O8" i="43"/>
  <c r="Q4" i="33"/>
  <c r="Q7" i="15"/>
  <c r="H7" i="15" s="1"/>
  <c r="L7" i="15" s="1"/>
  <c r="N7" i="15" s="1"/>
  <c r="R7" i="15" s="1"/>
  <c r="P4" i="11"/>
  <c r="O5" i="26"/>
  <c r="P8" i="36"/>
  <c r="Q10" i="18"/>
  <c r="O9" i="21"/>
  <c r="P9" i="24"/>
  <c r="Q2" i="19"/>
  <c r="O8" i="42"/>
  <c r="Q9" i="35"/>
  <c r="Q3" i="36"/>
  <c r="Q4" i="30"/>
  <c r="P9" i="19"/>
  <c r="P5" i="11"/>
  <c r="P4" i="40"/>
  <c r="O5" i="33"/>
  <c r="P8" i="20"/>
  <c r="Q4" i="24"/>
  <c r="P11" i="17"/>
  <c r="Q10" i="19"/>
  <c r="O4" i="34"/>
  <c r="P11" i="42"/>
  <c r="Q3" i="17"/>
  <c r="Q7" i="43"/>
  <c r="Q9" i="34"/>
  <c r="O4" i="17"/>
  <c r="P9" i="31"/>
  <c r="Q7" i="18"/>
  <c r="P8" i="16"/>
  <c r="O5" i="21"/>
  <c r="Q3" i="34"/>
  <c r="Q10" i="36"/>
  <c r="P11" i="28"/>
  <c r="O4" i="11"/>
  <c r="Q3" i="27"/>
  <c r="P10" i="38"/>
  <c r="O4" i="23"/>
  <c r="O10" i="26"/>
  <c r="O5" i="16"/>
  <c r="O4" i="31"/>
  <c r="Q10" i="16"/>
  <c r="Q3" i="43"/>
  <c r="Q10" i="41"/>
  <c r="O8" i="22"/>
  <c r="O5" i="41"/>
  <c r="O8" i="41"/>
  <c r="P11" i="26"/>
  <c r="P8" i="41"/>
  <c r="Q6" i="27"/>
  <c r="O3" i="24"/>
  <c r="P8" i="11"/>
  <c r="P3" i="23"/>
  <c r="P9" i="21"/>
  <c r="O3" i="42"/>
  <c r="Q6" i="18"/>
  <c r="P5" i="38"/>
  <c r="P9" i="42"/>
  <c r="Q3" i="22"/>
  <c r="O11" i="31"/>
  <c r="P4" i="17"/>
  <c r="P8" i="31"/>
  <c r="O5" i="27"/>
  <c r="Q9" i="26"/>
  <c r="O10" i="24"/>
  <c r="Q7" i="26"/>
  <c r="Q3" i="18"/>
  <c r="P10" i="43"/>
  <c r="O11" i="16"/>
  <c r="P3" i="30"/>
  <c r="Q2" i="20"/>
  <c r="O4" i="39"/>
  <c r="P3" i="19"/>
  <c r="P3" i="37"/>
  <c r="P10" i="19"/>
  <c r="Q4" i="17"/>
  <c r="Q6" i="11"/>
  <c r="O10" i="21"/>
  <c r="P4" i="14"/>
  <c r="Q10" i="40"/>
  <c r="O11" i="35"/>
  <c r="Q10" i="31"/>
  <c r="Q2" i="41"/>
  <c r="O5" i="14"/>
  <c r="Q2" i="14"/>
  <c r="B16" i="14" s="1"/>
  <c r="O11" i="40"/>
  <c r="P10" i="15"/>
  <c r="P10" i="39"/>
  <c r="O4" i="38"/>
  <c r="Q3" i="28"/>
  <c r="Q3" i="37"/>
  <c r="Q2" i="33"/>
  <c r="O9" i="24"/>
  <c r="O3" i="40"/>
  <c r="O4" i="37"/>
  <c r="O5" i="19"/>
  <c r="O10" i="41"/>
  <c r="O2" i="26"/>
  <c r="P11" i="29"/>
  <c r="P10" i="11"/>
  <c r="P5" i="30"/>
  <c r="O5" i="17"/>
  <c r="Q6" i="40"/>
  <c r="O2" i="41"/>
  <c r="Q3" i="38"/>
  <c r="Q6" i="42"/>
  <c r="P5" i="31"/>
  <c r="O2" i="42"/>
  <c r="Q4" i="20"/>
  <c r="Q10" i="11"/>
  <c r="Q6" i="14"/>
  <c r="P3" i="35"/>
  <c r="Q6" i="34"/>
  <c r="P4" i="28"/>
  <c r="Q3" i="30"/>
  <c r="P4" i="29"/>
  <c r="P3" i="42"/>
  <c r="Q4" i="15"/>
  <c r="Q2" i="23"/>
  <c r="B16" i="23" s="1"/>
  <c r="O3" i="29"/>
  <c r="O10" i="20"/>
  <c r="O11" i="38"/>
  <c r="O5" i="11"/>
  <c r="Q9" i="42"/>
  <c r="O10" i="27"/>
  <c r="P4" i="38"/>
  <c r="O2" i="22"/>
  <c r="Q6" i="16"/>
  <c r="P3" i="20"/>
  <c r="Q7" i="17"/>
  <c r="P3" i="36"/>
  <c r="O5" i="39"/>
  <c r="P10" i="30"/>
  <c r="P4" i="43"/>
  <c r="O8" i="37"/>
  <c r="P10" i="22"/>
  <c r="O3" i="23"/>
  <c r="Q2" i="38"/>
  <c r="P8" i="24"/>
  <c r="P9" i="20"/>
  <c r="O3" i="11"/>
  <c r="P9" i="36"/>
  <c r="P8" i="43"/>
  <c r="P10" i="42"/>
  <c r="P5" i="43"/>
  <c r="O4" i="33"/>
  <c r="P11" i="18"/>
  <c r="P11" i="37"/>
  <c r="P4" i="41"/>
  <c r="P8" i="39"/>
  <c r="Q2" i="16"/>
  <c r="Q6" i="21"/>
  <c r="P10" i="29"/>
  <c r="P9" i="27"/>
  <c r="O10" i="32"/>
  <c r="P3" i="11"/>
  <c r="Q3" i="29"/>
  <c r="Q7" i="16"/>
  <c r="Q4" i="37"/>
  <c r="Q9" i="40"/>
  <c r="Q3" i="32"/>
  <c r="O10" i="19"/>
  <c r="P10" i="41"/>
  <c r="O11" i="11"/>
  <c r="O5" i="31"/>
  <c r="Q6" i="36"/>
  <c r="P8" i="37"/>
  <c r="O10" i="31"/>
  <c r="O9" i="16"/>
  <c r="O3" i="34"/>
  <c r="P10" i="20"/>
  <c r="Q9" i="17"/>
  <c r="Q2" i="42"/>
  <c r="P10" i="18"/>
  <c r="O2" i="39"/>
  <c r="Q6" i="30"/>
  <c r="P11" i="14"/>
  <c r="O8" i="11"/>
  <c r="O4" i="41"/>
  <c r="Q10" i="34"/>
  <c r="O9" i="19"/>
  <c r="O9" i="42"/>
  <c r="Q6" i="41"/>
  <c r="Q4" i="11"/>
  <c r="O4" i="22"/>
  <c r="O2" i="36"/>
  <c r="P10" i="24"/>
  <c r="Q4" i="29"/>
  <c r="O2" i="31"/>
  <c r="O4" i="21"/>
  <c r="O11" i="20"/>
  <c r="P4" i="36"/>
  <c r="P5" i="37"/>
  <c r="O10" i="43"/>
  <c r="O5" i="23"/>
  <c r="Q9" i="19"/>
  <c r="P8" i="14"/>
  <c r="P11" i="32"/>
  <c r="P3" i="15"/>
  <c r="O4" i="26"/>
  <c r="Q9" i="43"/>
  <c r="P8" i="33"/>
  <c r="O10" i="34"/>
  <c r="O3" i="32"/>
  <c r="O9" i="35"/>
  <c r="P8" i="19"/>
  <c r="O10" i="11"/>
  <c r="Q4" i="39"/>
  <c r="D2" i="39" s="1"/>
  <c r="D17" i="39" s="1"/>
  <c r="D12" i="39" s="1"/>
  <c r="D18" i="39" s="1"/>
  <c r="O8" i="32"/>
  <c r="P4" i="37"/>
  <c r="Q9" i="23"/>
  <c r="Q3" i="42"/>
  <c r="O11" i="15"/>
  <c r="Q6" i="19"/>
  <c r="O10" i="16"/>
  <c r="O3" i="17"/>
  <c r="Q7" i="28"/>
  <c r="P11" i="27"/>
  <c r="Q2" i="34"/>
  <c r="Q9" i="30"/>
  <c r="Q4" i="42"/>
  <c r="P3" i="14"/>
  <c r="Q7" i="24"/>
  <c r="O2" i="37"/>
  <c r="Q2" i="30"/>
  <c r="Q9" i="29"/>
  <c r="P11" i="23"/>
  <c r="O5" i="43"/>
  <c r="Q6" i="43"/>
  <c r="P10" i="28"/>
  <c r="O11" i="26"/>
  <c r="O11" i="17"/>
  <c r="P9" i="35"/>
  <c r="O2" i="38"/>
  <c r="Q6" i="38"/>
  <c r="O5" i="29"/>
  <c r="P4" i="39"/>
  <c r="P4" i="42"/>
  <c r="P5" i="41"/>
  <c r="P11" i="40"/>
  <c r="O3" i="31"/>
  <c r="O5" i="28"/>
  <c r="P5" i="22"/>
  <c r="P10" i="36"/>
  <c r="Q9" i="11"/>
  <c r="P3" i="43"/>
  <c r="P5" i="17"/>
  <c r="O3" i="36"/>
  <c r="P4" i="22"/>
  <c r="P9" i="15"/>
  <c r="O3" i="37"/>
  <c r="O2" i="34"/>
  <c r="P11" i="31"/>
  <c r="Q3" i="15"/>
  <c r="P10" i="34"/>
  <c r="Q7" i="19"/>
  <c r="H7" i="19" s="1"/>
  <c r="L7" i="19" s="1"/>
  <c r="N7" i="19" s="1"/>
  <c r="R7" i="19" s="1"/>
  <c r="O2" i="27"/>
  <c r="P11" i="36"/>
  <c r="Q10" i="39"/>
  <c r="P10" i="40"/>
  <c r="Q10" i="35"/>
  <c r="O8" i="34"/>
  <c r="Q10" i="33"/>
  <c r="Q9" i="38"/>
  <c r="Q7" i="36"/>
  <c r="O2" i="15"/>
  <c r="P8" i="30"/>
  <c r="Q2" i="17"/>
  <c r="P8" i="34"/>
  <c r="P11" i="30"/>
  <c r="O2" i="17"/>
  <c r="Q6" i="20"/>
  <c r="K9" i="35" l="1"/>
  <c r="F3" i="35"/>
  <c r="F17" i="35" s="1"/>
  <c r="F12" i="35" s="1"/>
  <c r="F18" i="35" s="1"/>
  <c r="F5" i="35"/>
  <c r="H6" i="35"/>
  <c r="C2" i="35"/>
  <c r="C17" i="35" s="1"/>
  <c r="C12" i="35" s="1"/>
  <c r="C18" i="35" s="1"/>
  <c r="H7" i="35"/>
  <c r="K10" i="35"/>
  <c r="L10" i="35"/>
  <c r="N10" i="35" s="1"/>
  <c r="R10" i="35" s="1"/>
  <c r="K10" i="39"/>
  <c r="L10" i="39" s="1"/>
  <c r="K10" i="33"/>
  <c r="L10" i="33" s="1"/>
  <c r="F5" i="18"/>
  <c r="F3" i="18" s="1"/>
  <c r="K10" i="31"/>
  <c r="L10" i="31" s="1"/>
  <c r="K10" i="11"/>
  <c r="L10" i="11" s="1"/>
  <c r="N10" i="11" s="1"/>
  <c r="R10" i="11" s="1"/>
  <c r="K10" i="24"/>
  <c r="L10" i="24" s="1"/>
  <c r="N10" i="24" s="1"/>
  <c r="R10" i="24" s="1"/>
  <c r="K10" i="38"/>
  <c r="L10" i="38" s="1"/>
  <c r="N10" i="38" s="1"/>
  <c r="R10" i="38" s="1"/>
  <c r="H7" i="18"/>
  <c r="L7" i="18" s="1"/>
  <c r="N7" i="18" s="1"/>
  <c r="R7" i="18" s="1"/>
  <c r="K10" i="17"/>
  <c r="L10" i="17" s="1"/>
  <c r="N10" i="17" s="1"/>
  <c r="R10" i="17" s="1"/>
  <c r="K10" i="22"/>
  <c r="L10" i="22" s="1"/>
  <c r="N10" i="22" s="1"/>
  <c r="R10" i="22" s="1"/>
  <c r="K10" i="21"/>
  <c r="L10" i="21" s="1"/>
  <c r="N10" i="21" s="1"/>
  <c r="R10" i="21" s="1"/>
  <c r="K10" i="16"/>
  <c r="L10" i="16" s="1"/>
  <c r="N10" i="16" s="1"/>
  <c r="R10" i="16" s="1"/>
  <c r="F5" i="23"/>
  <c r="F3" i="23" s="1"/>
  <c r="Q8" i="23"/>
  <c r="I18" i="23" s="1"/>
  <c r="J18" i="23" s="1"/>
  <c r="J8" i="23" s="1"/>
  <c r="J17" i="23" s="1"/>
  <c r="J13" i="23" s="1"/>
  <c r="H6" i="23"/>
  <c r="C17" i="24"/>
  <c r="C12" i="24" s="1"/>
  <c r="C18" i="24" s="1"/>
  <c r="K10" i="28"/>
  <c r="L10" i="28" s="1"/>
  <c r="N10" i="28" s="1"/>
  <c r="R10" i="28" s="1"/>
  <c r="B16" i="32"/>
  <c r="H7" i="14"/>
  <c r="L7" i="14" s="1"/>
  <c r="N7" i="14" s="1"/>
  <c r="R7" i="14" s="1"/>
  <c r="K10" i="23"/>
  <c r="L10" i="23" s="1"/>
  <c r="H7" i="29"/>
  <c r="L7" i="29" s="1"/>
  <c r="N7" i="29" s="1"/>
  <c r="R7" i="29" s="1"/>
  <c r="Q8" i="29"/>
  <c r="F5" i="29"/>
  <c r="F3" i="29" s="1"/>
  <c r="H6" i="29"/>
  <c r="C17" i="19"/>
  <c r="C12" i="19" s="1"/>
  <c r="C18" i="19" s="1"/>
  <c r="D2" i="42"/>
  <c r="D17" i="42" s="1"/>
  <c r="D12" i="42" s="1"/>
  <c r="D18" i="42" s="1"/>
  <c r="G4" i="42"/>
  <c r="L4" i="42" s="1"/>
  <c r="N4" i="42" s="1"/>
  <c r="R4" i="42" s="1"/>
  <c r="D2" i="33"/>
  <c r="D17" i="33" s="1"/>
  <c r="D12" i="33" s="1"/>
  <c r="D18" i="33" s="1"/>
  <c r="G4" i="33"/>
  <c r="L4" i="33" s="1"/>
  <c r="N4" i="33" s="1"/>
  <c r="R4" i="33" s="1"/>
  <c r="Q8" i="35"/>
  <c r="I18" i="35" s="1"/>
  <c r="B16" i="29"/>
  <c r="B16" i="28"/>
  <c r="C2" i="26"/>
  <c r="D2" i="38"/>
  <c r="D17" i="38" s="1"/>
  <c r="D12" i="38" s="1"/>
  <c r="D18" i="38" s="1"/>
  <c r="G4" i="38"/>
  <c r="L4" i="38" s="1"/>
  <c r="N4" i="38" s="1"/>
  <c r="R4" i="38" s="1"/>
  <c r="H7" i="34"/>
  <c r="L7" i="34" s="1"/>
  <c r="N7" i="34" s="1"/>
  <c r="R7" i="34" s="1"/>
  <c r="H7" i="30"/>
  <c r="L7" i="30" s="1"/>
  <c r="N7" i="30" s="1"/>
  <c r="R7" i="30" s="1"/>
  <c r="G4" i="32"/>
  <c r="L4" i="32" s="1"/>
  <c r="N4" i="32" s="1"/>
  <c r="R4" i="32" s="1"/>
  <c r="D2" i="32"/>
  <c r="D17" i="32" s="1"/>
  <c r="D12" i="32" s="1"/>
  <c r="D18" i="32" s="1"/>
  <c r="H7" i="21"/>
  <c r="L7" i="21" s="1"/>
  <c r="N7" i="21" s="1"/>
  <c r="R7" i="21" s="1"/>
  <c r="H7" i="41"/>
  <c r="L7" i="41" s="1"/>
  <c r="N7" i="41" s="1"/>
  <c r="R7" i="41" s="1"/>
  <c r="Q8" i="20"/>
  <c r="I18" i="20" s="1"/>
  <c r="F5" i="20"/>
  <c r="H6" i="20"/>
  <c r="C2" i="42"/>
  <c r="K9" i="17"/>
  <c r="F5" i="21"/>
  <c r="F3" i="21" s="1"/>
  <c r="G3" i="21" s="1"/>
  <c r="Q8" i="21"/>
  <c r="I18" i="21" s="1"/>
  <c r="J18" i="21" s="1"/>
  <c r="J8" i="21" s="1"/>
  <c r="J17" i="21" s="1"/>
  <c r="J13" i="21" s="1"/>
  <c r="H6" i="21"/>
  <c r="B16" i="33"/>
  <c r="K9" i="23"/>
  <c r="K9" i="43"/>
  <c r="I8" i="43"/>
  <c r="C2" i="32"/>
  <c r="B16" i="16"/>
  <c r="B16" i="20"/>
  <c r="K10" i="19"/>
  <c r="L10" i="19" s="1"/>
  <c r="N10" i="19" s="1"/>
  <c r="R10" i="19" s="1"/>
  <c r="K9" i="30"/>
  <c r="K10" i="34"/>
  <c r="L10" i="34" s="1"/>
  <c r="K9" i="40"/>
  <c r="H7" i="17"/>
  <c r="L7" i="17" s="1"/>
  <c r="N7" i="17" s="1"/>
  <c r="R7" i="17" s="1"/>
  <c r="C2" i="28"/>
  <c r="K10" i="40"/>
  <c r="L10" i="40" s="1"/>
  <c r="F5" i="27"/>
  <c r="F3" i="27" s="1"/>
  <c r="Q8" i="27"/>
  <c r="H6" i="27"/>
  <c r="F5" i="22"/>
  <c r="F3" i="22" s="1"/>
  <c r="Q8" i="22"/>
  <c r="I18" i="22" s="1"/>
  <c r="J18" i="22" s="1"/>
  <c r="J8" i="22" s="1"/>
  <c r="J17" i="22" s="1"/>
  <c r="J13" i="22" s="1"/>
  <c r="H6" i="22"/>
  <c r="G4" i="40"/>
  <c r="L4" i="40" s="1"/>
  <c r="N4" i="40" s="1"/>
  <c r="R4" i="40" s="1"/>
  <c r="D2" i="40"/>
  <c r="D17" i="40" s="1"/>
  <c r="D12" i="40" s="1"/>
  <c r="D18" i="40" s="1"/>
  <c r="B16" i="27"/>
  <c r="K9" i="39"/>
  <c r="B16" i="39"/>
  <c r="C2" i="21"/>
  <c r="K10" i="42"/>
  <c r="L10" i="42" s="1"/>
  <c r="H7" i="31"/>
  <c r="L7" i="31" s="1"/>
  <c r="N7" i="31" s="1"/>
  <c r="R7" i="31" s="1"/>
  <c r="B16" i="15"/>
  <c r="F5" i="37"/>
  <c r="F3" i="37" s="1"/>
  <c r="Q8" i="37"/>
  <c r="H6" i="37"/>
  <c r="C2" i="33"/>
  <c r="K9" i="22"/>
  <c r="N10" i="33"/>
  <c r="R10" i="33" s="1"/>
  <c r="G4" i="37"/>
  <c r="L4" i="37" s="1"/>
  <c r="N4" i="37" s="1"/>
  <c r="R4" i="37" s="1"/>
  <c r="D2" i="37"/>
  <c r="D17" i="37" s="1"/>
  <c r="D12" i="37" s="1"/>
  <c r="D18" i="37" s="1"/>
  <c r="B17" i="23"/>
  <c r="L16" i="23"/>
  <c r="D2" i="20"/>
  <c r="C2" i="22"/>
  <c r="G4" i="24"/>
  <c r="L4" i="24" s="1"/>
  <c r="N4" i="24" s="1"/>
  <c r="R4" i="24" s="1"/>
  <c r="D2" i="24"/>
  <c r="D17" i="24" s="1"/>
  <c r="D12" i="24" s="1"/>
  <c r="D18" i="24" s="1"/>
  <c r="B16" i="19"/>
  <c r="B16" i="37"/>
  <c r="G4" i="26"/>
  <c r="L4" i="26" s="1"/>
  <c r="N4" i="26" s="1"/>
  <c r="R4" i="26" s="1"/>
  <c r="D2" i="26"/>
  <c r="D17" i="26" s="1"/>
  <c r="D12" i="26" s="1"/>
  <c r="D18" i="26" s="1"/>
  <c r="K10" i="20"/>
  <c r="L10" i="20" s="1"/>
  <c r="N10" i="20" s="1"/>
  <c r="R10" i="20" s="1"/>
  <c r="F5" i="31"/>
  <c r="F3" i="31" s="1"/>
  <c r="Q8" i="31"/>
  <c r="I18" i="31" s="1"/>
  <c r="H6" i="31"/>
  <c r="K9" i="31"/>
  <c r="K9" i="20"/>
  <c r="H7" i="23"/>
  <c r="L7" i="23" s="1"/>
  <c r="N7" i="23" s="1"/>
  <c r="R7" i="23" s="1"/>
  <c r="G4" i="14"/>
  <c r="L4" i="14" s="1"/>
  <c r="N4" i="14" s="1"/>
  <c r="R4" i="14" s="1"/>
  <c r="D2" i="14"/>
  <c r="D17" i="14" s="1"/>
  <c r="D12" i="14" s="1"/>
  <c r="D18" i="14" s="1"/>
  <c r="K10" i="32"/>
  <c r="L10" i="32" s="1"/>
  <c r="N10" i="32" s="1"/>
  <c r="R10" i="32" s="1"/>
  <c r="D2" i="22"/>
  <c r="D17" i="22" s="1"/>
  <c r="D12" i="22" s="1"/>
  <c r="D18" i="22" s="1"/>
  <c r="G4" i="22"/>
  <c r="L4" i="22" s="1"/>
  <c r="N4" i="22" s="1"/>
  <c r="R4" i="22" s="1"/>
  <c r="B16" i="21"/>
  <c r="C2" i="36"/>
  <c r="F5" i="14"/>
  <c r="F3" i="14" s="1"/>
  <c r="G3" i="14" s="1"/>
  <c r="Q8" i="14"/>
  <c r="I18" i="14" s="1"/>
  <c r="J18" i="14" s="1"/>
  <c r="H6" i="14"/>
  <c r="C2" i="37"/>
  <c r="B16" i="38"/>
  <c r="F5" i="16"/>
  <c r="F3" i="16" s="1"/>
  <c r="G3" i="16" s="1"/>
  <c r="Q8" i="16"/>
  <c r="I18" i="16" s="1"/>
  <c r="H6" i="16"/>
  <c r="G4" i="15"/>
  <c r="D2" i="15"/>
  <c r="D17" i="15" s="1"/>
  <c r="D12" i="15" s="1"/>
  <c r="D18" i="15" s="1"/>
  <c r="Q8" i="15"/>
  <c r="H6" i="15"/>
  <c r="F5" i="15"/>
  <c r="F3" i="15" s="1"/>
  <c r="G3" i="15" s="1"/>
  <c r="G4" i="36"/>
  <c r="L4" i="36" s="1"/>
  <c r="N4" i="36" s="1"/>
  <c r="R4" i="36" s="1"/>
  <c r="D2" i="36"/>
  <c r="D17" i="36" s="1"/>
  <c r="D12" i="36" s="1"/>
  <c r="D18" i="36" s="1"/>
  <c r="D2" i="43"/>
  <c r="D17" i="43" s="1"/>
  <c r="D12" i="43" s="1"/>
  <c r="D18" i="43" s="1"/>
  <c r="G4" i="43"/>
  <c r="L4" i="43" s="1"/>
  <c r="N4" i="43" s="1"/>
  <c r="R4" i="43" s="1"/>
  <c r="H7" i="27"/>
  <c r="L7" i="27" s="1"/>
  <c r="N7" i="27" s="1"/>
  <c r="R7" i="27" s="1"/>
  <c r="G4" i="21"/>
  <c r="L4" i="21" s="1"/>
  <c r="N4" i="21" s="1"/>
  <c r="R4" i="21" s="1"/>
  <c r="D2" i="21"/>
  <c r="D17" i="21" s="1"/>
  <c r="D12" i="21" s="1"/>
  <c r="D18" i="21" s="1"/>
  <c r="F5" i="39"/>
  <c r="F3" i="39" s="1"/>
  <c r="Q8" i="39"/>
  <c r="I18" i="39" s="1"/>
  <c r="H6" i="39"/>
  <c r="K10" i="29"/>
  <c r="L10" i="29" s="1"/>
  <c r="H7" i="38"/>
  <c r="L7" i="38" s="1"/>
  <c r="N7" i="38" s="1"/>
  <c r="R7" i="38" s="1"/>
  <c r="B16" i="43"/>
  <c r="C2" i="23"/>
  <c r="G4" i="41"/>
  <c r="L4" i="41" s="1"/>
  <c r="N4" i="41" s="1"/>
  <c r="R4" i="41" s="1"/>
  <c r="D2" i="41"/>
  <c r="D17" i="41" s="1"/>
  <c r="D12" i="41" s="1"/>
  <c r="D18" i="41" s="1"/>
  <c r="N10" i="39"/>
  <c r="R10" i="39" s="1"/>
  <c r="F5" i="43"/>
  <c r="F3" i="43" s="1"/>
  <c r="Q8" i="43"/>
  <c r="H6" i="43"/>
  <c r="B16" i="34"/>
  <c r="B16" i="17"/>
  <c r="D2" i="29"/>
  <c r="D17" i="29" s="1"/>
  <c r="D12" i="29" s="1"/>
  <c r="D18" i="29" s="1"/>
  <c r="G4" i="29"/>
  <c r="L4" i="29" s="1"/>
  <c r="N4" i="29" s="1"/>
  <c r="R4" i="29" s="1"/>
  <c r="H7" i="16"/>
  <c r="L7" i="16" s="1"/>
  <c r="N7" i="16" s="1"/>
  <c r="R7" i="16" s="1"/>
  <c r="H7" i="28"/>
  <c r="L7" i="28" s="1"/>
  <c r="N7" i="28" s="1"/>
  <c r="R7" i="28" s="1"/>
  <c r="C2" i="29"/>
  <c r="F5" i="11"/>
  <c r="F3" i="11" s="1"/>
  <c r="Q8" i="11"/>
  <c r="I18" i="11" s="1"/>
  <c r="J18" i="11" s="1"/>
  <c r="J8" i="11" s="1"/>
  <c r="J17" i="11" s="1"/>
  <c r="J13" i="11" s="1"/>
  <c r="H6" i="11"/>
  <c r="C2" i="18"/>
  <c r="C2" i="39"/>
  <c r="K9" i="36"/>
  <c r="H7" i="11"/>
  <c r="L7" i="11" s="1"/>
  <c r="N7" i="11" s="1"/>
  <c r="R7" i="11" s="1"/>
  <c r="H7" i="22"/>
  <c r="L7" i="22" s="1"/>
  <c r="N7" i="22" s="1"/>
  <c r="R7" i="22" s="1"/>
  <c r="G4" i="28"/>
  <c r="L4" i="28" s="1"/>
  <c r="N4" i="28" s="1"/>
  <c r="R4" i="28" s="1"/>
  <c r="D2" i="28"/>
  <c r="D17" i="28" s="1"/>
  <c r="D12" i="28" s="1"/>
  <c r="D18" i="28" s="1"/>
  <c r="L7" i="35"/>
  <c r="N7" i="35" s="1"/>
  <c r="R7" i="35" s="1"/>
  <c r="K9" i="18"/>
  <c r="B16" i="18"/>
  <c r="K10" i="37"/>
  <c r="L10" i="37" s="1"/>
  <c r="N10" i="37" s="1"/>
  <c r="R10" i="37" s="1"/>
  <c r="G4" i="31"/>
  <c r="L4" i="31" s="1"/>
  <c r="N4" i="31" s="1"/>
  <c r="R4" i="31" s="1"/>
  <c r="D2" i="31"/>
  <c r="D17" i="31" s="1"/>
  <c r="D12" i="31" s="1"/>
  <c r="D18" i="31" s="1"/>
  <c r="K10" i="30"/>
  <c r="L10" i="30" s="1"/>
  <c r="N10" i="30" s="1"/>
  <c r="R10" i="30" s="1"/>
  <c r="B16" i="40"/>
  <c r="C2" i="40"/>
  <c r="K9" i="29"/>
  <c r="I18" i="29"/>
  <c r="J18" i="29" s="1"/>
  <c r="J8" i="29" s="1"/>
  <c r="J17" i="29" s="1"/>
  <c r="J13" i="29" s="1"/>
  <c r="K9" i="19"/>
  <c r="Q8" i="42"/>
  <c r="I18" i="42" s="1"/>
  <c r="F5" i="42"/>
  <c r="F3" i="42" s="1"/>
  <c r="H6" i="42"/>
  <c r="G4" i="17"/>
  <c r="L4" i="17" s="1"/>
  <c r="N4" i="17" s="1"/>
  <c r="R4" i="17" s="1"/>
  <c r="D2" i="17"/>
  <c r="D17" i="17" s="1"/>
  <c r="D12" i="17" s="1"/>
  <c r="D18" i="17" s="1"/>
  <c r="H7" i="26"/>
  <c r="L7" i="26" s="1"/>
  <c r="N7" i="26" s="1"/>
  <c r="R7" i="26" s="1"/>
  <c r="Q8" i="18"/>
  <c r="I18" i="18" s="1"/>
  <c r="J18" i="18" s="1"/>
  <c r="J8" i="18" s="1"/>
  <c r="J17" i="18" s="1"/>
  <c r="J13" i="18" s="1"/>
  <c r="H6" i="18"/>
  <c r="C2" i="27"/>
  <c r="K9" i="34"/>
  <c r="K10" i="18"/>
  <c r="L10" i="18" s="1"/>
  <c r="N10" i="18" s="1"/>
  <c r="R10" i="18" s="1"/>
  <c r="F5" i="26"/>
  <c r="F3" i="26" s="1"/>
  <c r="Q8" i="26"/>
  <c r="I18" i="26" s="1"/>
  <c r="H6" i="26"/>
  <c r="K9" i="14"/>
  <c r="C2" i="20"/>
  <c r="C17" i="20" s="1"/>
  <c r="C12" i="20" s="1"/>
  <c r="C18" i="20" s="1"/>
  <c r="H7" i="42"/>
  <c r="L7" i="42" s="1"/>
  <c r="N7" i="42" s="1"/>
  <c r="R7" i="42" s="1"/>
  <c r="K9" i="33"/>
  <c r="Q8" i="33"/>
  <c r="I18" i="33" s="1"/>
  <c r="F5" i="33"/>
  <c r="F3" i="33" s="1"/>
  <c r="H6" i="33"/>
  <c r="K10" i="43"/>
  <c r="L10" i="43" s="1"/>
  <c r="N10" i="43" s="1"/>
  <c r="R10" i="43" s="1"/>
  <c r="J8" i="43"/>
  <c r="J17" i="43" s="1"/>
  <c r="J13" i="43" s="1"/>
  <c r="G4" i="23"/>
  <c r="L4" i="23" s="1"/>
  <c r="N4" i="23" s="1"/>
  <c r="R4" i="23" s="1"/>
  <c r="D2" i="23"/>
  <c r="D17" i="23" s="1"/>
  <c r="D12" i="23" s="1"/>
  <c r="D18" i="23" s="1"/>
  <c r="K10" i="26"/>
  <c r="L10" i="26" s="1"/>
  <c r="K9" i="41"/>
  <c r="I8" i="41"/>
  <c r="C2" i="14"/>
  <c r="C17" i="14" s="1"/>
  <c r="C12" i="14" s="1"/>
  <c r="C18" i="14" s="1"/>
  <c r="H7" i="24"/>
  <c r="L7" i="24" s="1"/>
  <c r="N7" i="24" s="1"/>
  <c r="R7" i="24" s="1"/>
  <c r="N10" i="31"/>
  <c r="R10" i="31" s="1"/>
  <c r="C2" i="31"/>
  <c r="G4" i="19"/>
  <c r="L4" i="19" s="1"/>
  <c r="D2" i="19"/>
  <c r="D17" i="19" s="1"/>
  <c r="D12" i="19" s="1"/>
  <c r="D18" i="19" s="1"/>
  <c r="N4" i="39"/>
  <c r="R4" i="39" s="1"/>
  <c r="H7" i="36"/>
  <c r="L7" i="36" s="1"/>
  <c r="N7" i="36" s="1"/>
  <c r="R7" i="36" s="1"/>
  <c r="K9" i="11"/>
  <c r="Q8" i="38"/>
  <c r="I18" i="38" s="1"/>
  <c r="J18" i="38" s="1"/>
  <c r="J8" i="38" s="1"/>
  <c r="J17" i="38" s="1"/>
  <c r="J13" i="38" s="1"/>
  <c r="F5" i="38"/>
  <c r="F3" i="38" s="1"/>
  <c r="H6" i="38"/>
  <c r="B16" i="30"/>
  <c r="C2" i="30"/>
  <c r="C2" i="38"/>
  <c r="B17" i="14"/>
  <c r="B12" i="14" s="1"/>
  <c r="L16" i="14"/>
  <c r="H7" i="43"/>
  <c r="L7" i="43" s="1"/>
  <c r="N7" i="43" s="1"/>
  <c r="R7" i="43" s="1"/>
  <c r="F5" i="17"/>
  <c r="F3" i="17" s="1"/>
  <c r="Q8" i="17"/>
  <c r="I18" i="17" s="1"/>
  <c r="H6" i="17"/>
  <c r="Q8" i="24"/>
  <c r="I18" i="24" s="1"/>
  <c r="F5" i="24"/>
  <c r="H6" i="24"/>
  <c r="H7" i="32"/>
  <c r="L7" i="32" s="1"/>
  <c r="N7" i="32" s="1"/>
  <c r="R7" i="32" s="1"/>
  <c r="H7" i="40"/>
  <c r="L7" i="40" s="1"/>
  <c r="N7" i="40" s="1"/>
  <c r="R7" i="40" s="1"/>
  <c r="K10" i="15"/>
  <c r="L10" i="15" s="1"/>
  <c r="J8" i="15"/>
  <c r="J17" i="15" s="1"/>
  <c r="J13" i="15" s="1"/>
  <c r="H7" i="33"/>
  <c r="L7" i="33" s="1"/>
  <c r="N7" i="33" s="1"/>
  <c r="R7" i="33" s="1"/>
  <c r="K9" i="15"/>
  <c r="I8" i="15"/>
  <c r="K9" i="27"/>
  <c r="I18" i="27"/>
  <c r="J18" i="27" s="1"/>
  <c r="J8" i="27" s="1"/>
  <c r="J17" i="27" s="1"/>
  <c r="J13" i="27" s="1"/>
  <c r="K10" i="14"/>
  <c r="L10" i="14" s="1"/>
  <c r="N10" i="14" s="1"/>
  <c r="R10" i="14" s="1"/>
  <c r="C2" i="34"/>
  <c r="F5" i="30"/>
  <c r="F3" i="30" s="1"/>
  <c r="Q8" i="30"/>
  <c r="I18" i="30" s="1"/>
  <c r="H6" i="30"/>
  <c r="F5" i="36"/>
  <c r="F3" i="36" s="1"/>
  <c r="Q8" i="36"/>
  <c r="I18" i="36" s="1"/>
  <c r="J18" i="36" s="1"/>
  <c r="J8" i="36" s="1"/>
  <c r="J17" i="36" s="1"/>
  <c r="J13" i="36" s="1"/>
  <c r="H6" i="36"/>
  <c r="K9" i="38"/>
  <c r="C2" i="15"/>
  <c r="F5" i="19"/>
  <c r="H6" i="19"/>
  <c r="Q8" i="19"/>
  <c r="I18" i="19" s="1"/>
  <c r="J18" i="19" s="1"/>
  <c r="J8" i="19" s="1"/>
  <c r="J17" i="19" s="1"/>
  <c r="J13" i="19" s="1"/>
  <c r="D2" i="11"/>
  <c r="D17" i="11" s="1"/>
  <c r="D12" i="11" s="1"/>
  <c r="D18" i="11" s="1"/>
  <c r="G4" i="11"/>
  <c r="L4" i="11" s="1"/>
  <c r="N4" i="11" s="1"/>
  <c r="R4" i="11" s="1"/>
  <c r="K9" i="42"/>
  <c r="K9" i="26"/>
  <c r="K10" i="41"/>
  <c r="L10" i="41" s="1"/>
  <c r="J8" i="41"/>
  <c r="J17" i="41" s="1"/>
  <c r="J13" i="41" s="1"/>
  <c r="C2" i="17"/>
  <c r="K9" i="37"/>
  <c r="I18" i="37"/>
  <c r="J18" i="37" s="1"/>
  <c r="J8" i="37" s="1"/>
  <c r="J17" i="37" s="1"/>
  <c r="J13" i="37" s="1"/>
  <c r="B16" i="22"/>
  <c r="C2" i="41"/>
  <c r="H7" i="20"/>
  <c r="L7" i="20" s="1"/>
  <c r="N7" i="20" s="1"/>
  <c r="R7" i="20" s="1"/>
  <c r="K9" i="32"/>
  <c r="B16" i="24"/>
  <c r="C2" i="11"/>
  <c r="K9" i="24"/>
  <c r="Q8" i="28"/>
  <c r="I18" i="28" s="1"/>
  <c r="J18" i="28" s="1"/>
  <c r="J8" i="28" s="1"/>
  <c r="J17" i="28" s="1"/>
  <c r="J13" i="28" s="1"/>
  <c r="F5" i="28"/>
  <c r="F3" i="28" s="1"/>
  <c r="H6" i="28"/>
  <c r="K9" i="28"/>
  <c r="B16" i="11"/>
  <c r="D2" i="18"/>
  <c r="D17" i="18" s="1"/>
  <c r="D12" i="18" s="1"/>
  <c r="D18" i="18" s="1"/>
  <c r="G4" i="16"/>
  <c r="L4" i="16" s="1"/>
  <c r="N4" i="16" s="1"/>
  <c r="R4" i="16" s="1"/>
  <c r="D2" i="16"/>
  <c r="D17" i="16" s="1"/>
  <c r="D12" i="16" s="1"/>
  <c r="D18" i="16" s="1"/>
  <c r="K9" i="16"/>
  <c r="Q8" i="41"/>
  <c r="F5" i="41"/>
  <c r="F3" i="41" s="1"/>
  <c r="H6" i="41"/>
  <c r="B16" i="42"/>
  <c r="F5" i="34"/>
  <c r="F3" i="34" s="1"/>
  <c r="Q8" i="34"/>
  <c r="I18" i="34" s="1"/>
  <c r="J18" i="34" s="1"/>
  <c r="J8" i="34" s="1"/>
  <c r="J17" i="34" s="1"/>
  <c r="J13" i="34" s="1"/>
  <c r="H6" i="34"/>
  <c r="Q8" i="40"/>
  <c r="I18" i="40" s="1"/>
  <c r="F5" i="40"/>
  <c r="F3" i="40" s="1"/>
  <c r="H6" i="40"/>
  <c r="B16" i="41"/>
  <c r="C2" i="43"/>
  <c r="K10" i="36"/>
  <c r="L10" i="36" s="1"/>
  <c r="N10" i="36" s="1"/>
  <c r="R10" i="36" s="1"/>
  <c r="G4" i="30"/>
  <c r="L4" i="30" s="1"/>
  <c r="N4" i="30" s="1"/>
  <c r="R4" i="30" s="1"/>
  <c r="D2" i="30"/>
  <c r="D17" i="30" s="1"/>
  <c r="D12" i="30" s="1"/>
  <c r="D18" i="30" s="1"/>
  <c r="K9" i="21"/>
  <c r="Q8" i="32"/>
  <c r="I18" i="32" s="1"/>
  <c r="F5" i="32"/>
  <c r="F3" i="32" s="1"/>
  <c r="H6" i="32"/>
  <c r="K10" i="27"/>
  <c r="L10" i="27" s="1"/>
  <c r="H7" i="37"/>
  <c r="L7" i="37" s="1"/>
  <c r="N7" i="37" s="1"/>
  <c r="R7" i="37" s="1"/>
  <c r="B16" i="26"/>
  <c r="C2" i="16"/>
  <c r="B16" i="31"/>
  <c r="D2" i="27"/>
  <c r="D17" i="27" s="1"/>
  <c r="D12" i="27" s="1"/>
  <c r="D18" i="27" s="1"/>
  <c r="G4" i="27"/>
  <c r="L4" i="27" s="1"/>
  <c r="N4" i="27" s="1"/>
  <c r="R4" i="27" s="1"/>
  <c r="B16" i="36"/>
  <c r="J18" i="35" l="1"/>
  <c r="J8" i="35" s="1"/>
  <c r="J17" i="35" s="1"/>
  <c r="J13" i="35" s="1"/>
  <c r="I8" i="35"/>
  <c r="I17" i="35" s="1"/>
  <c r="I13" i="35" s="1"/>
  <c r="G3" i="35"/>
  <c r="H17" i="35"/>
  <c r="H12" i="35" s="1"/>
  <c r="H18" i="35" s="1"/>
  <c r="L2" i="14"/>
  <c r="P2" i="14" s="1"/>
  <c r="K17" i="35"/>
  <c r="I8" i="27"/>
  <c r="I17" i="27" s="1"/>
  <c r="I13" i="27" s="1"/>
  <c r="G5" i="16"/>
  <c r="G17" i="16" s="1"/>
  <c r="G12" i="16" s="1"/>
  <c r="G18" i="16" s="1"/>
  <c r="F17" i="29"/>
  <c r="F12" i="29" s="1"/>
  <c r="F18" i="29" s="1"/>
  <c r="G3" i="29"/>
  <c r="G5" i="29" s="1"/>
  <c r="L5" i="29" s="1"/>
  <c r="J18" i="20"/>
  <c r="J8" i="20" s="1"/>
  <c r="J17" i="20" s="1"/>
  <c r="J13" i="20" s="1"/>
  <c r="I8" i="20"/>
  <c r="I17" i="20" s="1"/>
  <c r="I13" i="20" s="1"/>
  <c r="I8" i="37"/>
  <c r="I8" i="36"/>
  <c r="I8" i="23"/>
  <c r="I17" i="23" s="1"/>
  <c r="I13" i="23" s="1"/>
  <c r="F17" i="17"/>
  <c r="F12" i="17" s="1"/>
  <c r="F18" i="17" s="1"/>
  <c r="G3" i="17"/>
  <c r="G3" i="31"/>
  <c r="L3" i="31" s="1"/>
  <c r="N3" i="31" s="1"/>
  <c r="R3" i="31" s="1"/>
  <c r="F17" i="31"/>
  <c r="F12" i="31" s="1"/>
  <c r="F18" i="31" s="1"/>
  <c r="F17" i="11"/>
  <c r="F12" i="11" s="1"/>
  <c r="F18" i="11" s="1"/>
  <c r="G3" i="11"/>
  <c r="G5" i="11" s="1"/>
  <c r="G17" i="11" s="1"/>
  <c r="G12" i="11" s="1"/>
  <c r="G18" i="11" s="1"/>
  <c r="J18" i="32"/>
  <c r="J8" i="32" s="1"/>
  <c r="J17" i="32" s="1"/>
  <c r="J13" i="32" s="1"/>
  <c r="I8" i="32"/>
  <c r="J18" i="40"/>
  <c r="J8" i="40" s="1"/>
  <c r="J17" i="40" s="1"/>
  <c r="J13" i="40" s="1"/>
  <c r="I8" i="40"/>
  <c r="G3" i="36"/>
  <c r="L3" i="36" s="1"/>
  <c r="N3" i="36" s="1"/>
  <c r="R3" i="36" s="1"/>
  <c r="F17" i="36"/>
  <c r="F12" i="36" s="1"/>
  <c r="F18" i="36" s="1"/>
  <c r="G3" i="42"/>
  <c r="L3" i="42" s="1"/>
  <c r="N3" i="42" s="1"/>
  <c r="R3" i="42" s="1"/>
  <c r="F17" i="42"/>
  <c r="F12" i="42" s="1"/>
  <c r="F18" i="42" s="1"/>
  <c r="J18" i="42"/>
  <c r="J8" i="42" s="1"/>
  <c r="J17" i="42" s="1"/>
  <c r="J13" i="42" s="1"/>
  <c r="I8" i="42"/>
  <c r="I8" i="17"/>
  <c r="I17" i="17" s="1"/>
  <c r="I13" i="17" s="1"/>
  <c r="J18" i="17"/>
  <c r="J8" i="17" s="1"/>
  <c r="F17" i="22"/>
  <c r="F12" i="22" s="1"/>
  <c r="F18" i="22" s="1"/>
  <c r="G3" i="22"/>
  <c r="L3" i="22" s="1"/>
  <c r="N3" i="22" s="1"/>
  <c r="R3" i="22" s="1"/>
  <c r="J18" i="24"/>
  <c r="J8" i="24" s="1"/>
  <c r="J17" i="24" s="1"/>
  <c r="J13" i="24" s="1"/>
  <c r="I8" i="24"/>
  <c r="J18" i="30"/>
  <c r="J8" i="30" s="1"/>
  <c r="J17" i="30" s="1"/>
  <c r="J13" i="30" s="1"/>
  <c r="I8" i="30"/>
  <c r="J18" i="39"/>
  <c r="J8" i="39" s="1"/>
  <c r="J17" i="39" s="1"/>
  <c r="J13" i="39" s="1"/>
  <c r="I8" i="39"/>
  <c r="J18" i="31"/>
  <c r="J8" i="31" s="1"/>
  <c r="J17" i="31" s="1"/>
  <c r="J13" i="31" s="1"/>
  <c r="I8" i="31"/>
  <c r="B17" i="26"/>
  <c r="L16" i="26"/>
  <c r="N10" i="27"/>
  <c r="R10" i="27" s="1"/>
  <c r="L6" i="32"/>
  <c r="N6" i="32" s="1"/>
  <c r="R6" i="32" s="1"/>
  <c r="H17" i="32"/>
  <c r="H12" i="32" s="1"/>
  <c r="H18" i="32" s="1"/>
  <c r="L6" i="34"/>
  <c r="N6" i="34" s="1"/>
  <c r="R6" i="34" s="1"/>
  <c r="H17" i="34"/>
  <c r="H12" i="34" s="1"/>
  <c r="H18" i="34" s="1"/>
  <c r="I8" i="16"/>
  <c r="J18" i="16"/>
  <c r="J8" i="16" s="1"/>
  <c r="J17" i="16" s="1"/>
  <c r="J13" i="16" s="1"/>
  <c r="C17" i="11"/>
  <c r="L2" i="11"/>
  <c r="I8" i="26"/>
  <c r="J18" i="26"/>
  <c r="J8" i="26" s="1"/>
  <c r="J17" i="26" s="1"/>
  <c r="J13" i="26" s="1"/>
  <c r="L2" i="35"/>
  <c r="I8" i="29"/>
  <c r="C17" i="39"/>
  <c r="C12" i="39" s="1"/>
  <c r="C18" i="39" s="1"/>
  <c r="L2" i="39"/>
  <c r="N10" i="29"/>
  <c r="R10" i="29" s="1"/>
  <c r="C17" i="37"/>
  <c r="C12" i="37" s="1"/>
  <c r="C18" i="37" s="1"/>
  <c r="L2" i="37"/>
  <c r="L16" i="19"/>
  <c r="B17" i="19"/>
  <c r="B12" i="19" s="1"/>
  <c r="B18" i="19" s="1"/>
  <c r="B12" i="23"/>
  <c r="C17" i="33"/>
  <c r="C12" i="33" s="1"/>
  <c r="C18" i="33" s="1"/>
  <c r="L2" i="33"/>
  <c r="Q11" i="43"/>
  <c r="M11" i="43" s="1"/>
  <c r="R11" i="43" s="1"/>
  <c r="K17" i="43"/>
  <c r="L9" i="43"/>
  <c r="N9" i="43" s="1"/>
  <c r="R9" i="43" s="1"/>
  <c r="G3" i="34"/>
  <c r="L3" i="34" s="1"/>
  <c r="N3" i="34" s="1"/>
  <c r="R3" i="34" s="1"/>
  <c r="F17" i="34"/>
  <c r="F12" i="34" s="1"/>
  <c r="F18" i="34" s="1"/>
  <c r="Q11" i="28"/>
  <c r="M11" i="28" s="1"/>
  <c r="R11" i="28" s="1"/>
  <c r="K17" i="28"/>
  <c r="L9" i="28"/>
  <c r="N9" i="28" s="1"/>
  <c r="R9" i="28" s="1"/>
  <c r="B17" i="22"/>
  <c r="B12" i="22" s="1"/>
  <c r="L16" i="22"/>
  <c r="Q11" i="26"/>
  <c r="M11" i="26" s="1"/>
  <c r="R11" i="26" s="1"/>
  <c r="K17" i="26"/>
  <c r="L9" i="26"/>
  <c r="N9" i="26" s="1"/>
  <c r="R9" i="26" s="1"/>
  <c r="L6" i="30"/>
  <c r="N6" i="30" s="1"/>
  <c r="R6" i="30" s="1"/>
  <c r="H17" i="30"/>
  <c r="H12" i="30" s="1"/>
  <c r="H18" i="30" s="1"/>
  <c r="L8" i="27"/>
  <c r="N8" i="27" s="1"/>
  <c r="R8" i="27" s="1"/>
  <c r="B17" i="30"/>
  <c r="L16" i="30"/>
  <c r="I8" i="34"/>
  <c r="B17" i="34"/>
  <c r="L16" i="34"/>
  <c r="L6" i="39"/>
  <c r="N6" i="39" s="1"/>
  <c r="R6" i="39" s="1"/>
  <c r="H17" i="39"/>
  <c r="H12" i="39" s="1"/>
  <c r="H18" i="39" s="1"/>
  <c r="L6" i="37"/>
  <c r="N6" i="37" s="1"/>
  <c r="R6" i="37" s="1"/>
  <c r="H17" i="37"/>
  <c r="H12" i="37" s="1"/>
  <c r="H18" i="37" s="1"/>
  <c r="B17" i="27"/>
  <c r="L16" i="27"/>
  <c r="G3" i="27"/>
  <c r="L3" i="27" s="1"/>
  <c r="N3" i="27" s="1"/>
  <c r="R3" i="27" s="1"/>
  <c r="F17" i="27"/>
  <c r="F12" i="27" s="1"/>
  <c r="F18" i="27" s="1"/>
  <c r="L8" i="23"/>
  <c r="N8" i="23" s="1"/>
  <c r="R8" i="23" s="1"/>
  <c r="Q11" i="17"/>
  <c r="M11" i="17" s="1"/>
  <c r="R11" i="17" s="1"/>
  <c r="L9" i="17"/>
  <c r="N9" i="17" s="1"/>
  <c r="R9" i="17" s="1"/>
  <c r="K17" i="17"/>
  <c r="L6" i="29"/>
  <c r="N6" i="29" s="1"/>
  <c r="R6" i="29" s="1"/>
  <c r="H17" i="29"/>
  <c r="H12" i="29" s="1"/>
  <c r="H18" i="29" s="1"/>
  <c r="B17" i="32"/>
  <c r="L16" i="32"/>
  <c r="G3" i="28"/>
  <c r="L3" i="28" s="1"/>
  <c r="N3" i="28" s="1"/>
  <c r="R3" i="28" s="1"/>
  <c r="F17" i="28"/>
  <c r="F12" i="28" s="1"/>
  <c r="F18" i="28" s="1"/>
  <c r="G5" i="15"/>
  <c r="G17" i="15" s="1"/>
  <c r="G12" i="15" s="1"/>
  <c r="G18" i="15" s="1"/>
  <c r="G3" i="30"/>
  <c r="L3" i="30" s="1"/>
  <c r="N3" i="30" s="1"/>
  <c r="R3" i="30" s="1"/>
  <c r="F17" i="30"/>
  <c r="F12" i="30" s="1"/>
  <c r="F18" i="30" s="1"/>
  <c r="Q11" i="34"/>
  <c r="M11" i="34" s="1"/>
  <c r="R11" i="34" s="1"/>
  <c r="K17" i="34"/>
  <c r="L9" i="34"/>
  <c r="N9" i="34" s="1"/>
  <c r="R9" i="34" s="1"/>
  <c r="Q11" i="29"/>
  <c r="M11" i="29" s="1"/>
  <c r="R11" i="29" s="1"/>
  <c r="L9" i="29"/>
  <c r="N9" i="29" s="1"/>
  <c r="R9" i="29" s="1"/>
  <c r="K17" i="29"/>
  <c r="C17" i="18"/>
  <c r="C12" i="18" s="1"/>
  <c r="C18" i="18" s="1"/>
  <c r="L2" i="18"/>
  <c r="G3" i="43"/>
  <c r="L3" i="43" s="1"/>
  <c r="N3" i="43" s="1"/>
  <c r="R3" i="43" s="1"/>
  <c r="F17" i="43"/>
  <c r="F12" i="43" s="1"/>
  <c r="F18" i="43" s="1"/>
  <c r="F17" i="14"/>
  <c r="F12" i="14" s="1"/>
  <c r="F18" i="14" s="1"/>
  <c r="L3" i="14"/>
  <c r="N3" i="14" s="1"/>
  <c r="R3" i="14" s="1"/>
  <c r="G3" i="37"/>
  <c r="L3" i="37" s="1"/>
  <c r="N3" i="37" s="1"/>
  <c r="R3" i="37" s="1"/>
  <c r="F17" i="37"/>
  <c r="F12" i="37" s="1"/>
  <c r="F18" i="37" s="1"/>
  <c r="L6" i="27"/>
  <c r="N6" i="27" s="1"/>
  <c r="R6" i="27" s="1"/>
  <c r="H17" i="27"/>
  <c r="H12" i="27" s="1"/>
  <c r="H18" i="27" s="1"/>
  <c r="L16" i="36"/>
  <c r="B17" i="36"/>
  <c r="L6" i="38"/>
  <c r="N6" i="38" s="1"/>
  <c r="R6" i="38" s="1"/>
  <c r="H17" i="38"/>
  <c r="H12" i="38" s="1"/>
  <c r="H18" i="38" s="1"/>
  <c r="C17" i="43"/>
  <c r="C12" i="43" s="1"/>
  <c r="C18" i="43" s="1"/>
  <c r="L2" i="43"/>
  <c r="L6" i="28"/>
  <c r="N6" i="28" s="1"/>
  <c r="R6" i="28" s="1"/>
  <c r="H17" i="28"/>
  <c r="H12" i="28" s="1"/>
  <c r="H18" i="28" s="1"/>
  <c r="C17" i="15"/>
  <c r="C12" i="15" s="1"/>
  <c r="C18" i="15" s="1"/>
  <c r="L2" i="15"/>
  <c r="Q11" i="27"/>
  <c r="M11" i="27" s="1"/>
  <c r="R11" i="27" s="1"/>
  <c r="K17" i="27"/>
  <c r="L9" i="27"/>
  <c r="N9" i="27" s="1"/>
  <c r="R9" i="27" s="1"/>
  <c r="G3" i="38"/>
  <c r="F17" i="38"/>
  <c r="F12" i="38" s="1"/>
  <c r="F18" i="38" s="1"/>
  <c r="L6" i="11"/>
  <c r="N6" i="11" s="1"/>
  <c r="R6" i="11" s="1"/>
  <c r="H17" i="11"/>
  <c r="L6" i="43"/>
  <c r="N6" i="43" s="1"/>
  <c r="R6" i="43" s="1"/>
  <c r="H17" i="43"/>
  <c r="H12" i="43" s="1"/>
  <c r="H18" i="43" s="1"/>
  <c r="G3" i="39"/>
  <c r="L3" i="39" s="1"/>
  <c r="N3" i="39" s="1"/>
  <c r="R3" i="39" s="1"/>
  <c r="F17" i="39"/>
  <c r="F12" i="39" s="1"/>
  <c r="F18" i="39" s="1"/>
  <c r="F17" i="16"/>
  <c r="F12" i="16" s="1"/>
  <c r="F18" i="16" s="1"/>
  <c r="L3" i="16"/>
  <c r="N3" i="16" s="1"/>
  <c r="R3" i="16" s="1"/>
  <c r="L6" i="14"/>
  <c r="N6" i="14" s="1"/>
  <c r="R6" i="14" s="1"/>
  <c r="H17" i="14"/>
  <c r="H12" i="14" s="1"/>
  <c r="H18" i="14" s="1"/>
  <c r="Q11" i="40"/>
  <c r="M11" i="40" s="1"/>
  <c r="R11" i="40" s="1"/>
  <c r="L9" i="40"/>
  <c r="N9" i="40" s="1"/>
  <c r="R9" i="40" s="1"/>
  <c r="K17" i="40"/>
  <c r="B17" i="20"/>
  <c r="L16" i="20"/>
  <c r="Q11" i="23"/>
  <c r="M11" i="23" s="1"/>
  <c r="R11" i="23" s="1"/>
  <c r="K17" i="23"/>
  <c r="L9" i="23"/>
  <c r="N9" i="23" s="1"/>
  <c r="R9" i="23" s="1"/>
  <c r="C17" i="42"/>
  <c r="C12" i="42" s="1"/>
  <c r="C18" i="42" s="1"/>
  <c r="L2" i="42"/>
  <c r="C17" i="26"/>
  <c r="C12" i="26" s="1"/>
  <c r="C18" i="26" s="1"/>
  <c r="L2" i="26"/>
  <c r="Q11" i="21"/>
  <c r="M11" i="21" s="1"/>
  <c r="R11" i="21" s="1"/>
  <c r="K17" i="21"/>
  <c r="L9" i="21"/>
  <c r="N9" i="21" s="1"/>
  <c r="R9" i="21" s="1"/>
  <c r="B17" i="31"/>
  <c r="L16" i="31"/>
  <c r="K17" i="16"/>
  <c r="Q11" i="16"/>
  <c r="M11" i="16" s="1"/>
  <c r="R11" i="16" s="1"/>
  <c r="L9" i="16"/>
  <c r="N9" i="16" s="1"/>
  <c r="R9" i="16" s="1"/>
  <c r="B17" i="24"/>
  <c r="L16" i="24"/>
  <c r="L8" i="37"/>
  <c r="N8" i="37" s="1"/>
  <c r="R8" i="37" s="1"/>
  <c r="I17" i="37"/>
  <c r="I13" i="37" s="1"/>
  <c r="L6" i="33"/>
  <c r="N6" i="33" s="1"/>
  <c r="R6" i="33" s="1"/>
  <c r="H17" i="33"/>
  <c r="H12" i="33" s="1"/>
  <c r="H18" i="33" s="1"/>
  <c r="N4" i="19"/>
  <c r="R4" i="19" s="1"/>
  <c r="L8" i="41"/>
  <c r="N8" i="41" s="1"/>
  <c r="I17" i="41"/>
  <c r="I13" i="41" s="1"/>
  <c r="G3" i="33"/>
  <c r="L3" i="33" s="1"/>
  <c r="N3" i="33" s="1"/>
  <c r="R3" i="33" s="1"/>
  <c r="F17" i="33"/>
  <c r="F12" i="33" s="1"/>
  <c r="F18" i="33" s="1"/>
  <c r="C17" i="16"/>
  <c r="C12" i="16" s="1"/>
  <c r="C18" i="16" s="1"/>
  <c r="L2" i="16"/>
  <c r="I8" i="21"/>
  <c r="L9" i="37"/>
  <c r="N9" i="37" s="1"/>
  <c r="R9" i="37" s="1"/>
  <c r="K17" i="37"/>
  <c r="Q11" i="37"/>
  <c r="M11" i="37" s="1"/>
  <c r="R11" i="37" s="1"/>
  <c r="Q11" i="42"/>
  <c r="M11" i="42" s="1"/>
  <c r="R11" i="42" s="1"/>
  <c r="L9" i="42"/>
  <c r="N9" i="42" s="1"/>
  <c r="R9" i="42" s="1"/>
  <c r="K17" i="42"/>
  <c r="I8" i="38"/>
  <c r="I17" i="15"/>
  <c r="I13" i="15" s="1"/>
  <c r="L8" i="15"/>
  <c r="N8" i="15" s="1"/>
  <c r="R8" i="15" s="1"/>
  <c r="Q16" i="14"/>
  <c r="R16" i="14"/>
  <c r="Q11" i="41"/>
  <c r="M11" i="41" s="1"/>
  <c r="R11" i="41" s="1"/>
  <c r="K17" i="41"/>
  <c r="L9" i="41"/>
  <c r="N9" i="41" s="1"/>
  <c r="R9" i="41" s="1"/>
  <c r="L9" i="14"/>
  <c r="N9" i="14" s="1"/>
  <c r="R9" i="14" s="1"/>
  <c r="Q11" i="14"/>
  <c r="M11" i="14" s="1"/>
  <c r="R11" i="14" s="1"/>
  <c r="K17" i="14"/>
  <c r="C17" i="27"/>
  <c r="C12" i="27" s="1"/>
  <c r="C18" i="27" s="1"/>
  <c r="L2" i="27"/>
  <c r="L6" i="42"/>
  <c r="N6" i="42" s="1"/>
  <c r="R6" i="42" s="1"/>
  <c r="H17" i="42"/>
  <c r="H12" i="42" s="1"/>
  <c r="H18" i="42" s="1"/>
  <c r="C17" i="40"/>
  <c r="C12" i="40" s="1"/>
  <c r="C18" i="40" s="1"/>
  <c r="L2" i="40"/>
  <c r="B17" i="18"/>
  <c r="B12" i="18" s="1"/>
  <c r="B18" i="18" s="1"/>
  <c r="L16" i="18"/>
  <c r="C17" i="23"/>
  <c r="C12" i="23" s="1"/>
  <c r="C18" i="23" s="1"/>
  <c r="L2" i="23"/>
  <c r="L6" i="16"/>
  <c r="N6" i="16" s="1"/>
  <c r="R6" i="16" s="1"/>
  <c r="H17" i="16"/>
  <c r="H12" i="16" s="1"/>
  <c r="H18" i="16" s="1"/>
  <c r="Q11" i="20"/>
  <c r="M11" i="20" s="1"/>
  <c r="R11" i="20" s="1"/>
  <c r="L9" i="20"/>
  <c r="N9" i="20" s="1"/>
  <c r="R9" i="20" s="1"/>
  <c r="K17" i="20"/>
  <c r="C17" i="21"/>
  <c r="C12" i="21" s="1"/>
  <c r="C18" i="21" s="1"/>
  <c r="L2" i="21"/>
  <c r="L6" i="20"/>
  <c r="H17" i="20"/>
  <c r="H12" i="20" s="1"/>
  <c r="H18" i="20" s="1"/>
  <c r="L2" i="24"/>
  <c r="L6" i="40"/>
  <c r="N6" i="40" s="1"/>
  <c r="R6" i="40" s="1"/>
  <c r="H17" i="40"/>
  <c r="H12" i="40" s="1"/>
  <c r="H18" i="40" s="1"/>
  <c r="G3" i="32"/>
  <c r="L3" i="32" s="1"/>
  <c r="N3" i="32" s="1"/>
  <c r="R3" i="32" s="1"/>
  <c r="F17" i="32"/>
  <c r="F12" i="32" s="1"/>
  <c r="F18" i="32" s="1"/>
  <c r="B17" i="41"/>
  <c r="L16" i="41"/>
  <c r="B17" i="42"/>
  <c r="L16" i="42"/>
  <c r="Q11" i="32"/>
  <c r="M11" i="32" s="1"/>
  <c r="R11" i="32" s="1"/>
  <c r="L9" i="32"/>
  <c r="N9" i="32" s="1"/>
  <c r="R9" i="32" s="1"/>
  <c r="K17" i="32"/>
  <c r="K17" i="15"/>
  <c r="L9" i="15"/>
  <c r="N9" i="15" s="1"/>
  <c r="R9" i="15" s="1"/>
  <c r="Q11" i="15"/>
  <c r="L6" i="24"/>
  <c r="N6" i="24" s="1"/>
  <c r="R6" i="24" s="1"/>
  <c r="H17" i="24"/>
  <c r="H12" i="24" s="1"/>
  <c r="H18" i="24" s="1"/>
  <c r="B18" i="14"/>
  <c r="C17" i="31"/>
  <c r="C12" i="31" s="1"/>
  <c r="C18" i="31" s="1"/>
  <c r="L2" i="31"/>
  <c r="N10" i="26"/>
  <c r="R10" i="26" s="1"/>
  <c r="H17" i="18"/>
  <c r="H12" i="18" s="1"/>
  <c r="H18" i="18" s="1"/>
  <c r="L6" i="18"/>
  <c r="N6" i="18" s="1"/>
  <c r="R6" i="18" s="1"/>
  <c r="I8" i="18"/>
  <c r="N10" i="40"/>
  <c r="R10" i="40" s="1"/>
  <c r="N10" i="34"/>
  <c r="R10" i="34" s="1"/>
  <c r="B17" i="33"/>
  <c r="L16" i="33"/>
  <c r="F3" i="20"/>
  <c r="B17" i="28"/>
  <c r="L16" i="28"/>
  <c r="G3" i="41"/>
  <c r="L3" i="41" s="1"/>
  <c r="N3" i="41" s="1"/>
  <c r="R3" i="41" s="1"/>
  <c r="F17" i="41"/>
  <c r="F12" i="41" s="1"/>
  <c r="F18" i="41" s="1"/>
  <c r="Q11" i="38"/>
  <c r="M11" i="38" s="1"/>
  <c r="R11" i="38" s="1"/>
  <c r="K17" i="38"/>
  <c r="L9" i="38"/>
  <c r="N9" i="38" s="1"/>
  <c r="R9" i="38" s="1"/>
  <c r="C17" i="34"/>
  <c r="C12" i="34" s="1"/>
  <c r="C18" i="34" s="1"/>
  <c r="L2" i="34"/>
  <c r="F3" i="24"/>
  <c r="I8" i="11"/>
  <c r="I8" i="33"/>
  <c r="J18" i="33"/>
  <c r="J8" i="33" s="1"/>
  <c r="J17" i="33" s="1"/>
  <c r="J13" i="33" s="1"/>
  <c r="L6" i="26"/>
  <c r="N6" i="26" s="1"/>
  <c r="R6" i="26" s="1"/>
  <c r="H17" i="26"/>
  <c r="H12" i="26" s="1"/>
  <c r="H18" i="26" s="1"/>
  <c r="B17" i="40"/>
  <c r="L16" i="40"/>
  <c r="K17" i="18"/>
  <c r="Q11" i="18"/>
  <c r="L9" i="18"/>
  <c r="N9" i="18" s="1"/>
  <c r="R9" i="18" s="1"/>
  <c r="I17" i="36"/>
  <c r="I13" i="36" s="1"/>
  <c r="L8" i="36"/>
  <c r="N8" i="36" s="1"/>
  <c r="R8" i="36" s="1"/>
  <c r="B17" i="43"/>
  <c r="L16" i="43"/>
  <c r="C17" i="22"/>
  <c r="C12" i="22" s="1"/>
  <c r="C18" i="22" s="1"/>
  <c r="L2" i="22"/>
  <c r="I8" i="22"/>
  <c r="B17" i="15"/>
  <c r="B12" i="15" s="1"/>
  <c r="B18" i="15" s="1"/>
  <c r="L16" i="15"/>
  <c r="L16" i="39"/>
  <c r="B17" i="39"/>
  <c r="B17" i="16"/>
  <c r="B12" i="16" s="1"/>
  <c r="L16" i="16"/>
  <c r="F17" i="21"/>
  <c r="F12" i="21" s="1"/>
  <c r="F18" i="21" s="1"/>
  <c r="L3" i="21"/>
  <c r="N3" i="21" s="1"/>
  <c r="R3" i="21" s="1"/>
  <c r="N10" i="23"/>
  <c r="R10" i="23" s="1"/>
  <c r="G3" i="23"/>
  <c r="L3" i="23" s="1"/>
  <c r="N3" i="23" s="1"/>
  <c r="R3" i="23" s="1"/>
  <c r="F17" i="23"/>
  <c r="F12" i="23" s="1"/>
  <c r="F18" i="23" s="1"/>
  <c r="C17" i="38"/>
  <c r="C12" i="38" s="1"/>
  <c r="C18" i="38" s="1"/>
  <c r="L2" i="38"/>
  <c r="Q11" i="33"/>
  <c r="M11" i="33" s="1"/>
  <c r="R11" i="33" s="1"/>
  <c r="L9" i="33"/>
  <c r="N9" i="33" s="1"/>
  <c r="R9" i="33" s="1"/>
  <c r="K17" i="33"/>
  <c r="G3" i="26"/>
  <c r="L3" i="26" s="1"/>
  <c r="N3" i="26" s="1"/>
  <c r="R3" i="26" s="1"/>
  <c r="F17" i="26"/>
  <c r="F12" i="26" s="1"/>
  <c r="F18" i="26" s="1"/>
  <c r="C17" i="36"/>
  <c r="C12" i="36" s="1"/>
  <c r="C18" i="36" s="1"/>
  <c r="L2" i="36"/>
  <c r="Q11" i="31"/>
  <c r="M11" i="31" s="1"/>
  <c r="R11" i="31" s="1"/>
  <c r="L9" i="31"/>
  <c r="N9" i="31" s="1"/>
  <c r="R9" i="31" s="1"/>
  <c r="K17" i="31"/>
  <c r="L6" i="22"/>
  <c r="N6" i="22" s="1"/>
  <c r="R6" i="22" s="1"/>
  <c r="H17" i="22"/>
  <c r="H12" i="22" s="1"/>
  <c r="H18" i="22" s="1"/>
  <c r="C17" i="28"/>
  <c r="C12" i="28" s="1"/>
  <c r="C18" i="28" s="1"/>
  <c r="L2" i="28"/>
  <c r="L6" i="21"/>
  <c r="N6" i="21" s="1"/>
  <c r="R6" i="21" s="1"/>
  <c r="H17" i="21"/>
  <c r="H12" i="21" s="1"/>
  <c r="H18" i="21" s="1"/>
  <c r="B17" i="29"/>
  <c r="L16" i="29"/>
  <c r="G5" i="14"/>
  <c r="L5" i="14" s="1"/>
  <c r="L6" i="23"/>
  <c r="N6" i="23" s="1"/>
  <c r="R6" i="23" s="1"/>
  <c r="H17" i="23"/>
  <c r="H12" i="23" s="1"/>
  <c r="H18" i="23" s="1"/>
  <c r="G3" i="40"/>
  <c r="L3" i="40" s="1"/>
  <c r="N3" i="40" s="1"/>
  <c r="R3" i="40" s="1"/>
  <c r="F17" i="40"/>
  <c r="F12" i="40" s="1"/>
  <c r="F18" i="40" s="1"/>
  <c r="L6" i="41"/>
  <c r="N6" i="41" s="1"/>
  <c r="R6" i="41" s="1"/>
  <c r="H17" i="41"/>
  <c r="H12" i="41" s="1"/>
  <c r="H18" i="41" s="1"/>
  <c r="Q11" i="24"/>
  <c r="M11" i="24" s="1"/>
  <c r="R11" i="24" s="1"/>
  <c r="K17" i="24"/>
  <c r="L9" i="24"/>
  <c r="N9" i="24" s="1"/>
  <c r="R9" i="24" s="1"/>
  <c r="C17" i="17"/>
  <c r="C12" i="17" s="1"/>
  <c r="C18" i="17" s="1"/>
  <c r="L2" i="17"/>
  <c r="L16" i="11"/>
  <c r="B17" i="11"/>
  <c r="B12" i="11" s="1"/>
  <c r="B18" i="11" s="1"/>
  <c r="L6" i="36"/>
  <c r="N6" i="36" s="1"/>
  <c r="R6" i="36" s="1"/>
  <c r="H17" i="36"/>
  <c r="H12" i="36" s="1"/>
  <c r="H18" i="36" s="1"/>
  <c r="L9" i="11"/>
  <c r="N9" i="11" s="1"/>
  <c r="R9" i="11" s="1"/>
  <c r="K17" i="11"/>
  <c r="Q11" i="11"/>
  <c r="M11" i="11" s="1"/>
  <c r="R11" i="11" s="1"/>
  <c r="I8" i="19"/>
  <c r="Q11" i="36"/>
  <c r="M11" i="36" s="1"/>
  <c r="R11" i="36" s="1"/>
  <c r="K17" i="36"/>
  <c r="L9" i="36"/>
  <c r="N9" i="36" s="1"/>
  <c r="R9" i="36" s="1"/>
  <c r="L3" i="29"/>
  <c r="N3" i="29" s="1"/>
  <c r="R3" i="29" s="1"/>
  <c r="G17" i="29"/>
  <c r="G12" i="29" s="1"/>
  <c r="G18" i="29" s="1"/>
  <c r="F17" i="15"/>
  <c r="F12" i="15" s="1"/>
  <c r="F18" i="15" s="1"/>
  <c r="L3" i="15"/>
  <c r="N3" i="15" s="1"/>
  <c r="R3" i="15" s="1"/>
  <c r="B17" i="38"/>
  <c r="L16" i="38"/>
  <c r="L6" i="31"/>
  <c r="N6" i="31" s="1"/>
  <c r="R6" i="31" s="1"/>
  <c r="H17" i="31"/>
  <c r="H12" i="31" s="1"/>
  <c r="H18" i="31" s="1"/>
  <c r="B17" i="37"/>
  <c r="L16" i="37"/>
  <c r="L2" i="20"/>
  <c r="D17" i="20"/>
  <c r="D12" i="20" s="1"/>
  <c r="D18" i="20" s="1"/>
  <c r="Q11" i="22"/>
  <c r="M11" i="22" s="1"/>
  <c r="R11" i="22" s="1"/>
  <c r="L9" i="22"/>
  <c r="N9" i="22" s="1"/>
  <c r="R9" i="22" s="1"/>
  <c r="K17" i="22"/>
  <c r="Q11" i="30"/>
  <c r="M11" i="30" s="1"/>
  <c r="R11" i="30" s="1"/>
  <c r="K17" i="30"/>
  <c r="L9" i="30"/>
  <c r="N9" i="30" s="1"/>
  <c r="R9" i="30" s="1"/>
  <c r="C17" i="32"/>
  <c r="C12" i="32" s="1"/>
  <c r="C18" i="32" s="1"/>
  <c r="L2" i="32"/>
  <c r="L6" i="35"/>
  <c r="L2" i="19"/>
  <c r="I8" i="28"/>
  <c r="C17" i="41"/>
  <c r="C12" i="41" s="1"/>
  <c r="C18" i="41" s="1"/>
  <c r="L2" i="41"/>
  <c r="N10" i="41"/>
  <c r="R10" i="41" s="1"/>
  <c r="L6" i="19"/>
  <c r="N6" i="19" s="1"/>
  <c r="R6" i="19" s="1"/>
  <c r="H17" i="19"/>
  <c r="H12" i="19" s="1"/>
  <c r="H18" i="19" s="1"/>
  <c r="N10" i="15"/>
  <c r="R10" i="15" s="1"/>
  <c r="L6" i="17"/>
  <c r="N6" i="17" s="1"/>
  <c r="R6" i="17" s="1"/>
  <c r="H17" i="17"/>
  <c r="H12" i="17" s="1"/>
  <c r="H18" i="17" s="1"/>
  <c r="C17" i="30"/>
  <c r="C12" i="30" s="1"/>
  <c r="C18" i="30" s="1"/>
  <c r="L2" i="30"/>
  <c r="L9" i="19"/>
  <c r="N9" i="19" s="1"/>
  <c r="R9" i="19" s="1"/>
  <c r="K17" i="19"/>
  <c r="Q11" i="19"/>
  <c r="M11" i="19" s="1"/>
  <c r="R11" i="19" s="1"/>
  <c r="C17" i="29"/>
  <c r="C12" i="29" s="1"/>
  <c r="C18" i="29" s="1"/>
  <c r="L2" i="29"/>
  <c r="L16" i="17"/>
  <c r="B17" i="17"/>
  <c r="L9" i="35"/>
  <c r="Q11" i="35"/>
  <c r="M11" i="35" s="1"/>
  <c r="R11" i="35" s="1"/>
  <c r="H17" i="15"/>
  <c r="H12" i="15" s="1"/>
  <c r="H18" i="15" s="1"/>
  <c r="L6" i="15"/>
  <c r="N6" i="15" s="1"/>
  <c r="R6" i="15" s="1"/>
  <c r="B17" i="21"/>
  <c r="B12" i="21" s="1"/>
  <c r="L16" i="21"/>
  <c r="R16" i="23"/>
  <c r="Q16" i="23"/>
  <c r="N10" i="42"/>
  <c r="R10" i="42" s="1"/>
  <c r="Q11" i="39"/>
  <c r="M11" i="39" s="1"/>
  <c r="R11" i="39" s="1"/>
  <c r="K17" i="39"/>
  <c r="K13" i="39" s="1"/>
  <c r="K18" i="39" s="1"/>
  <c r="L9" i="39"/>
  <c r="N9" i="39" s="1"/>
  <c r="R9" i="39" s="1"/>
  <c r="L16" i="35"/>
  <c r="I17" i="43"/>
  <c r="I13" i="43" s="1"/>
  <c r="L8" i="43"/>
  <c r="N8" i="43" s="1"/>
  <c r="R8" i="43" s="1"/>
  <c r="G5" i="21"/>
  <c r="L5" i="21" s="1"/>
  <c r="N2" i="14"/>
  <c r="L3" i="11"/>
  <c r="C12" i="11"/>
  <c r="C18" i="11" s="1"/>
  <c r="L5" i="16" l="1"/>
  <c r="K13" i="35"/>
  <c r="K18" i="35" s="1"/>
  <c r="L8" i="20"/>
  <c r="N8" i="20" s="1"/>
  <c r="R8" i="20" s="1"/>
  <c r="K13" i="32"/>
  <c r="K18" i="32" s="1"/>
  <c r="K13" i="41"/>
  <c r="K18" i="41" s="1"/>
  <c r="K13" i="38"/>
  <c r="K18" i="38" s="1"/>
  <c r="K13" i="29"/>
  <c r="K18" i="29" s="1"/>
  <c r="K13" i="21"/>
  <c r="K18" i="21" s="1"/>
  <c r="K13" i="11"/>
  <c r="K18" i="11" s="1"/>
  <c r="K13" i="22"/>
  <c r="K18" i="22" s="1"/>
  <c r="K13" i="40"/>
  <c r="K18" i="40" s="1"/>
  <c r="K13" i="42"/>
  <c r="K18" i="42" s="1"/>
  <c r="K13" i="43"/>
  <c r="K18" i="43" s="1"/>
  <c r="K13" i="27"/>
  <c r="K18" i="27" s="1"/>
  <c r="K13" i="17"/>
  <c r="K18" i="17" s="1"/>
  <c r="K13" i="19"/>
  <c r="K18" i="19" s="1"/>
  <c r="K13" i="30"/>
  <c r="K18" i="30" s="1"/>
  <c r="K13" i="36"/>
  <c r="K18" i="36" s="1"/>
  <c r="K13" i="31"/>
  <c r="K18" i="31" s="1"/>
  <c r="R16" i="43"/>
  <c r="Q16" i="43"/>
  <c r="F17" i="18"/>
  <c r="F12" i="18" s="1"/>
  <c r="F18" i="18" s="1"/>
  <c r="L3" i="18"/>
  <c r="N3" i="18" s="1"/>
  <c r="R3" i="18" s="1"/>
  <c r="R16" i="33"/>
  <c r="Q16" i="33"/>
  <c r="R16" i="31"/>
  <c r="Q16" i="31"/>
  <c r="K13" i="23"/>
  <c r="K18" i="23" s="1"/>
  <c r="P2" i="43"/>
  <c r="N2" i="43" s="1"/>
  <c r="R2" i="43" s="1"/>
  <c r="G5" i="37"/>
  <c r="L5" i="37" s="1"/>
  <c r="B18" i="23"/>
  <c r="L8" i="30"/>
  <c r="N8" i="30" s="1"/>
  <c r="R8" i="30" s="1"/>
  <c r="I17" i="30"/>
  <c r="I13" i="30" s="1"/>
  <c r="P2" i="38"/>
  <c r="N2" i="38" s="1"/>
  <c r="R2" i="38" s="1"/>
  <c r="B18" i="16"/>
  <c r="B12" i="43"/>
  <c r="B12" i="33"/>
  <c r="P2" i="27"/>
  <c r="N2" i="27" s="1"/>
  <c r="R2" i="27" s="1"/>
  <c r="G5" i="38"/>
  <c r="L5" i="38" s="1"/>
  <c r="P2" i="35"/>
  <c r="N2" i="35" s="1"/>
  <c r="R2" i="35" s="1"/>
  <c r="N9" i="35"/>
  <c r="R9" i="35" s="1"/>
  <c r="P2" i="31"/>
  <c r="N2" i="31" s="1"/>
  <c r="R2" i="31" s="1"/>
  <c r="I17" i="21"/>
  <c r="I13" i="21" s="1"/>
  <c r="L8" i="21"/>
  <c r="N8" i="21" s="1"/>
  <c r="R8" i="21" s="1"/>
  <c r="B12" i="31"/>
  <c r="L3" i="35"/>
  <c r="N3" i="35" s="1"/>
  <c r="R3" i="35" s="1"/>
  <c r="B12" i="17"/>
  <c r="K13" i="24"/>
  <c r="K18" i="24" s="1"/>
  <c r="Q16" i="29"/>
  <c r="R16" i="29"/>
  <c r="B12" i="39"/>
  <c r="P2" i="24"/>
  <c r="N2" i="24" s="1"/>
  <c r="R2" i="24" s="1"/>
  <c r="P2" i="16"/>
  <c r="N2" i="16" s="1"/>
  <c r="R2" i="16" s="1"/>
  <c r="Q16" i="20"/>
  <c r="R16" i="20"/>
  <c r="R16" i="19"/>
  <c r="Q16" i="19"/>
  <c r="I17" i="24"/>
  <c r="I13" i="24" s="1"/>
  <c r="L8" i="24"/>
  <c r="N8" i="24" s="1"/>
  <c r="R8" i="24" s="1"/>
  <c r="P2" i="17"/>
  <c r="N2" i="17" s="1"/>
  <c r="R2" i="17" s="1"/>
  <c r="B12" i="38"/>
  <c r="I17" i="19"/>
  <c r="I13" i="19" s="1"/>
  <c r="L8" i="19"/>
  <c r="N8" i="19" s="1"/>
  <c r="R8" i="19" s="1"/>
  <c r="R5" i="14"/>
  <c r="Q5" i="14"/>
  <c r="E17" i="14" s="1"/>
  <c r="E12" i="14" s="1"/>
  <c r="Q5" i="21"/>
  <c r="E17" i="21" s="1"/>
  <c r="R5" i="21"/>
  <c r="Q16" i="17"/>
  <c r="R16" i="17"/>
  <c r="P2" i="19"/>
  <c r="N2" i="19" s="1"/>
  <c r="R2" i="19" s="1"/>
  <c r="B12" i="29"/>
  <c r="P2" i="36"/>
  <c r="N2" i="36" s="1"/>
  <c r="R2" i="36" s="1"/>
  <c r="R16" i="39"/>
  <c r="Q16" i="39"/>
  <c r="E14" i="36"/>
  <c r="L14" i="36" s="1"/>
  <c r="R16" i="42"/>
  <c r="Q16" i="42"/>
  <c r="P2" i="23"/>
  <c r="R2" i="23" s="1"/>
  <c r="K13" i="14"/>
  <c r="K18" i="14" s="1"/>
  <c r="B12" i="20"/>
  <c r="G5" i="28"/>
  <c r="L5" i="28" s="1"/>
  <c r="R16" i="34"/>
  <c r="Q16" i="34"/>
  <c r="P2" i="37"/>
  <c r="N2" i="37" s="1"/>
  <c r="R2" i="37" s="1"/>
  <c r="I17" i="26"/>
  <c r="I13" i="26" s="1"/>
  <c r="L8" i="26"/>
  <c r="N8" i="26" s="1"/>
  <c r="R8" i="26" s="1"/>
  <c r="G5" i="42"/>
  <c r="L5" i="42" s="1"/>
  <c r="P2" i="30"/>
  <c r="N2" i="30" s="1"/>
  <c r="R2" i="30" s="1"/>
  <c r="P2" i="41"/>
  <c r="N2" i="41" s="1"/>
  <c r="R2" i="41" s="1"/>
  <c r="R5" i="16"/>
  <c r="Q5" i="16"/>
  <c r="E17" i="16" s="1"/>
  <c r="Q16" i="38"/>
  <c r="R16" i="38"/>
  <c r="R16" i="16"/>
  <c r="Q16" i="16"/>
  <c r="I17" i="28"/>
  <c r="I13" i="28" s="1"/>
  <c r="L8" i="28"/>
  <c r="N8" i="28" s="1"/>
  <c r="R8" i="28" s="1"/>
  <c r="P2" i="29"/>
  <c r="N2" i="29" s="1"/>
  <c r="R2" i="29" s="1"/>
  <c r="R16" i="15"/>
  <c r="Q16" i="15"/>
  <c r="I17" i="33"/>
  <c r="I13" i="33" s="1"/>
  <c r="L8" i="33"/>
  <c r="N8" i="33" s="1"/>
  <c r="R8" i="33" s="1"/>
  <c r="B12" i="42"/>
  <c r="N6" i="20"/>
  <c r="R6" i="20" s="1"/>
  <c r="L8" i="38"/>
  <c r="N8" i="38" s="1"/>
  <c r="R8" i="38" s="1"/>
  <c r="I17" i="38"/>
  <c r="I13" i="38" s="1"/>
  <c r="G5" i="39"/>
  <c r="L5" i="39" s="1"/>
  <c r="B12" i="36"/>
  <c r="K13" i="34"/>
  <c r="K18" i="34" s="1"/>
  <c r="Q16" i="32"/>
  <c r="R16" i="32"/>
  <c r="B12" i="34"/>
  <c r="K13" i="26"/>
  <c r="K18" i="26" s="1"/>
  <c r="P2" i="11"/>
  <c r="N2" i="11" s="1"/>
  <c r="R2" i="11" s="1"/>
  <c r="R16" i="26"/>
  <c r="Q16" i="26"/>
  <c r="G5" i="22"/>
  <c r="L5" i="22" s="1"/>
  <c r="K13" i="18"/>
  <c r="K18" i="18" s="1"/>
  <c r="M11" i="18"/>
  <c r="R11" i="18" s="1"/>
  <c r="I17" i="11"/>
  <c r="I13" i="11" s="1"/>
  <c r="L8" i="11"/>
  <c r="N8" i="11" s="1"/>
  <c r="R8" i="11" s="1"/>
  <c r="G5" i="41"/>
  <c r="L5" i="41" s="1"/>
  <c r="R16" i="41"/>
  <c r="Q16" i="41"/>
  <c r="Q16" i="21"/>
  <c r="R16" i="21"/>
  <c r="N6" i="35"/>
  <c r="R6" i="35" s="1"/>
  <c r="P2" i="20"/>
  <c r="N2" i="20" s="1"/>
  <c r="R2" i="20" s="1"/>
  <c r="L8" i="35"/>
  <c r="N8" i="35" s="1"/>
  <c r="R8" i="35" s="1"/>
  <c r="G5" i="23"/>
  <c r="L5" i="23" s="1"/>
  <c r="P2" i="21"/>
  <c r="N2" i="21" s="1"/>
  <c r="R2" i="21" s="1"/>
  <c r="R16" i="18"/>
  <c r="Q16" i="18"/>
  <c r="R16" i="24"/>
  <c r="Q16" i="24"/>
  <c r="P2" i="26"/>
  <c r="N2" i="26" s="1"/>
  <c r="R2" i="26" s="1"/>
  <c r="P2" i="15"/>
  <c r="N2" i="15" s="1"/>
  <c r="R2" i="15" s="1"/>
  <c r="Q16" i="36"/>
  <c r="R16" i="36"/>
  <c r="B12" i="32"/>
  <c r="I17" i="34"/>
  <c r="I13" i="34" s="1"/>
  <c r="L8" i="34"/>
  <c r="B12" i="26"/>
  <c r="B18" i="21"/>
  <c r="P2" i="32"/>
  <c r="N2" i="32" s="1"/>
  <c r="R2" i="32" s="1"/>
  <c r="R16" i="37"/>
  <c r="Q16" i="37"/>
  <c r="P2" i="28"/>
  <c r="N2" i="28" s="1"/>
  <c r="R2" i="28" s="1"/>
  <c r="I17" i="22"/>
  <c r="I13" i="22" s="1"/>
  <c r="L8" i="22"/>
  <c r="N8" i="22" s="1"/>
  <c r="R8" i="22" s="1"/>
  <c r="Q16" i="28"/>
  <c r="R16" i="28"/>
  <c r="I17" i="18"/>
  <c r="I13" i="18" s="1"/>
  <c r="L8" i="18"/>
  <c r="N8" i="18" s="1"/>
  <c r="R8" i="18" s="1"/>
  <c r="B12" i="41"/>
  <c r="G5" i="33"/>
  <c r="L5" i="33" s="1"/>
  <c r="B12" i="24"/>
  <c r="G5" i="27"/>
  <c r="L5" i="27" s="1"/>
  <c r="G17" i="14"/>
  <c r="G12" i="14" s="1"/>
  <c r="G18" i="14" s="1"/>
  <c r="R16" i="22"/>
  <c r="Q16" i="22"/>
  <c r="I17" i="31"/>
  <c r="I13" i="31" s="1"/>
  <c r="L8" i="31"/>
  <c r="N8" i="31" s="1"/>
  <c r="R8" i="31" s="1"/>
  <c r="G5" i="36"/>
  <c r="L5" i="36" s="1"/>
  <c r="G5" i="31"/>
  <c r="L5" i="31" s="1"/>
  <c r="R16" i="35"/>
  <c r="Q16" i="35"/>
  <c r="B12" i="37"/>
  <c r="G5" i="26"/>
  <c r="L5" i="26" s="1"/>
  <c r="P2" i="22"/>
  <c r="N2" i="22" s="1"/>
  <c r="R2" i="22" s="1"/>
  <c r="Q16" i="40"/>
  <c r="R16" i="40"/>
  <c r="G3" i="24"/>
  <c r="L3" i="24" s="1"/>
  <c r="N3" i="24" s="1"/>
  <c r="R3" i="24" s="1"/>
  <c r="F17" i="24"/>
  <c r="F12" i="24" s="1"/>
  <c r="F18" i="24" s="1"/>
  <c r="B12" i="28"/>
  <c r="K13" i="15"/>
  <c r="K18" i="15" s="1"/>
  <c r="M11" i="15"/>
  <c r="R11" i="15" s="1"/>
  <c r="K13" i="20"/>
  <c r="K18" i="20" s="1"/>
  <c r="P2" i="40"/>
  <c r="N2" i="40" s="1"/>
  <c r="R2" i="40" s="1"/>
  <c r="L13" i="41"/>
  <c r="P2" i="42"/>
  <c r="N2" i="42" s="1"/>
  <c r="R2" i="42" s="1"/>
  <c r="G17" i="21"/>
  <c r="G12" i="21" s="1"/>
  <c r="G18" i="21" s="1"/>
  <c r="G5" i="43"/>
  <c r="L5" i="43" s="1"/>
  <c r="R16" i="27"/>
  <c r="Q16" i="27"/>
  <c r="R16" i="30"/>
  <c r="Q16" i="30"/>
  <c r="B18" i="22"/>
  <c r="P2" i="33"/>
  <c r="N2" i="33" s="1"/>
  <c r="R2" i="33" s="1"/>
  <c r="P2" i="39"/>
  <c r="N2" i="39" s="1"/>
  <c r="R2" i="39" s="1"/>
  <c r="I17" i="16"/>
  <c r="I13" i="16" s="1"/>
  <c r="L8" i="16"/>
  <c r="N8" i="16" s="1"/>
  <c r="R8" i="16" s="1"/>
  <c r="L8" i="17"/>
  <c r="N8" i="17" s="1"/>
  <c r="R8" i="17" s="1"/>
  <c r="J17" i="17"/>
  <c r="J13" i="17" s="1"/>
  <c r="E14" i="17" s="1"/>
  <c r="L14" i="17" s="1"/>
  <c r="I17" i="40"/>
  <c r="I13" i="40" s="1"/>
  <c r="L8" i="40"/>
  <c r="N8" i="40" s="1"/>
  <c r="R8" i="40" s="1"/>
  <c r="G5" i="17"/>
  <c r="L5" i="17" s="1"/>
  <c r="Q16" i="11"/>
  <c r="R16" i="11"/>
  <c r="G5" i="40"/>
  <c r="L5" i="40" s="1"/>
  <c r="K13" i="33"/>
  <c r="K18" i="33" s="1"/>
  <c r="B12" i="40"/>
  <c r="P2" i="34"/>
  <c r="N2" i="34"/>
  <c r="R2" i="34" s="1"/>
  <c r="R8" i="41"/>
  <c r="P2" i="18"/>
  <c r="N2" i="18" s="1"/>
  <c r="R2" i="18" s="1"/>
  <c r="G5" i="30"/>
  <c r="L5" i="30" s="1"/>
  <c r="B12" i="27"/>
  <c r="B12" i="30"/>
  <c r="I17" i="39"/>
  <c r="I13" i="39" s="1"/>
  <c r="L8" i="39"/>
  <c r="N8" i="39" s="1"/>
  <c r="R8" i="39" s="1"/>
  <c r="L3" i="17"/>
  <c r="N3" i="17" s="1"/>
  <c r="R3" i="17" s="1"/>
  <c r="G3" i="20"/>
  <c r="L3" i="20" s="1"/>
  <c r="N3" i="20" s="1"/>
  <c r="R3" i="20" s="1"/>
  <c r="F17" i="20"/>
  <c r="F12" i="20" s="1"/>
  <c r="F18" i="20" s="1"/>
  <c r="G5" i="32"/>
  <c r="L5" i="32" s="1"/>
  <c r="K13" i="37"/>
  <c r="K18" i="37" s="1"/>
  <c r="K13" i="16"/>
  <c r="K18" i="16" s="1"/>
  <c r="L3" i="38"/>
  <c r="N3" i="38" s="1"/>
  <c r="R3" i="38" s="1"/>
  <c r="K13" i="28"/>
  <c r="K18" i="28" s="1"/>
  <c r="I17" i="29"/>
  <c r="I13" i="29" s="1"/>
  <c r="L8" i="29"/>
  <c r="N8" i="29" s="1"/>
  <c r="R8" i="29" s="1"/>
  <c r="I17" i="42"/>
  <c r="I13" i="42" s="1"/>
  <c r="L8" i="42"/>
  <c r="N8" i="42" s="1"/>
  <c r="R8" i="42" s="1"/>
  <c r="L8" i="32"/>
  <c r="N8" i="32" s="1"/>
  <c r="R8" i="32" s="1"/>
  <c r="I17" i="32"/>
  <c r="I13" i="32" s="1"/>
  <c r="R2" i="14"/>
  <c r="N3" i="11"/>
  <c r="R3" i="11" s="1"/>
  <c r="E14" i="35" l="1"/>
  <c r="G5" i="35" s="1"/>
  <c r="G4" i="35" s="1"/>
  <c r="G17" i="35" s="1"/>
  <c r="G12" i="35" s="1"/>
  <c r="G18" i="35" s="1"/>
  <c r="E14" i="41"/>
  <c r="L14" i="41" s="1"/>
  <c r="L13" i="43"/>
  <c r="E14" i="43"/>
  <c r="L14" i="43" s="1"/>
  <c r="Q14" i="43" s="1"/>
  <c r="L13" i="27"/>
  <c r="G17" i="22"/>
  <c r="G12" i="22" s="1"/>
  <c r="G18" i="22" s="1"/>
  <c r="G17" i="39"/>
  <c r="G12" i="39" s="1"/>
  <c r="G18" i="39" s="1"/>
  <c r="E14" i="37"/>
  <c r="L14" i="37" s="1"/>
  <c r="Q14" i="37" s="1"/>
  <c r="G17" i="43"/>
  <c r="G12" i="43" s="1"/>
  <c r="G18" i="43" s="1"/>
  <c r="G17" i="42"/>
  <c r="G12" i="42" s="1"/>
  <c r="G18" i="42" s="1"/>
  <c r="G17" i="40"/>
  <c r="G12" i="40" s="1"/>
  <c r="G18" i="40" s="1"/>
  <c r="G17" i="23"/>
  <c r="G12" i="23" s="1"/>
  <c r="G18" i="23" s="1"/>
  <c r="E14" i="27"/>
  <c r="L14" i="27" s="1"/>
  <c r="Q14" i="27" s="1"/>
  <c r="L13" i="17"/>
  <c r="G17" i="30"/>
  <c r="G12" i="30" s="1"/>
  <c r="G18" i="30" s="1"/>
  <c r="G17" i="36"/>
  <c r="G12" i="36" s="1"/>
  <c r="G18" i="36" s="1"/>
  <c r="L13" i="36"/>
  <c r="B18" i="20"/>
  <c r="R5" i="17"/>
  <c r="Q5" i="17"/>
  <c r="E17" i="17" s="1"/>
  <c r="R14" i="36"/>
  <c r="Q14" i="36"/>
  <c r="B18" i="17"/>
  <c r="L13" i="30"/>
  <c r="E14" i="30"/>
  <c r="L14" i="30" s="1"/>
  <c r="L13" i="35"/>
  <c r="G17" i="41"/>
  <c r="G12" i="41" s="1"/>
  <c r="G18" i="41" s="1"/>
  <c r="Q5" i="39"/>
  <c r="E17" i="39" s="1"/>
  <c r="R5" i="39"/>
  <c r="L13" i="37"/>
  <c r="B18" i="41"/>
  <c r="L13" i="34"/>
  <c r="E14" i="34"/>
  <c r="L13" i="38"/>
  <c r="E14" i="38"/>
  <c r="L14" i="38" s="1"/>
  <c r="L13" i="15"/>
  <c r="L17" i="21"/>
  <c r="E12" i="21"/>
  <c r="L13" i="24"/>
  <c r="E14" i="24"/>
  <c r="L14" i="24" s="1"/>
  <c r="B18" i="36"/>
  <c r="L13" i="33"/>
  <c r="E14" i="33"/>
  <c r="L14" i="33" s="1"/>
  <c r="L13" i="32"/>
  <c r="E14" i="32"/>
  <c r="L14" i="32" s="1"/>
  <c r="E14" i="15"/>
  <c r="L14" i="15" s="1"/>
  <c r="E18" i="14"/>
  <c r="L12" i="14"/>
  <c r="B18" i="33"/>
  <c r="B18" i="26"/>
  <c r="G17" i="17"/>
  <c r="G12" i="17" s="1"/>
  <c r="G18" i="17" s="1"/>
  <c r="G17" i="26"/>
  <c r="G12" i="26" s="1"/>
  <c r="G18" i="26" s="1"/>
  <c r="L13" i="11"/>
  <c r="E14" i="11"/>
  <c r="L14" i="11" s="1"/>
  <c r="B18" i="40"/>
  <c r="R14" i="41"/>
  <c r="Q14" i="41"/>
  <c r="E14" i="18"/>
  <c r="G5" i="18" s="1"/>
  <c r="G4" i="18" s="1"/>
  <c r="L13" i="18"/>
  <c r="B18" i="32"/>
  <c r="B18" i="34"/>
  <c r="G5" i="24"/>
  <c r="L5" i="24" s="1"/>
  <c r="E14" i="28"/>
  <c r="L14" i="28" s="1"/>
  <c r="L13" i="28"/>
  <c r="E14" i="23"/>
  <c r="L14" i="23" s="1"/>
  <c r="B18" i="39"/>
  <c r="B18" i="31"/>
  <c r="B18" i="43"/>
  <c r="R5" i="41"/>
  <c r="Q5" i="41"/>
  <c r="E17" i="41" s="1"/>
  <c r="L17" i="16"/>
  <c r="E12" i="16"/>
  <c r="E14" i="39"/>
  <c r="L14" i="39" s="1"/>
  <c r="L13" i="39"/>
  <c r="L13" i="31"/>
  <c r="E14" i="31"/>
  <c r="L14" i="31" s="1"/>
  <c r="N8" i="34"/>
  <c r="R8" i="34" s="1"/>
  <c r="B18" i="37"/>
  <c r="G17" i="32"/>
  <c r="G12" i="32" s="1"/>
  <c r="G18" i="32" s="1"/>
  <c r="R14" i="17"/>
  <c r="Q14" i="17"/>
  <c r="R5" i="27"/>
  <c r="Q5" i="27"/>
  <c r="E17" i="27" s="1"/>
  <c r="R5" i="30"/>
  <c r="Q5" i="30"/>
  <c r="E17" i="30" s="1"/>
  <c r="R5" i="40"/>
  <c r="Q5" i="40"/>
  <c r="E17" i="40" s="1"/>
  <c r="Q5" i="31"/>
  <c r="E17" i="31" s="1"/>
  <c r="R5" i="31"/>
  <c r="G17" i="27"/>
  <c r="G12" i="27" s="1"/>
  <c r="G18" i="27" s="1"/>
  <c r="R5" i="22"/>
  <c r="Q5" i="22"/>
  <c r="E17" i="22" s="1"/>
  <c r="R5" i="42"/>
  <c r="Q5" i="42"/>
  <c r="E17" i="42" s="1"/>
  <c r="R5" i="28"/>
  <c r="Q5" i="28"/>
  <c r="E17" i="28" s="1"/>
  <c r="B18" i="29"/>
  <c r="E14" i="19"/>
  <c r="L14" i="19" s="1"/>
  <c r="L13" i="19"/>
  <c r="L13" i="23"/>
  <c r="L13" i="20"/>
  <c r="R5" i="37"/>
  <c r="Q5" i="37"/>
  <c r="E17" i="37" s="1"/>
  <c r="B18" i="28"/>
  <c r="R5" i="32"/>
  <c r="Q5" i="32"/>
  <c r="E17" i="32" s="1"/>
  <c r="L13" i="40"/>
  <c r="E14" i="40"/>
  <c r="L14" i="40" s="1"/>
  <c r="E14" i="29"/>
  <c r="L13" i="29"/>
  <c r="L13" i="16"/>
  <c r="E14" i="16"/>
  <c r="L14" i="16" s="1"/>
  <c r="G17" i="31"/>
  <c r="G12" i="31" s="1"/>
  <c r="G18" i="31" s="1"/>
  <c r="B18" i="42"/>
  <c r="G17" i="28"/>
  <c r="G12" i="28" s="1"/>
  <c r="G18" i="28" s="1"/>
  <c r="L13" i="21"/>
  <c r="E14" i="21"/>
  <c r="L14" i="21" s="1"/>
  <c r="E14" i="20"/>
  <c r="G17" i="37"/>
  <c r="G12" i="37" s="1"/>
  <c r="G18" i="37" s="1"/>
  <c r="Q5" i="33"/>
  <c r="E17" i="33" s="1"/>
  <c r="R5" i="33"/>
  <c r="E14" i="26"/>
  <c r="L14" i="26" s="1"/>
  <c r="L13" i="26"/>
  <c r="R5" i="26"/>
  <c r="Q5" i="26"/>
  <c r="E17" i="26" s="1"/>
  <c r="G17" i="33"/>
  <c r="G12" i="33" s="1"/>
  <c r="G18" i="33" s="1"/>
  <c r="B18" i="30"/>
  <c r="L13" i="42"/>
  <c r="E14" i="42"/>
  <c r="L14" i="42" s="1"/>
  <c r="B18" i="27"/>
  <c r="Q5" i="43"/>
  <c r="E17" i="43" s="1"/>
  <c r="R5" i="43"/>
  <c r="Q5" i="36"/>
  <c r="E17" i="36" s="1"/>
  <c r="R5" i="36"/>
  <c r="B18" i="24"/>
  <c r="L13" i="22"/>
  <c r="E14" i="22"/>
  <c r="L14" i="22" s="1"/>
  <c r="R5" i="23"/>
  <c r="Q5" i="23"/>
  <c r="E17" i="23" s="1"/>
  <c r="B18" i="38"/>
  <c r="R5" i="38"/>
  <c r="Q5" i="38"/>
  <c r="E17" i="38" s="1"/>
  <c r="G17" i="38"/>
  <c r="G12" i="38" s="1"/>
  <c r="G18" i="38" s="1"/>
  <c r="L5" i="15"/>
  <c r="R14" i="43" l="1"/>
  <c r="R14" i="27"/>
  <c r="R14" i="37"/>
  <c r="E15" i="21"/>
  <c r="E12" i="32"/>
  <c r="E15" i="32"/>
  <c r="L17" i="32"/>
  <c r="R14" i="24"/>
  <c r="Q14" i="24"/>
  <c r="R14" i="23"/>
  <c r="Q14" i="23"/>
  <c r="R14" i="22"/>
  <c r="Q14" i="22"/>
  <c r="R14" i="32"/>
  <c r="Q14" i="32"/>
  <c r="E18" i="21"/>
  <c r="L12" i="21"/>
  <c r="E12" i="30"/>
  <c r="E15" i="30"/>
  <c r="L17" i="30"/>
  <c r="E12" i="38"/>
  <c r="E15" i="38"/>
  <c r="L17" i="38"/>
  <c r="E12" i="37"/>
  <c r="E15" i="37"/>
  <c r="L17" i="37"/>
  <c r="R5" i="24"/>
  <c r="Q5" i="24"/>
  <c r="E17" i="24" s="1"/>
  <c r="Q17" i="21"/>
  <c r="R17" i="21"/>
  <c r="E12" i="33"/>
  <c r="E15" i="33"/>
  <c r="L17" i="33"/>
  <c r="E15" i="27"/>
  <c r="E12" i="27"/>
  <c r="L17" i="27"/>
  <c r="L17" i="22"/>
  <c r="E12" i="22"/>
  <c r="E15" i="22"/>
  <c r="R14" i="38"/>
  <c r="Q14" i="38"/>
  <c r="E12" i="39"/>
  <c r="E15" i="39"/>
  <c r="L17" i="39"/>
  <c r="E12" i="40"/>
  <c r="E15" i="40"/>
  <c r="L17" i="40"/>
  <c r="E12" i="28"/>
  <c r="E15" i="28"/>
  <c r="L17" i="28"/>
  <c r="R14" i="28"/>
  <c r="Q14" i="28"/>
  <c r="L14" i="18"/>
  <c r="L15" i="21"/>
  <c r="M13" i="21"/>
  <c r="Q13" i="21" s="1"/>
  <c r="Q14" i="16"/>
  <c r="R14" i="16"/>
  <c r="E12" i="42"/>
  <c r="E15" i="42"/>
  <c r="L17" i="42"/>
  <c r="R14" i="31"/>
  <c r="Q14" i="31"/>
  <c r="R14" i="33"/>
  <c r="Q14" i="33"/>
  <c r="Q14" i="42"/>
  <c r="R14" i="42"/>
  <c r="G17" i="24"/>
  <c r="G12" i="24" s="1"/>
  <c r="G18" i="24" s="1"/>
  <c r="Q14" i="39"/>
  <c r="R14" i="39"/>
  <c r="E12" i="43"/>
  <c r="E15" i="43"/>
  <c r="L17" i="43"/>
  <c r="Q14" i="19"/>
  <c r="R14" i="19"/>
  <c r="E12" i="26"/>
  <c r="E15" i="26"/>
  <c r="L17" i="26"/>
  <c r="E12" i="31"/>
  <c r="E15" i="31"/>
  <c r="L17" i="31"/>
  <c r="Q17" i="16"/>
  <c r="R17" i="16"/>
  <c r="R14" i="26"/>
  <c r="Q14" i="26"/>
  <c r="E12" i="36"/>
  <c r="E15" i="36"/>
  <c r="L17" i="36"/>
  <c r="G5" i="20"/>
  <c r="L14" i="20"/>
  <c r="N5" i="29"/>
  <c r="L14" i="29"/>
  <c r="E12" i="23"/>
  <c r="E15" i="23"/>
  <c r="L17" i="23"/>
  <c r="R14" i="21"/>
  <c r="Q14" i="21"/>
  <c r="Q14" i="40"/>
  <c r="R14" i="40"/>
  <c r="E15" i="16"/>
  <c r="Q14" i="11"/>
  <c r="R14" i="11"/>
  <c r="G5" i="34"/>
  <c r="L14" i="34"/>
  <c r="L14" i="35"/>
  <c r="E12" i="17"/>
  <c r="E15" i="17"/>
  <c r="L17" i="17"/>
  <c r="E18" i="16"/>
  <c r="L12" i="16"/>
  <c r="R12" i="14"/>
  <c r="Q12" i="14"/>
  <c r="Q14" i="30"/>
  <c r="R14" i="30"/>
  <c r="E12" i="41"/>
  <c r="E15" i="41"/>
  <c r="L17" i="41"/>
  <c r="R14" i="15"/>
  <c r="Q14" i="15"/>
  <c r="Q5" i="15"/>
  <c r="E17" i="15" s="1"/>
  <c r="L4" i="15"/>
  <c r="R5" i="15"/>
  <c r="E18" i="36" l="1"/>
  <c r="L12" i="36"/>
  <c r="Q17" i="26"/>
  <c r="R17" i="26"/>
  <c r="M13" i="42"/>
  <c r="L15" i="42"/>
  <c r="Q17" i="28"/>
  <c r="R17" i="28"/>
  <c r="E12" i="24"/>
  <c r="E15" i="24"/>
  <c r="L17" i="24"/>
  <c r="Q17" i="30"/>
  <c r="R17" i="30"/>
  <c r="L5" i="35"/>
  <c r="R17" i="23"/>
  <c r="Q17" i="23"/>
  <c r="R17" i="41"/>
  <c r="Q17" i="41"/>
  <c r="Q14" i="34"/>
  <c r="R14" i="34"/>
  <c r="M13" i="23"/>
  <c r="L15" i="23"/>
  <c r="L15" i="41"/>
  <c r="M13" i="41"/>
  <c r="L5" i="34"/>
  <c r="G4" i="34"/>
  <c r="E18" i="23"/>
  <c r="L12" i="23"/>
  <c r="M13" i="26"/>
  <c r="L15" i="26"/>
  <c r="E18" i="42"/>
  <c r="L12" i="42"/>
  <c r="L15" i="28"/>
  <c r="M13" i="28"/>
  <c r="M13" i="30"/>
  <c r="L15" i="30"/>
  <c r="R17" i="40"/>
  <c r="Q17" i="40"/>
  <c r="M13" i="22"/>
  <c r="L15" i="22"/>
  <c r="E18" i="27"/>
  <c r="L12" i="27"/>
  <c r="L15" i="37"/>
  <c r="M13" i="37"/>
  <c r="R12" i="21"/>
  <c r="Q12" i="21"/>
  <c r="M13" i="16"/>
  <c r="L15" i="16"/>
  <c r="R14" i="29"/>
  <c r="Q14" i="29"/>
  <c r="M13" i="40"/>
  <c r="L15" i="40"/>
  <c r="E18" i="22"/>
  <c r="L12" i="22"/>
  <c r="M13" i="27"/>
  <c r="L15" i="27"/>
  <c r="E18" i="37"/>
  <c r="L12" i="37"/>
  <c r="R13" i="21"/>
  <c r="Q17" i="33"/>
  <c r="R17" i="33"/>
  <c r="E18" i="41"/>
  <c r="L12" i="41"/>
  <c r="R17" i="38"/>
  <c r="Q17" i="38"/>
  <c r="M13" i="17"/>
  <c r="L15" i="17"/>
  <c r="Q14" i="20"/>
  <c r="R14" i="20"/>
  <c r="Q14" i="18"/>
  <c r="R14" i="18"/>
  <c r="R17" i="39"/>
  <c r="Q17" i="39"/>
  <c r="L15" i="33"/>
  <c r="M13" i="33"/>
  <c r="L15" i="38"/>
  <c r="M13" i="38"/>
  <c r="R17" i="17"/>
  <c r="Q17" i="17"/>
  <c r="E18" i="17"/>
  <c r="L12" i="17"/>
  <c r="G4" i="20"/>
  <c r="L5" i="20"/>
  <c r="R17" i="31"/>
  <c r="Q17" i="31"/>
  <c r="R17" i="32"/>
  <c r="Q17" i="32"/>
  <c r="E18" i="26"/>
  <c r="L12" i="26"/>
  <c r="E18" i="28"/>
  <c r="L12" i="28"/>
  <c r="R17" i="27"/>
  <c r="Q17" i="27"/>
  <c r="Q17" i="37"/>
  <c r="R17" i="37"/>
  <c r="E18" i="30"/>
  <c r="L12" i="30"/>
  <c r="Q12" i="16"/>
  <c r="R12" i="16"/>
  <c r="Q5" i="29"/>
  <c r="E17" i="29" s="1"/>
  <c r="R5" i="29"/>
  <c r="Q15" i="21"/>
  <c r="R15" i="21"/>
  <c r="E18" i="40"/>
  <c r="L12" i="40"/>
  <c r="R17" i="22"/>
  <c r="Q17" i="22"/>
  <c r="R17" i="43"/>
  <c r="Q17" i="43"/>
  <c r="L5" i="18"/>
  <c r="L15" i="39"/>
  <c r="M13" i="39"/>
  <c r="E18" i="33"/>
  <c r="L12" i="33"/>
  <c r="E18" i="38"/>
  <c r="L12" i="38"/>
  <c r="R14" i="35"/>
  <c r="Q14" i="35"/>
  <c r="Q17" i="36"/>
  <c r="R17" i="36"/>
  <c r="M13" i="31"/>
  <c r="L15" i="31"/>
  <c r="M13" i="43"/>
  <c r="L15" i="43"/>
  <c r="E18" i="39"/>
  <c r="L12" i="39"/>
  <c r="M13" i="32"/>
  <c r="L15" i="32"/>
  <c r="L15" i="36"/>
  <c r="M13" i="36"/>
  <c r="E18" i="31"/>
  <c r="L12" i="31"/>
  <c r="E18" i="43"/>
  <c r="L12" i="43"/>
  <c r="Q17" i="42"/>
  <c r="R17" i="42"/>
  <c r="E18" i="32"/>
  <c r="L12" i="32"/>
  <c r="E15" i="15"/>
  <c r="E12" i="15"/>
  <c r="E18" i="15" s="1"/>
  <c r="N4" i="15"/>
  <c r="L17" i="15"/>
  <c r="R12" i="32" l="1"/>
  <c r="Q12" i="32"/>
  <c r="Q15" i="32"/>
  <c r="R15" i="32"/>
  <c r="Q12" i="26"/>
  <c r="R12" i="26"/>
  <c r="Q13" i="22"/>
  <c r="R13" i="22"/>
  <c r="Q13" i="26"/>
  <c r="R13" i="26"/>
  <c r="M13" i="24"/>
  <c r="L15" i="24"/>
  <c r="R13" i="32"/>
  <c r="Q13" i="32"/>
  <c r="R12" i="39"/>
  <c r="Q12" i="39"/>
  <c r="R15" i="17"/>
  <c r="Q15" i="17"/>
  <c r="Q13" i="16"/>
  <c r="R13" i="16"/>
  <c r="Q15" i="38"/>
  <c r="R15" i="38"/>
  <c r="Q13" i="17"/>
  <c r="R13" i="17"/>
  <c r="Q15" i="27"/>
  <c r="R15" i="27"/>
  <c r="R15" i="30"/>
  <c r="Q15" i="30"/>
  <c r="L4" i="34"/>
  <c r="N4" i="34" s="1"/>
  <c r="R4" i="34" s="1"/>
  <c r="G17" i="34"/>
  <c r="G12" i="34" s="1"/>
  <c r="G18" i="34" s="1"/>
  <c r="G17" i="18"/>
  <c r="G12" i="18" s="1"/>
  <c r="G18" i="18" s="1"/>
  <c r="L4" i="18"/>
  <c r="N4" i="18" s="1"/>
  <c r="R4" i="18" s="1"/>
  <c r="E15" i="29"/>
  <c r="E12" i="29"/>
  <c r="L17" i="29"/>
  <c r="Q15" i="42"/>
  <c r="R15" i="42"/>
  <c r="R12" i="37"/>
  <c r="Q12" i="37"/>
  <c r="R15" i="16"/>
  <c r="Q15" i="16"/>
  <c r="R12" i="23"/>
  <c r="Q12" i="23"/>
  <c r="E18" i="24"/>
  <c r="L12" i="24"/>
  <c r="R12" i="38"/>
  <c r="Q12" i="38"/>
  <c r="R12" i="30"/>
  <c r="Q12" i="30"/>
  <c r="R13" i="38"/>
  <c r="Q13" i="38"/>
  <c r="R12" i="43"/>
  <c r="Q12" i="43"/>
  <c r="Q15" i="43"/>
  <c r="R15" i="43"/>
  <c r="Q12" i="33"/>
  <c r="R12" i="33"/>
  <c r="Q12" i="40"/>
  <c r="R12" i="40"/>
  <c r="R13" i="33"/>
  <c r="Q13" i="33"/>
  <c r="R13" i="27"/>
  <c r="Q13" i="27"/>
  <c r="R13" i="30"/>
  <c r="Q13" i="30"/>
  <c r="Q5" i="34"/>
  <c r="E17" i="34" s="1"/>
  <c r="R5" i="34"/>
  <c r="R13" i="43"/>
  <c r="Q13" i="43"/>
  <c r="Q15" i="33"/>
  <c r="R15" i="33"/>
  <c r="Q12" i="22"/>
  <c r="R12" i="22"/>
  <c r="R13" i="37"/>
  <c r="Q13" i="37"/>
  <c r="R13" i="28"/>
  <c r="Q13" i="28"/>
  <c r="Q13" i="41"/>
  <c r="R13" i="41"/>
  <c r="Q5" i="35"/>
  <c r="E17" i="35" s="1"/>
  <c r="R5" i="35"/>
  <c r="Q13" i="42"/>
  <c r="R13" i="42"/>
  <c r="R5" i="20"/>
  <c r="Q5" i="20"/>
  <c r="E17" i="20" s="1"/>
  <c r="R12" i="41"/>
  <c r="Q12" i="41"/>
  <c r="R15" i="37"/>
  <c r="Q15" i="37"/>
  <c r="Q15" i="28"/>
  <c r="R15" i="28"/>
  <c r="R15" i="41"/>
  <c r="Q15" i="41"/>
  <c r="L4" i="35"/>
  <c r="N4" i="35" s="1"/>
  <c r="R4" i="35" s="1"/>
  <c r="L4" i="20"/>
  <c r="N4" i="20" s="1"/>
  <c r="R4" i="20" s="1"/>
  <c r="G17" i="20"/>
  <c r="G12" i="20" s="1"/>
  <c r="G18" i="20" s="1"/>
  <c r="Q12" i="27"/>
  <c r="R12" i="27"/>
  <c r="R12" i="42"/>
  <c r="Q12" i="42"/>
  <c r="R15" i="23"/>
  <c r="Q15" i="23"/>
  <c r="Q15" i="40"/>
  <c r="R15" i="40"/>
  <c r="Q13" i="36"/>
  <c r="R13" i="36"/>
  <c r="R12" i="28"/>
  <c r="Q12" i="28"/>
  <c r="Q12" i="17"/>
  <c r="R12" i="17"/>
  <c r="Q13" i="40"/>
  <c r="R13" i="40"/>
  <c r="R13" i="23"/>
  <c r="Q13" i="23"/>
  <c r="Q12" i="36"/>
  <c r="R12" i="36"/>
  <c r="Q12" i="31"/>
  <c r="R12" i="31"/>
  <c r="R15" i="31"/>
  <c r="Q15" i="31"/>
  <c r="Q13" i="39"/>
  <c r="R13" i="39"/>
  <c r="Q13" i="31"/>
  <c r="R13" i="31"/>
  <c r="Q15" i="39"/>
  <c r="R15" i="39"/>
  <c r="R15" i="36"/>
  <c r="Q15" i="36"/>
  <c r="R15" i="22"/>
  <c r="Q15" i="22"/>
  <c r="R15" i="26"/>
  <c r="Q15" i="26"/>
  <c r="Q17" i="24"/>
  <c r="R17" i="24"/>
  <c r="R4" i="15"/>
  <c r="R17" i="15"/>
  <c r="Q17" i="15"/>
  <c r="E15" i="35" l="1"/>
  <c r="E12" i="35"/>
  <c r="E18" i="35" s="1"/>
  <c r="L17" i="35"/>
  <c r="E15" i="20"/>
  <c r="E12" i="20"/>
  <c r="L17" i="20"/>
  <c r="Q12" i="24"/>
  <c r="R12" i="24"/>
  <c r="R17" i="29"/>
  <c r="Q17" i="29"/>
  <c r="E12" i="34"/>
  <c r="E15" i="34"/>
  <c r="L17" i="34"/>
  <c r="E18" i="29"/>
  <c r="L12" i="29"/>
  <c r="M13" i="29"/>
  <c r="L15" i="29"/>
  <c r="Q15" i="24"/>
  <c r="R15" i="24"/>
  <c r="Q13" i="24"/>
  <c r="R13" i="24"/>
  <c r="L15" i="15"/>
  <c r="R15" i="15" s="1"/>
  <c r="M13" i="15"/>
  <c r="L12" i="15"/>
  <c r="H12" i="11"/>
  <c r="H18" i="11" s="1"/>
  <c r="L5" i="11"/>
  <c r="R15" i="29" l="1"/>
  <c r="Q15" i="29"/>
  <c r="R13" i="29"/>
  <c r="Q13" i="29"/>
  <c r="R17" i="20"/>
  <c r="Q17" i="20"/>
  <c r="R12" i="29"/>
  <c r="Q12" i="29"/>
  <c r="E18" i="20"/>
  <c r="L12" i="20"/>
  <c r="M13" i="20"/>
  <c r="L15" i="20"/>
  <c r="Q17" i="34"/>
  <c r="R17" i="34"/>
  <c r="R17" i="35"/>
  <c r="Q17" i="35"/>
  <c r="M13" i="34"/>
  <c r="L15" i="34"/>
  <c r="M13" i="35"/>
  <c r="L15" i="35"/>
  <c r="E18" i="34"/>
  <c r="L12" i="34"/>
  <c r="L12" i="35"/>
  <c r="R13" i="15"/>
  <c r="Q5" i="11"/>
  <c r="Q15" i="15"/>
  <c r="Q13" i="15"/>
  <c r="R12" i="15"/>
  <c r="Q12" i="15"/>
  <c r="R5" i="11"/>
  <c r="Q13" i="35" l="1"/>
  <c r="R13" i="35"/>
  <c r="Q15" i="34"/>
  <c r="R15" i="34"/>
  <c r="Q12" i="35"/>
  <c r="R12" i="35"/>
  <c r="R15" i="35"/>
  <c r="Q15" i="35"/>
  <c r="R12" i="20"/>
  <c r="Q12" i="20"/>
  <c r="R13" i="34"/>
  <c r="Q13" i="34"/>
  <c r="Q12" i="34"/>
  <c r="R12" i="34"/>
  <c r="Q15" i="20"/>
  <c r="R15" i="20"/>
  <c r="Q13" i="20"/>
  <c r="R13" i="20"/>
  <c r="E17" i="11"/>
  <c r="L17" i="11" s="1"/>
  <c r="R17" i="11" l="1"/>
  <c r="Q17" i="11"/>
  <c r="E15" i="11"/>
  <c r="E12" i="11"/>
  <c r="E18" i="11" s="1"/>
  <c r="M13" i="11" l="1"/>
  <c r="L12" i="11"/>
  <c r="L15" i="11"/>
  <c r="J8" i="14"/>
  <c r="J17" i="14" s="1"/>
  <c r="I8" i="14"/>
  <c r="I17" i="14" s="1"/>
  <c r="Q13" i="11" l="1"/>
  <c r="R13" i="1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G5" i="19" l="1"/>
  <c r="L5" i="19" s="1"/>
  <c r="F17" i="19"/>
  <c r="F12" i="19" s="1"/>
  <c r="F18" i="19" s="1"/>
  <c r="L3" i="19" l="1"/>
  <c r="Q5" i="19"/>
  <c r="R5" i="19"/>
  <c r="G17" i="19"/>
  <c r="G12" i="19" s="1"/>
  <c r="G18" i="19" s="1"/>
  <c r="N3" i="19" l="1"/>
  <c r="R3" i="19" s="1"/>
  <c r="E17" i="19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l="1"/>
  <c r="R12" i="19"/>
  <c r="Q15" i="19"/>
  <c r="R13" i="19"/>
  <c r="Q5" i="18" l="1"/>
  <c r="E17" i="18" s="1"/>
  <c r="R5" i="18"/>
  <c r="E15" i="18" l="1"/>
  <c r="E12" i="18"/>
  <c r="E18" i="18" s="1"/>
  <c r="L17" i="18"/>
  <c r="R17" i="18" l="1"/>
  <c r="Q17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<sst xmlns="http://schemas.openxmlformats.org/spreadsheetml/2006/main" count="1164" uniqueCount="109">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</sst>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>
            <v>569.5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11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428499.66800705309</v>
      </c>
      <c r="D3" s="1">
        <f>VLOOKUP($B3, '[1]Pro of iron ore'!$B$2:$X$31, $A$1, FALSE)*(1-VLOOKUP($B3, '[1]Foundry share'!$B$2:$X$31, $A$1, FALSE))</f>
        <v>265481.39471547963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539149.09786657873</v>
      </c>
      <c r="H3" s="1">
        <f>VLOOKUP($B3, '[1]Exp of pig iron'!$B$2:$X$31, $A$1, FALSE)</f>
        <v>237</v>
      </c>
      <c r="I3" s="1">
        <f>VLOOKUP($B3, '[1]Imp of pig iron'!$B$2:$X$31, $A$1, FALSE)</f>
        <v>3616</v>
      </c>
      <c r="J3" s="1">
        <f>VLOOKUP($B3, '[1]Pro of DRI'!$B$2:$X$31, $A$1, FALSE)</f>
        <v>42</v>
      </c>
      <c r="K3" s="1">
        <f>VLOOKUP($B3, '[1]Exp of DRI'!$B$2:$X$31, $A$1, FALSE)</f>
        <v>5</v>
      </c>
      <c r="L3" s="1">
        <f>VLOOKUP($B3, '[1]Imp of DRI'!$B$2:$X$31, $A$1, FALSE)</f>
        <v>1779</v>
      </c>
      <c r="M3" s="1">
        <f>VLOOKUP($B3, '[1]Exp of scrap'!$B$2:$X$31, $A$1, FALSE)</f>
        <v>9</v>
      </c>
      <c r="N3" s="1">
        <f>VLOOKUP($B3, '[1]Imp of scrap'!$B$2:$X$31, $A$1, FALSE)</f>
        <v>13692</v>
      </c>
      <c r="O3" s="1">
        <f>VLOOKUP($B3, '[1]Pro of BOF steel'!$B$2:$X$31, $A$1, FALSE)</f>
        <v>521203</v>
      </c>
      <c r="P3" s="1">
        <f>VLOOKUP($B3, '[1]Pro of OHF steel'!$B$2:$X$31, $A$1, FALSE)</f>
        <v>0</v>
      </c>
      <c r="Q3" s="1">
        <f>VLOOKUP($B3, '[1]Pro of EAF steel'!$B$2:$X$31, $A$1, FALSE)</f>
        <v>55765</v>
      </c>
      <c r="R3" s="1">
        <f>VLOOKUP($B3, '[1]Exp of ingots and semis'!$B$2:$X$31, $A$1, FALSE)</f>
        <v>44</v>
      </c>
      <c r="S3" s="1">
        <f>VLOOKUP($B3, '[1]Imp of ingots and semis'!$B$2:$X$31, $A$1, FALSE)</f>
        <v>4649</v>
      </c>
      <c r="T3" s="1">
        <f>VLOOKUP($B3, '[1]Pro of hr long'!$B$2:$X$31, $A$1, FALSE)+VLOOKUP($B3, '[1]Pro of seamless tubes'!$B$2:$X$31, $A$1, FALSE)</f>
        <v>357151</v>
      </c>
      <c r="U3" s="1">
        <f>VLOOKUP($B3, '[1]Exp of long'!$B$2:$X$31, $A$1, FALSE)</f>
        <v>5527</v>
      </c>
      <c r="V3" s="1">
        <f>VLOOKUP($B3, '[1]Imp of long'!$B$2:$X$31, $A$1, FALSE)</f>
        <v>1666</v>
      </c>
      <c r="W3" s="1">
        <f>VLOOKUP($B3, '[1]Pro of hr flat'!$B$2:$X$31, $A$1, FALSE)*parameters!$B$8</f>
        <v>215378.17211948792</v>
      </c>
      <c r="X3" s="1">
        <f>VLOOKUP($B3, '[1]Exp of flat'!$B$2:$X$31, $A$1, FALSE)</f>
        <v>11843</v>
      </c>
      <c r="Y3" s="1">
        <f>VLOOKUP($B3, '[1]Imp of flat'!$B$2:$X$31, $A$1, FALSE)</f>
        <v>15275</v>
      </c>
      <c r="Z3" s="1">
        <f>VLOOKUP($B3, '[1]Indirect exp'!$B$2:$X$31, $A$1, FALSE)</f>
        <v>44710</v>
      </c>
      <c r="AA3" s="1">
        <f>VLOOKUP($B3, '[1]Indirect imp'!$B$2:$X$31, $A$1, FALSE)</f>
        <v>9013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212595.2517834318</v>
      </c>
      <c r="D4" s="1">
        <f>VLOOKUP($B4, '[1]Pro of iron ore'!$B$2:$X$31, $A$1, FALSE)*(1-VLOOKUP($B4, '[1]Foundry share'!$B$2:$X$31, $A$1, FALSE))</f>
        <v>136234.50828570937</v>
      </c>
      <c r="E4" s="47">
        <f>VLOOKUP($B4, '[1]Iron content'!$B$2:$X$31, $A$1, FALSE)</f>
        <v>0.64081632653061227</v>
      </c>
      <c r="F4" s="1">
        <f>VLOOKUP($B4, '[1]Exp of usable iron ore'!$B$2:$X$31, $A$1, FALSE)*parameters!$B$12</f>
        <v>58985.55</v>
      </c>
      <c r="G4" s="1">
        <f>VLOOKUP($B4, '[1]Pro of pig iron'!$B$2:$X$31, $A$1, FALSE)*(1-VLOOKUP($B4, '[1]Foundry share'!$B$2:$X$31, $A$1, FALSE))</f>
        <v>33176.139842595709</v>
      </c>
      <c r="H4" s="1">
        <f>VLOOKUP($B4, '[1]Exp of pig iron'!$B$2:$X$31, $A$1, FALSE)</f>
        <v>397</v>
      </c>
      <c r="I4" s="1">
        <f>VLOOKUP($B4, '[1]Imp of pig iron'!$B$2:$X$31, $A$1, FALSE)</f>
        <v>8</v>
      </c>
      <c r="J4" s="1">
        <f>VLOOKUP($B4, '[1]Pro of DRI'!$B$2:$X$31, $A$1, FALSE)</f>
        <v>23445</v>
      </c>
      <c r="K4" s="1">
        <f>VLOOKUP($B4, '[1]Exp of DRI'!$B$2:$X$31, $A$1, FALSE)</f>
        <v>17</v>
      </c>
      <c r="L4" s="1">
        <f>VLOOKUP($B4, '[1]Imp of DRI'!$B$2:$X$31, $A$1, FALSE)</f>
        <v>1</v>
      </c>
      <c r="M4" s="1">
        <f>VLOOKUP($B4, '[1]Exp of scrap'!$B$2:$X$31, $A$1, FALSE)</f>
        <v>0</v>
      </c>
      <c r="N4" s="1">
        <f>VLOOKUP($B4, '[1]Imp of scrap'!$B$2:$X$31, $A$1, FALSE)</f>
        <v>4727</v>
      </c>
      <c r="O4" s="1">
        <f>VLOOKUP($B4, '[1]Pro of BOF steel'!$B$2:$X$31, $A$1, FALSE)</f>
        <v>23002</v>
      </c>
      <c r="P4" s="1">
        <f>VLOOKUP($B4, '[1]Pro of OHF steel'!$B$2:$X$31, $A$1, FALSE)</f>
        <v>394</v>
      </c>
      <c r="Q4" s="1">
        <f>VLOOKUP($B4, '[1]Pro of EAF steel'!$B$2:$X$31, $A$1, FALSE)</f>
        <v>40133</v>
      </c>
      <c r="R4" s="1">
        <f>VLOOKUP($B4, '[1]Exp of ingots and semis'!$B$2:$X$31, $A$1, FALSE)</f>
        <v>695</v>
      </c>
      <c r="S4" s="1">
        <f>VLOOKUP($B4, '[1]Imp of ingots and semis'!$B$2:$X$31, $A$1, FALSE)</f>
        <v>648</v>
      </c>
      <c r="T4" s="1">
        <f>VLOOKUP($B4, '[1]Pro of hr long'!$B$2:$X$31, $A$1, FALSE)+VLOOKUP($B4, '[1]Pro of seamless tubes'!$B$2:$X$31, $A$1, FALSE)</f>
        <v>28268</v>
      </c>
      <c r="U4" s="1">
        <f>VLOOKUP($B4, '[1]Exp of long'!$B$2:$X$31, $A$1, FALSE)</f>
        <v>455</v>
      </c>
      <c r="V4" s="1">
        <f>VLOOKUP($B4, '[1]Imp of long'!$B$2:$X$31, $A$1, FALSE)</f>
        <v>668</v>
      </c>
      <c r="W4" s="1">
        <f>VLOOKUP($B4, '[1]Pro of hr flat'!$B$2:$X$31, $A$1, FALSE)*parameters!$B$8</f>
        <v>27370.520625889047</v>
      </c>
      <c r="X4" s="1">
        <f>VLOOKUP($B4, '[1]Exp of flat'!$B$2:$X$31, $A$1, FALSE)</f>
        <v>2747</v>
      </c>
      <c r="Y4" s="1">
        <f>VLOOKUP($B4, '[1]Imp of flat'!$B$2:$X$31, $A$1, FALSE)</f>
        <v>6434</v>
      </c>
      <c r="Z4" s="1">
        <f>VLOOKUP($B4, '[1]Indirect exp'!$B$2:$X$31, $A$1, FALSE)</f>
        <v>3314</v>
      </c>
      <c r="AA4" s="1">
        <f>VLOOKUP($B4, '[1]Indirect imp'!$B$2:$X$31, $A$1, FALSE)</f>
        <v>3422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66943</v>
      </c>
      <c r="H5" s="1">
        <f>VLOOKUP($B5, '[1]Exp of pig iron'!$B$2:$X$31, $A$1, FALSE)</f>
        <v>590</v>
      </c>
      <c r="I5" s="1">
        <f>VLOOKUP($B5, '[1]Imp of pig iron'!$B$2:$X$31, $A$1, FALSE)</f>
        <v>293</v>
      </c>
      <c r="J5" s="1">
        <f>VLOOKUP($B5, '[1]Pro of DRI'!$B$2:$X$31, $A$1, FALSE)</f>
        <v>0</v>
      </c>
      <c r="K5" s="1">
        <f>VLOOKUP($B5, '[1]Exp of DRI'!$B$2:$X$31, $A$1, FALSE)</f>
        <v>1</v>
      </c>
      <c r="L5" s="1">
        <f>VLOOKUP($B5, '[1]Imp of DRI'!$B$2:$X$31, $A$1, FALSE)</f>
        <v>1</v>
      </c>
      <c r="M5" s="1">
        <f>VLOOKUP($B5, '[1]Exp of scrap'!$B$2:$X$31, $A$1, FALSE)</f>
        <v>9398</v>
      </c>
      <c r="N5" s="1">
        <f>VLOOKUP($B5, '[1]Imp of scrap'!$B$2:$X$31, $A$1, FALSE)</f>
        <v>194</v>
      </c>
      <c r="O5" s="1">
        <f>VLOOKUP($B5, '[1]Pro of BOF steel'!$B$2:$X$31, $A$1, FALSE)</f>
        <v>68337</v>
      </c>
      <c r="P5" s="1">
        <f>VLOOKUP($B5, '[1]Pro of OHF steel'!$B$2:$X$31, $A$1, FALSE)</f>
        <v>0</v>
      </c>
      <c r="Q5" s="1">
        <f>VLOOKUP($B5, '[1]Pro of EAF steel'!$B$2:$X$31, $A$1, FALSE)</f>
        <v>19197</v>
      </c>
      <c r="R5" s="1">
        <f>VLOOKUP($B5, '[1]Exp of ingots and semis'!$B$2:$X$31, $A$1, FALSE)</f>
        <v>5843</v>
      </c>
      <c r="S5" s="1">
        <f>VLOOKUP($B5, '[1]Imp of ingots and semis'!$B$2:$X$31, $A$1, FALSE)</f>
        <v>48</v>
      </c>
      <c r="T5" s="1">
        <f>VLOOKUP($B5, '[1]Pro of hr long'!$B$2:$X$31, $A$1, FALSE)+VLOOKUP($B5, '[1]Pro of seamless tubes'!$B$2:$X$31, $A$1, FALSE)</f>
        <v>25081</v>
      </c>
      <c r="U5" s="1">
        <f>VLOOKUP($B5, '[1]Exp of long'!$B$2:$X$31, $A$1, FALSE)</f>
        <v>3532</v>
      </c>
      <c r="V5" s="1">
        <f>VLOOKUP($B5, '[1]Imp of long'!$B$2:$X$31, $A$1, FALSE)</f>
        <v>587</v>
      </c>
      <c r="W5" s="1">
        <f>VLOOKUP($B5, '[1]Pro of hr flat'!$B$2:$X$31, $A$1, FALSE)*parameters!$B$8</f>
        <v>50347.68990042674</v>
      </c>
      <c r="X5" s="1">
        <f>VLOOKUP($B5, '[1]Exp of flat'!$B$2:$X$31, $A$1, FALSE)</f>
        <v>21804</v>
      </c>
      <c r="Y5" s="1">
        <f>VLOOKUP($B5, '[1]Imp of flat'!$B$2:$X$31, $A$1, FALSE)</f>
        <v>2180</v>
      </c>
      <c r="Z5" s="1">
        <f>VLOOKUP($B5, '[1]Indirect exp'!$B$2:$X$31, $A$1, FALSE)</f>
        <v>20858</v>
      </c>
      <c r="AA5" s="1">
        <f>VLOOKUP($B5, '[1]Indirect imp'!$B$2:$X$31, $A$1, FALSE)</f>
        <v>4643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26696</v>
      </c>
      <c r="D6" s="1">
        <f>VLOOKUP($B6, '[1]Pro of iron ore'!$B$2:$X$31, $A$1, FALSE)*(1-VLOOKUP($B6, '[1]Foundry share'!$B$2:$X$31, $A$1, FALSE))</f>
        <v>16550</v>
      </c>
      <c r="E6" s="47">
        <f>VLOOKUP($B6, '[1]Iron content'!$B$2:$X$31, $A$1, FALSE)</f>
        <v>0.61994306263110577</v>
      </c>
      <c r="F6" s="1">
        <f>VLOOKUP($B6, '[1]Exp of usable iron ore'!$B$2:$X$31, $A$1, FALSE)*parameters!$B$12</f>
        <v>2546.7000000000003</v>
      </c>
      <c r="G6" s="1">
        <f>VLOOKUP($B6, '[1]Pro of pig iron'!$B$2:$X$31, $A$1, FALSE)*(1-VLOOKUP($B6, '[1]Foundry share'!$B$2:$X$31, $A$1, FALSE))</f>
        <v>19018</v>
      </c>
      <c r="H6" s="1">
        <f>VLOOKUP($B6, '[1]Exp of pig iron'!$B$2:$X$31, $A$1, FALSE)</f>
        <v>22</v>
      </c>
      <c r="I6" s="1">
        <f>VLOOKUP($B6, '[1]Imp of pig iron'!$B$2:$X$31, $A$1, FALSE)</f>
        <v>2424</v>
      </c>
      <c r="J6" s="1">
        <f>VLOOKUP($B6, '[1]Pro of DRI'!$B$2:$X$31, $A$1, FALSE)</f>
        <v>0</v>
      </c>
      <c r="K6" s="1">
        <f>VLOOKUP($B6, '[1]Exp of DRI'!$B$2:$X$31, $A$1, FALSE)</f>
        <v>36</v>
      </c>
      <c r="L6" s="1">
        <f>VLOOKUP($B6, '[1]Imp of DRI'!$B$2:$X$31, $A$1, FALSE)</f>
        <v>1016</v>
      </c>
      <c r="M6" s="1">
        <f>VLOOKUP($B6, '[1]Exp of scrap'!$B$2:$X$31, $A$1, FALSE)</f>
        <v>22439</v>
      </c>
      <c r="N6" s="1">
        <f>VLOOKUP($B6, '[1]Imp of scrap'!$B$2:$X$31, $A$1, FALSE)</f>
        <v>2986</v>
      </c>
      <c r="O6" s="1">
        <f>VLOOKUP($B6, '[1]Pro of BOF steel'!$B$2:$X$31, $A$1, FALSE)</f>
        <v>22659</v>
      </c>
      <c r="P6" s="1">
        <f>VLOOKUP($B6, '[1]Pro of OHF steel'!$B$2:$X$31, $A$1, FALSE)</f>
        <v>0</v>
      </c>
      <c r="Q6" s="1">
        <f>VLOOKUP($B6, '[1]Pro of EAF steel'!$B$2:$X$31, $A$1, FALSE)</f>
        <v>36725</v>
      </c>
      <c r="R6" s="1">
        <f>VLOOKUP($B6, '[1]Exp of ingots and semis'!$B$2:$X$31, $A$1, FALSE)</f>
        <v>591</v>
      </c>
      <c r="S6" s="1">
        <f>VLOOKUP($B6, '[1]Imp of ingots and semis'!$B$2:$X$31, $A$1, FALSE)</f>
        <v>1822</v>
      </c>
      <c r="T6" s="1">
        <f>VLOOKUP($B6, '[1]Pro of hr long'!$B$2:$X$31, $A$1, FALSE)+VLOOKUP($B6, '[1]Pro of seamless tubes'!$B$2:$X$31, $A$1, FALSE)</f>
        <v>17036</v>
      </c>
      <c r="U6" s="1">
        <f>VLOOKUP($B6, '[1]Exp of long'!$B$2:$X$31, $A$1, FALSE)</f>
        <v>2112</v>
      </c>
      <c r="V6" s="1">
        <f>VLOOKUP($B6, '[1]Imp of long'!$B$2:$X$31, $A$1, FALSE)</f>
        <v>3195</v>
      </c>
      <c r="W6" s="1">
        <f>VLOOKUP($B6, '[1]Pro of hr flat'!$B$2:$X$31, $A$1, FALSE)*parameters!$B$8</f>
        <v>38389.84637268848</v>
      </c>
      <c r="X6" s="1">
        <f>VLOOKUP($B6, '[1]Exp of flat'!$B$2:$X$31, $A$1, FALSE)</f>
        <v>4998</v>
      </c>
      <c r="Y6" s="1">
        <f>VLOOKUP($B6, '[1]Imp of flat'!$B$2:$X$31, $A$1, FALSE)</f>
        <v>5661</v>
      </c>
      <c r="Z6" s="1">
        <f>VLOOKUP($B6, '[1]Indirect exp'!$B$2:$X$31, $A$1, FALSE)</f>
        <v>13792</v>
      </c>
      <c r="AA6" s="1">
        <f>VLOOKUP($B6, '[1]Indirect imp'!$B$2:$X$31, $A$1, FALSE)</f>
        <v>23485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92000</v>
      </c>
      <c r="D7" s="1">
        <f>VLOOKUP($B7, '[1]Pro of iron ore'!$B$2:$X$31, $A$1, FALSE)*(1-VLOOKUP($B7, '[1]Foundry share'!$B$2:$X$31, $A$1, FALSE))</f>
        <v>53200</v>
      </c>
      <c r="E7" s="47">
        <f>VLOOKUP($B7, '[1]Iron content'!$B$2:$X$31, $A$1, FALSE)</f>
        <v>0.57826086956521738</v>
      </c>
      <c r="F7" s="1">
        <f>VLOOKUP($B7, '[1]Exp of usable iron ore'!$B$2:$X$31, $A$1, FALSE)*parameters!$B$12</f>
        <v>11679.2</v>
      </c>
      <c r="G7" s="1">
        <f>VLOOKUP($B7, '[1]Pro of pig iron'!$B$2:$X$31, $A$1, FALSE)*(1-VLOOKUP($B7, '[1]Foundry share'!$B$2:$X$31, $A$1, FALSE))</f>
        <v>43945</v>
      </c>
      <c r="H7" s="1">
        <f>VLOOKUP($B7, '[1]Exp of pig iron'!$B$2:$X$31, $A$1, FALSE)</f>
        <v>4077</v>
      </c>
      <c r="I7" s="1">
        <f>VLOOKUP($B7, '[1]Imp of pig iron'!$B$2:$X$31, $A$1, FALSE)</f>
        <v>0</v>
      </c>
      <c r="J7" s="1">
        <f>VLOOKUP($B7, '[1]Pro of DRI'!$B$2:$X$31, $A$1, FALSE)</f>
        <v>4600</v>
      </c>
      <c r="K7" s="1">
        <f>VLOOKUP($B7, '[1]Exp of DRI'!$B$2:$X$31, $A$1, FALSE)</f>
        <v>1675</v>
      </c>
      <c r="L7" s="1">
        <f>VLOOKUP($B7, '[1]Imp of DRI'!$B$2:$X$31, $A$1, FALSE)</f>
        <v>0</v>
      </c>
      <c r="M7" s="1">
        <f>VLOOKUP($B7, '[1]Exp of scrap'!$B$2:$X$31, $A$1, FALSE)</f>
        <v>1202</v>
      </c>
      <c r="N7" s="1">
        <f>VLOOKUP($B7, '[1]Imp of scrap'!$B$2:$X$31, $A$1, FALSE)</f>
        <v>9</v>
      </c>
      <c r="O7" s="1">
        <f>VLOOKUP($B7, '[1]Pro of BOF steel'!$B$2:$X$31, $A$1, FALSE)</f>
        <v>38036</v>
      </c>
      <c r="P7" s="1">
        <f>VLOOKUP($B7, '[1]Pro of OHF steel'!$B$2:$X$31, $A$1, FALSE)</f>
        <v>5856</v>
      </c>
      <c r="Q7" s="1">
        <f>VLOOKUP($B7, '[1]Pro of EAF steel'!$B$2:$X$31, $A$1, FALSE)</f>
        <v>16119</v>
      </c>
      <c r="R7" s="1">
        <f>VLOOKUP($B7, '[1]Exp of ingots and semis'!$B$2:$X$31, $A$1, FALSE)</f>
        <v>13270</v>
      </c>
      <c r="S7" s="1">
        <f>VLOOKUP($B7, '[1]Imp of ingots and semis'!$B$2:$X$31, $A$1, FALSE)</f>
        <v>6</v>
      </c>
      <c r="T7" s="1">
        <f>VLOOKUP($B7, '[1]Pro of hr long'!$B$2:$X$31, $A$1, FALSE)+VLOOKUP($B7, '[1]Pro of seamless tubes'!$B$2:$X$31, $A$1, FALSE)</f>
        <v>21100</v>
      </c>
      <c r="U7" s="1">
        <f>VLOOKUP($B7, '[1]Exp of long'!$B$2:$X$31, $A$1, FALSE)</f>
        <v>3838</v>
      </c>
      <c r="V7" s="1">
        <f>VLOOKUP($B7, '[1]Imp of long'!$B$2:$X$31, $A$1, FALSE)</f>
        <v>837</v>
      </c>
      <c r="W7" s="1">
        <f>VLOOKUP($B7, '[1]Pro of hr flat'!$B$2:$X$31, $A$1, FALSE)*parameters!$B$8</f>
        <v>28855.049786628733</v>
      </c>
      <c r="X7" s="1">
        <f>VLOOKUP($B7, '[1]Exp of flat'!$B$2:$X$31, $A$1, FALSE)</f>
        <v>9164</v>
      </c>
      <c r="Y7" s="1">
        <f>VLOOKUP($B7, '[1]Imp of flat'!$B$2:$X$31, $A$1, FALSE)</f>
        <v>2182</v>
      </c>
      <c r="Z7" s="1">
        <f>VLOOKUP($B7, '[1]Indirect exp'!$B$2:$X$31, $A$1, FALSE)</f>
        <v>1582</v>
      </c>
      <c r="AA7" s="1">
        <f>VLOOKUP($B7, '[1]Indirect imp'!$B$2:$X$31, $A$1, FALSE)</f>
        <v>4864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27284</v>
      </c>
      <c r="H8" s="1">
        <f>VLOOKUP($B8, '[1]Exp of pig iron'!$B$2:$X$31, $A$1, FALSE)</f>
        <v>11</v>
      </c>
      <c r="I8" s="1">
        <f>VLOOKUP($B8, '[1]Imp of pig iron'!$B$2:$X$31, $A$1, FALSE)</f>
        <v>754</v>
      </c>
      <c r="J8" s="1">
        <f>VLOOKUP($B8, '[1]Pro of DRI'!$B$2:$X$31, $A$1, FALSE)</f>
        <v>0</v>
      </c>
      <c r="K8" s="1">
        <f>VLOOKUP($B8, '[1]Exp of DRI'!$B$2:$X$31, $A$1, FALSE)</f>
        <v>0</v>
      </c>
      <c r="L8" s="1">
        <f>VLOOKUP($B8, '[1]Imp of DRI'!$B$2:$X$31, $A$1, FALSE)</f>
        <v>323</v>
      </c>
      <c r="M8" s="1">
        <f>VLOOKUP($B8, '[1]Exp of scrap'!$B$2:$X$31, $A$1, FALSE)</f>
        <v>485</v>
      </c>
      <c r="N8" s="1">
        <f>VLOOKUP($B8, '[1]Imp of scrap'!$B$2:$X$31, $A$1, FALSE)</f>
        <v>7800</v>
      </c>
      <c r="O8" s="1">
        <f>VLOOKUP($B8, '[1]Pro of BOF steel'!$B$2:$X$31, $A$1, FALSE)</f>
        <v>27667</v>
      </c>
      <c r="P8" s="1">
        <f>VLOOKUP($B8, '[1]Pro of OHF steel'!$B$2:$X$31, $A$1, FALSE)</f>
        <v>0</v>
      </c>
      <c r="Q8" s="1">
        <f>VLOOKUP($B8, '[1]Pro of EAF steel'!$B$2:$X$31, $A$1, FALSE)</f>
        <v>20905</v>
      </c>
      <c r="R8" s="1">
        <f>VLOOKUP($B8, '[1]Exp of ingots and semis'!$B$2:$X$31, $A$1, FALSE)</f>
        <v>353</v>
      </c>
      <c r="S8" s="1">
        <f>VLOOKUP($B8, '[1]Imp of ingots and semis'!$B$2:$X$31, $A$1, FALSE)</f>
        <v>5413</v>
      </c>
      <c r="T8" s="1">
        <f>VLOOKUP($B8, '[1]Pro of hr long'!$B$2:$X$31, $A$1, FALSE)+VLOOKUP($B8, '[1]Pro of seamless tubes'!$B$2:$X$31, $A$1, FALSE)</f>
        <v>18723</v>
      </c>
      <c r="U8" s="1">
        <f>VLOOKUP($B8, '[1]Exp of long'!$B$2:$X$31, $A$1, FALSE)</f>
        <v>3620</v>
      </c>
      <c r="V8" s="1">
        <f>VLOOKUP($B8, '[1]Imp of long'!$B$2:$X$31, $A$1, FALSE)</f>
        <v>2962</v>
      </c>
      <c r="W8" s="1">
        <f>VLOOKUP($B8, '[1]Pro of hr flat'!$B$2:$X$31, $A$1, FALSE)*parameters!$B$8</f>
        <v>31431.601706970127</v>
      </c>
      <c r="X8" s="1">
        <f>VLOOKUP($B8, '[1]Exp of flat'!$B$2:$X$31, $A$1, FALSE)</f>
        <v>14945</v>
      </c>
      <c r="Y8" s="1">
        <f>VLOOKUP($B8, '[1]Imp of flat'!$B$2:$X$31, $A$1, FALSE)</f>
        <v>11317</v>
      </c>
      <c r="Z8" s="1">
        <f>VLOOKUP($B8, '[1]Indirect exp'!$B$2:$X$31, $A$1, FALSE)</f>
        <v>21958</v>
      </c>
      <c r="AA8" s="1">
        <f>VLOOKUP($B8, '[1]Indirect imp'!$B$2:$X$31, $A$1, FALSE)</f>
        <v>5632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350</v>
      </c>
      <c r="D9" s="1">
        <f>VLOOKUP($B9, '[1]Pro of iron ore'!$B$2:$X$31, $A$1, FALSE)*(1-VLOOKUP($B9, '[1]Foundry share'!$B$2:$X$31, $A$1, FALSE))</f>
        <v>36.799999999999997</v>
      </c>
      <c r="E9" s="47">
        <f>VLOOKUP($B9, '[1]Iron content'!$B$2:$X$31, $A$1, FALSE)</f>
        <v>0.10514285714285714</v>
      </c>
      <c r="F9" s="1">
        <f>VLOOKUP($B9, '[1]Exp of usable iron ore'!$B$2:$X$31, $A$1, FALSE)*parameters!$B$12</f>
        <v>2.6</v>
      </c>
      <c r="G9" s="1">
        <f>VLOOKUP($B9, '[1]Pro of pig iron'!$B$2:$X$31, $A$1, FALSE)*(1-VLOOKUP($B9, '[1]Foundry share'!$B$2:$X$31, $A$1, FALSE))</f>
        <v>19715</v>
      </c>
      <c r="H9" s="1">
        <f>VLOOKUP($B9, '[1]Exp of pig iron'!$B$2:$X$31, $A$1, FALSE)</f>
        <v>86</v>
      </c>
      <c r="I9" s="1">
        <f>VLOOKUP($B9, '[1]Imp of pig iron'!$B$2:$X$31, $A$1, FALSE)</f>
        <v>402</v>
      </c>
      <c r="J9" s="1">
        <f>VLOOKUP($B9, '[1]Pro of DRI'!$B$2:$X$31, $A$1, FALSE)</f>
        <v>389</v>
      </c>
      <c r="K9" s="1">
        <f>VLOOKUP($B9, '[1]Exp of DRI'!$B$2:$X$31, $A$1, FALSE)</f>
        <v>3</v>
      </c>
      <c r="L9" s="1">
        <f>VLOOKUP($B9, '[1]Imp of DRI'!$B$2:$X$31, $A$1, FALSE)</f>
        <v>248</v>
      </c>
      <c r="M9" s="1">
        <f>VLOOKUP($B9, '[1]Exp of scrap'!$B$2:$X$31, $A$1, FALSE)</f>
        <v>7275</v>
      </c>
      <c r="N9" s="1">
        <f>VLOOKUP($B9, '[1]Imp of scrap'!$B$2:$X$31, $A$1, FALSE)</f>
        <v>3865</v>
      </c>
      <c r="O9" s="1">
        <f>VLOOKUP($B9, '[1]Pro of BOF steel'!$B$2:$X$31, $A$1, FALSE)</f>
        <v>21335</v>
      </c>
      <c r="P9" s="1">
        <f>VLOOKUP($B9, '[1]Pro of OHF steel'!$B$2:$X$31, $A$1, FALSE)</f>
        <v>0</v>
      </c>
      <c r="Q9" s="1">
        <f>VLOOKUP($B9, '[1]Pro of EAF steel'!$B$2:$X$31, $A$1, FALSE)</f>
        <v>11336</v>
      </c>
      <c r="R9" s="1">
        <f>VLOOKUP($B9, '[1]Exp of ingots and semis'!$B$2:$X$31, $A$1, FALSE)</f>
        <v>1655</v>
      </c>
      <c r="S9" s="1">
        <f>VLOOKUP($B9, '[1]Imp of ingots and semis'!$B$2:$X$31, $A$1, FALSE)</f>
        <v>1172</v>
      </c>
      <c r="T9" s="1">
        <f>VLOOKUP($B9, '[1]Pro of hr long'!$B$2:$X$31, $A$1, FALSE)+VLOOKUP($B9, '[1]Pro of seamless tubes'!$B$2:$X$31, $A$1, FALSE)</f>
        <v>11178</v>
      </c>
      <c r="U9" s="1">
        <f>VLOOKUP($B9, '[1]Exp of long'!$B$2:$X$31, $A$1, FALSE)</f>
        <v>5659</v>
      </c>
      <c r="V9" s="1">
        <f>VLOOKUP($B9, '[1]Imp of long'!$B$2:$X$31, $A$1, FALSE)</f>
        <v>5018</v>
      </c>
      <c r="W9" s="1">
        <f>VLOOKUP($B9, '[1]Pro of hr flat'!$B$2:$X$31, $A$1, FALSE)*parameters!$B$8</f>
        <v>18276.807965860597</v>
      </c>
      <c r="X9" s="1">
        <f>VLOOKUP($B9, '[1]Exp of flat'!$B$2:$X$31, $A$1, FALSE)</f>
        <v>10522</v>
      </c>
      <c r="Y9" s="1">
        <f>VLOOKUP($B9, '[1]Imp of flat'!$B$2:$X$31, $A$1, FALSE)</f>
        <v>9671</v>
      </c>
      <c r="Z9" s="1">
        <f>VLOOKUP($B9, '[1]Indirect exp'!$B$2:$X$31, $A$1, FALSE)</f>
        <v>22106</v>
      </c>
      <c r="AA9" s="1">
        <f>VLOOKUP($B9, '[1]Indirect imp'!$B$2:$X$31, $A$1, FALSE)</f>
        <v>16143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4000</v>
      </c>
      <c r="D10" s="1">
        <f>VLOOKUP($B10, '[1]Pro of iron ore'!$B$2:$X$31, $A$1, FALSE)*(1-VLOOKUP($B10, '[1]Foundry share'!$B$2:$X$31, $A$1, FALSE))</f>
        <v>2100</v>
      </c>
      <c r="E10" s="47">
        <f>VLOOKUP($B10, '[1]Iron content'!$B$2:$X$31, $A$1, FALSE)</f>
        <v>0.52500000000000002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7004</v>
      </c>
      <c r="H10" s="1">
        <f>VLOOKUP($B10, '[1]Exp of pig iron'!$B$2:$X$31, $A$1, FALSE)</f>
        <v>11</v>
      </c>
      <c r="I10" s="1">
        <f>VLOOKUP($B10, '[1]Imp of pig iron'!$B$2:$X$31, $A$1, FALSE)</f>
        <v>772</v>
      </c>
      <c r="J10" s="1">
        <f>VLOOKUP($B10, '[1]Pro of DRI'!$B$2:$X$31, $A$1, FALSE)</f>
        <v>0</v>
      </c>
      <c r="K10" s="1">
        <f>VLOOKUP($B10, '[1]Exp of DRI'!$B$2:$X$31, $A$1, FALSE)</f>
        <v>0</v>
      </c>
      <c r="L10" s="1">
        <f>VLOOKUP($B10, '[1]Imp of DRI'!$B$2:$X$31, $A$1, FALSE)</f>
        <v>21</v>
      </c>
      <c r="M10" s="1">
        <f>VLOOKUP($B10, '[1]Exp of scrap'!$B$2:$X$31, $A$1, FALSE)</f>
        <v>67</v>
      </c>
      <c r="N10" s="1">
        <f>VLOOKUP($B10, '[1]Imp of scrap'!$B$2:$X$31, $A$1, FALSE)</f>
        <v>15666</v>
      </c>
      <c r="O10" s="1">
        <f>VLOOKUP($B10, '[1]Pro of BOF steel'!$B$2:$X$31, $A$1, FALSE)</f>
        <v>7563</v>
      </c>
      <c r="P10" s="1">
        <f>VLOOKUP($B10, '[1]Pro of OHF steel'!$B$2:$X$31, $A$1, FALSE)</f>
        <v>0</v>
      </c>
      <c r="Q10" s="1">
        <f>VLOOKUP($B10, '[1]Pro of EAF steel'!$B$2:$X$31, $A$1, FALSE)</f>
        <v>17741</v>
      </c>
      <c r="R10" s="1">
        <f>VLOOKUP($B10, '[1]Exp of ingots and semis'!$B$2:$X$31, $A$1, FALSE)</f>
        <v>2424</v>
      </c>
      <c r="S10" s="1">
        <f>VLOOKUP($B10, '[1]Imp of ingots and semis'!$B$2:$X$31, $A$1, FALSE)</f>
        <v>3629</v>
      </c>
      <c r="T10" s="1">
        <f>VLOOKUP($B10, '[1]Pro of hr long'!$B$2:$X$31, $A$1, FALSE)+VLOOKUP($B10, '[1]Pro of seamless tubes'!$B$2:$X$31, $A$1, FALSE)</f>
        <v>20712</v>
      </c>
      <c r="U10" s="1">
        <f>VLOOKUP($B10, '[1]Exp of long'!$B$2:$X$31, $A$1, FALSE)</f>
        <v>11783</v>
      </c>
      <c r="V10" s="1">
        <f>VLOOKUP($B10, '[1]Imp of long'!$B$2:$X$31, $A$1, FALSE)</f>
        <v>766</v>
      </c>
      <c r="W10" s="1">
        <f>VLOOKUP($B10, '[1]Pro of hr flat'!$B$2:$X$31, $A$1, FALSE)*parameters!$B$8</f>
        <v>4229.309600622295</v>
      </c>
      <c r="X10" s="1">
        <f>VLOOKUP($B10, '[1]Exp of flat'!$B$2:$X$31, $A$1, FALSE)</f>
        <v>1648</v>
      </c>
      <c r="Y10" s="1">
        <f>VLOOKUP($B10, '[1]Imp of flat'!$B$2:$X$31, $A$1, FALSE)</f>
        <v>5580</v>
      </c>
      <c r="Z10" s="1">
        <f>VLOOKUP($B10, '[1]Indirect exp'!$B$2:$X$31, $A$1, FALSE)</f>
        <v>4359</v>
      </c>
      <c r="AA10" s="1">
        <f>VLOOKUP($B10, '[1]Indirect imp'!$B$2:$X$31, $A$1, FALSE)</f>
        <v>2515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300000</v>
      </c>
      <c r="D11" s="1">
        <f>VLOOKUP($B11, '[1]Pro of iron ore'!$B$2:$X$31, $A$1, FALSE)*(1-VLOOKUP($B11, '[1]Foundry share'!$B$2:$X$31, $A$1, FALSE))</f>
        <v>199200</v>
      </c>
      <c r="E11" s="47">
        <f>VLOOKUP($B11, '[1]Iron content'!$B$2:$X$31, $A$1, FALSE)</f>
        <v>0.66400000000000003</v>
      </c>
      <c r="F11" s="1">
        <f>VLOOKUP($B11, '[1]Exp of usable iron ore'!$B$2:$X$31, $A$1, FALSE)*parameters!$B$12</f>
        <v>172926</v>
      </c>
      <c r="G11" s="1">
        <f>VLOOKUP($B11, '[1]Pro of pig iron'!$B$2:$X$31, $A$1, FALSE)*(1-VLOOKUP($B11, '[1]Foundry share'!$B$2:$X$31, $A$1, FALSE))</f>
        <v>25135</v>
      </c>
      <c r="H11" s="1">
        <f>VLOOKUP($B11, '[1]Exp of pig iron'!$B$2:$X$31, $A$1, FALSE)</f>
        <v>3158</v>
      </c>
      <c r="I11" s="1">
        <f>VLOOKUP($B11, '[1]Imp of pig iron'!$B$2:$X$31, $A$1, FALSE)</f>
        <v>0</v>
      </c>
      <c r="J11" s="1">
        <f>VLOOKUP($B11, '[1]Pro of DRI'!$B$2:$X$31, $A$1, FALSE)</f>
        <v>11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115</v>
      </c>
      <c r="N11" s="1">
        <f>VLOOKUP($B11, '[1]Imp of scrap'!$B$2:$X$31, $A$1, FALSE)</f>
        <v>28</v>
      </c>
      <c r="O11" s="1">
        <f>VLOOKUP($B11, '[1]Pro of BOF steel'!$B$2:$X$31, $A$1, FALSE)</f>
        <v>19662</v>
      </c>
      <c r="P11" s="1">
        <f>VLOOKUP($B11, '[1]Pro of OHF steel'!$B$2:$X$31, $A$1, FALSE)</f>
        <v>0</v>
      </c>
      <c r="Q11" s="1">
        <f>VLOOKUP($B11, '[1]Pro of EAF steel'!$B$2:$X$31, $A$1, FALSE)</f>
        <v>6349</v>
      </c>
      <c r="R11" s="1">
        <f>VLOOKUP($B11, '[1]Exp of ingots and semis'!$B$2:$X$31, $A$1, FALSE)</f>
        <v>4612</v>
      </c>
      <c r="S11" s="1">
        <f>VLOOKUP($B11, '[1]Imp of ingots and semis'!$B$2:$X$31, $A$1, FALSE)</f>
        <v>37</v>
      </c>
      <c r="T11" s="1">
        <f>VLOOKUP($B11, '[1]Pro of hr long'!$B$2:$X$31, $A$1, FALSE)+VLOOKUP($B11, '[1]Pro of seamless tubes'!$B$2:$X$31, $A$1, FALSE)</f>
        <v>8370</v>
      </c>
      <c r="U11" s="1">
        <f>VLOOKUP($B11, '[1]Exp of long'!$B$2:$X$31, $A$1, FALSE)</f>
        <v>1327</v>
      </c>
      <c r="V11" s="1">
        <f>VLOOKUP($B11, '[1]Imp of long'!$B$2:$X$31, $A$1, FALSE)</f>
        <v>568</v>
      </c>
      <c r="W11" s="1">
        <f>VLOOKUP($B11, '[1]Pro of hr flat'!$B$2:$X$31, $A$1, FALSE)*parameters!$B$8</f>
        <v>11514.816500711237</v>
      </c>
      <c r="X11" s="1">
        <f>VLOOKUP($B11, '[1]Exp of flat'!$B$2:$X$31, $A$1, FALSE)</f>
        <v>2406</v>
      </c>
      <c r="Y11" s="1">
        <f>VLOOKUP($B11, '[1]Imp of flat'!$B$2:$X$31, $A$1, FALSE)</f>
        <v>1546</v>
      </c>
      <c r="Z11" s="1">
        <f>VLOOKUP($B11, '[1]Indirect exp'!$B$2:$X$31, $A$1, FALSE)</f>
        <v>2069</v>
      </c>
      <c r="AA11" s="1">
        <f>VLOOKUP($B11, '[1]Indirect imp'!$B$2:$X$31, $A$1, FALSE)</f>
        <v>2606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29116.794435136289</v>
      </c>
      <c r="D12" s="1">
        <f>VLOOKUP($B12, '[1]Pro of iron ore'!$B$2:$X$31, $A$1, FALSE)*(1-VLOOKUP($B12, '[1]Foundry share'!$B$2:$X$31, $A$1, FALSE))</f>
        <v>14117.233665520625</v>
      </c>
      <c r="E12" s="47">
        <f>VLOOKUP($B12, '[1]Iron content'!$B$2:$X$31, $A$1, FALSE)</f>
        <v>0.48484848484848486</v>
      </c>
      <c r="F12" s="1">
        <f>VLOOKUP($B12, '[1]Exp of usable iron ore'!$B$2:$X$31, $A$1, FALSE)*parameters!$B$12</f>
        <v>4619.55</v>
      </c>
      <c r="G12" s="1">
        <f>VLOOKUP($B12, '[1]Pro of pig iron'!$B$2:$X$31, $A$1, FALSE)*(1-VLOOKUP($B12, '[1]Foundry share'!$B$2:$X$31, $A$1, FALSE))</f>
        <v>2146.7018442632302</v>
      </c>
      <c r="H12" s="1">
        <f>VLOOKUP($B12, '[1]Exp of pig iron'!$B$2:$X$31, $A$1, FALSE)</f>
        <v>101</v>
      </c>
      <c r="I12" s="1">
        <f>VLOOKUP($B12, '[1]Imp of pig iron'!$B$2:$X$31, $A$1, FALSE)</f>
        <v>43</v>
      </c>
      <c r="J12" s="1">
        <f>VLOOKUP($B12, '[1]Pro of DRI'!$B$2:$X$31, $A$1, FALSE)</f>
        <v>8099</v>
      </c>
      <c r="K12" s="1">
        <f>VLOOKUP($B12, '[1]Exp of DRI'!$B$2:$X$31, $A$1, FALSE)</f>
        <v>0</v>
      </c>
      <c r="L12" s="1">
        <f>VLOOKUP($B12, '[1]Imp of DRI'!$B$2:$X$31, $A$1, FALSE)</f>
        <v>39</v>
      </c>
      <c r="M12" s="1">
        <f>VLOOKUP($B12, '[1]Exp of scrap'!$B$2:$X$31, $A$1, FALSE)</f>
        <v>7</v>
      </c>
      <c r="N12" s="1">
        <f>VLOOKUP($B12, '[1]Imp of scrap'!$B$2:$X$31, $A$1, FALSE)</f>
        <v>6</v>
      </c>
      <c r="O12" s="1">
        <f>VLOOKUP($B12, '[1]Pro of BOF steel'!$B$2:$X$31, $A$1, FALSE)</f>
        <v>1992</v>
      </c>
      <c r="P12" s="1">
        <f>VLOOKUP($B12, '[1]Pro of OHF steel'!$B$2:$X$31, $A$1, FALSE)</f>
        <v>0</v>
      </c>
      <c r="Q12" s="1">
        <f>VLOOKUP($B12, '[1]Pro of EAF steel'!$B$2:$X$31, $A$1, FALSE)</f>
        <v>8916</v>
      </c>
      <c r="R12" s="1">
        <f>VLOOKUP($B12, '[1]Exp of ingots and semis'!$B$2:$X$31, $A$1, FALSE)</f>
        <v>0</v>
      </c>
      <c r="S12" s="1">
        <f>VLOOKUP($B12, '[1]Imp of ingots and semis'!$B$2:$X$31, $A$1, FALSE)</f>
        <v>2230</v>
      </c>
      <c r="T12" s="1">
        <f>VLOOKUP($B12, '[1]Pro of hr long'!$B$2:$X$31, $A$1, FALSE)+VLOOKUP($B12, '[1]Pro of seamless tubes'!$B$2:$X$31, $A$1, FALSE)</f>
        <v>5136</v>
      </c>
      <c r="U12" s="1">
        <f>VLOOKUP($B12, '[1]Exp of long'!$B$2:$X$31, $A$1, FALSE)</f>
        <v>0</v>
      </c>
      <c r="V12" s="1">
        <f>VLOOKUP($B12, '[1]Imp of long'!$B$2:$X$31, $A$1, FALSE)</f>
        <v>2117</v>
      </c>
      <c r="W12" s="1">
        <f>VLOOKUP($B12, '[1]Pro of hr flat'!$B$2:$X$31, $A$1, FALSE)*parameters!$B$8</f>
        <v>4609.0355618776675</v>
      </c>
      <c r="X12" s="1">
        <f>VLOOKUP($B12, '[1]Exp of flat'!$B$2:$X$31, $A$1, FALSE)</f>
        <v>0</v>
      </c>
      <c r="Y12" s="1">
        <f>VLOOKUP($B12, '[1]Imp of flat'!$B$2:$X$31, $A$1, FALSE)</f>
        <v>1993</v>
      </c>
      <c r="Z12" s="1">
        <f>VLOOKUP($B12, '[1]Indirect exp'!$B$2:$X$31, $A$1, FALSE)</f>
        <v>45</v>
      </c>
      <c r="AA12" s="1">
        <f>VLOOKUP($B12, '[1]Indirect imp'!$B$2:$X$31, $A$1, FALSE)</f>
        <v>1301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5692</v>
      </c>
      <c r="H13" s="1">
        <f>VLOOKUP($B13, '[1]Exp of pig iron'!$B$2:$X$31, $A$1, FALSE)</f>
        <v>62</v>
      </c>
      <c r="I13" s="1">
        <f>VLOOKUP($B13, '[1]Imp of pig iron'!$B$2:$X$31, $A$1, FALSE)</f>
        <v>897</v>
      </c>
      <c r="J13" s="1">
        <f>VLOOKUP($B13, '[1]Pro of DRI'!$B$2:$X$31, $A$1, FALSE)</f>
        <v>0</v>
      </c>
      <c r="K13" s="1">
        <f>VLOOKUP($B13, '[1]Exp of DRI'!$B$2:$X$31, $A$1, FALSE)</f>
        <v>0</v>
      </c>
      <c r="L13" s="1">
        <f>VLOOKUP($B13, '[1]Imp of DRI'!$B$2:$X$31, $A$1, FALSE)</f>
        <v>147</v>
      </c>
      <c r="M13" s="1">
        <f>VLOOKUP($B13, '[1]Exp of scrap'!$B$2:$X$31, $A$1, FALSE)</f>
        <v>325</v>
      </c>
      <c r="N13" s="1">
        <f>VLOOKUP($B13, '[1]Imp of scrap'!$B$2:$X$31, $A$1, FALSE)</f>
        <v>3321</v>
      </c>
      <c r="O13" s="1">
        <f>VLOOKUP($B13, '[1]Pro of BOF steel'!$B$2:$X$31, $A$1, FALSE)</f>
        <v>5812</v>
      </c>
      <c r="P13" s="1">
        <f>VLOOKUP($B13, '[1]Pro of OHF steel'!$B$2:$X$31, $A$1, FALSE)</f>
        <v>0</v>
      </c>
      <c r="Q13" s="1">
        <f>VLOOKUP($B13, '[1]Pro of EAF steel'!$B$2:$X$31, $A$1, FALSE)</f>
        <v>14036</v>
      </c>
      <c r="R13" s="1">
        <f>VLOOKUP($B13, '[1]Exp of ingots and semis'!$B$2:$X$31, $A$1, FALSE)</f>
        <v>570</v>
      </c>
      <c r="S13" s="1">
        <f>VLOOKUP($B13, '[1]Imp of ingots and semis'!$B$2:$X$31, $A$1, FALSE)</f>
        <v>2656</v>
      </c>
      <c r="T13" s="1">
        <f>VLOOKUP($B13, '[1]Pro of hr long'!$B$2:$X$31, $A$1, FALSE)+VLOOKUP($B13, '[1]Pro of seamless tubes'!$B$2:$X$31, $A$1, FALSE)</f>
        <v>11659</v>
      </c>
      <c r="U13" s="1">
        <f>VLOOKUP($B13, '[1]Exp of long'!$B$2:$X$31, $A$1, FALSE)</f>
        <v>4043</v>
      </c>
      <c r="V13" s="1">
        <f>VLOOKUP($B13, '[1]Imp of long'!$B$2:$X$31, $A$1, FALSE)</f>
        <v>1887</v>
      </c>
      <c r="W13" s="1">
        <f>VLOOKUP($B13, '[1]Pro of hr flat'!$B$2:$X$31, $A$1, FALSE)*parameters!$B$8</f>
        <v>8825.5647226173533</v>
      </c>
      <c r="X13" s="1">
        <f>VLOOKUP($B13, '[1]Exp of flat'!$B$2:$X$31, $A$1, FALSE)</f>
        <v>5070</v>
      </c>
      <c r="Y13" s="1">
        <f>VLOOKUP($B13, '[1]Imp of flat'!$B$2:$X$31, $A$1, FALSE)</f>
        <v>7282</v>
      </c>
      <c r="Z13" s="1">
        <f>VLOOKUP($B13, '[1]Indirect exp'!$B$2:$X$31, $A$1, FALSE)</f>
        <v>10284</v>
      </c>
      <c r="AA13" s="1">
        <f>VLOOKUP($B13, '[1]Indirect imp'!$B$2:$X$31, $A$1, FALSE)</f>
        <v>7665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66476</v>
      </c>
      <c r="D14" s="1">
        <f>VLOOKUP($B14, '[1]Pro of iron ore'!$B$2:$X$31, $A$1, FALSE)*(1-VLOOKUP($B14, '[1]Foundry share'!$B$2:$X$31, $A$1, FALSE))</f>
        <v>36500</v>
      </c>
      <c r="E14" s="47">
        <f>VLOOKUP($B14, '[1]Iron content'!$B$2:$X$31, $A$1, FALSE)</f>
        <v>0.5490703411757627</v>
      </c>
      <c r="F14" s="1">
        <f>VLOOKUP($B14, '[1]Exp of usable iron ore'!$B$2:$X$31, $A$1, FALSE)*parameters!$B$12</f>
        <v>17948.45</v>
      </c>
      <c r="G14" s="1">
        <f>VLOOKUP($B14, '[1]Pro of pig iron'!$B$2:$X$31, $A$1, FALSE)*(1-VLOOKUP($B14, '[1]Foundry share'!$B$2:$X$31, $A$1, FALSE))</f>
        <v>25676</v>
      </c>
      <c r="H14" s="1">
        <f>VLOOKUP($B14, '[1]Exp of pig iron'!$B$2:$X$31, $A$1, FALSE)</f>
        <v>1370</v>
      </c>
      <c r="I14" s="1">
        <f>VLOOKUP($B14, '[1]Imp of pig iron'!$B$2:$X$31, $A$1, FALSE)</f>
        <v>12</v>
      </c>
      <c r="J14" s="1">
        <f>VLOOKUP($B14, '[1]Pro of DRI'!$B$2:$X$31, $A$1, FALSE)</f>
        <v>0</v>
      </c>
      <c r="K14" s="1">
        <f>VLOOKUP($B14, '[1]Exp of DRI'!$B$2:$X$31, $A$1, FALSE)</f>
        <v>0</v>
      </c>
      <c r="L14" s="1">
        <f>VLOOKUP($B14, '[1]Imp of DRI'!$B$2:$X$31, $A$1, FALSE)</f>
        <v>128</v>
      </c>
      <c r="M14" s="1">
        <f>VLOOKUP($B14, '[1]Exp of scrap'!$B$2:$X$31, $A$1, FALSE)</f>
        <v>891</v>
      </c>
      <c r="N14" s="1">
        <f>VLOOKUP($B14, '[1]Imp of scrap'!$B$2:$X$31, $A$1, FALSE)</f>
        <v>11</v>
      </c>
      <c r="O14" s="1">
        <f>VLOOKUP($B14, '[1]Pro of BOF steel'!$B$2:$X$31, $A$1, FALSE)</f>
        <v>20679</v>
      </c>
      <c r="P14" s="1">
        <f>VLOOKUP($B14, '[1]Pro of OHF steel'!$B$2:$X$31, $A$1, FALSE)</f>
        <v>7838</v>
      </c>
      <c r="Q14" s="1">
        <f>VLOOKUP($B14, '[1]Pro of EAF steel'!$B$2:$X$31, $A$1, FALSE)</f>
        <v>1338</v>
      </c>
      <c r="R14" s="1">
        <f>VLOOKUP($B14, '[1]Exp of ingots and semis'!$B$2:$X$31, $A$1, FALSE)</f>
        <v>11520</v>
      </c>
      <c r="S14" s="1">
        <f>VLOOKUP($B14, '[1]Imp of ingots and semis'!$B$2:$X$31, $A$1, FALSE)</f>
        <v>247</v>
      </c>
      <c r="T14" s="1">
        <f>VLOOKUP($B14, '[1]Pro of hr long'!$B$2:$X$31, $A$1, FALSE)+VLOOKUP($B14, '[1]Pro of seamless tubes'!$B$2:$X$31, $A$1, FALSE)</f>
        <v>10150</v>
      </c>
      <c r="U14" s="1">
        <f>VLOOKUP($B14, '[1]Exp of long'!$B$2:$X$31, $A$1, FALSE)</f>
        <v>5000</v>
      </c>
      <c r="V14" s="1">
        <f>VLOOKUP($B14, '[1]Imp of long'!$B$2:$X$31, $A$1, FALSE)</f>
        <v>218</v>
      </c>
      <c r="W14" s="1">
        <f>VLOOKUP($B14, '[1]Pro of hr flat'!$B$2:$X$31, $A$1, FALSE)*parameters!$B$8</f>
        <v>4614.864864864865</v>
      </c>
      <c r="X14" s="1">
        <f>VLOOKUP($B14, '[1]Exp of flat'!$B$2:$X$31, $A$1, FALSE)</f>
        <v>6061</v>
      </c>
      <c r="Y14" s="1">
        <f>VLOOKUP($B14, '[1]Imp of flat'!$B$2:$X$31, $A$1, FALSE)</f>
        <v>498</v>
      </c>
      <c r="Z14" s="1">
        <f>VLOOKUP($B14, '[1]Indirect exp'!$B$2:$X$31, $A$1, FALSE)</f>
        <v>1310</v>
      </c>
      <c r="AA14" s="1">
        <f>VLOOKUP($B14, '[1]Indirect imp'!$B$2:$X$31, $A$1, FALSE)</f>
        <v>900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11600</v>
      </c>
      <c r="D15" s="1">
        <f>VLOOKUP($B15, '[1]Pro of iron ore'!$B$2:$X$31, $A$1, FALSE)*(1-VLOOKUP($B15, '[1]Foundry share'!$B$2:$X$31, $A$1, FALSE))</f>
        <v>7000</v>
      </c>
      <c r="E15" s="47">
        <f>VLOOKUP($B15, '[1]Iron content'!$B$2:$X$31, $A$1, FALSE)</f>
        <v>0.60344827586206895</v>
      </c>
      <c r="F15" s="1">
        <f>VLOOKUP($B15, '[1]Exp of usable iron ore'!$B$2:$X$31, $A$1, FALSE)*parameters!$B$12</f>
        <v>2479.75</v>
      </c>
      <c r="G15" s="1">
        <f>VLOOKUP($B15, '[1]Pro of pig iron'!$B$2:$X$31, $A$1, FALSE)*(1-VLOOKUP($B15, '[1]Foundry share'!$B$2:$X$31, $A$1, FALSE))</f>
        <v>3919</v>
      </c>
      <c r="H15" s="1">
        <f>VLOOKUP($B15, '[1]Exp of pig iron'!$B$2:$X$31, $A$1, FALSE)</f>
        <v>0</v>
      </c>
      <c r="I15" s="1">
        <f>VLOOKUP($B15, '[1]Imp of pig iron'!$B$2:$X$31, $A$1, FALSE)</f>
        <v>135</v>
      </c>
      <c r="J15" s="1">
        <f>VLOOKUP($B15, '[1]Pro of DRI'!$B$2:$X$31, $A$1, FALSE)</f>
        <v>4147</v>
      </c>
      <c r="K15" s="1">
        <f>VLOOKUP($B15, '[1]Exp of DRI'!$B$2:$X$31, $A$1, FALSE)</f>
        <v>0</v>
      </c>
      <c r="L15" s="1">
        <f>VLOOKUP($B15, '[1]Imp of DRI'!$B$2:$X$31, $A$1, FALSE)</f>
        <v>26</v>
      </c>
      <c r="M15" s="1">
        <f>VLOOKUP($B15, '[1]Exp of scrap'!$B$2:$X$31, $A$1, FALSE)</f>
        <v>702</v>
      </c>
      <c r="N15" s="1">
        <f>VLOOKUP($B15, '[1]Imp of scrap'!$B$2:$X$31, $A$1, FALSE)</f>
        <v>850</v>
      </c>
      <c r="O15" s="1">
        <f>VLOOKUP($B15, '[1]Pro of BOF steel'!$B$2:$X$31, $A$1, FALSE)</f>
        <v>4337</v>
      </c>
      <c r="P15" s="1">
        <f>VLOOKUP($B15, '[1]Pro of OHF steel'!$B$2:$X$31, $A$1, FALSE)</f>
        <v>0</v>
      </c>
      <c r="Q15" s="1">
        <f>VLOOKUP($B15, '[1]Pro of EAF steel'!$B$2:$X$31, $A$1, FALSE)</f>
        <v>9795</v>
      </c>
      <c r="R15" s="1">
        <f>VLOOKUP($B15, '[1]Exp of ingots and semis'!$B$2:$X$31, $A$1, FALSE)</f>
        <v>1003</v>
      </c>
      <c r="S15" s="1">
        <f>VLOOKUP($B15, '[1]Imp of ingots and semis'!$B$2:$X$31, $A$1, FALSE)</f>
        <v>514</v>
      </c>
      <c r="T15" s="1">
        <f>VLOOKUP($B15, '[1]Pro of hr long'!$B$2:$X$31, $A$1, FALSE)+VLOOKUP($B15, '[1]Pro of seamless tubes'!$B$2:$X$31, $A$1, FALSE)</f>
        <v>7053</v>
      </c>
      <c r="U15" s="1">
        <f>VLOOKUP($B15, '[1]Exp of long'!$B$2:$X$31, $A$1, FALSE)</f>
        <v>858</v>
      </c>
      <c r="V15" s="1">
        <f>VLOOKUP($B15, '[1]Imp of long'!$B$2:$X$31, $A$1, FALSE)</f>
        <v>851</v>
      </c>
      <c r="W15" s="1">
        <f>VLOOKUP($B15, '[1]Pro of hr flat'!$B$2:$X$31, $A$1, FALSE)*parameters!$B$8</f>
        <v>5769.0668563300142</v>
      </c>
      <c r="X15" s="1">
        <f>VLOOKUP($B15, '[1]Exp of flat'!$B$2:$X$31, $A$1, FALSE)</f>
        <v>1159</v>
      </c>
      <c r="Y15" s="1">
        <f>VLOOKUP($B15, '[1]Imp of flat'!$B$2:$X$31, $A$1, FALSE)</f>
        <v>3106</v>
      </c>
      <c r="Z15" s="1">
        <f>VLOOKUP($B15, '[1]Indirect exp'!$B$2:$X$31, $A$1, FALSE)</f>
        <v>5880</v>
      </c>
      <c r="AA15" s="1">
        <f>VLOOKUP($B15, '[1]Indirect imp'!$B$2:$X$31, $A$1, FALSE)</f>
        <v>5172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1000</v>
      </c>
      <c r="D16" s="1">
        <f>VLOOKUP($B16, '[1]Pro of iron ore'!$B$2:$X$31, $A$1, FALSE)*(1-VLOOKUP($B16, '[1]Foundry share'!$B$2:$X$31, $A$1, FALSE))</f>
        <v>530</v>
      </c>
      <c r="E16" s="47">
        <f>VLOOKUP($B16, '[1]Iron content'!$B$2:$X$31, $A$1, FALSE)</f>
        <v>0.53</v>
      </c>
      <c r="F16" s="1">
        <f>VLOOKUP($B16, '[1]Exp of usable iron ore'!$B$2:$X$31, $A$1, FALSE)*parameters!$B$12</f>
        <v>1170</v>
      </c>
      <c r="G16" s="1">
        <f>VLOOKUP($B16, '[1]Pro of pig iron'!$B$2:$X$31, $A$1, FALSE)*(1-VLOOKUP($B16, '[1]Foundry share'!$B$2:$X$31, $A$1, FALSE))</f>
        <v>275</v>
      </c>
      <c r="H16" s="1">
        <f>VLOOKUP($B16, '[1]Exp of pig iron'!$B$2:$X$31, $A$1, FALSE)</f>
        <v>148</v>
      </c>
      <c r="I16" s="1">
        <f>VLOOKUP($B16, '[1]Imp of pig iron'!$B$2:$X$31, $A$1, FALSE)</f>
        <v>148</v>
      </c>
      <c r="J16" s="1">
        <f>VLOOKUP($B16, '[1]Pro of DRI'!$B$2:$X$31, $A$1, FALSE)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1830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2700</v>
      </c>
      <c r="R16" s="1">
        <f>VLOOKUP($B16, '[1]Exp of ingots and semis'!$B$2:$X$31, $A$1, FALSE)</f>
        <v>4</v>
      </c>
      <c r="S16" s="1">
        <f>VLOOKUP($B16, '[1]Imp of ingots and semis'!$B$2:$X$31, $A$1, FALSE)</f>
        <v>2283</v>
      </c>
      <c r="T16" s="1">
        <f>VLOOKUP($B16, '[1]Pro of hr long'!$B$2:$X$31, $A$1, FALSE)+VLOOKUP($B16, '[1]Pro of seamless tubes'!$B$2:$X$31, $A$1, FALSE)</f>
        <v>4723</v>
      </c>
      <c r="U16" s="1">
        <f>VLOOKUP($B16, '[1]Exp of long'!$B$2:$X$31, $A$1, FALSE)</f>
        <v>0</v>
      </c>
      <c r="V16" s="1">
        <f>VLOOKUP($B16, '[1]Imp of long'!$B$2:$X$31, $A$1, FALSE)</f>
        <v>1234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2558</v>
      </c>
      <c r="Z16" s="1">
        <f>VLOOKUP($B16, '[1]Indirect exp'!$B$2:$X$31, $A$1, FALSE)</f>
        <v>242</v>
      </c>
      <c r="AA16" s="1">
        <f>VLOOKUP($B16, '[1]Indirect imp'!$B$2:$X$31, $A$1, FALSE)</f>
        <v>926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80.600000000000009</v>
      </c>
      <c r="G17" s="1">
        <f>VLOOKUP($B17, '[1]Pro of pig iron'!$B$2:$X$31, $A$1, FALSE)*(1-VLOOKUP($B17, '[1]Foundry share'!$B$2:$X$31, $A$1, FALSE))</f>
        <v>8104</v>
      </c>
      <c r="H17" s="1">
        <f>VLOOKUP($B17, '[1]Exp of pig iron'!$B$2:$X$31, $A$1, FALSE)</f>
        <v>152</v>
      </c>
      <c r="I17" s="1">
        <f>VLOOKUP($B17, '[1]Imp of pig iron'!$B$2:$X$31, $A$1, FALSE)</f>
        <v>113</v>
      </c>
      <c r="J17" s="1">
        <f>VLOOKUP($B17, '[1]Pro of DRI'!$B$2:$X$31, $A$1, FALSE)</f>
        <v>0</v>
      </c>
      <c r="K17" s="1">
        <f>VLOOKUP($B17, '[1]Exp of DRI'!$B$2:$X$31, $A$1, FALSE)</f>
        <v>3</v>
      </c>
      <c r="L17" s="1">
        <f>VLOOKUP($B17, '[1]Imp of DRI'!$B$2:$X$31, $A$1, FALSE)</f>
        <v>19</v>
      </c>
      <c r="M17" s="1">
        <f>VLOOKUP($B17, '[1]Exp of scrap'!$B$2:$X$31, $A$1, FALSE)</f>
        <v>5364</v>
      </c>
      <c r="N17" s="1">
        <f>VLOOKUP($B17, '[1]Imp of scrap'!$B$2:$X$31, $A$1, FALSE)</f>
        <v>2405</v>
      </c>
      <c r="O17" s="1">
        <f>VLOOKUP($B17, '[1]Pro of BOF steel'!$B$2:$X$31, $A$1, FALSE)</f>
        <v>7676</v>
      </c>
      <c r="P17" s="1">
        <f>VLOOKUP($B17, '[1]Pro of OHF steel'!$B$2:$X$31, $A$1, FALSE)</f>
        <v>0</v>
      </c>
      <c r="Q17" s="1">
        <f>VLOOKUP($B17, '[1]Pro of EAF steel'!$B$2:$X$31, $A$1, FALSE)</f>
        <v>5164</v>
      </c>
      <c r="R17" s="1">
        <f>VLOOKUP($B17, '[1]Exp of ingots and semis'!$B$2:$X$31, $A$1, FALSE)</f>
        <v>1813</v>
      </c>
      <c r="S17" s="1">
        <f>VLOOKUP($B17, '[1]Imp of ingots and semis'!$B$2:$X$31, $A$1, FALSE)</f>
        <v>1113</v>
      </c>
      <c r="T17" s="1">
        <f>VLOOKUP($B17, '[1]Pro of hr long'!$B$2:$X$31, $A$1, FALSE)+VLOOKUP($B17, '[1]Pro of seamless tubes'!$B$2:$X$31, $A$1, FALSE)</f>
        <v>3502</v>
      </c>
      <c r="U17" s="1">
        <f>VLOOKUP($B17, '[1]Exp of long'!$B$2:$X$31, $A$1, FALSE)</f>
        <v>1840</v>
      </c>
      <c r="V17" s="1">
        <f>VLOOKUP($B17, '[1]Imp of long'!$B$2:$X$31, $A$1, FALSE)</f>
        <v>2790</v>
      </c>
      <c r="W17" s="1">
        <f>VLOOKUP($B17, '[1]Pro of hr flat'!$B$2:$X$31, $A$1, FALSE)*parameters!$B$8</f>
        <v>7635.4153627311525</v>
      </c>
      <c r="X17" s="1">
        <f>VLOOKUP($B17, '[1]Exp of flat'!$B$2:$X$31, $A$1, FALSE)</f>
        <v>7391</v>
      </c>
      <c r="Y17" s="1">
        <f>VLOOKUP($B17, '[1]Imp of flat'!$B$2:$X$31, $A$1, FALSE)</f>
        <v>6416</v>
      </c>
      <c r="Z17" s="1">
        <f>VLOOKUP($B17, '[1]Indirect exp'!$B$2:$X$31, $A$1, FALSE)</f>
        <v>7367</v>
      </c>
      <c r="AA17" s="1">
        <f>VLOOKUP($B17, '[1]Indirect imp'!$B$2:$X$31, $A$1, FALSE)</f>
        <v>10605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2920</v>
      </c>
      <c r="H18" s="1">
        <f>VLOOKUP($B18, '[1]Exp of pig iron'!$B$2:$X$31, $A$1, FALSE)</f>
        <v>5</v>
      </c>
      <c r="I18" s="1">
        <f>VLOOKUP($B18, '[1]Imp of pig iron'!$B$2:$X$31, $A$1, FALSE)</f>
        <v>381</v>
      </c>
      <c r="J18" s="1">
        <f>VLOOKUP($B18, '[1]Pro of DRI'!$B$2:$X$31, $A$1, FALSE)</f>
        <v>0</v>
      </c>
      <c r="K18" s="1">
        <f>VLOOKUP($B18, '[1]Exp of DRI'!$B$2:$X$31, $A$1, FALSE)</f>
        <v>0</v>
      </c>
      <c r="L18" s="1">
        <f>VLOOKUP($B18, '[1]Imp of DRI'!$B$2:$X$31, $A$1, FALSE)</f>
        <v>253</v>
      </c>
      <c r="M18" s="1">
        <f>VLOOKUP($B18, '[1]Exp of scrap'!$B$2:$X$31, $A$1, FALSE)</f>
        <v>286</v>
      </c>
      <c r="N18" s="1">
        <f>VLOOKUP($B18, '[1]Imp of scrap'!$B$2:$X$31, $A$1, FALSE)</f>
        <v>4642</v>
      </c>
      <c r="O18" s="1">
        <f>VLOOKUP($B18, '[1]Pro of BOF steel'!$B$2:$X$31, $A$1, FALSE)</f>
        <v>3088</v>
      </c>
      <c r="P18" s="1">
        <f>VLOOKUP($B18, '[1]Pro of OHF steel'!$B$2:$X$31, $A$1, FALSE)</f>
        <v>0</v>
      </c>
      <c r="Q18" s="1">
        <f>VLOOKUP($B18, '[1]Pro of EAF steel'!$B$2:$X$31, $A$1, FALSE)</f>
        <v>11270</v>
      </c>
      <c r="R18" s="1">
        <f>VLOOKUP($B18, '[1]Exp of ingots and semis'!$B$2:$X$31, $A$1, FALSE)</f>
        <v>261</v>
      </c>
      <c r="S18" s="1">
        <f>VLOOKUP($B18, '[1]Imp of ingots and semis'!$B$2:$X$31, $A$1, FALSE)</f>
        <v>917</v>
      </c>
      <c r="T18" s="1">
        <f>VLOOKUP($B18, '[1]Pro of hr long'!$B$2:$X$31, $A$1, FALSE)+VLOOKUP($B18, '[1]Pro of seamless tubes'!$B$2:$X$31, $A$1, FALSE)</f>
        <v>10453</v>
      </c>
      <c r="U18" s="1">
        <f>VLOOKUP($B18, '[1]Exp of long'!$B$2:$X$31, $A$1, FALSE)</f>
        <v>5324</v>
      </c>
      <c r="V18" s="1">
        <f>VLOOKUP($B18, '[1]Imp of long'!$B$2:$X$31, $A$1, FALSE)</f>
        <v>1301</v>
      </c>
      <c r="W18" s="1">
        <f>VLOOKUP($B18, '[1]Pro of hr flat'!$B$2:$X$31, $A$1, FALSE)*parameters!$B$8</f>
        <v>3839.5675675675675</v>
      </c>
      <c r="X18" s="1">
        <f>VLOOKUP($B18, '[1]Exp of flat'!$B$2:$X$31, $A$1, FALSE)</f>
        <v>2021</v>
      </c>
      <c r="Y18" s="1">
        <f>VLOOKUP($B18, '[1]Imp of flat'!$B$2:$X$31, $A$1, FALSE)</f>
        <v>4100</v>
      </c>
      <c r="Z18" s="1">
        <f>VLOOKUP($B18, '[1]Indirect exp'!$B$2:$X$31, $A$1, FALSE)</f>
        <v>7706</v>
      </c>
      <c r="AA18" s="1">
        <f>VLOOKUP($B18, '[1]Indirect imp'!$B$2:$X$31, $A$1, FALSE)</f>
        <v>5513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31700</v>
      </c>
      <c r="D19" s="1">
        <f>VLOOKUP($B19, '[1]Pro of iron ore'!$B$2:$X$31, $A$1, FALSE)*(1-VLOOKUP($B19, '[1]Foundry share'!$B$2:$X$31, $A$1, FALSE))</f>
        <v>19700</v>
      </c>
      <c r="E19" s="47">
        <f>VLOOKUP($B19, '[1]Iron content'!$B$2:$X$31, $A$1, FALSE)</f>
        <v>0.62145110410094639</v>
      </c>
      <c r="F19" s="1">
        <f>VLOOKUP($B19, '[1]Exp of usable iron ore'!$B$2:$X$31, $A$1, FALSE)*parameters!$B$12</f>
        <v>20219.55</v>
      </c>
      <c r="G19" s="1">
        <f>VLOOKUP($B19, '[1]Pro of pig iron'!$B$2:$X$31, $A$1, FALSE)*(1-VLOOKUP($B19, '[1]Foundry share'!$B$2:$X$31, $A$1, FALSE))</f>
        <v>5273</v>
      </c>
      <c r="H19" s="1">
        <f>VLOOKUP($B19, '[1]Exp of pig iron'!$B$2:$X$31, $A$1, FALSE)</f>
        <v>91</v>
      </c>
      <c r="I19" s="1">
        <f>VLOOKUP($B19, '[1]Imp of pig iron'!$B$2:$X$31, $A$1, FALSE)</f>
        <v>16</v>
      </c>
      <c r="J19" s="1">
        <f>VLOOKUP($B19, '[1]Pro of DRI'!$B$2:$X$31, $A$1, FALSE)</f>
        <v>342</v>
      </c>
      <c r="K19" s="1">
        <f>VLOOKUP($B19, '[1]Exp of DRI'!$B$2:$X$31, $A$1, FALSE)</f>
        <v>0</v>
      </c>
      <c r="L19" s="1">
        <f>VLOOKUP($B19, '[1]Imp of DRI'!$B$2:$X$31, $A$1, FALSE)</f>
        <v>253</v>
      </c>
      <c r="M19" s="1">
        <f>VLOOKUP($B19, '[1]Exp of scrap'!$B$2:$X$31, $A$1, FALSE)</f>
        <v>4793</v>
      </c>
      <c r="N19" s="1">
        <f>VLOOKUP($B19, '[1]Imp of scrap'!$B$2:$X$31, $A$1, FALSE)</f>
        <v>1424</v>
      </c>
      <c r="O19" s="1">
        <f>VLOOKUP($B19, '[1]Pro of BOF steel'!$B$2:$X$31, $A$1, FALSE)</f>
        <v>5337</v>
      </c>
      <c r="P19" s="1">
        <f>VLOOKUP($B19, '[1]Pro of OHF steel'!$B$2:$X$31, $A$1, FALSE)</f>
        <v>0</v>
      </c>
      <c r="Q19" s="1">
        <f>VLOOKUP($B19, '[1]Pro of EAF steel'!$B$2:$X$31, $A$1, FALSE)</f>
        <v>3955</v>
      </c>
      <c r="R19" s="1">
        <f>VLOOKUP($B19, '[1]Exp of ingots and semis'!$B$2:$X$31, $A$1, FALSE)</f>
        <v>885</v>
      </c>
      <c r="S19" s="1">
        <f>VLOOKUP($B19, '[1]Imp of ingots and semis'!$B$2:$X$31, $A$1, FALSE)</f>
        <v>209</v>
      </c>
      <c r="T19" s="1">
        <f>VLOOKUP($B19, '[1]Pro of hr long'!$B$2:$X$31, $A$1, FALSE)+VLOOKUP($B19, '[1]Pro of seamless tubes'!$B$2:$X$31, $A$1, FALSE)</f>
        <v>2234</v>
      </c>
      <c r="U19" s="1">
        <f>VLOOKUP($B19, '[1]Exp of long'!$B$2:$X$31, $A$1, FALSE)</f>
        <v>923</v>
      </c>
      <c r="V19" s="1">
        <f>VLOOKUP($B19, '[1]Imp of long'!$B$2:$X$31, $A$1, FALSE)</f>
        <v>1791</v>
      </c>
      <c r="W19" s="1">
        <f>VLOOKUP($B19, '[1]Pro of hr flat'!$B$2:$X$31, $A$1, FALSE)*parameters!$B$8</f>
        <v>6016.8122332859175</v>
      </c>
      <c r="X19" s="1">
        <f>VLOOKUP($B19, '[1]Exp of flat'!$B$2:$X$31, $A$1, FALSE)</f>
        <v>2374</v>
      </c>
      <c r="Y19" s="1">
        <f>VLOOKUP($B19, '[1]Imp of flat'!$B$2:$X$31, $A$1, FALSE)</f>
        <v>2909</v>
      </c>
      <c r="Z19" s="1">
        <f>VLOOKUP($B19, '[1]Indirect exp'!$B$2:$X$31, $A$1, FALSE)</f>
        <v>3822</v>
      </c>
      <c r="AA19" s="1">
        <f>VLOOKUP($B19, '[1]Indirect imp'!$B$2:$X$31, $A$1, FALSE)</f>
        <v>8255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63</v>
      </c>
      <c r="D20" s="1">
        <f>VLOOKUP($B20, '[1]Pro of iron ore'!$B$2:$X$31, $A$1, FALSE)*(1-VLOOKUP($B20, '[1]Foundry share'!$B$2:$X$31, $A$1, FALSE))</f>
        <v>36</v>
      </c>
      <c r="E20" s="47">
        <f>VLOOKUP($B20, '[1]Iron content'!$B$2:$X$31, $A$1, FALSE)</f>
        <v>0.5714285714285714</v>
      </c>
      <c r="F20" s="1">
        <f>VLOOKUP($B20, '[1]Exp of usable iron ore'!$B$2:$X$31, $A$1, FALSE)*parameters!$B$12</f>
        <v>31.85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94</v>
      </c>
      <c r="I20" s="1">
        <f>VLOOKUP($B20, '[1]Imp of pig iron'!$B$2:$X$31, $A$1, FALSE)</f>
        <v>85</v>
      </c>
      <c r="J20" s="1">
        <f>VLOOKUP($B20, '[1]Pro of DRI'!$B$2:$X$31, $A$1, FALSE)</f>
        <v>1119</v>
      </c>
      <c r="K20" s="1">
        <f>VLOOKUP($B20, '[1]Exp of DRI'!$B$2:$X$31, $A$1, FALSE)</f>
        <v>0</v>
      </c>
      <c r="L20" s="1">
        <f>VLOOKUP($B20, '[1]Imp of DRI'!$B$2:$X$31, $A$1, FALSE)</f>
        <v>223</v>
      </c>
      <c r="M20" s="1">
        <f>VLOOKUP($B20, '[1]Exp of scrap'!$B$2:$X$31, $A$1, FALSE)</f>
        <v>39</v>
      </c>
      <c r="N20" s="1">
        <f>VLOOKUP($B20, '[1]Imp of scrap'!$B$2:$X$31, $A$1, FALSE)</f>
        <v>1500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3501</v>
      </c>
      <c r="R20" s="1">
        <f>VLOOKUP($B20, '[1]Exp of ingots and semis'!$B$2:$X$31, $A$1, FALSE)</f>
        <v>2</v>
      </c>
      <c r="S20" s="1">
        <f>VLOOKUP($B20, '[1]Imp of ingots and semis'!$B$2:$X$31, $A$1, FALSE)</f>
        <v>2093</v>
      </c>
      <c r="T20" s="1">
        <f>VLOOKUP($B20, '[1]Pro of hr long'!$B$2:$X$31, $A$1, FALSE)+VLOOKUP($B20, '[1]Pro of seamless tubes'!$B$2:$X$31, $A$1, FALSE)</f>
        <v>2663</v>
      </c>
      <c r="U20" s="1">
        <f>VLOOKUP($B20, '[1]Exp of long'!$B$2:$X$31, $A$1, FALSE)</f>
        <v>295</v>
      </c>
      <c r="V20" s="1">
        <f>VLOOKUP($B20, '[1]Imp of long'!$B$2:$X$31, $A$1, FALSE)</f>
        <v>763</v>
      </c>
      <c r="W20" s="1">
        <f>VLOOKUP($B20, '[1]Pro of hr flat'!$B$2:$X$31, $A$1, FALSE)*parameters!$B$8</f>
        <v>2360.8677098150783</v>
      </c>
      <c r="X20" s="1">
        <f>VLOOKUP($B20, '[1]Exp of flat'!$B$2:$X$31, $A$1, FALSE)</f>
        <v>541</v>
      </c>
      <c r="Y20" s="1">
        <f>VLOOKUP($B20, '[1]Imp of flat'!$B$2:$X$31, $A$1, FALSE)</f>
        <v>2280</v>
      </c>
      <c r="Z20" s="1">
        <f>VLOOKUP($B20, '[1]Indirect exp'!$B$2:$X$31, $A$1, FALSE)</f>
        <v>1274</v>
      </c>
      <c r="AA20" s="1">
        <f>VLOOKUP($B20, '[1]Indirect imp'!$B$2:$X$31, $A$1, FALSE)</f>
        <v>3317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2984</v>
      </c>
      <c r="H21" s="1">
        <f>VLOOKUP($B21, '[1]Exp of pig iron'!$B$2:$X$31, $A$1, FALSE)</f>
        <v>0</v>
      </c>
      <c r="I21" s="1">
        <f>VLOOKUP($B21, '[1]Imp of pig iron'!$B$2:$X$31, $A$1, FALSE)</f>
        <v>149</v>
      </c>
      <c r="J21" s="1">
        <f>VLOOKUP($B21, '[1]Pro of DRI'!$B$2:$X$31, $A$1, FALSE)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911</v>
      </c>
      <c r="N21" s="1">
        <f>VLOOKUP($B21, '[1]Imp of scrap'!$B$2:$X$31, $A$1, FALSE)</f>
        <v>597</v>
      </c>
      <c r="O21" s="1">
        <f>VLOOKUP($B21, '[1]Pro of BOF steel'!$B$2:$X$31, $A$1, FALSE)</f>
        <v>3236</v>
      </c>
      <c r="P21" s="1">
        <f>VLOOKUP($B21, '[1]Pro of OHF steel'!$B$2:$X$31, $A$1, FALSE)</f>
        <v>0</v>
      </c>
      <c r="Q21" s="1">
        <f>VLOOKUP($B21, '[1]Pro of EAF steel'!$B$2:$X$31, $A$1, FALSE)</f>
        <v>3893</v>
      </c>
      <c r="R21" s="1">
        <f>VLOOKUP($B21, '[1]Exp of ingots and semis'!$B$2:$X$31, $A$1, FALSE)</f>
        <v>663</v>
      </c>
      <c r="S21" s="1">
        <f>VLOOKUP($B21, '[1]Imp of ingots and semis'!$B$2:$X$31, $A$1, FALSE)</f>
        <v>156</v>
      </c>
      <c r="T21" s="1">
        <f>VLOOKUP($B21, '[1]Pro of hr long'!$B$2:$X$31, $A$1, FALSE)+VLOOKUP($B21, '[1]Pro of seamless tubes'!$B$2:$X$31, $A$1, FALSE)</f>
        <v>4227</v>
      </c>
      <c r="U21" s="1">
        <f>VLOOKUP($B21, '[1]Exp of long'!$B$2:$X$31, $A$1, FALSE)</f>
        <v>2129</v>
      </c>
      <c r="V21" s="1">
        <f>VLOOKUP($B21, '[1]Imp of long'!$B$2:$X$31, $A$1, FALSE)</f>
        <v>982</v>
      </c>
      <c r="W21" s="1">
        <f>VLOOKUP($B21, '[1]Pro of hr flat'!$B$2:$X$31, $A$1, FALSE)*parameters!$B$8</f>
        <v>2070.3741109530583</v>
      </c>
      <c r="X21" s="1">
        <f>VLOOKUP($B21, '[1]Exp of flat'!$B$2:$X$31, $A$1, FALSE)</f>
        <v>895</v>
      </c>
      <c r="Y21" s="1">
        <f>VLOOKUP($B21, '[1]Imp of flat'!$B$2:$X$31, $A$1, FALSE)</f>
        <v>3663</v>
      </c>
      <c r="Z21" s="1">
        <f>VLOOKUP($B21, '[1]Indirect exp'!$B$2:$X$31, $A$1, FALSE)</f>
        <v>6145</v>
      </c>
      <c r="AA21" s="1">
        <f>VLOOKUP($B21, '[1]Indirect imp'!$B$2:$X$31, $A$1, FALSE)</f>
        <v>4759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1800</v>
      </c>
      <c r="D22" s="1">
        <f>VLOOKUP($B22, '[1]Pro of iron ore'!$B$2:$X$31, $A$1, FALSE)*(1-VLOOKUP($B22, '[1]Foundry share'!$B$2:$X$31, $A$1, FALSE))</f>
        <v>900</v>
      </c>
      <c r="E22" s="47">
        <f>VLOOKUP($B22, '[1]Iron content'!$B$2:$X$31, $A$1, FALSE)</f>
        <v>0.5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800</v>
      </c>
      <c r="H22" s="1">
        <f>VLOOKUP($B22, '[1]Exp of pig iron'!$B$2:$X$31, $A$1, FALSE)</f>
        <v>0</v>
      </c>
      <c r="I22" s="1">
        <f>VLOOKUP($B22, '[1]Imp of pig iron'!$B$2:$X$31, $A$1, FALSE)</f>
        <v>35</v>
      </c>
      <c r="J22" s="1">
        <f>VLOOKUP($B22, '[1]Pro of DRI'!$B$2:$X$31, $A$1, FALSE)</f>
        <v>3051</v>
      </c>
      <c r="K22" s="1">
        <f>VLOOKUP($B22, '[1]Exp of DRI'!$B$2:$X$31, $A$1, FALSE)</f>
        <v>0</v>
      </c>
      <c r="L22" s="1">
        <f>VLOOKUP($B22, '[1]Imp of DRI'!$B$2:$X$31, $A$1, FALSE)</f>
        <v>148</v>
      </c>
      <c r="M22" s="1">
        <f>VLOOKUP($B22, '[1]Exp of scrap'!$B$2:$X$31, $A$1, FALSE)</f>
        <v>30</v>
      </c>
      <c r="N22" s="1">
        <f>VLOOKUP($B22, '[1]Imp of scrap'!$B$2:$X$31, $A$1, FALSE)</f>
        <v>1299</v>
      </c>
      <c r="O22" s="1">
        <f>VLOOKUP($B22, '[1]Pro of BOF steel'!$B$2:$X$31, $A$1, FALSE)</f>
        <v>840</v>
      </c>
      <c r="P22" s="1">
        <f>VLOOKUP($B22, '[1]Pro of OHF steel'!$B$2:$X$31, $A$1, FALSE)</f>
        <v>0</v>
      </c>
      <c r="Q22" s="1">
        <f>VLOOKUP($B22, '[1]Pro of EAF steel'!$B$2:$X$31, $A$1, FALSE)</f>
        <v>4700</v>
      </c>
      <c r="R22" s="1">
        <f>VLOOKUP($B22, '[1]Exp of ingots and semis'!$B$2:$X$31, $A$1, FALSE)</f>
        <v>0</v>
      </c>
      <c r="S22" s="1">
        <f>VLOOKUP($B22, '[1]Imp of ingots and semis'!$B$2:$X$31, $A$1, FALSE)</f>
        <v>1315</v>
      </c>
      <c r="T22" s="1">
        <f>VLOOKUP($B22, '[1]Pro of hr long'!$B$2:$X$31, $A$1, FALSE)+VLOOKUP($B22, '[1]Pro of seamless tubes'!$B$2:$X$31, $A$1, FALSE)</f>
        <v>5200</v>
      </c>
      <c r="U22" s="1">
        <f>VLOOKUP($B22, '[1]Exp of long'!$B$2:$X$31, $A$1, FALSE)</f>
        <v>163</v>
      </c>
      <c r="V22" s="1">
        <f>VLOOKUP($B22, '[1]Imp of long'!$B$2:$X$31, $A$1, FALSE)</f>
        <v>3089</v>
      </c>
      <c r="W22" s="1">
        <f>VLOOKUP($B22, '[1]Pro of hr flat'!$B$2:$X$31, $A$1, FALSE)*parameters!$B$8</f>
        <v>1119.2261735419629</v>
      </c>
      <c r="X22" s="1">
        <f>VLOOKUP($B22, '[1]Exp of flat'!$B$2:$X$31, $A$1, FALSE)</f>
        <v>743</v>
      </c>
      <c r="Y22" s="1">
        <f>VLOOKUP($B22, '[1]Imp of flat'!$B$2:$X$31, $A$1, FALSE)</f>
        <v>422</v>
      </c>
      <c r="Z22" s="1">
        <f>VLOOKUP($B22, '[1]Indirect exp'!$B$2:$X$31, $A$1, FALSE)</f>
        <v>324</v>
      </c>
      <c r="AA22" s="1">
        <f>VLOOKUP($B22, '[1]Indirect imp'!$B$2:$X$31, $A$1, FALSE)</f>
        <v>1051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71</v>
      </c>
      <c r="J23" s="1">
        <f>VLOOKUP($B23, '[1]Pro of DRI'!$B$2:$X$31, $A$1, FALSE)</f>
        <v>4623</v>
      </c>
      <c r="K23" s="1">
        <f>VLOOKUP($B23, '[1]Exp of DRI'!$B$2:$X$31, $A$1, FALSE)</f>
        <v>2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4690</v>
      </c>
      <c r="R23" s="1">
        <f>VLOOKUP($B23, '[1]Exp of ingots and semis'!$B$2:$X$31, $A$1, FALSE)</f>
        <v>0</v>
      </c>
      <c r="S23" s="1">
        <f>VLOOKUP($B23, '[1]Imp of ingots and semis'!$B$2:$X$31, $A$1, FALSE)</f>
        <v>527</v>
      </c>
      <c r="T23" s="1">
        <f>VLOOKUP($B23, '[1]Pro of hr long'!$B$2:$X$31, $A$1, FALSE)+VLOOKUP($B23, '[1]Pro of seamless tubes'!$B$2:$X$31, $A$1, FALSE)</f>
        <v>2470</v>
      </c>
      <c r="U23" s="1">
        <f>VLOOKUP($B23, '[1]Exp of long'!$B$2:$X$31, $A$1, FALSE)</f>
        <v>0</v>
      </c>
      <c r="V23" s="1">
        <f>VLOOKUP($B23, '[1]Imp of long'!$B$2:$X$31, $A$1, FALSE)</f>
        <v>1116</v>
      </c>
      <c r="W23" s="1">
        <f>VLOOKUP($B23, '[1]Pro of hr flat'!$B$2:$X$31, $A$1, FALSE)*parameters!$B$8</f>
        <v>1612.7738264580369</v>
      </c>
      <c r="X23" s="1">
        <f>VLOOKUP($B23, '[1]Exp of flat'!$B$2:$X$31, $A$1, FALSE)</f>
        <v>0</v>
      </c>
      <c r="Y23" s="1">
        <f>VLOOKUP($B23, '[1]Imp of flat'!$B$2:$X$31, $A$1, FALSE)</f>
        <v>762</v>
      </c>
      <c r="Z23" s="1">
        <f>VLOOKUP($B23, '[1]Indirect exp'!$B$2:$X$31, $A$1, FALSE)</f>
        <v>46</v>
      </c>
      <c r="AA23" s="1">
        <f>VLOOKUP($B23, '[1]Indirect imp'!$B$2:$X$31, $A$1, FALSE)</f>
        <v>2138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1500</v>
      </c>
      <c r="D24" s="1">
        <f>VLOOKUP($B24, '[1]Pro of iron ore'!$B$2:$X$31, $A$1, FALSE)*(1-VLOOKUP($B24, '[1]Foundry share'!$B$2:$X$31, $A$1, FALSE))</f>
        <v>480</v>
      </c>
      <c r="E24" s="47">
        <f>VLOOKUP($B24, '[1]Iron content'!$B$2:$X$31, $A$1, FALSE)</f>
        <v>0.32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4353</v>
      </c>
      <c r="H24" s="1">
        <f>VLOOKUP($B24, '[1]Exp of pig iron'!$B$2:$X$31, $A$1, FALSE)</f>
        <v>2</v>
      </c>
      <c r="I24" s="1">
        <f>VLOOKUP($B24, '[1]Imp of pig iron'!$B$2:$X$31, $A$1, FALSE)</f>
        <v>29</v>
      </c>
      <c r="J24" s="1">
        <f>VLOOKUP($B24, '[1]Pro of DRI'!$B$2:$X$31, $A$1, FALSE)</f>
        <v>0</v>
      </c>
      <c r="K24" s="1">
        <f>VLOOKUP($B24, '[1]Exp of DRI'!$B$2:$X$31, $A$1, FALSE)</f>
        <v>0</v>
      </c>
      <c r="L24" s="1">
        <f>VLOOKUP($B24, '[1]Imp of DRI'!$B$2:$X$31, $A$1, FALSE)</f>
        <v>3</v>
      </c>
      <c r="M24" s="1">
        <f>VLOOKUP($B24, '[1]Exp of scrap'!$B$2:$X$31, $A$1, FALSE)</f>
        <v>1082</v>
      </c>
      <c r="N24" s="1">
        <f>VLOOKUP($B24, '[1]Imp of scrap'!$B$2:$X$31, $A$1, FALSE)</f>
        <v>1149</v>
      </c>
      <c r="O24" s="1">
        <f>VLOOKUP($B24, '[1]Pro of BOF steel'!$B$2:$X$31, $A$1, FALSE)</f>
        <v>5074</v>
      </c>
      <c r="P24" s="1">
        <f>VLOOKUP($B24, '[1]Pro of OHF steel'!$B$2:$X$31, $A$1, FALSE)</f>
        <v>0</v>
      </c>
      <c r="Q24" s="1">
        <f>VLOOKUP($B24, '[1]Pro of EAF steel'!$B$2:$X$31, $A$1, FALSE)</f>
        <v>588</v>
      </c>
      <c r="R24" s="1">
        <f>VLOOKUP($B24, '[1]Exp of ingots and semis'!$B$2:$X$31, $A$1, FALSE)</f>
        <v>187</v>
      </c>
      <c r="S24" s="1">
        <f>VLOOKUP($B24, '[1]Imp of ingots and semis'!$B$2:$X$31, $A$1, FALSE)</f>
        <v>47</v>
      </c>
      <c r="T24" s="1">
        <f>VLOOKUP($B24, '[1]Pro of hr long'!$B$2:$X$31, $A$1, FALSE)+VLOOKUP($B24, '[1]Pro of seamless tubes'!$B$2:$X$31, $A$1, FALSE)</f>
        <v>1499</v>
      </c>
      <c r="U24" s="1">
        <f>VLOOKUP($B24, '[1]Exp of long'!$B$2:$X$31, $A$1, FALSE)</f>
        <v>1058</v>
      </c>
      <c r="V24" s="1">
        <f>VLOOKUP($B24, '[1]Imp of long'!$B$2:$X$31, $A$1, FALSE)</f>
        <v>1009</v>
      </c>
      <c r="W24" s="1">
        <f>VLOOKUP($B24, '[1]Pro of hr flat'!$B$2:$X$31, $A$1, FALSE)*parameters!$B$8</f>
        <v>3784.1891891891892</v>
      </c>
      <c r="X24" s="1">
        <f>VLOOKUP($B24, '[1]Exp of flat'!$B$2:$X$31, $A$1, FALSE)</f>
        <v>3554</v>
      </c>
      <c r="Y24" s="1">
        <f>VLOOKUP($B24, '[1]Imp of flat'!$B$2:$X$31, $A$1, FALSE)</f>
        <v>1392</v>
      </c>
      <c r="Z24" s="1">
        <f>VLOOKUP($B24, '[1]Indirect exp'!$B$2:$X$31, $A$1, FALSE)</f>
        <v>2706</v>
      </c>
      <c r="AA24" s="1">
        <f>VLOOKUP($B24, '[1]Indirect imp'!$B$2:$X$31, $A$1, FALSE)</f>
        <v>2901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116.35000000000001</v>
      </c>
      <c r="G25" s="1">
        <f>VLOOKUP($B25, '[1]Pro of pig iron'!$B$2:$X$31, $A$1, FALSE)*(1-VLOOKUP($B25, '[1]Foundry share'!$B$2:$X$31, $A$1, FALSE))</f>
        <v>3087</v>
      </c>
      <c r="H25" s="1">
        <f>VLOOKUP($B25, '[1]Exp of pig iron'!$B$2:$X$31, $A$1, FALSE)</f>
        <v>160</v>
      </c>
      <c r="I25" s="1">
        <f>VLOOKUP($B25, '[1]Imp of pig iron'!$B$2:$X$31, $A$1, FALSE)</f>
        <v>282</v>
      </c>
      <c r="J25" s="1">
        <f>VLOOKUP($B25, '[1]Pro of DRI'!$B$2:$X$31, $A$1, FALSE)</f>
        <v>0</v>
      </c>
      <c r="K25" s="1">
        <f>VLOOKUP($B25, '[1]Exp of DRI'!$B$2:$X$31, $A$1, FALSE)</f>
        <v>0</v>
      </c>
      <c r="L25" s="1">
        <f>VLOOKUP($B25, '[1]Imp of DRI'!$B$2:$X$31, $A$1, FALSE)</f>
        <v>0</v>
      </c>
      <c r="M25" s="1">
        <f>VLOOKUP($B25, '[1]Exp of scrap'!$B$2:$X$31, $A$1, FALSE)</f>
        <v>3245</v>
      </c>
      <c r="N25" s="1">
        <f>VLOOKUP($B25, '[1]Imp of scrap'!$B$2:$X$31, $A$1, FALSE)</f>
        <v>3679</v>
      </c>
      <c r="O25" s="1">
        <f>VLOOKUP($B25, '[1]Pro of BOF steel'!$B$2:$X$31, $A$1, FALSE)</f>
        <v>3289</v>
      </c>
      <c r="P25" s="1">
        <f>VLOOKUP($B25, '[1]Pro of OHF steel'!$B$2:$X$31, $A$1, FALSE)</f>
        <v>0</v>
      </c>
      <c r="Q25" s="1">
        <f>VLOOKUP($B25, '[1]Pro of EAF steel'!$B$2:$X$31, $A$1, FALSE)</f>
        <v>2347</v>
      </c>
      <c r="R25" s="1">
        <f>VLOOKUP($B25, '[1]Exp of ingots and semis'!$B$2:$X$31, $A$1, FALSE)</f>
        <v>264</v>
      </c>
      <c r="S25" s="1">
        <f>VLOOKUP($B25, '[1]Imp of ingots and semis'!$B$2:$X$31, $A$1, FALSE)</f>
        <v>1988</v>
      </c>
      <c r="T25" s="1">
        <f>VLOOKUP($B25, '[1]Pro of hr long'!$B$2:$X$31, $A$1, FALSE)+VLOOKUP($B25, '[1]Pro of seamless tubes'!$B$2:$X$31, $A$1, FALSE)</f>
        <v>845</v>
      </c>
      <c r="U25" s="1">
        <f>VLOOKUP($B25, '[1]Exp of long'!$B$2:$X$31, $A$1, FALSE)</f>
        <v>1495</v>
      </c>
      <c r="V25" s="1">
        <f>VLOOKUP($B25, '[1]Imp of long'!$B$2:$X$31, $A$1, FALSE)</f>
        <v>1679</v>
      </c>
      <c r="W25" s="1">
        <f>VLOOKUP($B25, '[1]Pro of hr flat'!$B$2:$X$31, $A$1, FALSE)*parameters!$B$8</f>
        <v>6147</v>
      </c>
      <c r="X25" s="1">
        <f>VLOOKUP($B25, '[1]Exp of flat'!$B$2:$X$31, $A$1, FALSE)</f>
        <v>10616</v>
      </c>
      <c r="Y25" s="1">
        <f>VLOOKUP($B25, '[1]Imp of flat'!$B$2:$X$31, $A$1, FALSE)</f>
        <v>5390</v>
      </c>
      <c r="Z25" s="1">
        <f>VLOOKUP($B25, '[1]Indirect exp'!$B$2:$X$31, $A$1, FALSE)</f>
        <v>5466</v>
      </c>
      <c r="AA25" s="1">
        <f>VLOOKUP($B25, '[1]Indirect imp'!$B$2:$X$31, $A$1, FALSE)</f>
        <v>5872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7671</v>
      </c>
      <c r="H26" s="1">
        <f>VLOOKUP($B26, '[1]Exp of pig iron'!$B$2:$X$31, $A$1, FALSE)</f>
        <v>27</v>
      </c>
      <c r="I26" s="1">
        <f>VLOOKUP($B26, '[1]Imp of pig iron'!$B$2:$X$31, $A$1, FALSE)</f>
        <v>20</v>
      </c>
      <c r="J26" s="1">
        <f>VLOOKUP($B26, '[1]Pro of DRI'!$B$2:$X$31, $A$1, FALSE)</f>
        <v>0</v>
      </c>
      <c r="K26" s="1">
        <f>VLOOKUP($B26, '[1]Exp of DRI'!$B$2:$X$31, $A$1, FALSE)</f>
        <v>0</v>
      </c>
      <c r="L26" s="1">
        <f>VLOOKUP($B26, '[1]Imp of DRI'!$B$2:$X$31, $A$1, FALSE)</f>
        <v>1</v>
      </c>
      <c r="M26" s="1">
        <f>VLOOKUP($B26, '[1]Exp of scrap'!$B$2:$X$31, $A$1, FALSE)</f>
        <v>6008</v>
      </c>
      <c r="N26" s="1">
        <f>VLOOKUP($B26, '[1]Imp of scrap'!$B$2:$X$31, $A$1, FALSE)</f>
        <v>220</v>
      </c>
      <c r="O26" s="1">
        <f>VLOOKUP($B26, '[1]Pro of BOF steel'!$B$2:$X$31, $A$1, FALSE)</f>
        <v>7955</v>
      </c>
      <c r="P26" s="1">
        <f>VLOOKUP($B26, '[1]Pro of OHF steel'!$B$2:$X$31, $A$1, FALSE)</f>
        <v>0</v>
      </c>
      <c r="Q26" s="1">
        <f>VLOOKUP($B26, '[1]Pro of EAF steel'!$B$2:$X$31, $A$1, FALSE)</f>
        <v>2120</v>
      </c>
      <c r="R26" s="1">
        <f>VLOOKUP($B26, '[1]Exp of ingots and semis'!$B$2:$X$31, $A$1, FALSE)</f>
        <v>2130</v>
      </c>
      <c r="S26" s="1">
        <f>VLOOKUP($B26, '[1]Imp of ingots and semis'!$B$2:$X$31, $A$1, FALSE)</f>
        <v>210</v>
      </c>
      <c r="T26" s="1">
        <f>VLOOKUP($B26, '[1]Pro of hr long'!$B$2:$X$31, $A$1, FALSE)+VLOOKUP($B26, '[1]Pro of seamless tubes'!$B$2:$X$31, $A$1, FALSE)</f>
        <v>3131</v>
      </c>
      <c r="U26" s="1">
        <f>VLOOKUP($B26, '[1]Exp of long'!$B$2:$X$31, $A$1, FALSE)</f>
        <v>1685</v>
      </c>
      <c r="V26" s="1">
        <f>VLOOKUP($B26, '[1]Imp of long'!$B$2:$X$31, $A$1, FALSE)</f>
        <v>1058</v>
      </c>
      <c r="W26" s="1">
        <f>VLOOKUP($B26, '[1]Pro of hr flat'!$B$2:$X$31, $A$1, FALSE)*parameters!$B$8</f>
        <v>3890.0881934566146</v>
      </c>
      <c r="X26" s="1">
        <f>VLOOKUP($B26, '[1]Exp of flat'!$B$2:$X$31, $A$1, FALSE)</f>
        <v>1742</v>
      </c>
      <c r="Y26" s="1">
        <f>VLOOKUP($B26, '[1]Imp of flat'!$B$2:$X$31, $A$1, FALSE)</f>
        <v>2362</v>
      </c>
      <c r="Z26" s="1">
        <f>VLOOKUP($B26, '[1]Indirect exp'!$B$2:$X$31, $A$1, FALSE)</f>
        <v>4684</v>
      </c>
      <c r="AA26" s="1">
        <f>VLOOKUP($B26, '[1]Indirect imp'!$B$2:$X$31, $A$1, FALSE)</f>
        <v>7553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10624.25</v>
      </c>
      <c r="G27" s="1">
        <f>VLOOKUP($B27, '[1]Pro of pig iron'!$B$2:$X$31, $A$1, FALSE)*(1-VLOOKUP($B27, '[1]Foundry share'!$B$2:$X$31, $A$1, FALSE))</f>
        <v>4236.5927813007984</v>
      </c>
      <c r="H27" s="1">
        <f>VLOOKUP($B27, '[1]Exp of pig iron'!$B$2:$X$31, $A$1, FALSE)</f>
        <v>170</v>
      </c>
      <c r="I27" s="1">
        <f>VLOOKUP($B27, '[1]Imp of pig iron'!$B$2:$X$31, $A$1, FALSE)</f>
        <v>184</v>
      </c>
      <c r="J27" s="1">
        <f>VLOOKUP($B27, '[1]Pro of DRI'!$B$2:$X$31, $A$1, FALSE)</f>
        <v>0</v>
      </c>
      <c r="K27" s="1">
        <f>VLOOKUP($B27, '[1]Exp of DRI'!$B$2:$X$31, $A$1, FALSE)</f>
        <v>111</v>
      </c>
      <c r="L27" s="1">
        <f>VLOOKUP($B27, '[1]Imp of DRI'!$B$2:$X$31, $A$1, FALSE)</f>
        <v>328</v>
      </c>
      <c r="M27" s="1">
        <f>VLOOKUP($B27, '[1]Exp of scrap'!$B$2:$X$31, $A$1, FALSE)</f>
        <v>4340</v>
      </c>
      <c r="N27" s="1">
        <f>VLOOKUP($B27, '[1]Imp of scrap'!$B$2:$X$31, $A$1, FALSE)</f>
        <v>1851</v>
      </c>
      <c r="O27" s="1">
        <f>VLOOKUP($B27, '[1]Pro of BOF steel'!$B$2:$X$31, $A$1, FALSE)</f>
        <v>5134</v>
      </c>
      <c r="P27" s="1">
        <f>VLOOKUP($B27, '[1]Pro of OHF steel'!$B$2:$X$31, $A$1, FALSE)</f>
        <v>0</v>
      </c>
      <c r="Q27" s="1">
        <f>VLOOKUP($B27, '[1]Pro of EAF steel'!$B$2:$X$31, $A$1, FALSE)</f>
        <v>60</v>
      </c>
      <c r="R27" s="1">
        <f>VLOOKUP($B27, '[1]Exp of ingots and semis'!$B$2:$X$31, $A$1, FALSE)</f>
        <v>374</v>
      </c>
      <c r="S27" s="1">
        <f>VLOOKUP($B27, '[1]Imp of ingots and semis'!$B$2:$X$31, $A$1, FALSE)</f>
        <v>334</v>
      </c>
      <c r="T27" s="1">
        <f>VLOOKUP($B27, '[1]Pro of hr long'!$B$2:$X$31, $A$1, FALSE)+VLOOKUP($B27, '[1]Pro of seamless tubes'!$B$2:$X$31, $A$1, FALSE)</f>
        <v>112</v>
      </c>
      <c r="U27" s="1">
        <f>VLOOKUP($B27, '[1]Exp of long'!$B$2:$X$31, $A$1, FALSE)</f>
        <v>706</v>
      </c>
      <c r="V27" s="1">
        <f>VLOOKUP($B27, '[1]Imp of long'!$B$2:$X$31, $A$1, FALSE)</f>
        <v>2039</v>
      </c>
      <c r="W27" s="1">
        <f>VLOOKUP($B27, '[1]Pro of hr flat'!$B$2:$X$31, $A$1, FALSE)*parameters!$B$8</f>
        <v>4746.0241820768133</v>
      </c>
      <c r="X27" s="1">
        <f>VLOOKUP($B27, '[1]Exp of flat'!$B$2:$X$31, $A$1, FALSE)</f>
        <v>5817</v>
      </c>
      <c r="Y27" s="1">
        <f>VLOOKUP($B27, '[1]Imp of flat'!$B$2:$X$31, $A$1, FALSE)</f>
        <v>2679</v>
      </c>
      <c r="Z27" s="1">
        <f>VLOOKUP($B27, '[1]Indirect exp'!$B$2:$X$31, $A$1, FALSE)</f>
        <v>3896</v>
      </c>
      <c r="AA27" s="1">
        <f>VLOOKUP($B27, '[1]Indirect imp'!$B$2:$X$31, $A$1, FALSE)</f>
        <v>4156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394000</v>
      </c>
      <c r="D28" s="1">
        <f>VLOOKUP($B28, '[1]Pro of iron ore'!$B$2:$X$31, $A$1, FALSE)*(1-VLOOKUP($B28, '[1]Foundry share'!$B$2:$X$31, $A$1, FALSE))</f>
        <v>228000</v>
      </c>
      <c r="E28" s="47">
        <f>VLOOKUP($B28, '[1]Iron content'!$B$2:$X$31, $A$1, FALSE)</f>
        <v>0.57868020304568524</v>
      </c>
      <c r="F28" s="1">
        <f>VLOOKUP($B28, '[1]Exp of usable iron ore'!$B$2:$X$31, $A$1, FALSE)*parameters!$B$12</f>
        <v>247339.95</v>
      </c>
      <c r="G28" s="1">
        <f>VLOOKUP($B28, '[1]Pro of pig iron'!$B$2:$X$31, $A$1, FALSE)*(1-VLOOKUP($B28, '[1]Foundry share'!$B$2:$X$31, $A$1, FALSE))</f>
        <v>4370</v>
      </c>
      <c r="H28" s="1">
        <f>VLOOKUP($B28, '[1]Exp of pig iron'!$B$2:$X$31, $A$1, FALSE)</f>
        <v>104</v>
      </c>
      <c r="I28" s="1">
        <f>VLOOKUP($B28, '[1]Imp of pig iron'!$B$2:$X$31, $A$1, FALSE)</f>
        <v>11</v>
      </c>
      <c r="J28" s="1">
        <f>VLOOKUP($B28, '[1]Pro of DRI'!$B$2:$X$31, $A$1, FALSE)</f>
        <v>0</v>
      </c>
      <c r="K28" s="1">
        <f>VLOOKUP($B28, '[1]Exp of DRI'!$B$2:$X$31, $A$1, FALSE)</f>
        <v>0</v>
      </c>
      <c r="L28" s="1">
        <f>VLOOKUP($B28, '[1]Imp of DRI'!$B$2:$X$31, $A$1, FALSE)</f>
        <v>1</v>
      </c>
      <c r="M28" s="1">
        <f>VLOOKUP($B28, '[1]Exp of scrap'!$B$2:$X$31, $A$1, FALSE)</f>
        <v>1925</v>
      </c>
      <c r="N28" s="1">
        <f>VLOOKUP($B28, '[1]Imp of scrap'!$B$2:$X$31, $A$1, FALSE)</f>
        <v>2</v>
      </c>
      <c r="O28" s="1">
        <f>VLOOKUP($B28, '[1]Pro of BOF steel'!$B$2:$X$31, $A$1, FALSE)</f>
        <v>4331</v>
      </c>
      <c r="P28" s="1">
        <f>VLOOKUP($B28, '[1]Pro of OHF steel'!$B$2:$X$31, $A$1, FALSE)</f>
        <v>0</v>
      </c>
      <c r="Q28" s="1">
        <f>VLOOKUP($B28, '[1]Pro of EAF steel'!$B$2:$X$31, $A$1, FALSE)</f>
        <v>919</v>
      </c>
      <c r="R28" s="1">
        <f>VLOOKUP($B28, '[1]Exp of ingots and semis'!$B$2:$X$31, $A$1, FALSE)</f>
        <v>32</v>
      </c>
      <c r="S28" s="1">
        <f>VLOOKUP($B28, '[1]Imp of ingots and semis'!$B$2:$X$31, $A$1, FALSE)</f>
        <v>5</v>
      </c>
      <c r="T28" s="1">
        <f>VLOOKUP($B28, '[1]Pro of hr long'!$B$2:$X$31, $A$1, FALSE)+VLOOKUP($B28, '[1]Pro of seamless tubes'!$B$2:$X$31, $A$1, FALSE)</f>
        <v>1768</v>
      </c>
      <c r="U28" s="1">
        <f>VLOOKUP($B28, '[1]Exp of long'!$B$2:$X$31, $A$1, FALSE)</f>
        <v>73</v>
      </c>
      <c r="V28" s="1">
        <f>VLOOKUP($B28, '[1]Imp of long'!$B$2:$X$31, $A$1, FALSE)</f>
        <v>624</v>
      </c>
      <c r="W28" s="1">
        <f>VLOOKUP($B28, '[1]Pro of hr flat'!$B$2:$X$31, $A$1, FALSE)*parameters!$B$8</f>
        <v>2935.0540540540542</v>
      </c>
      <c r="X28" s="1">
        <f>VLOOKUP($B28, '[1]Exp of flat'!$B$2:$X$31, $A$1, FALSE)</f>
        <v>754</v>
      </c>
      <c r="Y28" s="1">
        <f>VLOOKUP($B28, '[1]Imp of flat'!$B$2:$X$31, $A$1, FALSE)</f>
        <v>744</v>
      </c>
      <c r="Z28" s="1">
        <f>VLOOKUP($B28, '[1]Indirect exp'!$B$2:$X$31, $A$1, FALSE)</f>
        <v>537</v>
      </c>
      <c r="AA28" s="1">
        <f>VLOOKUP($B28, '[1]Indirect imp'!$B$2:$X$31, $A$1, FALSE)</f>
        <v>3312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55313.053</v>
      </c>
      <c r="D29" s="1">
        <f>VLOOKUP($B29, '[1]Pro of iron ore'!$B$2:$X$31, $A$1, FALSE)*(1-VLOOKUP($B29, '[1]Foundry share'!$B$2:$X$31, $A$1, FALSE))</f>
        <v>35600</v>
      </c>
      <c r="E29" s="47">
        <f>VLOOKUP($B29, '[1]Iron content'!$B$2:$X$31, $A$1, FALSE)</f>
        <v>0.64360938456967831</v>
      </c>
      <c r="F29" s="1">
        <f>VLOOKUP($B29, '[1]Exp of usable iron ore'!$B$2:$X$31, $A$1, FALSE)*parameters!$B$12</f>
        <v>28963.350000000002</v>
      </c>
      <c r="G29" s="1">
        <f>VLOOKUP($B29, '[1]Pro of pig iron'!$B$2:$X$31, $A$1, FALSE)*(1-VLOOKUP($B29, '[1]Foundry share'!$B$2:$X$31, $A$1, FALSE))</f>
        <v>4444</v>
      </c>
      <c r="H29" s="1">
        <f>VLOOKUP($B29, '[1]Exp of pig iron'!$B$2:$X$31, $A$1, FALSE)</f>
        <v>577</v>
      </c>
      <c r="I29" s="1">
        <f>VLOOKUP($B29, '[1]Imp of pig iron'!$B$2:$X$31, $A$1, FALSE)</f>
        <v>0</v>
      </c>
      <c r="J29" s="1">
        <f>VLOOKUP($B29, '[1]Pro of DRI'!$B$2:$X$31, $A$1, FALSE)</f>
        <v>1340</v>
      </c>
      <c r="K29" s="1">
        <f>VLOOKUP($B29, '[1]Exp of DRI'!$B$2:$X$31, $A$1, FALSE)</f>
        <v>1</v>
      </c>
      <c r="L29" s="1">
        <f>VLOOKUP($B29, '[1]Imp of DRI'!$B$2:$X$31, $A$1, FALSE)</f>
        <v>0</v>
      </c>
      <c r="M29" s="1">
        <f>VLOOKUP($B29, '[1]Exp of scrap'!$B$2:$X$31, $A$1, FALSE)</f>
        <v>1144</v>
      </c>
      <c r="N29" s="1">
        <f>VLOOKUP($B29, '[1]Imp of scrap'!$B$2:$X$31, $A$1, FALSE)</f>
        <v>41</v>
      </c>
      <c r="O29" s="1">
        <f>VLOOKUP($B29, '[1]Pro of BOF steel'!$B$2:$X$31, $A$1, FALSE)</f>
        <v>3954</v>
      </c>
      <c r="P29" s="1">
        <f>VLOOKUP($B29, '[1]Pro of OHF steel'!$B$2:$X$31, $A$1, FALSE)</f>
        <v>0</v>
      </c>
      <c r="Q29" s="1">
        <f>VLOOKUP($B29, '[1]Pro of EAF steel'!$B$2:$X$31, $A$1, FALSE)</f>
        <v>3530</v>
      </c>
      <c r="R29" s="1">
        <f>VLOOKUP($B29, '[1]Exp of ingots and semis'!$B$2:$X$31, $A$1, FALSE)</f>
        <v>436</v>
      </c>
      <c r="S29" s="1">
        <f>VLOOKUP($B29, '[1]Imp of ingots and semis'!$B$2:$X$31, $A$1, FALSE)</f>
        <v>7</v>
      </c>
      <c r="T29" s="1">
        <f>VLOOKUP($B29, '[1]Pro of hr long'!$B$2:$X$31, $A$1, FALSE)+VLOOKUP($B29, '[1]Pro of seamless tubes'!$B$2:$X$31, $A$1, FALSE)</f>
        <v>2240</v>
      </c>
      <c r="U29" s="1">
        <f>VLOOKUP($B29, '[1]Exp of long'!$B$2:$X$31, $A$1, FALSE)</f>
        <v>740</v>
      </c>
      <c r="V29" s="1">
        <f>VLOOKUP($B29, '[1]Imp of long'!$B$2:$X$31, $A$1, FALSE)</f>
        <v>106</v>
      </c>
      <c r="W29" s="1">
        <f>VLOOKUP($B29, '[1]Pro of hr flat'!$B$2:$X$31, $A$1, FALSE)*parameters!$B$8</f>
        <v>3215.8321479374113</v>
      </c>
      <c r="X29" s="1">
        <f>VLOOKUP($B29, '[1]Exp of flat'!$B$2:$X$31, $A$1, FALSE)</f>
        <v>1546</v>
      </c>
      <c r="Y29" s="1">
        <f>VLOOKUP($B29, '[1]Imp of flat'!$B$2:$X$31, $A$1, FALSE)</f>
        <v>412</v>
      </c>
      <c r="Z29" s="1">
        <f>VLOOKUP($B29, '[1]Indirect exp'!$B$2:$X$31, $A$1, FALSE)</f>
        <v>1038</v>
      </c>
      <c r="AA29" s="1">
        <f>VLOOKUP($B29, '[1]Indirect imp'!$B$2:$X$31, $A$1, FALSE)</f>
        <v>1161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950</v>
      </c>
      <c r="D30" s="1">
        <f>VLOOKUP($B30, '[1]Pro of iron ore'!$B$2:$X$31, $A$1, FALSE)*(1-VLOOKUP($B30, '[1]Foundry share'!$B$2:$X$31, $A$1, FALSE))</f>
        <v>532</v>
      </c>
      <c r="E30" s="47">
        <f>VLOOKUP($B30, '[1]Iron content'!$B$2:$X$31, $A$1, FALSE)</f>
        <v>0.56000000000000005</v>
      </c>
      <c r="F30" s="1">
        <f>VLOOKUP($B30, '[1]Exp of usable iron ore'!$B$2:$X$31, $A$1, FALSE)*parameters!$B$12</f>
        <v>536.25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69</v>
      </c>
      <c r="J30" s="1">
        <f>VLOOKUP($B30, '[1]Pro of DRI'!$B$2:$X$31, $A$1, FALSE)</f>
        <v>2388</v>
      </c>
      <c r="K30" s="1">
        <f>VLOOKUP($B30, '[1]Exp of DRI'!$B$2:$X$31, $A$1, FALSE)</f>
        <v>255</v>
      </c>
      <c r="L30" s="1">
        <f>VLOOKUP($B30, '[1]Imp of DRI'!$B$2:$X$31, $A$1, FALSE)</f>
        <v>195</v>
      </c>
      <c r="M30" s="1">
        <f>VLOOKUP($B30, '[1]Exp of scrap'!$B$2:$X$31, $A$1, FALSE)</f>
        <v>78</v>
      </c>
      <c r="N30" s="1">
        <f>VLOOKUP($B30, '[1]Imp of scrap'!$B$2:$X$31, $A$1, FALSE)</f>
        <v>1741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5354</v>
      </c>
      <c r="R30" s="1">
        <f>VLOOKUP($B30, '[1]Exp of ingots and semis'!$B$2:$X$31, $A$1, FALSE)</f>
        <v>647</v>
      </c>
      <c r="S30" s="1">
        <f>VLOOKUP($B30, '[1]Imp of ingots and semis'!$B$2:$X$31, $A$1, FALSE)</f>
        <v>132</v>
      </c>
      <c r="T30" s="1">
        <f>VLOOKUP($B30, '[1]Pro of hr long'!$B$2:$X$31, $A$1, FALSE)+VLOOKUP($B30, '[1]Pro of seamless tubes'!$B$2:$X$31, $A$1, FALSE)</f>
        <v>3694</v>
      </c>
      <c r="U30" s="1">
        <f>VLOOKUP($B30, '[1]Exp of long'!$B$2:$X$31, $A$1, FALSE)</f>
        <v>758</v>
      </c>
      <c r="V30" s="1">
        <f>VLOOKUP($B30, '[1]Imp of long'!$B$2:$X$31, $A$1, FALSE)</f>
        <v>796</v>
      </c>
      <c r="W30" s="1">
        <f>VLOOKUP($B30, '[1]Pro of hr flat'!$B$2:$X$31, $A$1, FALSE)*parameters!$B$8</f>
        <v>1368.9146514935987</v>
      </c>
      <c r="X30" s="1">
        <f>VLOOKUP($B30, '[1]Exp of flat'!$B$2:$X$31, $A$1, FALSE)</f>
        <v>533</v>
      </c>
      <c r="Y30" s="1">
        <f>VLOOKUP($B30, '[1]Imp of flat'!$B$2:$X$31, $A$1, FALSE)</f>
        <v>2432</v>
      </c>
      <c r="Z30" s="1">
        <f>VLOOKUP($B30, '[1]Indirect exp'!$B$2:$X$31, $A$1, FALSE)</f>
        <v>1612</v>
      </c>
      <c r="AA30" s="1">
        <f>VLOOKUP($B30, '[1]Indirect imp'!$B$2:$X$31, $A$1, FALSE)</f>
        <v>1898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1700</v>
      </c>
      <c r="D31" s="1">
        <f>VLOOKUP($B31, '[1]Pro of iron ore'!$B$2:$X$31, $A$1, FALSE)*(1-VLOOKUP($B31, '[1]Foundry share'!$B$2:$X$31, $A$1, FALSE))</f>
        <v>855</v>
      </c>
      <c r="E31" s="47">
        <f>VLOOKUP($B31, '[1]Iron content'!$B$2:$X$31, $A$1, FALSE)</f>
        <v>0.50294117647058822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1</v>
      </c>
      <c r="I31" s="1">
        <f>VLOOKUP($B31, '[1]Imp of pig iron'!$B$2:$X$31, $A$1, FALSE)</f>
        <v>414</v>
      </c>
      <c r="J31" s="1">
        <f>VLOOKUP($B31, '[1]Pro of DRI'!$B$2:$X$31, $A$1, FALSE)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342</v>
      </c>
      <c r="N31" s="1">
        <f>VLOOKUP($B31, '[1]Imp of scrap'!$B$2:$X$31, $A$1, FALSE)</f>
        <v>1490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3646</v>
      </c>
      <c r="R31" s="1">
        <f>VLOOKUP($B31, '[1]Exp of ingots and semis'!$B$2:$X$31, $A$1, FALSE)</f>
        <v>145</v>
      </c>
      <c r="S31" s="1">
        <f>VLOOKUP($B31, '[1]Imp of ingots and semis'!$B$2:$X$31, $A$1, FALSE)</f>
        <v>3837</v>
      </c>
      <c r="T31" s="1">
        <f>VLOOKUP($B31, '[1]Pro of hr long'!$B$2:$X$31, $A$1, FALSE)+VLOOKUP($B31, '[1]Pro of seamless tubes'!$B$2:$X$31, $A$1, FALSE)</f>
        <v>3604</v>
      </c>
      <c r="U31" s="1">
        <f>VLOOKUP($B31, '[1]Exp of long'!$B$2:$X$31, $A$1, FALSE)</f>
        <v>622</v>
      </c>
      <c r="V31" s="1">
        <f>VLOOKUP($B31, '[1]Imp of long'!$B$2:$X$31, $A$1, FALSE)</f>
        <v>965</v>
      </c>
      <c r="W31" s="1">
        <f>VLOOKUP($B31, '[1]Pro of hr flat'!$B$2:$X$31, $A$1, FALSE)*parameters!$B$8</f>
        <v>3255.6657183499287</v>
      </c>
      <c r="X31" s="1">
        <f>VLOOKUP($B31, '[1]Exp of flat'!$B$2:$X$31, $A$1, FALSE)</f>
        <v>593</v>
      </c>
      <c r="Y31" s="1">
        <f>VLOOKUP($B31, '[1]Imp of flat'!$B$2:$X$31, $A$1, FALSE)</f>
        <v>3845</v>
      </c>
      <c r="Z31" s="1">
        <f>VLOOKUP($B31, '[1]Indirect exp'!$B$2:$X$31, $A$1, FALSE)</f>
        <v>2652</v>
      </c>
      <c r="AA31" s="1">
        <f>VLOOKUP($B31, '[1]Indirect imp'!$B$2:$X$31, $A$1, FALSE)</f>
        <v>1972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17700</v>
      </c>
      <c r="D32" s="1">
        <f>VLOOKUP($B32, '[1]Pro of iron ore'!$B$2:$X$31, $A$1, FALSE)*(1-VLOOKUP($B32, '[1]Foundry share'!$B$2:$X$31, $A$1, FALSE))</f>
        <v>11500</v>
      </c>
      <c r="E32" s="47">
        <f>VLOOKUP($B32, '[1]Iron content'!$B$2:$X$31, $A$1, FALSE)</f>
        <v>0.64971751412429379</v>
      </c>
      <c r="F32" s="1">
        <f>VLOOKUP($B32, '[1]Exp of usable iron ore'!$B$2:$X$31, $A$1, FALSE)*parameters!$B$12</f>
        <v>10467.6</v>
      </c>
      <c r="G32" s="1">
        <f>VLOOKUP($B32, '[1]Pro of pig iron'!$B$2:$X$31, $A$1, FALSE)*(1-VLOOKUP($B32, '[1]Foundry share'!$B$2:$X$31, $A$1, FALSE))</f>
        <v>1966</v>
      </c>
      <c r="H32" s="1">
        <f>VLOOKUP($B32, '[1]Exp of pig iron'!$B$2:$X$31, $A$1, FALSE)</f>
        <v>141</v>
      </c>
      <c r="I32" s="1">
        <f>VLOOKUP($B32, '[1]Imp of pig iron'!$B$2:$X$31, $A$1, FALSE)</f>
        <v>40</v>
      </c>
      <c r="J32" s="1">
        <f>VLOOKUP($B32, '[1]Pro of DRI'!$B$2:$X$31, $A$1, FALSE)</f>
        <v>96</v>
      </c>
      <c r="K32" s="1">
        <f>VLOOKUP($B32, '[1]Exp of DRI'!$B$2:$X$31, $A$1, FALSE)</f>
        <v>6</v>
      </c>
      <c r="L32" s="1">
        <f>VLOOKUP($B32, '[1]Imp of DRI'!$B$2:$X$31, $A$1, FALSE)</f>
        <v>0</v>
      </c>
      <c r="M32" s="1">
        <f>VLOOKUP($B32, '[1]Exp of scrap'!$B$2:$X$31, $A$1, FALSE)</f>
        <v>1415</v>
      </c>
      <c r="N32" s="1">
        <f>VLOOKUP($B32, '[1]Imp of scrap'!$B$2:$X$31, $A$1, FALSE)</f>
        <v>174</v>
      </c>
      <c r="O32" s="1">
        <f>VLOOKUP($B32, '[1]Pro of BOF steel'!$B$2:$X$31, $A$1, FALSE)</f>
        <v>1837</v>
      </c>
      <c r="P32" s="1">
        <f>VLOOKUP($B32, '[1]Pro of OHF steel'!$B$2:$X$31, $A$1, FALSE)</f>
        <v>0</v>
      </c>
      <c r="Q32" s="1">
        <f>VLOOKUP($B32, '[1]Pro of EAF steel'!$B$2:$X$31, $A$1, FALSE)</f>
        <v>967</v>
      </c>
      <c r="R32" s="1">
        <f>VLOOKUP($B32, '[1]Exp of ingots and semis'!$B$2:$X$31, $A$1, FALSE)</f>
        <v>59</v>
      </c>
      <c r="S32" s="1">
        <f>VLOOKUP($B32, '[1]Imp of ingots and semis'!$B$2:$X$31, $A$1, FALSE)</f>
        <v>120</v>
      </c>
      <c r="T32" s="1">
        <f>VLOOKUP($B32, '[1]Pro of hr long'!$B$2:$X$31, $A$1, FALSE)+VLOOKUP($B32, '[1]Pro of seamless tubes'!$B$2:$X$31, $A$1, FALSE)</f>
        <v>418</v>
      </c>
      <c r="U32" s="1">
        <f>VLOOKUP($B32, '[1]Exp of long'!$B$2:$X$31, $A$1, FALSE)</f>
        <v>384</v>
      </c>
      <c r="V32" s="1">
        <f>VLOOKUP($B32, '[1]Imp of long'!$B$2:$X$31, $A$1, FALSE)</f>
        <v>626</v>
      </c>
      <c r="W32" s="1">
        <f>VLOOKUP($B32, '[1]Pro of hr flat'!$B$2:$X$31, $A$1, FALSE)*parameters!$B$8</f>
        <v>2466.7667140825033</v>
      </c>
      <c r="X32" s="1">
        <f>VLOOKUP($B32, '[1]Exp of flat'!$B$2:$X$31, $A$1, FALSE)</f>
        <v>1819</v>
      </c>
      <c r="Y32" s="1">
        <f>VLOOKUP($B32, '[1]Imp of flat'!$B$2:$X$31, $A$1, FALSE)</f>
        <v>1392</v>
      </c>
      <c r="Z32" s="1">
        <f>VLOOKUP($B32, '[1]Indirect exp'!$B$2:$X$31, $A$1, FALSE)</f>
        <v>2064</v>
      </c>
      <c r="AA32" s="1">
        <f>VLOOKUP($B32, '[1]Indirect imp'!$B$2:$X$31, $A$1, FALSE)</f>
        <v>2173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512726.07173585275</v>
      </c>
      <c r="D2" s="9">
        <f ca="1">Q4/parameters!$B$3</f>
        <v>38.884975344671432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512764.95671119745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-247283.56199571781</v>
      </c>
      <c r="Q2" s="17" cm="1">
        <f t="array" aca="1" ref="Q2" ca="1">INDIRECT("'data'!$D$" &amp; $A$1)</f>
        <v>265481.39471547963</v>
      </c>
      <c r="R2" s="17">
        <f ca="1">SUM(L2:P2)</f>
        <v>265481.39471547963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462859.38059701497</v>
      </c>
      <c r="G3" s="14">
        <f ca="1">Q3-O3-P3-F3</f>
        <v>49829.671886901895</v>
      </c>
      <c r="H3" s="14"/>
      <c r="I3" s="14"/>
      <c r="J3" s="14"/>
      <c r="K3" s="13"/>
      <c r="L3" s="16">
        <f t="shared" ca="1" si="0"/>
        <v>512689.05248391686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223.96499999999997</v>
      </c>
      <c r="P3" s="13" cm="1">
        <f t="array" aca="1" ref="P3" ca="1">-INDIRECT("'data'!$I$" &amp; $A$1)*parameters!$B$13</f>
        <v>-3417.12</v>
      </c>
      <c r="Q3" s="16" cm="1">
        <f t="array" aca="1" ref="Q3" ca="1">INDIRECT("'data'!$G$" &amp; $A$1)*parameters!$B$13</f>
        <v>509495.89748391689</v>
      </c>
      <c r="R3" s="16">
        <f t="shared" ref="R3:R10" ca="1" si="2">SUM(L3:P3)</f>
        <v>509495.89748391689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1670.72</v>
      </c>
      <c r="H4" s="14"/>
      <c r="I4" s="14"/>
      <c r="J4" s="14"/>
      <c r="K4" s="13"/>
      <c r="L4" s="16">
        <f t="shared" ca="1" si="0"/>
        <v>1670.72</v>
      </c>
      <c r="M4" s="16"/>
      <c r="N4" s="16">
        <f t="shared" ca="1" si="1"/>
        <v>1.2789769243681803E-13</v>
      </c>
      <c r="O4" s="11" cm="1">
        <f t="array" aca="1" ref="O4" ca="1">INDIRECT("'data'!$K$" &amp; $A$1)*parameters!$B$14</f>
        <v>4.6000000000000005</v>
      </c>
      <c r="P4" s="13" cm="1">
        <f t="array" aca="1" ref="P4" ca="1">-INDIRECT("'data'!$L$" &amp; $A$1)*parameters!$B$14</f>
        <v>-1636.68</v>
      </c>
      <c r="Q4" s="16" cm="1">
        <f t="array" aca="1" ref="Q4" ca="1">INDIRECT("'data'!$J$" &amp; $A$1)*parameters!$B$14</f>
        <v>38.64</v>
      </c>
      <c r="R4" s="16">
        <f t="shared" ca="1" si="2"/>
        <v>38.6400000000001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Q6/parameters!$B$5*15%</f>
        <v>81681.067164179112</v>
      </c>
      <c r="G5" s="14">
        <f ca="1">Q7/parameters!$B$7-(G3+G4)</f>
        <v>5604.8327734951745</v>
      </c>
      <c r="H5" s="14"/>
      <c r="I5" s="14"/>
      <c r="J5" s="14"/>
      <c r="K5" s="13"/>
      <c r="L5" s="16">
        <f t="shared" ca="1" si="0"/>
        <v>87285.899937674287</v>
      </c>
      <c r="M5" s="16"/>
      <c r="N5" s="16"/>
      <c r="O5" s="11" cm="1">
        <f t="array" aca="1" ref="O5" ca="1">INDIRECT("'data'!$M$" &amp; $A$1)*parameters!$B$15</f>
        <v>8.82</v>
      </c>
      <c r="P5" s="13" cm="1">
        <f t="array" aca="1" ref="P5" ca="1">-INDIRECT("'data'!$N$" &amp; $A$1)*parameters!$B$15</f>
        <v>-13418.16</v>
      </c>
      <c r="Q5" s="16">
        <f ca="1">SUM(L5:P5)</f>
        <v>73876.55993767429</v>
      </c>
      <c r="R5" s="16">
        <f t="shared" ca="1" si="2"/>
        <v>73876.55993767429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510778.94</v>
      </c>
      <c r="I6" s="14"/>
      <c r="J6" s="14"/>
      <c r="K6" s="13"/>
      <c r="L6" s="16">
        <f t="shared" ca="1" si="0"/>
        <v>510778.94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510778.94</v>
      </c>
      <c r="R6" s="16">
        <f t="shared" ca="1" si="2"/>
        <v>510778.94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54649.7</v>
      </c>
      <c r="I7" s="14"/>
      <c r="J7" s="14"/>
      <c r="K7" s="13"/>
      <c r="L7" s="16">
        <f t="shared" ca="1" si="0"/>
        <v>54649.7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54649.7</v>
      </c>
      <c r="R7" s="16">
        <f t="shared" ca="1" si="2"/>
        <v>54649.7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355536.80207941902</v>
      </c>
      <c r="J8" s="14">
        <f ca="1">Q10/J18</f>
        <v>214404.73792058098</v>
      </c>
      <c r="K8" s="13"/>
      <c r="L8" s="16">
        <f t="shared" ca="1" si="0"/>
        <v>569941.54</v>
      </c>
      <c r="M8" s="16"/>
      <c r="N8" s="16">
        <f t="shared" ca="1" si="3"/>
        <v>0</v>
      </c>
      <c r="O8" s="11" cm="1">
        <f t="array" aca="1" ref="O8" ca="1">INDIRECT("'data'!$R$" &amp; $A$1)*parameters!$B$15</f>
        <v>43.12</v>
      </c>
      <c r="P8" s="13" cm="1">
        <f t="array" aca="1" ref="P8" ca="1">-INDIRECT("'data'!$S$" &amp; $A$1)*parameters!$B$15</f>
        <v>-4556.0199999999995</v>
      </c>
      <c r="Q8" s="16">
        <f ca="1">SUM(Q6:Q7)</f>
        <v>565428.64</v>
      </c>
      <c r="R8" s="16">
        <f t="shared" ca="1" si="2"/>
        <v>565428.64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346224.19999999995</v>
      </c>
      <c r="L9" s="16">
        <f t="shared" ca="1" si="0"/>
        <v>346224.19999999995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5416.46</v>
      </c>
      <c r="P9" s="13" cm="1">
        <f t="array" aca="1" ref="P9" ca="1">-INDIRECT("'data'!$V$" &amp; $A$1)*parameters!$B$15</f>
        <v>-1632.68</v>
      </c>
      <c r="Q9" s="16" cm="1">
        <f t="array" aca="1" ref="Q9" ca="1">INDIRECT("'data'!$T$" &amp; $A$1)*parameters!$B$15</f>
        <v>350007.98</v>
      </c>
      <c r="R9" s="16">
        <f t="shared" ca="1" si="2"/>
        <v>350007.98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214433.96867709816</v>
      </c>
      <c r="L10" s="16">
        <f t="shared" ca="1" si="0"/>
        <v>214433.96867709816</v>
      </c>
      <c r="M10" s="16"/>
      <c r="N10" s="16">
        <f t="shared" ca="1" si="3"/>
        <v>0</v>
      </c>
      <c r="O10" s="11" cm="1">
        <f t="array" aca="1" ref="O10" ca="1">INDIRECT("'data'!$X$" &amp; $A$1)*parameters!$B$15</f>
        <v>11606.14</v>
      </c>
      <c r="P10" s="13" cm="1">
        <f t="array" aca="1" ref="P10" ca="1">-INDIRECT("'data'!$Y$" &amp; $A$1)*parameters!$B$15</f>
        <v>-14969.5</v>
      </c>
      <c r="Q10" s="16" cm="1">
        <f t="array" aca="1" ref="Q10" ca="1">INDIRECT("'data'!$W$" &amp; $A$1)*parameters!$B$15</f>
        <v>211070.60867709815</v>
      </c>
      <c r="R10" s="16">
        <f t="shared" ca="1" si="2"/>
        <v>211070.60867709818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474880.90106230439</v>
      </c>
      <c r="N11" s="19"/>
      <c r="O11" s="21" cm="1">
        <f t="array" aca="1" ref="O11" ca="1">INDIRECT("'data'!$Z$" &amp; $A$1)*parameters!$B$15</f>
        <v>43815.799999999996</v>
      </c>
      <c r="P11" s="27" cm="1">
        <f t="array" aca="1" ref="P11" ca="1">-INDIRECT("'data'!$AA$" &amp; $A$1)*parameters!$B$15</f>
        <v>-8832.74</v>
      </c>
      <c r="Q11" s="16">
        <f ca="1">K9*parameters!$B$10+K10*parameters!$B$11</f>
        <v>509863.96106230438</v>
      </c>
      <c r="R11" s="16">
        <f t="shared" ref="R11:R17" ca="1" si="4">SUM(L11:P11)</f>
        <v>509863.96106230438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-3230.1742519358522</v>
      </c>
      <c r="D12" s="9">
        <f ca="1">-(D17-Q4)</f>
        <v>-0.24497534467143112</v>
      </c>
      <c r="E12" s="9">
        <f ca="1">-(E17-Q5)</f>
        <v>-9130.8107788136695</v>
      </c>
      <c r="F12" s="9">
        <f ca="1">-(F17-Q6)</f>
        <v>-33761.50776119408</v>
      </c>
      <c r="G12" s="9">
        <f ca="1">-(G17-Q7)</f>
        <v>-2455.5246603970736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-48578.262427685346</v>
      </c>
      <c r="M12" s="17"/>
      <c r="N12" s="17"/>
      <c r="O12" s="10"/>
      <c r="P12" s="12"/>
      <c r="Q12" s="9">
        <f t="shared" ref="Q12:Q17" ca="1" si="6">SUM(L12:P12)</f>
        <v>-48578.262427685346</v>
      </c>
      <c r="R12" s="17">
        <f t="shared" ca="1" si="4"/>
        <v>-48578.262427685346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-5528.822079419042</v>
      </c>
      <c r="J13" s="14">
        <f ca="1">-(J17-Q10)</f>
        <v>-3334.1292434828356</v>
      </c>
      <c r="K13" s="13">
        <f ca="1">-(K17-Q11)</f>
        <v>-50794.207614793733</v>
      </c>
      <c r="L13" s="14">
        <f t="shared" ca="1" si="5"/>
        <v>-59657.158937695611</v>
      </c>
      <c r="M13" s="16">
        <f ca="1">-E15</f>
        <v>-23350.211778792349</v>
      </c>
      <c r="N13" s="16"/>
      <c r="O13" s="11"/>
      <c r="P13" s="13"/>
      <c r="Q13" s="14">
        <f t="shared" ca="1" si="6"/>
        <v>-83007.37071648796</v>
      </c>
      <c r="R13" s="16">
        <f t="shared" ca="1" si="4"/>
        <v>-83007.37071648796</v>
      </c>
    </row>
    <row r="14" spans="1:20">
      <c r="A14" s="18" t="s">
        <v>78</v>
      </c>
      <c r="B14" s="11"/>
      <c r="C14" s="14"/>
      <c r="D14" s="14"/>
      <c r="E14" s="14">
        <f ca="1">-(I13+J13)-K13</f>
        <v>59657.158937695611</v>
      </c>
      <c r="F14" s="14"/>
      <c r="G14" s="14"/>
      <c r="H14" s="14"/>
      <c r="I14" s="14"/>
      <c r="J14" s="14"/>
      <c r="K14" s="13"/>
      <c r="L14" s="14">
        <f t="shared" ca="1" si="5"/>
        <v>59657.158937695611</v>
      </c>
      <c r="M14" s="16"/>
      <c r="N14" s="16"/>
      <c r="O14" s="11"/>
      <c r="P14" s="13"/>
      <c r="Q14" s="14">
        <f t="shared" ca="1" si="6"/>
        <v>59657.158937695611</v>
      </c>
      <c r="R14" s="16">
        <f t="shared" ca="1" si="4"/>
        <v>59657.158937695611</v>
      </c>
    </row>
    <row r="15" spans="1:20">
      <c r="A15" s="18" t="s">
        <v>79</v>
      </c>
      <c r="B15" s="11"/>
      <c r="C15" s="14"/>
      <c r="D15" s="14"/>
      <c r="E15" s="14">
        <f ca="1">E17-E14</f>
        <v>23350.211778792349</v>
      </c>
      <c r="F15" s="14"/>
      <c r="G15" s="14"/>
      <c r="H15" s="14"/>
      <c r="I15" s="14"/>
      <c r="J15" s="14"/>
      <c r="K15" s="13"/>
      <c r="L15" s="14">
        <f t="shared" ca="1" si="5"/>
        <v>23350.211778792349</v>
      </c>
      <c r="M15" s="16"/>
      <c r="N15" s="16"/>
      <c r="O15" s="11"/>
      <c r="P15" s="13"/>
      <c r="Q15" s="14">
        <f t="shared" ca="1" si="6"/>
        <v>23350.211778792349</v>
      </c>
      <c r="R15" s="16">
        <f t="shared" ca="1" si="4"/>
        <v>23350.211778792349</v>
      </c>
    </row>
    <row r="16" spans="1:20">
      <c r="A16" s="30" t="s">
        <v>89</v>
      </c>
      <c r="B16" s="21">
        <f ca="1">Q2</f>
        <v>265481.39471547963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265481.39471547963</v>
      </c>
      <c r="M16" s="19"/>
      <c r="N16" s="19"/>
      <c r="O16" s="21"/>
      <c r="P16" s="27"/>
      <c r="Q16" s="22">
        <f t="shared" ca="1" si="6"/>
        <v>265481.39471547963</v>
      </c>
      <c r="R16" s="19">
        <f t="shared" ca="1" si="4"/>
        <v>265481.39471547963</v>
      </c>
    </row>
    <row r="17" spans="1:18">
      <c r="A17" s="29" t="s">
        <v>88</v>
      </c>
      <c r="B17" s="9">
        <f ca="1">B16</f>
        <v>265481.39471547963</v>
      </c>
      <c r="C17" s="9">
        <f ca="1">SUM(C$2:C$11)</f>
        <v>512726.07173585275</v>
      </c>
      <c r="D17" s="9">
        <f ca="1">SUM(D$2:D$11)</f>
        <v>38.884975344671432</v>
      </c>
      <c r="E17" s="9">
        <f ca="1">$Q$5/parameters!$B$4</f>
        <v>83007.37071648796</v>
      </c>
      <c r="F17" s="9">
        <f t="shared" ref="F17:K17" ca="1" si="7">SUM(F$2:F$11)</f>
        <v>544540.44776119408</v>
      </c>
      <c r="G17" s="9">
        <f t="shared" ca="1" si="7"/>
        <v>57105.224660397071</v>
      </c>
      <c r="H17" s="9">
        <f t="shared" ca="1" si="7"/>
        <v>565428.64</v>
      </c>
      <c r="I17" s="9">
        <f t="shared" ca="1" si="7"/>
        <v>355536.80207941902</v>
      </c>
      <c r="J17" s="9">
        <f t="shared" ca="1" si="7"/>
        <v>214404.73792058098</v>
      </c>
      <c r="K17" s="9">
        <f t="shared" ca="1" si="7"/>
        <v>560658.16867709812</v>
      </c>
      <c r="L17" s="17">
        <f t="shared" ca="1" si="5"/>
        <v>3158927.7432418545</v>
      </c>
      <c r="M17" s="17"/>
      <c r="N17" s="17"/>
      <c r="O17" s="9"/>
      <c r="P17" s="14"/>
      <c r="Q17" s="11">
        <f t="shared" ca="1" si="6"/>
        <v>3158927.7432418545</v>
      </c>
      <c r="R17" s="17">
        <f t="shared" ca="1" si="4"/>
        <v>3158927.7432418545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0.98444936769672575</v>
      </c>
      <c r="J18" s="39">
        <f ca="1">I18</f>
        <v>0.98444936769672575</v>
      </c>
      <c r="K18" s="40">
        <f ca="1">1-(-K13)/K17</f>
        <v>0.90940253713836849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31550.21852797921</v>
      </c>
      <c r="D2" s="9">
        <f ca="1">Q4/parameters!$B$3</f>
        <v>21706.148737043375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53256.367265022585</v>
      </c>
      <c r="M2" s="17"/>
      <c r="N2" s="17">
        <f ca="1">Q2-(L2+O2+P2)</f>
        <v>23992.591020686785</v>
      </c>
      <c r="O2" s="11" cm="1">
        <f t="array" aca="1" ref="O2" ca="1">INDIRECT("'data'!$F$" &amp; $A$1)</f>
        <v>58985.55</v>
      </c>
      <c r="P2" s="13">
        <f ca="1">IF(-(L2-Q2+O2)&lt;0, -(L2-Q2+O2), 0)</f>
        <v>0</v>
      </c>
      <c r="Q2" s="17" cm="1">
        <f t="array" aca="1" ref="Q2" ca="1">INDIRECT("'data'!$D$" &amp; $A$1)</f>
        <v>136234.50828570937</v>
      </c>
      <c r="R2" s="17">
        <f ca="1">SUM(L2:P2)</f>
        <v>136234.50828570937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19554.86567164179</v>
      </c>
      <c r="G3" s="14">
        <f ca="1">Q3-O3-P3-F3</f>
        <v>11428.981479611153</v>
      </c>
      <c r="H3" s="14"/>
      <c r="I3" s="14"/>
      <c r="J3" s="14"/>
      <c r="K3" s="13"/>
      <c r="L3" s="16">
        <f t="shared" ca="1" si="0"/>
        <v>30983.847151252943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375.16499999999996</v>
      </c>
      <c r="P3" s="13" cm="1">
        <f t="array" aca="1" ref="P3" ca="1">-INDIRECT("'data'!$I$" &amp; $A$1)*parameters!$B$13</f>
        <v>-7.56</v>
      </c>
      <c r="Q3" s="16" cm="1">
        <f t="array" aca="1" ref="Q3" ca="1">INDIRECT("'data'!$G$" &amp; $A$1)*parameters!$B$13</f>
        <v>31351.452151252943</v>
      </c>
      <c r="R3" s="16">
        <f t="shared" ref="R3:R10" ca="1" si="2">SUM(L3:P3)</f>
        <v>31351.452151252943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17800.886767906246</v>
      </c>
      <c r="H4" s="14"/>
      <c r="I4" s="14"/>
      <c r="J4" s="14"/>
      <c r="K4" s="13"/>
      <c r="L4" s="16">
        <f t="shared" ca="1" si="0"/>
        <v>17800.886767906246</v>
      </c>
      <c r="M4" s="16"/>
      <c r="N4" s="16">
        <f t="shared" ca="1" si="1"/>
        <v>3753.7932320937543</v>
      </c>
      <c r="O4" s="11" cm="1">
        <f t="array" aca="1" ref="O4" ca="1">INDIRECT("'data'!$K$" &amp; $A$1)*parameters!$B$14</f>
        <v>15.64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21569.4</v>
      </c>
      <c r="R4" s="16">
        <f t="shared" ca="1" si="2"/>
        <v>21569.4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4888.7164179104475</v>
      </c>
      <c r="G5" s="38">
        <f ca="1">E14*parameters!$B$4-O5-P5-F5</f>
        <v>11867.665712775182</v>
      </c>
      <c r="H5" s="14"/>
      <c r="I5" s="14"/>
      <c r="J5" s="14"/>
      <c r="K5" s="13"/>
      <c r="L5" s="16">
        <f t="shared" ca="1" si="0"/>
        <v>16756.38213068563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-4632.46</v>
      </c>
      <c r="Q5" s="16">
        <f ca="1">SUM(L5:P5)</f>
        <v>12123.922130685631</v>
      </c>
      <c r="R5" s="16">
        <f t="shared" ca="1" si="2"/>
        <v>12123.922130685631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22928.079999999998</v>
      </c>
      <c r="I6" s="14"/>
      <c r="J6" s="14"/>
      <c r="K6" s="13"/>
      <c r="L6" s="16">
        <f t="shared" ca="1" si="0"/>
        <v>22928.079999999998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22928.079999999998</v>
      </c>
      <c r="R6" s="16">
        <f t="shared" ca="1" si="2"/>
        <v>22928.079999999998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39330.339999999997</v>
      </c>
      <c r="I7" s="14"/>
      <c r="J7" s="14"/>
      <c r="K7" s="13"/>
      <c r="L7" s="16">
        <f t="shared" ca="1" si="0"/>
        <v>39330.339999999997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39330.339999999997</v>
      </c>
      <c r="R7" s="16">
        <f t="shared" ca="1" si="2"/>
        <v>39330.339999999997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31607.939476048909</v>
      </c>
      <c r="J8" s="14">
        <f ca="1">Q10/J18</f>
        <v>30604.420523951085</v>
      </c>
      <c r="K8" s="13"/>
      <c r="L8" s="16">
        <f t="shared" ca="1" si="0"/>
        <v>62212.359999999993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681.1</v>
      </c>
      <c r="P8" s="13" cm="1">
        <f t="array" aca="1" ref="P8" ca="1">-INDIRECT("'data'!$S$" &amp; $A$1)*parameters!$B$15</f>
        <v>-635.04</v>
      </c>
      <c r="Q8" s="16">
        <f ca="1">SUM(Q6:Q7)</f>
        <v>62258.42</v>
      </c>
      <c r="R8" s="16">
        <f t="shared" ca="1" si="2"/>
        <v>62258.419999999991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27911.379999999997</v>
      </c>
      <c r="L9" s="16">
        <f t="shared" ca="1" si="0"/>
        <v>27911.379999999997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445.9</v>
      </c>
      <c r="P9" s="13" cm="1">
        <f t="array" aca="1" ref="P9" ca="1">-INDIRECT("'data'!$V$" &amp; $A$1)*parameters!$B$15</f>
        <v>-654.64</v>
      </c>
      <c r="Q9" s="16" cm="1">
        <f t="array" aca="1" ref="Q9" ca="1">INDIRECT("'data'!$T$" &amp; $A$1)*parameters!$B$15</f>
        <v>27702.639999999999</v>
      </c>
      <c r="R9" s="16">
        <f t="shared" ca="1" si="2"/>
        <v>27702.639999999999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30436.370213371265</v>
      </c>
      <c r="L10" s="16">
        <f t="shared" ca="1" si="0"/>
        <v>30436.370213371265</v>
      </c>
      <c r="M10" s="16"/>
      <c r="N10" s="16">
        <f t="shared" ca="1" si="3"/>
        <v>0</v>
      </c>
      <c r="O10" s="11" cm="1">
        <f t="array" aca="1" ref="O10" ca="1">INDIRECT("'data'!$X$" &amp; $A$1)*parameters!$B$15</f>
        <v>2692.06</v>
      </c>
      <c r="P10" s="13" cm="1">
        <f t="array" aca="1" ref="P10" ca="1">-INDIRECT("'data'!$Y$" &amp; $A$1)*parameters!$B$15</f>
        <v>-6305.32</v>
      </c>
      <c r="Q10" s="16" cm="1">
        <f t="array" aca="1" ref="Q10" ca="1">INDIRECT("'data'!$W$" &amp; $A$1)*parameters!$B$15</f>
        <v>26823.110213371267</v>
      </c>
      <c r="R10" s="16">
        <f t="shared" ca="1" si="2"/>
        <v>26823.110213371263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52517.815583499279</v>
      </c>
      <c r="N11" s="19"/>
      <c r="O11" s="21" cm="1">
        <f t="array" aca="1" ref="O11" ca="1">INDIRECT("'data'!$Z$" &amp; $A$1)*parameters!$B$15</f>
        <v>3247.72</v>
      </c>
      <c r="P11" s="27" cm="1">
        <f t="array" aca="1" ref="P11" ca="1">-INDIRECT("'data'!$AA$" &amp; $A$1)*parameters!$B$15</f>
        <v>-3353.56</v>
      </c>
      <c r="Q11" s="16">
        <f ca="1">K9*parameters!$B$10+K10*parameters!$B$11</f>
        <v>52411.975583499283</v>
      </c>
      <c r="R11" s="16">
        <f t="shared" ref="R11:R17" ca="1" si="4">SUM(L11:P11)</f>
        <v>52411.975583499283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-198.76637672626748</v>
      </c>
      <c r="D12" s="9">
        <f ca="1">-(D17-Q4)</f>
        <v>-136.74873704337369</v>
      </c>
      <c r="E12" s="9">
        <f ca="1">-(E17-Q5)</f>
        <v>-1498.4622858150778</v>
      </c>
      <c r="F12" s="9">
        <f ca="1">-(F17-Q6)</f>
        <v>-1515.5020895522393</v>
      </c>
      <c r="G12" s="9">
        <f ca="1">-(G17-Q7)</f>
        <v>-1767.193960292585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-5116.6734494295433</v>
      </c>
      <c r="M12" s="17"/>
      <c r="N12" s="17"/>
      <c r="O12" s="10"/>
      <c r="P12" s="12"/>
      <c r="Q12" s="9">
        <f t="shared" ref="Q12:Q17" ca="1" si="6">SUM(L12:P12)</f>
        <v>-5116.6734494295433</v>
      </c>
      <c r="R12" s="17">
        <f t="shared" ca="1" si="4"/>
        <v>-5116.6734494295433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-3905.2994760489091</v>
      </c>
      <c r="J13" s="14">
        <f ca="1">-(J17-Q10)</f>
        <v>-3781.3103105798182</v>
      </c>
      <c r="K13" s="13">
        <f ca="1">-(K17-Q11)</f>
        <v>-5935.7746298719794</v>
      </c>
      <c r="L13" s="14">
        <f t="shared" ca="1" si="5"/>
        <v>-13622.384416500707</v>
      </c>
      <c r="M13" s="16">
        <f ca="1">-E15</f>
        <v>0</v>
      </c>
      <c r="N13" s="16"/>
      <c r="O13" s="11"/>
      <c r="P13" s="13"/>
      <c r="Q13" s="14">
        <f t="shared" ca="1" si="6"/>
        <v>-13622.384416500707</v>
      </c>
      <c r="R13" s="16">
        <f t="shared" ca="1" si="4"/>
        <v>-13622.384416500707</v>
      </c>
    </row>
    <row r="14" spans="1:22">
      <c r="A14" s="18" t="s">
        <v>78</v>
      </c>
      <c r="B14" s="11"/>
      <c r="C14" s="14"/>
      <c r="D14" s="14"/>
      <c r="E14" s="14">
        <f ca="1">-(I13+J13)-K13</f>
        <v>13622.384416500707</v>
      </c>
      <c r="F14" s="14"/>
      <c r="G14" s="14"/>
      <c r="H14" s="14"/>
      <c r="I14" s="14"/>
      <c r="J14" s="14"/>
      <c r="K14" s="13"/>
      <c r="L14" s="14">
        <f t="shared" ca="1" si="5"/>
        <v>13622.384416500707</v>
      </c>
      <c r="M14" s="16"/>
      <c r="N14" s="16"/>
      <c r="O14" s="11"/>
      <c r="P14" s="13"/>
      <c r="Q14" s="14">
        <f t="shared" ca="1" si="6"/>
        <v>13622.384416500707</v>
      </c>
      <c r="R14" s="16">
        <f t="shared" ca="1" si="4"/>
        <v>13622.384416500707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136234.50828570937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136234.50828570937</v>
      </c>
      <c r="M16" s="19"/>
      <c r="N16" s="19"/>
      <c r="O16" s="21"/>
      <c r="P16" s="27"/>
      <c r="Q16" s="22">
        <f t="shared" ca="1" si="6"/>
        <v>136234.50828570937</v>
      </c>
      <c r="R16" s="19">
        <f t="shared" ca="1" si="4"/>
        <v>136234.50828570937</v>
      </c>
    </row>
    <row r="17" spans="1:18">
      <c r="A17" s="29" t="s">
        <v>88</v>
      </c>
      <c r="B17" s="9">
        <f ca="1">B16</f>
        <v>136234.50828570937</v>
      </c>
      <c r="C17" s="9">
        <f ca="1">SUM(C$2:C$11)</f>
        <v>31550.21852797921</v>
      </c>
      <c r="D17" s="9">
        <f ca="1">SUM(D$2:D$11)</f>
        <v>21706.148737043375</v>
      </c>
      <c r="E17" s="9">
        <f ca="1">$Q$5/parameters!$B$4</f>
        <v>13622.384416500709</v>
      </c>
      <c r="F17" s="9">
        <f t="shared" ref="F17:K17" ca="1" si="7">SUM(F$2:F$11)</f>
        <v>24443.582089552237</v>
      </c>
      <c r="G17" s="9">
        <f t="shared" ca="1" si="7"/>
        <v>41097.533960292581</v>
      </c>
      <c r="H17" s="9">
        <f t="shared" ca="1" si="7"/>
        <v>62258.42</v>
      </c>
      <c r="I17" s="9">
        <f t="shared" ca="1" si="7"/>
        <v>31607.939476048909</v>
      </c>
      <c r="J17" s="9">
        <f t="shared" ca="1" si="7"/>
        <v>30604.420523951085</v>
      </c>
      <c r="K17" s="9">
        <f t="shared" ca="1" si="7"/>
        <v>58347.750213371262</v>
      </c>
      <c r="L17" s="17">
        <f t="shared" ca="1" si="5"/>
        <v>451472.90623044869</v>
      </c>
      <c r="M17" s="17"/>
      <c r="N17" s="17"/>
      <c r="O17" s="9"/>
      <c r="P17" s="14"/>
      <c r="Q17" s="11">
        <f t="shared" ca="1" si="6"/>
        <v>451472.90623044869</v>
      </c>
      <c r="R17" s="17">
        <f t="shared" ca="1" si="4"/>
        <v>451472.90623044869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0.87644561648796593</v>
      </c>
      <c r="J18" s="39">
        <f ca="1">I18</f>
        <v>0.87644561648796593</v>
      </c>
      <c r="K18" s="40">
        <f ca="1">1-(-K13)/K17</f>
        <v>0.89826900594854975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63662.206903491991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63662.206903491991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-63662.206903491991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62829.241791044777</v>
      </c>
      <c r="G3" s="14">
        <f ca="1">Q3-O3-P3-F3</f>
        <v>151.22820895521727</v>
      </c>
      <c r="H3" s="14"/>
      <c r="I3" s="14"/>
      <c r="J3" s="14"/>
      <c r="K3" s="13"/>
      <c r="L3" s="16">
        <f t="shared" ca="1" si="0"/>
        <v>62980.469999999994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557.54999999999995</v>
      </c>
      <c r="P3" s="13" cm="1">
        <f t="array" aca="1" ref="P3" ca="1">-INDIRECT("'data'!$I$" &amp; $A$1)*parameters!$B$13</f>
        <v>-276.88499999999999</v>
      </c>
      <c r="Q3" s="16" cm="1">
        <f t="array" aca="1" ref="Q3" ca="1">INDIRECT("'data'!$G$" &amp; $A$1)*parameters!$B$13</f>
        <v>63261.134999999995</v>
      </c>
      <c r="R3" s="16">
        <f t="shared" ref="R3:R10" ca="1" si="2">SUM(L3:P3)</f>
        <v>63261.134999999995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Q6/parameters!$B$5*12%</f>
        <v>8567.6238805970152</v>
      </c>
      <c r="G5" s="14">
        <f ca="1">Q7/parameters!$B$7-(G3+G4)</f>
        <v>19507.141697000898</v>
      </c>
      <c r="H5" s="14"/>
      <c r="I5" s="14"/>
      <c r="J5" s="14"/>
      <c r="K5" s="13"/>
      <c r="L5" s="16">
        <f t="shared" ca="1" si="0"/>
        <v>28074.765577597915</v>
      </c>
      <c r="M5" s="16"/>
      <c r="N5" s="16"/>
      <c r="O5" s="11" cm="1">
        <f t="array" aca="1" ref="O5" ca="1">INDIRECT("'data'!$M$" &amp; $A$1)*parameters!$B$15</f>
        <v>9210.0399999999991</v>
      </c>
      <c r="P5" s="13" cm="1">
        <f t="array" aca="1" ref="P5" ca="1">-INDIRECT("'data'!$N$" &amp; $A$1)*parameters!$B$15</f>
        <v>-190.12</v>
      </c>
      <c r="Q5" s="16">
        <f ca="1">SUM(L5:P5)</f>
        <v>37094.685577597913</v>
      </c>
      <c r="R5" s="16">
        <f t="shared" ca="1" si="2"/>
        <v>37094.685577597913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66970.259999999995</v>
      </c>
      <c r="I6" s="14"/>
      <c r="J6" s="14"/>
      <c r="K6" s="13"/>
      <c r="L6" s="16">
        <f t="shared" ca="1" si="0"/>
        <v>66970.259999999995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66970.259999999995</v>
      </c>
      <c r="R6" s="16">
        <f t="shared" ca="1" si="2"/>
        <v>66970.259999999995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18813.060000000001</v>
      </c>
      <c r="I7" s="14"/>
      <c r="J7" s="14"/>
      <c r="K7" s="13"/>
      <c r="L7" s="16">
        <f t="shared" ca="1" si="0"/>
        <v>18813.060000000001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18813.060000000001</v>
      </c>
      <c r="R7" s="16">
        <f t="shared" ca="1" si="2"/>
        <v>18813.060000000001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26635.673302455612</v>
      </c>
      <c r="J8" s="14">
        <f ca="1">Q10/J18</f>
        <v>53468.546697544371</v>
      </c>
      <c r="K8" s="13"/>
      <c r="L8" s="16">
        <f t="shared" ca="1" si="0"/>
        <v>80104.219999999987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5726.14</v>
      </c>
      <c r="P8" s="13" cm="1">
        <f t="array" aca="1" ref="P8" ca="1">-INDIRECT("'data'!$S$" &amp; $A$1)*parameters!$B$15</f>
        <v>-47.04</v>
      </c>
      <c r="Q8" s="16">
        <f ca="1">SUM(Q6:Q7)</f>
        <v>85783.319999999992</v>
      </c>
      <c r="R8" s="16">
        <f t="shared" ca="1" si="2"/>
        <v>85783.319999999992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21693.279999999999</v>
      </c>
      <c r="L9" s="16">
        <f t="shared" ca="1" si="0"/>
        <v>21693.279999999999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3461.36</v>
      </c>
      <c r="P9" s="13" cm="1">
        <f t="array" aca="1" ref="P9" ca="1">-INDIRECT("'data'!$V$" &amp; $A$1)*parameters!$B$15</f>
        <v>-575.26</v>
      </c>
      <c r="Q9" s="16" cm="1">
        <f t="array" aca="1" ref="Q9" ca="1">INDIRECT("'data'!$T$" &amp; $A$1)*parameters!$B$15</f>
        <v>24579.38</v>
      </c>
      <c r="R9" s="16">
        <f t="shared" ca="1" si="2"/>
        <v>24579.38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30109.216102418206</v>
      </c>
      <c r="L10" s="16">
        <f t="shared" ca="1" si="0"/>
        <v>30109.216102418206</v>
      </c>
      <c r="M10" s="16"/>
      <c r="N10" s="16">
        <f t="shared" ca="1" si="3"/>
        <v>0</v>
      </c>
      <c r="O10" s="11" cm="1">
        <f t="array" aca="1" ref="O10" ca="1">INDIRECT("'data'!$X$" &amp; $A$1)*parameters!$B$15</f>
        <v>21367.919999999998</v>
      </c>
      <c r="P10" s="13" cm="1">
        <f t="array" aca="1" ref="P10" ca="1">-INDIRECT("'data'!$Y$" &amp; $A$1)*parameters!$B$15</f>
        <v>-2136.4</v>
      </c>
      <c r="Q10" s="16" cm="1">
        <f t="array" aca="1" ref="Q10" ca="1">INDIRECT("'data'!$W$" &amp; $A$1)*parameters!$B$15</f>
        <v>49340.736102418203</v>
      </c>
      <c r="R10" s="16">
        <f t="shared" ca="1" si="2"/>
        <v>49340.736102418203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30394.909048079655</v>
      </c>
      <c r="N11" s="19"/>
      <c r="O11" s="21" cm="1">
        <f t="array" aca="1" ref="O11" ca="1">INDIRECT("'data'!$Z$" &amp; $A$1)*parameters!$B$15</f>
        <v>20440.84</v>
      </c>
      <c r="P11" s="27" cm="1">
        <f t="array" aca="1" ref="P11" ca="1">-INDIRECT("'data'!$AA$" &amp; $A$1)*parameters!$B$15</f>
        <v>-4550.1400000000003</v>
      </c>
      <c r="Q11" s="16">
        <f ca="1">K9*parameters!$B$10+K10*parameters!$B$11</f>
        <v>46285.609048079656</v>
      </c>
      <c r="R11" s="16">
        <f t="shared" ref="R11:R17" ca="1" si="4">SUM(L11:P11)</f>
        <v>46285.609048079656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-401.07190349199664</v>
      </c>
      <c r="D12" s="9">
        <f ca="1">-(D17-Q4)</f>
        <v>0</v>
      </c>
      <c r="E12" s="9">
        <f ca="1">-(E17-Q5)</f>
        <v>-4584.7364197031129</v>
      </c>
      <c r="F12" s="9">
        <f ca="1">-(F17-Q6)</f>
        <v>-4426.6056716417952</v>
      </c>
      <c r="G12" s="9">
        <f ca="1">-(G17-Q7)</f>
        <v>-845.30990595611365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-10257.723900793018</v>
      </c>
      <c r="M12" s="17"/>
      <c r="N12" s="17"/>
      <c r="O12" s="10"/>
      <c r="P12" s="12"/>
      <c r="Q12" s="9">
        <f t="shared" ref="Q12:Q17" ca="1" si="6">SUM(L12:P12)</f>
        <v>-10257.723900793018</v>
      </c>
      <c r="R12" s="17">
        <f t="shared" ca="1" si="4"/>
        <v>-10257.723900793018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-2056.2933024556114</v>
      </c>
      <c r="J13" s="14">
        <f ca="1">-(J17-Q10)</f>
        <v>-4127.8105951261678</v>
      </c>
      <c r="K13" s="13">
        <f ca="1">-(K17-Q11)</f>
        <v>-5516.8870543385492</v>
      </c>
      <c r="L13" s="14">
        <f t="shared" ca="1" si="5"/>
        <v>-11700.990951920328</v>
      </c>
      <c r="M13" s="16">
        <f ca="1">-E15</f>
        <v>-29978.431045380697</v>
      </c>
      <c r="N13" s="16"/>
      <c r="O13" s="11"/>
      <c r="P13" s="13"/>
      <c r="Q13" s="14">
        <f t="shared" ca="1" si="6"/>
        <v>-41679.421997301026</v>
      </c>
      <c r="R13" s="16">
        <f t="shared" ca="1" si="4"/>
        <v>-41679.421997301026</v>
      </c>
    </row>
    <row r="14" spans="1:20">
      <c r="A14" s="18" t="s">
        <v>78</v>
      </c>
      <c r="B14" s="11"/>
      <c r="C14" s="14"/>
      <c r="D14" s="14"/>
      <c r="E14" s="14">
        <f ca="1">-(I13+J13)-K13</f>
        <v>11700.990951920328</v>
      </c>
      <c r="F14" s="14"/>
      <c r="G14" s="14"/>
      <c r="H14" s="14"/>
      <c r="I14" s="14"/>
      <c r="J14" s="14"/>
      <c r="K14" s="13"/>
      <c r="L14" s="14">
        <f t="shared" ca="1" si="5"/>
        <v>11700.990951920328</v>
      </c>
      <c r="M14" s="16"/>
      <c r="N14" s="16"/>
      <c r="O14" s="11"/>
      <c r="P14" s="13"/>
      <c r="Q14" s="14">
        <f t="shared" ca="1" si="6"/>
        <v>11700.990951920328</v>
      </c>
      <c r="R14" s="16">
        <f t="shared" ca="1" si="4"/>
        <v>11700.990951920328</v>
      </c>
    </row>
    <row r="15" spans="1:20">
      <c r="A15" s="18" t="s">
        <v>79</v>
      </c>
      <c r="B15" s="11"/>
      <c r="C15" s="14"/>
      <c r="D15" s="14"/>
      <c r="E15" s="14">
        <f ca="1">E17-E14</f>
        <v>29978.431045380697</v>
      </c>
      <c r="F15" s="14"/>
      <c r="G15" s="14"/>
      <c r="H15" s="14"/>
      <c r="I15" s="14"/>
      <c r="J15" s="14"/>
      <c r="K15" s="13"/>
      <c r="L15" s="14">
        <f t="shared" ca="1" si="5"/>
        <v>29978.431045380697</v>
      </c>
      <c r="M15" s="16"/>
      <c r="N15" s="16"/>
      <c r="O15" s="11"/>
      <c r="P15" s="13"/>
      <c r="Q15" s="14">
        <f t="shared" ca="1" si="6"/>
        <v>29978.431045380697</v>
      </c>
      <c r="R15" s="16">
        <f t="shared" ca="1" si="4"/>
        <v>29978.431045380697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63662.206903491991</v>
      </c>
      <c r="D17" s="9">
        <f ca="1">SUM(D$2:D$11)</f>
        <v>0</v>
      </c>
      <c r="E17" s="9">
        <f ca="1">$Q$5/parameters!$B$4</f>
        <v>41679.421997301026</v>
      </c>
      <c r="F17" s="9">
        <f t="shared" ref="F17:K17" ca="1" si="7">SUM(F$2:F$11)</f>
        <v>71396.86567164179</v>
      </c>
      <c r="G17" s="9">
        <f t="shared" ca="1" si="7"/>
        <v>19658.369905956115</v>
      </c>
      <c r="H17" s="9">
        <f t="shared" ca="1" si="7"/>
        <v>85783.319999999992</v>
      </c>
      <c r="I17" s="9">
        <f t="shared" ca="1" si="7"/>
        <v>26635.673302455612</v>
      </c>
      <c r="J17" s="9">
        <f t="shared" ca="1" si="7"/>
        <v>53468.546697544371</v>
      </c>
      <c r="K17" s="9">
        <f t="shared" ca="1" si="7"/>
        <v>51802.496102418205</v>
      </c>
      <c r="L17" s="17">
        <f t="shared" ca="1" si="5"/>
        <v>414086.90058080916</v>
      </c>
      <c r="M17" s="17"/>
      <c r="N17" s="17"/>
      <c r="O17" s="9"/>
      <c r="P17" s="14"/>
      <c r="Q17" s="11">
        <f t="shared" ca="1" si="6"/>
        <v>414086.90058080916</v>
      </c>
      <c r="R17" s="17">
        <f t="shared" ca="1" si="4"/>
        <v>414086.90058080916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0.92279927452533983</v>
      </c>
      <c r="J18" s="39">
        <f ca="1">I18</f>
        <v>0.92279927452533983</v>
      </c>
      <c r="K18" s="40">
        <f ca="1">1-(-K13)/K17</f>
        <v>0.89350152078712253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18085.95149441481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18085.95149441481</v>
      </c>
      <c r="M2" s="17"/>
      <c r="N2" s="17">
        <f ca="1">Q2-(L2+O2+P2)</f>
        <v>0</v>
      </c>
      <c r="O2" s="11" cm="1">
        <f t="array" aca="1" ref="O2" ca="1">INDIRECT("'data'!$F$" &amp; $A$1)</f>
        <v>2546.7000000000003</v>
      </c>
      <c r="P2" s="13">
        <f ca="1">IF(-(L2-Q2+O2)&lt;0, -(L2-Q2+O2), 0)</f>
        <v>-4082.6514944148107</v>
      </c>
      <c r="Q2" s="17" cm="1">
        <f t="array" aca="1" ref="Q2" ca="1">INDIRECT("'data'!$D$" &amp; $A$1)</f>
        <v>16550</v>
      </c>
      <c r="R2" s="17">
        <f ca="1">SUM(L2:P2)</f>
        <v>16550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19412.337313432836</v>
      </c>
      <c r="G3" s="14">
        <f ca="1">Q3-O3-P3-F3</f>
        <v>829.56268656716202</v>
      </c>
      <c r="H3" s="14"/>
      <c r="I3" s="14"/>
      <c r="J3" s="14"/>
      <c r="K3" s="13"/>
      <c r="L3" s="16">
        <f t="shared" ca="1" si="0"/>
        <v>20241.899999999998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20.79</v>
      </c>
      <c r="P3" s="13" cm="1">
        <f t="array" aca="1" ref="P3" ca="1">-INDIRECT("'data'!$I$" &amp; $A$1)*parameters!$B$13</f>
        <v>-2290.6799999999998</v>
      </c>
      <c r="Q3" s="16" cm="1">
        <f t="array" aca="1" ref="Q3" ca="1">INDIRECT("'data'!$G$" &amp; $A$1)*parameters!$B$13</f>
        <v>17972.009999999998</v>
      </c>
      <c r="R3" s="16">
        <f t="shared" ref="R3:R10" ca="1" si="2">SUM(L3:P3)</f>
        <v>17972.009999999998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901.6</v>
      </c>
      <c r="H4" s="14"/>
      <c r="I4" s="14"/>
      <c r="J4" s="14"/>
      <c r="K4" s="13"/>
      <c r="L4" s="16">
        <f t="shared" ca="1" si="0"/>
        <v>901.6</v>
      </c>
      <c r="M4" s="16"/>
      <c r="N4" s="16">
        <f t="shared" ca="1" si="1"/>
        <v>0</v>
      </c>
      <c r="O4" s="11" cm="1">
        <f t="array" aca="1" ref="O4" ca="1">INDIRECT("'data'!$K$" &amp; $A$1)*parameters!$B$14</f>
        <v>33.120000000000005</v>
      </c>
      <c r="P4" s="13" cm="1">
        <f t="array" aca="1" ref="P4" ca="1">-INDIRECT("'data'!$L$" &amp; $A$1)*parameters!$B$14</f>
        <v>-934.72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Q6/parameters!$B$5*18%</f>
        <v>4261.2447761194035</v>
      </c>
      <c r="G5" s="14">
        <f ca="1">Q7/parameters!$B$7-(G3+G4)</f>
        <v>35876.465317612565</v>
      </c>
      <c r="H5" s="14"/>
      <c r="I5" s="14"/>
      <c r="J5" s="14"/>
      <c r="K5" s="13"/>
      <c r="L5" s="16">
        <f t="shared" ca="1" si="0"/>
        <v>40137.71009373197</v>
      </c>
      <c r="M5" s="16"/>
      <c r="N5" s="16"/>
      <c r="O5" s="11" cm="1">
        <f t="array" aca="1" ref="O5" ca="1">INDIRECT("'data'!$M$" &amp; $A$1)*parameters!$B$15</f>
        <v>21990.22</v>
      </c>
      <c r="P5" s="13" cm="1">
        <f t="array" aca="1" ref="P5" ca="1">-INDIRECT("'data'!$N$" &amp; $A$1)*parameters!$B$15</f>
        <v>-2926.2799999999997</v>
      </c>
      <c r="Q5" s="16">
        <f ca="1">SUM(L5:P5)</f>
        <v>59201.650093731972</v>
      </c>
      <c r="R5" s="16">
        <f t="shared" ca="1" si="2"/>
        <v>59201.650093731972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22205.82</v>
      </c>
      <c r="I6" s="14"/>
      <c r="J6" s="14"/>
      <c r="K6" s="13"/>
      <c r="L6" s="16">
        <f t="shared" ca="1" si="0"/>
        <v>22205.82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22205.82</v>
      </c>
      <c r="R6" s="16">
        <f t="shared" ca="1" si="2"/>
        <v>22205.82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35990.5</v>
      </c>
      <c r="I7" s="14"/>
      <c r="J7" s="14"/>
      <c r="K7" s="13"/>
      <c r="L7" s="16">
        <f t="shared" ca="1" si="0"/>
        <v>35990.5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35990.5</v>
      </c>
      <c r="R7" s="16">
        <f t="shared" ca="1" si="2"/>
        <v>35990.5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18258.348107042406</v>
      </c>
      <c r="J8" s="14">
        <f ca="1">Q10/J18</f>
        <v>41144.351892957595</v>
      </c>
      <c r="K8" s="13"/>
      <c r="L8" s="16">
        <f t="shared" ca="1" si="0"/>
        <v>59402.7</v>
      </c>
      <c r="M8" s="16"/>
      <c r="N8" s="16">
        <f t="shared" ca="1" si="3"/>
        <v>0</v>
      </c>
      <c r="O8" s="11" cm="1">
        <f t="array" aca="1" ref="O8" ca="1">INDIRECT("'data'!$R$" &amp; $A$1)*parameters!$B$15</f>
        <v>579.17999999999995</v>
      </c>
      <c r="P8" s="13" cm="1">
        <f t="array" aca="1" ref="P8" ca="1">-INDIRECT("'data'!$S$" &amp; $A$1)*parameters!$B$15</f>
        <v>-1785.56</v>
      </c>
      <c r="Q8" s="16">
        <f ca="1">SUM(Q6:Q7)</f>
        <v>58196.32</v>
      </c>
      <c r="R8" s="16">
        <f t="shared" ca="1" si="2"/>
        <v>58196.32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17756.62</v>
      </c>
      <c r="L9" s="16">
        <f t="shared" ca="1" si="0"/>
        <v>17756.62</v>
      </c>
      <c r="M9" s="16"/>
      <c r="N9" s="16">
        <f t="shared" ca="1" si="3"/>
        <v>0</v>
      </c>
      <c r="O9" s="11" cm="1">
        <f t="array" aca="1" ref="O9" ca="1">INDIRECT("'data'!$U$" &amp; $A$1)*parameters!$B$15</f>
        <v>2069.7599999999998</v>
      </c>
      <c r="P9" s="13" cm="1">
        <f t="array" aca="1" ref="P9" ca="1">-INDIRECT("'data'!$V$" &amp; $A$1)*parameters!$B$15</f>
        <v>-3131.1</v>
      </c>
      <c r="Q9" s="16" cm="1">
        <f t="array" aca="1" ref="Q9" ca="1">INDIRECT("'data'!$T$" &amp; $A$1)*parameters!$B$15</f>
        <v>16695.28</v>
      </c>
      <c r="R9" s="16">
        <f t="shared" ca="1" si="2"/>
        <v>16695.28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38271.78944523471</v>
      </c>
      <c r="L10" s="16">
        <f t="shared" ca="1" si="0"/>
        <v>38271.78944523471</v>
      </c>
      <c r="M10" s="16"/>
      <c r="N10" s="16">
        <f t="shared" ca="1" si="3"/>
        <v>0</v>
      </c>
      <c r="O10" s="11" cm="1">
        <f t="array" aca="1" ref="O10" ca="1">INDIRECT("'data'!$X$" &amp; $A$1)*parameters!$B$15</f>
        <v>4898.04</v>
      </c>
      <c r="P10" s="13" cm="1">
        <f t="array" aca="1" ref="P10" ca="1">-INDIRECT("'data'!$Y$" &amp; $A$1)*parameters!$B$15</f>
        <v>-5547.78</v>
      </c>
      <c r="Q10" s="16" cm="1">
        <f t="array" aca="1" ref="Q10" ca="1">INDIRECT("'data'!$W$" &amp; $A$1)*parameters!$B$15</f>
        <v>37622.049445234712</v>
      </c>
      <c r="R10" s="16">
        <f t="shared" ca="1" si="2"/>
        <v>37622.049445234712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59104.101722901847</v>
      </c>
      <c r="N11" s="19"/>
      <c r="O11" s="21" cm="1">
        <f t="array" aca="1" ref="O11" ca="1">INDIRECT("'data'!$Z$" &amp; $A$1)*parameters!$B$15</f>
        <v>13516.16</v>
      </c>
      <c r="P11" s="27" cm="1">
        <f t="array" aca="1" ref="P11" ca="1">-INDIRECT("'data'!$AA$" &amp; $A$1)*parameters!$B$15</f>
        <v>-23015.3</v>
      </c>
      <c r="Q11" s="16">
        <f ca="1">K9*parameters!$B$10+K10*parameters!$B$11</f>
        <v>49604.961722901848</v>
      </c>
      <c r="R11" s="16">
        <f t="shared" ref="R11:R17" ca="1" si="4">SUM(L11:P11)</f>
        <v>49604.961722901848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-113.94149441481204</v>
      </c>
      <c r="D12" s="9">
        <f ca="1">-(D17-Q4)</f>
        <v>0</v>
      </c>
      <c r="E12" s="9">
        <f ca="1">-(E17-Q5)</f>
        <v>-7317.0578767533952</v>
      </c>
      <c r="F12" s="9">
        <f ca="1">-(F17-Q6)</f>
        <v>-1467.7620895522414</v>
      </c>
      <c r="G12" s="9">
        <f ca="1">-(G17-Q7)</f>
        <v>-1617.128004179729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-10515.889464900178</v>
      </c>
      <c r="M12" s="17"/>
      <c r="N12" s="17"/>
      <c r="O12" s="10"/>
      <c r="P12" s="12"/>
      <c r="Q12" s="9">
        <f t="shared" ref="Q12:Q17" ca="1" si="6">SUM(L12:P12)</f>
        <v>-10515.889464900178</v>
      </c>
      <c r="R12" s="17">
        <f t="shared" ca="1" si="4"/>
        <v>-10515.889464900178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-1563.0681070424071</v>
      </c>
      <c r="J13" s="14">
        <f ca="1">-(J17-Q10)</f>
        <v>-3522.3024477228828</v>
      </c>
      <c r="K13" s="13">
        <f ca="1">-(K17-Q11)</f>
        <v>-6423.4477223328577</v>
      </c>
      <c r="L13" s="14">
        <f t="shared" ca="1" si="5"/>
        <v>-11508.818277098148</v>
      </c>
      <c r="M13" s="16">
        <f ca="1">-E15</f>
        <v>-55009.889693387217</v>
      </c>
      <c r="N13" s="16"/>
      <c r="O13" s="11"/>
      <c r="P13" s="13"/>
      <c r="Q13" s="14">
        <f t="shared" ca="1" si="6"/>
        <v>-66518.707970485368</v>
      </c>
      <c r="R13" s="16">
        <f t="shared" ca="1" si="4"/>
        <v>-66518.707970485368</v>
      </c>
    </row>
    <row r="14" spans="1:20">
      <c r="A14" s="18" t="s">
        <v>78</v>
      </c>
      <c r="B14" s="11"/>
      <c r="C14" s="14"/>
      <c r="D14" s="14"/>
      <c r="E14" s="14">
        <f ca="1">-(I13+J13)-K13</f>
        <v>11508.818277098148</v>
      </c>
      <c r="F14" s="14"/>
      <c r="G14" s="14"/>
      <c r="H14" s="14"/>
      <c r="I14" s="14"/>
      <c r="J14" s="14"/>
      <c r="K14" s="13"/>
      <c r="L14" s="14">
        <f t="shared" ca="1" si="5"/>
        <v>11508.818277098148</v>
      </c>
      <c r="M14" s="16"/>
      <c r="N14" s="16"/>
      <c r="O14" s="11"/>
      <c r="P14" s="13"/>
      <c r="Q14" s="14">
        <f t="shared" ca="1" si="6"/>
        <v>11508.818277098148</v>
      </c>
      <c r="R14" s="16">
        <f t="shared" ca="1" si="4"/>
        <v>11508.818277098148</v>
      </c>
    </row>
    <row r="15" spans="1:20">
      <c r="A15" s="18" t="s">
        <v>79</v>
      </c>
      <c r="B15" s="11"/>
      <c r="C15" s="14"/>
      <c r="D15" s="14"/>
      <c r="E15" s="14">
        <f ca="1">E17-E14</f>
        <v>55009.889693387217</v>
      </c>
      <c r="F15" s="14"/>
      <c r="G15" s="14"/>
      <c r="H15" s="14"/>
      <c r="I15" s="14"/>
      <c r="J15" s="14"/>
      <c r="K15" s="13"/>
      <c r="L15" s="14">
        <f t="shared" ca="1" si="5"/>
        <v>55009.889693387217</v>
      </c>
      <c r="M15" s="16"/>
      <c r="N15" s="16"/>
      <c r="O15" s="11"/>
      <c r="P15" s="13"/>
      <c r="Q15" s="14">
        <f t="shared" ca="1" si="6"/>
        <v>55009.889693387217</v>
      </c>
      <c r="R15" s="16">
        <f t="shared" ca="1" si="4"/>
        <v>55009.889693387217</v>
      </c>
    </row>
    <row r="16" spans="1:20">
      <c r="A16" s="30" t="s">
        <v>89</v>
      </c>
      <c r="B16" s="21">
        <f ca="1">Q2</f>
        <v>16550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16550</v>
      </c>
      <c r="M16" s="19"/>
      <c r="N16" s="19"/>
      <c r="O16" s="21"/>
      <c r="P16" s="27"/>
      <c r="Q16" s="22">
        <f t="shared" ca="1" si="6"/>
        <v>16550</v>
      </c>
      <c r="R16" s="19">
        <f t="shared" ca="1" si="4"/>
        <v>16550</v>
      </c>
    </row>
    <row r="17" spans="1:18">
      <c r="A17" s="29" t="s">
        <v>88</v>
      </c>
      <c r="B17" s="9">
        <f ca="1">B16</f>
        <v>16550</v>
      </c>
      <c r="C17" s="9">
        <f ca="1">SUM(C$2:C$11)</f>
        <v>18085.95149441481</v>
      </c>
      <c r="D17" s="9">
        <f ca="1">SUM(D$2:D$11)</f>
        <v>0</v>
      </c>
      <c r="E17" s="9">
        <f ca="1">$Q$5/parameters!$B$4</f>
        <v>66518.707970485368</v>
      </c>
      <c r="F17" s="9">
        <f t="shared" ref="F17:K17" ca="1" si="7">SUM(F$2:F$11)</f>
        <v>23673.582089552241</v>
      </c>
      <c r="G17" s="9">
        <f t="shared" ca="1" si="7"/>
        <v>37607.628004179729</v>
      </c>
      <c r="H17" s="9">
        <f t="shared" ca="1" si="7"/>
        <v>58196.32</v>
      </c>
      <c r="I17" s="9">
        <f t="shared" ca="1" si="7"/>
        <v>18258.348107042406</v>
      </c>
      <c r="J17" s="9">
        <f t="shared" ca="1" si="7"/>
        <v>41144.351892957595</v>
      </c>
      <c r="K17" s="9">
        <f t="shared" ca="1" si="7"/>
        <v>56028.409445234705</v>
      </c>
      <c r="L17" s="17">
        <f t="shared" ca="1" si="5"/>
        <v>336063.29900386685</v>
      </c>
      <c r="M17" s="17"/>
      <c r="N17" s="17"/>
      <c r="O17" s="9"/>
      <c r="P17" s="14"/>
      <c r="Q17" s="11">
        <f t="shared" ca="1" si="6"/>
        <v>336063.29900386685</v>
      </c>
      <c r="R17" s="17">
        <f t="shared" ca="1" si="4"/>
        <v>336063.29900386685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0.91439159238948253</v>
      </c>
      <c r="J18" s="39">
        <f ca="1">I18</f>
        <v>0.91439159238948253</v>
      </c>
      <c r="K18" s="40">
        <f ca="1">1-(-K13)/K17</f>
        <v>0.885353737756709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41791.310254604003</v>
      </c>
      <c r="D2" s="9">
        <f ca="1">Q4/parameters!$B$3</f>
        <v>4258.8306329878233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46050.140887591828</v>
      </c>
      <c r="M2" s="17"/>
      <c r="N2" s="17">
        <f ca="1">Q2-(L2+O2+P2)</f>
        <v>0</v>
      </c>
      <c r="O2" s="11" cm="1">
        <f t="array" aca="1" ref="O2" ca="1">INDIRECT("'data'!$F$" &amp; $A$1)</f>
        <v>11679.2</v>
      </c>
      <c r="P2" s="13">
        <f ca="1">IF(-(L2-Q2+O2)&lt;0, -(L2-Q2+O2), 0)</f>
        <v>-4529.3408875918285</v>
      </c>
      <c r="Q2" s="17" cm="1">
        <f t="array" aca="1" ref="Q2" ca="1">INDIRECT("'data'!$D$" &amp; $A$1)</f>
        <v>53200</v>
      </c>
      <c r="R2" s="17">
        <f ca="1">SUM(L2:P2)</f>
        <v>53200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36685.850746268654</v>
      </c>
      <c r="G3" s="14">
        <f ca="1">Q3-O3-P3-F3</f>
        <v>989.40925373134814</v>
      </c>
      <c r="H3" s="14"/>
      <c r="I3" s="14"/>
      <c r="J3" s="14"/>
      <c r="K3" s="13"/>
      <c r="L3" s="16">
        <f t="shared" ca="1" si="0"/>
        <v>37675.26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3852.7649999999999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41528.025000000001</v>
      </c>
      <c r="R3" s="16">
        <f t="shared" ref="R3:R10" ca="1" si="2">SUM(L3:P3)</f>
        <v>41528.025000000001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2691</v>
      </c>
      <c r="H4" s="14"/>
      <c r="I4" s="14"/>
      <c r="J4" s="14"/>
      <c r="K4" s="13"/>
      <c r="L4" s="16">
        <f t="shared" ca="1" si="0"/>
        <v>2691</v>
      </c>
      <c r="M4" s="16"/>
      <c r="N4" s="16">
        <f t="shared" ca="1" si="1"/>
        <v>0</v>
      </c>
      <c r="O4" s="11" cm="1">
        <f t="array" aca="1" ref="O4" ca="1">INDIRECT("'data'!$K$" &amp; $A$1)*parameters!$B$14</f>
        <v>1541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4232</v>
      </c>
      <c r="R4" s="16">
        <f t="shared" ca="1" si="2"/>
        <v>4232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9171.4626865671653</v>
      </c>
      <c r="G5" s="14">
        <f ca="1">Q7/parameters!$B$7-(G3+G4)</f>
        <v>12825.985730594672</v>
      </c>
      <c r="H5" s="14"/>
      <c r="I5" s="14"/>
      <c r="J5" s="14"/>
      <c r="K5" s="13"/>
      <c r="L5" s="16">
        <f t="shared" ca="1" si="0"/>
        <v>21997.448417161839</v>
      </c>
      <c r="M5" s="16"/>
      <c r="N5" s="16"/>
      <c r="O5" s="11" cm="1">
        <f t="array" aca="1" ref="O5" ca="1">INDIRECT("'data'!$M$" &amp; $A$1)*parameters!$B$15</f>
        <v>1177.96</v>
      </c>
      <c r="P5" s="13" cm="1">
        <f t="array" aca="1" ref="P5" ca="1">-INDIRECT("'data'!$N$" &amp; $A$1)*parameters!$B$15</f>
        <v>-8.82</v>
      </c>
      <c r="Q5" s="16">
        <f ca="1">SUM(L5:P5)</f>
        <v>23166.588417161838</v>
      </c>
      <c r="R5" s="16">
        <f t="shared" ca="1" si="2"/>
        <v>23166.588417161838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43014.159999999996</v>
      </c>
      <c r="I6" s="14"/>
      <c r="J6" s="14"/>
      <c r="K6" s="13"/>
      <c r="L6" s="16">
        <f t="shared" ca="1" si="0"/>
        <v>43014.159999999996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43014.159999999996</v>
      </c>
      <c r="R6" s="16">
        <f t="shared" ca="1" si="2"/>
        <v>43014.159999999996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15796.619999999999</v>
      </c>
      <c r="I7" s="14"/>
      <c r="J7" s="14"/>
      <c r="K7" s="13"/>
      <c r="L7" s="16">
        <f t="shared" ca="1" si="0"/>
        <v>15796.619999999999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15796.619999999999</v>
      </c>
      <c r="R7" s="16">
        <f t="shared" ca="1" si="2"/>
        <v>15796.619999999999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19350.085129106108</v>
      </c>
      <c r="J8" s="14">
        <f ca="1">Q10/J18</f>
        <v>26461.974870893886</v>
      </c>
      <c r="K8" s="13"/>
      <c r="L8" s="16">
        <f t="shared" ca="1" si="0"/>
        <v>45812.06</v>
      </c>
      <c r="M8" s="16"/>
      <c r="N8" s="16">
        <f t="shared" ca="1" si="3"/>
        <v>0</v>
      </c>
      <c r="O8" s="11" cm="1">
        <f t="array" aca="1" ref="O8" ca="1">INDIRECT("'data'!$R$" &amp; $A$1)*parameters!$B$15</f>
        <v>13004.6</v>
      </c>
      <c r="P8" s="13" cm="1">
        <f t="array" aca="1" ref="P8" ca="1">-INDIRECT("'data'!$S$" &amp; $A$1)*parameters!$B$15</f>
        <v>-5.88</v>
      </c>
      <c r="Q8" s="16">
        <f ca="1">SUM(Q6:Q7)</f>
        <v>58810.78</v>
      </c>
      <c r="R8" s="16">
        <f t="shared" ca="1" si="2"/>
        <v>58810.78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17737.02</v>
      </c>
      <c r="L9" s="16">
        <f t="shared" ca="1" si="0"/>
        <v>17737.02</v>
      </c>
      <c r="M9" s="16"/>
      <c r="N9" s="16">
        <f t="shared" ca="1" si="3"/>
        <v>0</v>
      </c>
      <c r="O9" s="11" cm="1">
        <f t="array" aca="1" ref="O9" ca="1">INDIRECT("'data'!$U$" &amp; $A$1)*parameters!$B$15</f>
        <v>3761.24</v>
      </c>
      <c r="P9" s="13" cm="1">
        <f t="array" aca="1" ref="P9" ca="1">-INDIRECT("'data'!$V$" &amp; $A$1)*parameters!$B$15</f>
        <v>-820.26</v>
      </c>
      <c r="Q9" s="16" cm="1">
        <f t="array" aca="1" ref="Q9" ca="1">INDIRECT("'data'!$T$" &amp; $A$1)*parameters!$B$15</f>
        <v>20678</v>
      </c>
      <c r="R9" s="16">
        <f t="shared" ca="1" si="2"/>
        <v>20678.000000000004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21435.588790896159</v>
      </c>
      <c r="L10" s="16">
        <f t="shared" ca="1" si="0"/>
        <v>21435.588790896159</v>
      </c>
      <c r="M10" s="16"/>
      <c r="N10" s="16">
        <f t="shared" ca="1" si="3"/>
        <v>0</v>
      </c>
      <c r="O10" s="11" cm="1">
        <f t="array" aca="1" ref="O10" ca="1">INDIRECT("'data'!$X$" &amp; $A$1)*parameters!$B$15</f>
        <v>8980.7199999999993</v>
      </c>
      <c r="P10" s="13" cm="1">
        <f t="array" aca="1" ref="P10" ca="1">-INDIRECT("'data'!$Y$" &amp; $A$1)*parameters!$B$15</f>
        <v>-2138.36</v>
      </c>
      <c r="Q10" s="16" cm="1">
        <f t="array" aca="1" ref="Q10" ca="1">INDIRECT("'data'!$W$" &amp; $A$1)*parameters!$B$15</f>
        <v>28277.948790896156</v>
      </c>
      <c r="R10" s="16">
        <f t="shared" ca="1" si="2"/>
        <v>28277.94879089616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38323.765160170697</v>
      </c>
      <c r="N11" s="19"/>
      <c r="O11" s="21" cm="1">
        <f t="array" aca="1" ref="O11" ca="1">INDIRECT("'data'!$Z$" &amp; $A$1)*parameters!$B$15</f>
        <v>1550.36</v>
      </c>
      <c r="P11" s="27" cm="1">
        <f t="array" aca="1" ref="P11" ca="1">-INDIRECT("'data'!$AA$" &amp; $A$1)*parameters!$B$15</f>
        <v>-4766.72</v>
      </c>
      <c r="Q11" s="16">
        <f ca="1">K9*parameters!$B$10+K10*parameters!$B$11</f>
        <v>35107.405160170696</v>
      </c>
      <c r="R11" s="16">
        <f t="shared" ref="R11:R17" ca="1" si="4">SUM(L11:P11)</f>
        <v>35107.405160170696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-263.28525460400124</v>
      </c>
      <c r="D12" s="9">
        <f ca="1">-(D17-Q4)</f>
        <v>-26.830632987823265</v>
      </c>
      <c r="E12" s="9">
        <f ca="1">-(E17-Q5)</f>
        <v>-2863.2862088626971</v>
      </c>
      <c r="F12" s="9">
        <f ca="1">-(F17-Q6)</f>
        <v>-2843.1534328358248</v>
      </c>
      <c r="G12" s="9">
        <f ca="1">-(G17-Q7)</f>
        <v>-709.77498432602079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-6706.3305136163672</v>
      </c>
      <c r="M12" s="17"/>
      <c r="N12" s="17"/>
      <c r="O12" s="10"/>
      <c r="P12" s="12"/>
      <c r="Q12" s="9">
        <f t="shared" ref="Q12:Q17" ca="1" si="6">SUM(L12:P12)</f>
        <v>-6706.3305136163672</v>
      </c>
      <c r="R12" s="17">
        <f t="shared" ca="1" si="4"/>
        <v>-6706.3305136163672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1327.9148708938919</v>
      </c>
      <c r="J13" s="14">
        <f ca="1">-(J17-Q10)</f>
        <v>1815.9739200022705</v>
      </c>
      <c r="K13" s="13">
        <f ca="1">-(K17-Q11)</f>
        <v>-4065.2036307254675</v>
      </c>
      <c r="L13" s="14">
        <f t="shared" ca="1" si="5"/>
        <v>-921.31483982930513</v>
      </c>
      <c r="M13" s="16">
        <f ca="1">-E15</f>
        <v>-25108.55978619523</v>
      </c>
      <c r="N13" s="16"/>
      <c r="O13" s="11"/>
      <c r="P13" s="13"/>
      <c r="Q13" s="14">
        <f t="shared" ca="1" si="6"/>
        <v>-26029.874626024535</v>
      </c>
      <c r="R13" s="16">
        <f t="shared" ca="1" si="4"/>
        <v>-26029.874626024535</v>
      </c>
    </row>
    <row r="14" spans="1:20">
      <c r="A14" s="18" t="s">
        <v>78</v>
      </c>
      <c r="B14" s="11"/>
      <c r="C14" s="14"/>
      <c r="D14" s="14"/>
      <c r="E14" s="14">
        <f ca="1">-(I13+J13)-K13</f>
        <v>921.31483982930513</v>
      </c>
      <c r="F14" s="14"/>
      <c r="G14" s="14"/>
      <c r="H14" s="14"/>
      <c r="I14" s="14"/>
      <c r="J14" s="14"/>
      <c r="K14" s="13"/>
      <c r="L14" s="14">
        <f t="shared" ca="1" si="5"/>
        <v>921.31483982930513</v>
      </c>
      <c r="M14" s="16"/>
      <c r="N14" s="16"/>
      <c r="O14" s="11"/>
      <c r="P14" s="13"/>
      <c r="Q14" s="14">
        <f t="shared" ca="1" si="6"/>
        <v>921.31483982930513</v>
      </c>
      <c r="R14" s="16">
        <f t="shared" ca="1" si="4"/>
        <v>921.31483982930513</v>
      </c>
    </row>
    <row r="15" spans="1:20">
      <c r="A15" s="18" t="s">
        <v>79</v>
      </c>
      <c r="B15" s="11"/>
      <c r="C15" s="14"/>
      <c r="D15" s="14"/>
      <c r="E15" s="14">
        <f ca="1">E17-E14</f>
        <v>25108.55978619523</v>
      </c>
      <c r="F15" s="14"/>
      <c r="G15" s="14"/>
      <c r="H15" s="14"/>
      <c r="I15" s="14"/>
      <c r="J15" s="14"/>
      <c r="K15" s="13"/>
      <c r="L15" s="14">
        <f t="shared" ca="1" si="5"/>
        <v>25108.55978619523</v>
      </c>
      <c r="M15" s="16"/>
      <c r="N15" s="16"/>
      <c r="O15" s="11"/>
      <c r="P15" s="13"/>
      <c r="Q15" s="14">
        <f t="shared" ca="1" si="6"/>
        <v>25108.55978619523</v>
      </c>
      <c r="R15" s="16">
        <f t="shared" ca="1" si="4"/>
        <v>25108.55978619523</v>
      </c>
    </row>
    <row r="16" spans="1:20">
      <c r="A16" s="30" t="s">
        <v>89</v>
      </c>
      <c r="B16" s="21">
        <f ca="1">Q2</f>
        <v>53200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53200</v>
      </c>
      <c r="M16" s="19"/>
      <c r="N16" s="19"/>
      <c r="O16" s="21"/>
      <c r="P16" s="27"/>
      <c r="Q16" s="22">
        <f t="shared" ca="1" si="6"/>
        <v>53200</v>
      </c>
      <c r="R16" s="19">
        <f t="shared" ca="1" si="4"/>
        <v>53200</v>
      </c>
    </row>
    <row r="17" spans="1:18">
      <c r="A17" s="29" t="s">
        <v>88</v>
      </c>
      <c r="B17" s="9">
        <f ca="1">B16</f>
        <v>53200</v>
      </c>
      <c r="C17" s="9">
        <f ca="1">SUM(C$2:C$11)</f>
        <v>41791.310254604003</v>
      </c>
      <c r="D17" s="9">
        <f ca="1">SUM(D$2:D$11)</f>
        <v>4258.8306329878233</v>
      </c>
      <c r="E17" s="9">
        <f ca="1">$Q$5/parameters!$B$4</f>
        <v>26029.874626024535</v>
      </c>
      <c r="F17" s="9">
        <f t="shared" ref="F17:K17" ca="1" si="7">SUM(F$2:F$11)</f>
        <v>45857.313432835821</v>
      </c>
      <c r="G17" s="9">
        <f t="shared" ca="1" si="7"/>
        <v>16506.39498432602</v>
      </c>
      <c r="H17" s="9">
        <f t="shared" ca="1" si="7"/>
        <v>58810.78</v>
      </c>
      <c r="I17" s="9">
        <f t="shared" ca="1" si="7"/>
        <v>19350.085129106108</v>
      </c>
      <c r="J17" s="9">
        <f t="shared" ca="1" si="7"/>
        <v>26461.974870893886</v>
      </c>
      <c r="K17" s="9">
        <f t="shared" ca="1" si="7"/>
        <v>39172.608790896164</v>
      </c>
      <c r="L17" s="17">
        <f t="shared" ca="1" si="5"/>
        <v>331439.17272167432</v>
      </c>
      <c r="M17" s="17"/>
      <c r="N17" s="17"/>
      <c r="O17" s="9"/>
      <c r="P17" s="14"/>
      <c r="Q17" s="11">
        <f t="shared" ca="1" si="6"/>
        <v>331439.17272167432</v>
      </c>
      <c r="R17" s="17">
        <f t="shared" ca="1" si="4"/>
        <v>331439.17272167432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1.0686257896042257</v>
      </c>
      <c r="J18" s="39">
        <f ca="1">I18</f>
        <v>1.0686257896042257</v>
      </c>
      <c r="K18" s="40">
        <f ca="1">1-(-K13)/K17</f>
        <v>0.89622331123194854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25946.84512428298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25946.84512428298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-25946.84512428298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23124.656716417911</v>
      </c>
      <c r="G3" s="14">
        <f ca="1">Q3-O3-P3-F3</f>
        <v>3360.8582835820853</v>
      </c>
      <c r="H3" s="14"/>
      <c r="I3" s="14"/>
      <c r="J3" s="14"/>
      <c r="K3" s="13"/>
      <c r="L3" s="16">
        <f t="shared" ca="1" si="0"/>
        <v>26485.514999999996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10.395</v>
      </c>
      <c r="P3" s="13" cm="1">
        <f t="array" aca="1" ref="P3" ca="1">-INDIRECT("'data'!$I$" &amp; $A$1)*parameters!$B$13</f>
        <v>-712.53</v>
      </c>
      <c r="Q3" s="16" cm="1">
        <f t="array" aca="1" ref="Q3" ca="1">INDIRECT("'data'!$G$" &amp; $A$1)*parameters!$B$13</f>
        <v>25783.379999999997</v>
      </c>
      <c r="R3" s="16">
        <f t="shared" ref="R3:R10" ca="1" si="2">SUM(L3:P3)</f>
        <v>25783.379999999997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297.16000000000003</v>
      </c>
      <c r="H4" s="14"/>
      <c r="I4" s="14"/>
      <c r="J4" s="14"/>
      <c r="K4" s="13"/>
      <c r="L4" s="16">
        <f t="shared" ca="1" si="0"/>
        <v>297.16000000000003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-297.16000000000003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5781.1641791044785</v>
      </c>
      <c r="G5" s="14">
        <f ca="1">Q7/parameters!$B$7-(G3+G4)</f>
        <v>17749.40073418176</v>
      </c>
      <c r="H5" s="14"/>
      <c r="I5" s="14"/>
      <c r="J5" s="14"/>
      <c r="K5" s="13"/>
      <c r="L5" s="16">
        <f t="shared" ca="1" si="0"/>
        <v>23530.564913286238</v>
      </c>
      <c r="M5" s="16"/>
      <c r="N5" s="16"/>
      <c r="O5" s="11" cm="1">
        <f t="array" aca="1" ref="O5" ca="1">INDIRECT("'data'!$M$" &amp; $A$1)*parameters!$B$15</f>
        <v>475.3</v>
      </c>
      <c r="P5" s="13" cm="1">
        <f t="array" aca="1" ref="P5" ca="1">-INDIRECT("'data'!$N$" &amp; $A$1)*parameters!$B$15</f>
        <v>-7644</v>
      </c>
      <c r="Q5" s="16">
        <f ca="1">SUM(L5:P5)</f>
        <v>16361.864913286237</v>
      </c>
      <c r="R5" s="16">
        <f t="shared" ca="1" si="2"/>
        <v>16361.864913286237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27113.66</v>
      </c>
      <c r="I6" s="14"/>
      <c r="J6" s="14"/>
      <c r="K6" s="13"/>
      <c r="L6" s="16">
        <f t="shared" ca="1" si="0"/>
        <v>27113.66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27113.66</v>
      </c>
      <c r="R6" s="16">
        <f t="shared" ca="1" si="2"/>
        <v>27113.66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20486.899999999998</v>
      </c>
      <c r="I7" s="14"/>
      <c r="J7" s="14"/>
      <c r="K7" s="13"/>
      <c r="L7" s="16">
        <f t="shared" ca="1" si="0"/>
        <v>20486.899999999998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20486.899999999998</v>
      </c>
      <c r="R7" s="16">
        <f t="shared" ca="1" si="2"/>
        <v>20486.899999999998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19620.710040316022</v>
      </c>
      <c r="J8" s="14">
        <f ca="1">Q10/J18</f>
        <v>32938.649959683971</v>
      </c>
      <c r="K8" s="13"/>
      <c r="L8" s="16">
        <f t="shared" ca="1" si="0"/>
        <v>52559.359999999993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345.94</v>
      </c>
      <c r="P8" s="13" cm="1">
        <f t="array" aca="1" ref="P8" ca="1">-INDIRECT("'data'!$S$" &amp; $A$1)*parameters!$B$15</f>
        <v>-5304.74</v>
      </c>
      <c r="Q8" s="16">
        <f ca="1">SUM(Q6:Q7)</f>
        <v>47600.56</v>
      </c>
      <c r="R8" s="16">
        <f t="shared" ca="1" si="2"/>
        <v>47600.56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17703.7</v>
      </c>
      <c r="L9" s="16">
        <f t="shared" ca="1" si="0"/>
        <v>17703.7</v>
      </c>
      <c r="M9" s="16"/>
      <c r="N9" s="16">
        <f t="shared" ca="1" si="3"/>
        <v>0</v>
      </c>
      <c r="O9" s="11" cm="1">
        <f t="array" aca="1" ref="O9" ca="1">INDIRECT("'data'!$U$" &amp; $A$1)*parameters!$B$15</f>
        <v>3547.6</v>
      </c>
      <c r="P9" s="13" cm="1">
        <f t="array" aca="1" ref="P9" ca="1">-INDIRECT("'data'!$V$" &amp; $A$1)*parameters!$B$15</f>
        <v>-2902.7599999999998</v>
      </c>
      <c r="Q9" s="16" cm="1">
        <f t="array" aca="1" ref="Q9" ca="1">INDIRECT("'data'!$T$" &amp; $A$1)*parameters!$B$15</f>
        <v>18348.54</v>
      </c>
      <c r="R9" s="16">
        <f t="shared" ca="1" si="2"/>
        <v>18348.54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27247.529672830722</v>
      </c>
      <c r="L10" s="16">
        <f t="shared" ca="1" si="0"/>
        <v>27247.529672830722</v>
      </c>
      <c r="M10" s="16"/>
      <c r="N10" s="16">
        <f t="shared" ca="1" si="3"/>
        <v>0</v>
      </c>
      <c r="O10" s="11" cm="1">
        <f t="array" aca="1" ref="O10" ca="1">INDIRECT("'data'!$X$" &amp; $A$1)*parameters!$B$15</f>
        <v>14646.1</v>
      </c>
      <c r="P10" s="13" cm="1">
        <f t="array" aca="1" ref="P10" ca="1">-INDIRECT("'data'!$Y$" &amp; $A$1)*parameters!$B$15</f>
        <v>-11090.66</v>
      </c>
      <c r="Q10" s="16" cm="1">
        <f t="array" aca="1" ref="Q10" ca="1">INDIRECT("'data'!$W$" &amp; $A$1)*parameters!$B$15</f>
        <v>30802.969672830724</v>
      </c>
      <c r="R10" s="16">
        <f t="shared" ca="1" si="2"/>
        <v>30802.969672830721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24074.873518634424</v>
      </c>
      <c r="N11" s="19"/>
      <c r="O11" s="21" cm="1">
        <f t="array" aca="1" ref="O11" ca="1">INDIRECT("'data'!$Z$" &amp; $A$1)*parameters!$B$15</f>
        <v>21518.84</v>
      </c>
      <c r="P11" s="27" cm="1">
        <f t="array" aca="1" ref="P11" ca="1">-INDIRECT("'data'!$AA$" &amp; $A$1)*parameters!$B$15</f>
        <v>-5519.36</v>
      </c>
      <c r="Q11" s="16">
        <f ca="1">K9*parameters!$B$10+K10*parameters!$B$11</f>
        <v>40074.353518634423</v>
      </c>
      <c r="R11" s="16">
        <f t="shared" ref="R11:R17" ca="1" si="4">SUM(L11:P11)</f>
        <v>40074.353518634423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-163.46512428298229</v>
      </c>
      <c r="D12" s="9">
        <f ca="1">-(D17-Q4)</f>
        <v>0</v>
      </c>
      <c r="E12" s="9">
        <f ca="1">-(E17-Q5)</f>
        <v>-2022.2529668106581</v>
      </c>
      <c r="F12" s="9">
        <f ca="1">-(F17-Q6)</f>
        <v>-1792.1608955223892</v>
      </c>
      <c r="G12" s="9">
        <f ca="1">-(G17-Q7)</f>
        <v>-920.51901776384693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-4898.3980043798765</v>
      </c>
      <c r="M12" s="17"/>
      <c r="N12" s="17"/>
      <c r="O12" s="10"/>
      <c r="P12" s="12"/>
      <c r="Q12" s="9">
        <f t="shared" ref="Q12:Q17" ca="1" si="6">SUM(L12:P12)</f>
        <v>-4898.3980043798765</v>
      </c>
      <c r="R12" s="17">
        <f t="shared" ca="1" si="4"/>
        <v>-4898.3980043798765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-1272.1700403160212</v>
      </c>
      <c r="J13" s="14">
        <f ca="1">-(J17-Q10)</f>
        <v>-2135.6802868532468</v>
      </c>
      <c r="K13" s="13">
        <f ca="1">-(K17-Q11)</f>
        <v>-4876.8761541963031</v>
      </c>
      <c r="L13" s="14">
        <f t="shared" ca="1" si="5"/>
        <v>-8284.7264813655711</v>
      </c>
      <c r="M13" s="16">
        <f ca="1">-E15</f>
        <v>-10099.391398731324</v>
      </c>
      <c r="N13" s="16"/>
      <c r="O13" s="11"/>
      <c r="P13" s="13"/>
      <c r="Q13" s="14">
        <f t="shared" ca="1" si="6"/>
        <v>-18384.117880096896</v>
      </c>
      <c r="R13" s="16">
        <f t="shared" ca="1" si="4"/>
        <v>-18384.117880096896</v>
      </c>
    </row>
    <row r="14" spans="1:20">
      <c r="A14" s="18" t="s">
        <v>78</v>
      </c>
      <c r="B14" s="11"/>
      <c r="C14" s="14"/>
      <c r="D14" s="14"/>
      <c r="E14" s="14">
        <f ca="1">-(I13+J13)-K13</f>
        <v>8284.7264813655711</v>
      </c>
      <c r="F14" s="14"/>
      <c r="G14" s="14"/>
      <c r="H14" s="14"/>
      <c r="I14" s="14"/>
      <c r="J14" s="14"/>
      <c r="K14" s="13"/>
      <c r="L14" s="14">
        <f t="shared" ca="1" si="5"/>
        <v>8284.7264813655711</v>
      </c>
      <c r="M14" s="16"/>
      <c r="N14" s="16"/>
      <c r="O14" s="11"/>
      <c r="P14" s="13"/>
      <c r="Q14" s="14">
        <f t="shared" ca="1" si="6"/>
        <v>8284.7264813655711</v>
      </c>
      <c r="R14" s="16">
        <f t="shared" ca="1" si="4"/>
        <v>8284.7264813655711</v>
      </c>
    </row>
    <row r="15" spans="1:20">
      <c r="A15" s="18" t="s">
        <v>79</v>
      </c>
      <c r="B15" s="11"/>
      <c r="C15" s="14"/>
      <c r="D15" s="14"/>
      <c r="E15" s="14">
        <f ca="1">E17-E14</f>
        <v>10099.391398731324</v>
      </c>
      <c r="F15" s="14"/>
      <c r="G15" s="14"/>
      <c r="H15" s="14"/>
      <c r="I15" s="14"/>
      <c r="J15" s="14"/>
      <c r="K15" s="13"/>
      <c r="L15" s="14">
        <f t="shared" ca="1" si="5"/>
        <v>10099.391398731324</v>
      </c>
      <c r="M15" s="16"/>
      <c r="N15" s="16"/>
      <c r="O15" s="11"/>
      <c r="P15" s="13"/>
      <c r="Q15" s="14">
        <f t="shared" ca="1" si="6"/>
        <v>10099.391398731324</v>
      </c>
      <c r="R15" s="16">
        <f t="shared" ca="1" si="4"/>
        <v>10099.391398731324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25946.84512428298</v>
      </c>
      <c r="D17" s="9">
        <f ca="1">SUM(D$2:D$11)</f>
        <v>0</v>
      </c>
      <c r="E17" s="9">
        <f ca="1">$Q$5/parameters!$B$4</f>
        <v>18384.117880096896</v>
      </c>
      <c r="F17" s="9">
        <f t="shared" ref="F17:K17" ca="1" si="7">SUM(F$2:F$11)</f>
        <v>28905.820895522389</v>
      </c>
      <c r="G17" s="9">
        <f t="shared" ca="1" si="7"/>
        <v>21407.419017763845</v>
      </c>
      <c r="H17" s="9">
        <f t="shared" ca="1" si="7"/>
        <v>47600.56</v>
      </c>
      <c r="I17" s="9">
        <f t="shared" ca="1" si="7"/>
        <v>19620.710040316022</v>
      </c>
      <c r="J17" s="9">
        <f t="shared" ca="1" si="7"/>
        <v>32938.649959683971</v>
      </c>
      <c r="K17" s="9">
        <f t="shared" ca="1" si="7"/>
        <v>44951.229672830726</v>
      </c>
      <c r="L17" s="17">
        <f t="shared" ca="1" si="5"/>
        <v>239755.35259049683</v>
      </c>
      <c r="M17" s="17"/>
      <c r="N17" s="17"/>
      <c r="O17" s="9"/>
      <c r="P17" s="14"/>
      <c r="Q17" s="11">
        <f t="shared" ca="1" si="6"/>
        <v>239755.35259049683</v>
      </c>
      <c r="R17" s="17">
        <f t="shared" ca="1" si="4"/>
        <v>239755.35259049683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0.93516187550287388</v>
      </c>
      <c r="J18" s="39">
        <f ca="1">I18</f>
        <v>0.93516187550287388</v>
      </c>
      <c r="K18" s="40">
        <f ca="1">1-(-K13)/K17</f>
        <v>0.89150739168446003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18748.792392070041</v>
      </c>
      <c r="D2" s="9">
        <f ca="1">Q4/parameters!$B$3</f>
        <v>360.14893831136158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19108.941330381404</v>
      </c>
      <c r="M2" s="17"/>
      <c r="N2" s="16">
        <v>0</v>
      </c>
      <c r="O2" s="11" cm="1">
        <f t="array" aca="1" ref="O2" ca="1">INDIRECT("'data'!$F$" &amp; $A$1)</f>
        <v>2.6</v>
      </c>
      <c r="P2" s="13">
        <f ca="1">IF(-(L2-Q2+O2)&lt;0, -(L2-Q2+O2), 0)</f>
        <v>-19074.741330381403</v>
      </c>
      <c r="Q2" s="17" cm="1">
        <f t="array" aca="1" ref="Q2" ca="1">INDIRECT("'data'!$D$" &amp; $A$1)</f>
        <v>36.799999999999997</v>
      </c>
      <c r="R2" s="17">
        <f ca="1">SUM(L2:P2)</f>
        <v>36.799999999999272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17832.238805970152</v>
      </c>
      <c r="G3" s="14">
        <f ca="1">Q3-O3-P3-F3</f>
        <v>1097.0561940298467</v>
      </c>
      <c r="H3" s="14"/>
      <c r="I3" s="14"/>
      <c r="J3" s="14"/>
      <c r="K3" s="13"/>
      <c r="L3" s="16">
        <f t="shared" ca="1" si="0"/>
        <v>18929.294999999998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81.27</v>
      </c>
      <c r="P3" s="13" cm="1">
        <f t="array" aca="1" ref="P3" ca="1">-INDIRECT("'data'!$I$" &amp; $A$1)*parameters!$B$13</f>
        <v>-379.89</v>
      </c>
      <c r="Q3" s="16" cm="1">
        <f t="array" aca="1" ref="Q3" ca="1">INDIRECT("'data'!$G$" &amp; $A$1)*parameters!$B$13</f>
        <v>18630.674999999999</v>
      </c>
      <c r="R3" s="16">
        <f t="shared" ref="R3:R10" ca="1" si="2">SUM(L3:P3)</f>
        <v>18630.674999999999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583.28</v>
      </c>
      <c r="H4" s="14"/>
      <c r="I4" s="14"/>
      <c r="J4" s="14"/>
      <c r="K4" s="13"/>
      <c r="L4" s="16">
        <f t="shared" ca="1" si="0"/>
        <v>583.28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-228.16</v>
      </c>
      <c r="Q4" s="16" cm="1">
        <f t="array" aca="1" ref="Q4" ca="1">INDIRECT("'data'!$J$" &amp; $A$1)*parameters!$B$14</f>
        <v>357.88</v>
      </c>
      <c r="R4" s="16">
        <f t="shared" ca="1" si="2"/>
        <v>357.88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4458.0597014925379</v>
      </c>
      <c r="G5" s="14">
        <f ca="1">Q7/parameters!$B$7-(G3+G4)</f>
        <v>9928.1068571718261</v>
      </c>
      <c r="H5" s="14"/>
      <c r="I5" s="14"/>
      <c r="J5" s="14"/>
      <c r="K5" s="13"/>
      <c r="L5" s="16">
        <f t="shared" ca="1" si="0"/>
        <v>14386.166558664365</v>
      </c>
      <c r="M5" s="16"/>
      <c r="N5" s="16"/>
      <c r="O5" s="11" cm="1">
        <f t="array" aca="1" ref="O5" ca="1">INDIRECT("'data'!$M$" &amp; $A$1)*parameters!$B$15</f>
        <v>7129.5</v>
      </c>
      <c r="P5" s="13" cm="1">
        <f t="array" aca="1" ref="P5" ca="1">-INDIRECT("'data'!$N$" &amp; $A$1)*parameters!$B$15</f>
        <v>-3787.7</v>
      </c>
      <c r="Q5" s="16">
        <f ca="1">SUM(L5:P5)</f>
        <v>17727.966558664364</v>
      </c>
      <c r="R5" s="16">
        <f t="shared" ca="1" si="2"/>
        <v>17727.966558664364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20908.3</v>
      </c>
      <c r="I6" s="14"/>
      <c r="J6" s="14"/>
      <c r="K6" s="13"/>
      <c r="L6" s="16">
        <f t="shared" ca="1" si="0"/>
        <v>20908.3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20908.3</v>
      </c>
      <c r="R6" s="16">
        <f t="shared" ca="1" si="2"/>
        <v>20908.3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11109.28</v>
      </c>
      <c r="I7" s="14"/>
      <c r="J7" s="14"/>
      <c r="K7" s="13"/>
      <c r="L7" s="16">
        <f t="shared" ca="1" si="0"/>
        <v>11109.28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11109.28</v>
      </c>
      <c r="R7" s="16">
        <f t="shared" ca="1" si="2"/>
        <v>11109.28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11970.932390008469</v>
      </c>
      <c r="J8" s="14">
        <f ca="1">Q10/J18</f>
        <v>19573.307609991534</v>
      </c>
      <c r="K8" s="13"/>
      <c r="L8" s="16">
        <f t="shared" ca="1" si="0"/>
        <v>31544.240000000005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1621.8999999999999</v>
      </c>
      <c r="P8" s="13" cm="1">
        <f t="array" aca="1" ref="P8" ca="1">-INDIRECT("'data'!$S$" &amp; $A$1)*parameters!$B$15</f>
        <v>-1148.56</v>
      </c>
      <c r="Q8" s="16">
        <f ca="1">SUM(Q6:Q7)</f>
        <v>32017.58</v>
      </c>
      <c r="R8" s="16">
        <f t="shared" ca="1" si="2"/>
        <v>32017.580000000005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10326.260000000002</v>
      </c>
      <c r="L9" s="16">
        <f t="shared" ca="1" si="0"/>
        <v>10326.260000000002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5545.82</v>
      </c>
      <c r="P9" s="13" cm="1">
        <f t="array" aca="1" ref="P9" ca="1">-INDIRECT("'data'!$V$" &amp; $A$1)*parameters!$B$15</f>
        <v>-4917.6400000000003</v>
      </c>
      <c r="Q9" s="16" cm="1">
        <f t="array" aca="1" ref="Q9" ca="1">INDIRECT("'data'!$T$" &amp; $A$1)*parameters!$B$15</f>
        <v>10954.44</v>
      </c>
      <c r="R9" s="16">
        <f t="shared" ca="1" si="2"/>
        <v>10954.440000000002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17077.291806543384</v>
      </c>
      <c r="L10" s="16">
        <f t="shared" ca="1" si="0"/>
        <v>17077.291806543384</v>
      </c>
      <c r="M10" s="16"/>
      <c r="N10" s="16">
        <f t="shared" ca="1" si="3"/>
        <v>0</v>
      </c>
      <c r="O10" s="11" cm="1">
        <f t="array" aca="1" ref="O10" ca="1">INDIRECT("'data'!$X$" &amp; $A$1)*parameters!$B$15</f>
        <v>10311.56</v>
      </c>
      <c r="P10" s="13" cm="1">
        <f t="array" aca="1" ref="P10" ca="1">-INDIRECT("'data'!$Y$" &amp; $A$1)*parameters!$B$15</f>
        <v>-9477.58</v>
      </c>
      <c r="Q10" s="16" cm="1">
        <f t="array" aca="1" ref="Q10" ca="1">INDIRECT("'data'!$W$" &amp; $A$1)*parameters!$B$15</f>
        <v>17911.271806543384</v>
      </c>
      <c r="R10" s="16">
        <f t="shared" ca="1" si="2"/>
        <v>17911.27180654338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18549.415353627312</v>
      </c>
      <c r="N11" s="19"/>
      <c r="O11" s="21" cm="1">
        <f t="array" aca="1" ref="O11" ca="1">INDIRECT("'data'!$Z$" &amp; $A$1)*parameters!$B$15</f>
        <v>21663.88</v>
      </c>
      <c r="P11" s="27" cm="1">
        <f t="array" aca="1" ref="P11" ca="1">-INDIRECT("'data'!$AA$" &amp; $A$1)*parameters!$B$15</f>
        <v>-15820.14</v>
      </c>
      <c r="Q11" s="16">
        <f ca="1">K9*parameters!$B$10+K10*parameters!$B$11</f>
        <v>24393.155353627313</v>
      </c>
      <c r="R11" s="16">
        <f t="shared" ref="R11:R17" ca="1" si="4">SUM(L11:P11)</f>
        <v>24393.155353627313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-118.11739207004211</v>
      </c>
      <c r="D12" s="9">
        <f ca="1">-(D17-Q4)</f>
        <v>-2.2689383113615804</v>
      </c>
      <c r="E12" s="9">
        <f ca="1">-(E17-Q5)</f>
        <v>-2191.0969903967198</v>
      </c>
      <c r="F12" s="9">
        <f ca="1">-(F17-Q6)</f>
        <v>-1381.9985074626893</v>
      </c>
      <c r="G12" s="9">
        <f ca="1">-(G17-Q7)</f>
        <v>-499.16305120167272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-4192.644879442485</v>
      </c>
      <c r="M12" s="17"/>
      <c r="N12" s="17"/>
      <c r="O12" s="10"/>
      <c r="P12" s="12"/>
      <c r="Q12" s="9">
        <f t="shared" ref="Q12:Q17" ca="1" si="6">SUM(L12:P12)</f>
        <v>-4192.644879442485</v>
      </c>
      <c r="R12" s="17">
        <f t="shared" ca="1" si="4"/>
        <v>-4192.644879442485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-1016.4923900084686</v>
      </c>
      <c r="J13" s="14">
        <f ca="1">-(J17-Q10)</f>
        <v>-1662.0358034481505</v>
      </c>
      <c r="K13" s="13">
        <f ca="1">-(K17-Q11)</f>
        <v>-3010.396452916073</v>
      </c>
      <c r="L13" s="14">
        <f t="shared" ca="1" si="5"/>
        <v>-5688.9246463726922</v>
      </c>
      <c r="M13" s="16">
        <f ca="1">-E15</f>
        <v>-14230.138902688392</v>
      </c>
      <c r="N13" s="16"/>
      <c r="O13" s="11"/>
      <c r="P13" s="13"/>
      <c r="Q13" s="14">
        <f t="shared" ca="1" si="6"/>
        <v>-19919.063549061084</v>
      </c>
      <c r="R13" s="16">
        <f t="shared" ca="1" si="4"/>
        <v>-19919.063549061084</v>
      </c>
    </row>
    <row r="14" spans="1:20">
      <c r="A14" s="18" t="s">
        <v>78</v>
      </c>
      <c r="B14" s="11"/>
      <c r="C14" s="14"/>
      <c r="D14" s="14"/>
      <c r="E14" s="14">
        <f ca="1">-(I13+J13)-K13</f>
        <v>5688.9246463726922</v>
      </c>
      <c r="F14" s="14"/>
      <c r="G14" s="14"/>
      <c r="H14" s="14"/>
      <c r="I14" s="14"/>
      <c r="J14" s="14"/>
      <c r="K14" s="13"/>
      <c r="L14" s="14">
        <f t="shared" ca="1" si="5"/>
        <v>5688.9246463726922</v>
      </c>
      <c r="M14" s="16"/>
      <c r="N14" s="16"/>
      <c r="O14" s="11"/>
      <c r="P14" s="13"/>
      <c r="Q14" s="14">
        <f t="shared" ca="1" si="6"/>
        <v>5688.9246463726922</v>
      </c>
      <c r="R14" s="16">
        <f t="shared" ca="1" si="4"/>
        <v>5688.9246463726922</v>
      </c>
    </row>
    <row r="15" spans="1:20">
      <c r="A15" s="18" t="s">
        <v>79</v>
      </c>
      <c r="B15" s="11"/>
      <c r="C15" s="14"/>
      <c r="D15" s="14"/>
      <c r="E15" s="14">
        <f ca="1">E17-E14</f>
        <v>14230.138902688392</v>
      </c>
      <c r="F15" s="14"/>
      <c r="G15" s="14"/>
      <c r="H15" s="14"/>
      <c r="I15" s="14"/>
      <c r="J15" s="14"/>
      <c r="K15" s="13"/>
      <c r="L15" s="14">
        <f t="shared" ca="1" si="5"/>
        <v>14230.138902688392</v>
      </c>
      <c r="M15" s="16"/>
      <c r="N15" s="16"/>
      <c r="O15" s="11"/>
      <c r="P15" s="13"/>
      <c r="Q15" s="14">
        <f t="shared" ca="1" si="6"/>
        <v>14230.138902688392</v>
      </c>
      <c r="R15" s="16">
        <f t="shared" ca="1" si="4"/>
        <v>14230.138902688392</v>
      </c>
    </row>
    <row r="16" spans="1:20">
      <c r="A16" s="30" t="s">
        <v>89</v>
      </c>
      <c r="B16" s="21">
        <f ca="1">Q2</f>
        <v>36.799999999999997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36.799999999999997</v>
      </c>
      <c r="M16" s="19"/>
      <c r="N16" s="19"/>
      <c r="O16" s="21"/>
      <c r="P16" s="27"/>
      <c r="Q16" s="22">
        <f t="shared" ca="1" si="6"/>
        <v>36.799999999999997</v>
      </c>
      <c r="R16" s="19">
        <f t="shared" ca="1" si="4"/>
        <v>36.799999999999997</v>
      </c>
    </row>
    <row r="17" spans="1:18">
      <c r="A17" s="29" t="s">
        <v>88</v>
      </c>
      <c r="B17" s="9">
        <f ca="1">B16</f>
        <v>36.799999999999997</v>
      </c>
      <c r="C17" s="9">
        <f ca="1">SUM(C$2:C$11)</f>
        <v>18748.792392070041</v>
      </c>
      <c r="D17" s="9">
        <f ca="1">SUM(D$2:D$11)</f>
        <v>360.14893831136158</v>
      </c>
      <c r="E17" s="9">
        <f ca="1">$Q$5/parameters!$B$4</f>
        <v>19919.063549061084</v>
      </c>
      <c r="F17" s="9">
        <f t="shared" ref="F17:K17" ca="1" si="7">SUM(F$2:F$11)</f>
        <v>22290.298507462689</v>
      </c>
      <c r="G17" s="9">
        <f t="shared" ca="1" si="7"/>
        <v>11608.443051201673</v>
      </c>
      <c r="H17" s="9">
        <f t="shared" ca="1" si="7"/>
        <v>32017.58</v>
      </c>
      <c r="I17" s="9">
        <f t="shared" ca="1" si="7"/>
        <v>11970.932390008469</v>
      </c>
      <c r="J17" s="9">
        <f t="shared" ca="1" si="7"/>
        <v>19573.307609991534</v>
      </c>
      <c r="K17" s="9">
        <f t="shared" ca="1" si="7"/>
        <v>27403.551806543386</v>
      </c>
      <c r="L17" s="17">
        <f t="shared" ca="1" si="5"/>
        <v>163928.91824465024</v>
      </c>
      <c r="M17" s="17"/>
      <c r="N17" s="17"/>
      <c r="O17" s="9"/>
      <c r="P17" s="14"/>
      <c r="Q17" s="11">
        <f t="shared" ca="1" si="6"/>
        <v>163928.91824465024</v>
      </c>
      <c r="R17" s="17">
        <f t="shared" ca="1" si="4"/>
        <v>163928.91824465024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0.91508661506960953</v>
      </c>
      <c r="J18" s="39">
        <f ca="1">I18</f>
        <v>0.91508661506960953</v>
      </c>
      <c r="K18" s="40">
        <f ca="1">1-(-K13)/K17</f>
        <v>0.89014575650017547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6660.7426788769244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6660.7426788769244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-4560.7426788769244</v>
      </c>
      <c r="Q2" s="17" cm="1">
        <f t="array" aca="1" ref="Q2" ca="1">INDIRECT("'data'!$D$" &amp; $A$1)</f>
        <v>2100</v>
      </c>
      <c r="R2" s="17">
        <f ca="1">SUM(L2:P2)</f>
        <v>2100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6321.313432835821</v>
      </c>
      <c r="G3" s="14">
        <f ca="1">Q3-O3-P3-F3</f>
        <v>1016.6115671641783</v>
      </c>
      <c r="H3" s="14"/>
      <c r="I3" s="14"/>
      <c r="J3" s="14"/>
      <c r="K3" s="13"/>
      <c r="L3" s="16">
        <f t="shared" ca="1" si="0"/>
        <v>7337.9249999999993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10.395</v>
      </c>
      <c r="P3" s="13" cm="1">
        <f t="array" aca="1" ref="P3" ca="1">-INDIRECT("'data'!$I$" &amp; $A$1)*parameters!$B$13</f>
        <v>-729.54</v>
      </c>
      <c r="Q3" s="16" cm="1">
        <f t="array" aca="1" ref="Q3" ca="1">INDIRECT("'data'!$G$" &amp; $A$1)*parameters!$B$13</f>
        <v>6618.78</v>
      </c>
      <c r="R3" s="16">
        <f t="shared" ref="R3:R10" ca="1" si="2">SUM(L3:P3)</f>
        <v>6618.78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19.32</v>
      </c>
      <c r="H4" s="14"/>
      <c r="I4" s="14"/>
      <c r="J4" s="14"/>
      <c r="K4" s="13"/>
      <c r="L4" s="16">
        <f t="shared" ca="1" si="0"/>
        <v>19.32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-19.32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1580.3283582089553</v>
      </c>
      <c r="G5" s="14">
        <f ca="1">Q7/parameters!$B$7-(G3+G4)</f>
        <v>17131.445653316492</v>
      </c>
      <c r="H5" s="14"/>
      <c r="I5" s="14"/>
      <c r="J5" s="14"/>
      <c r="K5" s="13"/>
      <c r="L5" s="16">
        <f t="shared" ca="1" si="0"/>
        <v>18711.774011525449</v>
      </c>
      <c r="M5" s="16"/>
      <c r="N5" s="16"/>
      <c r="O5" s="11" cm="1">
        <f t="array" aca="1" ref="O5" ca="1">INDIRECT("'data'!$M$" &amp; $A$1)*parameters!$B$15</f>
        <v>65.66</v>
      </c>
      <c r="P5" s="13" cm="1">
        <f t="array" aca="1" ref="P5" ca="1">-INDIRECT("'data'!$N$" &amp; $A$1)*parameters!$B$15</f>
        <v>-15352.68</v>
      </c>
      <c r="Q5" s="16">
        <f ca="1">SUM(L5:P5)</f>
        <v>3424.7540115254487</v>
      </c>
      <c r="R5" s="16">
        <f t="shared" ca="1" si="2"/>
        <v>3424.7540115254487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7411.74</v>
      </c>
      <c r="I6" s="14"/>
      <c r="J6" s="14"/>
      <c r="K6" s="13"/>
      <c r="L6" s="16">
        <f t="shared" ca="1" si="0"/>
        <v>7411.74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7411.74</v>
      </c>
      <c r="R6" s="16">
        <f t="shared" ca="1" si="2"/>
        <v>7411.74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17386.18</v>
      </c>
      <c r="I7" s="14"/>
      <c r="J7" s="14"/>
      <c r="K7" s="13"/>
      <c r="L7" s="16">
        <f t="shared" ca="1" si="0"/>
        <v>17386.18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17386.18</v>
      </c>
      <c r="R7" s="16">
        <f t="shared" ca="1" si="2"/>
        <v>17386.18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21573.579272941417</v>
      </c>
      <c r="J8" s="14">
        <f ca="1">Q10/J18</f>
        <v>4405.2407270585791</v>
      </c>
      <c r="K8" s="13"/>
      <c r="L8" s="16">
        <f t="shared" ca="1" si="0"/>
        <v>25978.819999999996</v>
      </c>
      <c r="M8" s="16"/>
      <c r="N8" s="16">
        <f t="shared" ca="1" si="3"/>
        <v>0</v>
      </c>
      <c r="O8" s="11" cm="1">
        <f t="array" aca="1" ref="O8" ca="1">INDIRECT("'data'!$R$" &amp; $A$1)*parameters!$B$15</f>
        <v>2375.52</v>
      </c>
      <c r="P8" s="13" cm="1">
        <f t="array" aca="1" ref="P8" ca="1">-INDIRECT("'data'!$S$" &amp; $A$1)*parameters!$B$15</f>
        <v>-3556.42</v>
      </c>
      <c r="Q8" s="16">
        <f ca="1">SUM(Q6:Q7)</f>
        <v>24797.919999999998</v>
      </c>
      <c r="R8" s="16">
        <f t="shared" ca="1" si="2"/>
        <v>24797.919999999998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9501.0999999999985</v>
      </c>
      <c r="L9" s="16">
        <f t="shared" ca="1" si="0"/>
        <v>9501.0999999999985</v>
      </c>
      <c r="M9" s="16"/>
      <c r="N9" s="16">
        <f t="shared" ca="1" si="3"/>
        <v>0</v>
      </c>
      <c r="O9" s="11" cm="1">
        <f t="array" aca="1" ref="O9" ca="1">INDIRECT("'data'!$U$" &amp; $A$1)*parameters!$B$15</f>
        <v>11547.34</v>
      </c>
      <c r="P9" s="13" cm="1">
        <f t="array" aca="1" ref="P9" ca="1">-INDIRECT("'data'!$V$" &amp; $A$1)*parameters!$B$15</f>
        <v>-750.68</v>
      </c>
      <c r="Q9" s="16" cm="1">
        <f t="array" aca="1" ref="Q9" ca="1">INDIRECT("'data'!$T$" &amp; $A$1)*parameters!$B$15</f>
        <v>20297.759999999998</v>
      </c>
      <c r="R9" s="16">
        <f t="shared" ca="1" si="2"/>
        <v>20297.759999999998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7998.0834086098484</v>
      </c>
      <c r="L10" s="16">
        <f t="shared" ca="1" si="0"/>
        <v>7998.0834086098484</v>
      </c>
      <c r="M10" s="16"/>
      <c r="N10" s="16">
        <f t="shared" ca="1" si="3"/>
        <v>0</v>
      </c>
      <c r="O10" s="11" cm="1">
        <f t="array" aca="1" ref="O10" ca="1">INDIRECT("'data'!$X$" &amp; $A$1)*parameters!$B$15</f>
        <v>1615.04</v>
      </c>
      <c r="P10" s="13" cm="1">
        <f t="array" aca="1" ref="P10" ca="1">-INDIRECT("'data'!$Y$" &amp; $A$1)*parameters!$B$15</f>
        <v>-5468.4</v>
      </c>
      <c r="Q10" s="16" cm="1">
        <f t="array" aca="1" ref="Q10" ca="1">INDIRECT("'data'!$W$" &amp; $A$1)*parameters!$B$15</f>
        <v>4144.7234086098488</v>
      </c>
      <c r="R10" s="16">
        <f t="shared" ca="1" si="2"/>
        <v>4144.7234086098488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14002.265731404466</v>
      </c>
      <c r="N11" s="19"/>
      <c r="O11" s="21" cm="1">
        <f t="array" aca="1" ref="O11" ca="1">INDIRECT("'data'!$Z$" &amp; $A$1)*parameters!$B$15</f>
        <v>4271.82</v>
      </c>
      <c r="P11" s="27" cm="1">
        <f t="array" aca="1" ref="P11" ca="1">-INDIRECT("'data'!$AA$" &amp; $A$1)*parameters!$B$15</f>
        <v>-2464.6999999999998</v>
      </c>
      <c r="Q11" s="16">
        <f ca="1">K9*parameters!$B$10+K10*parameters!$B$11</f>
        <v>15809.385731404467</v>
      </c>
      <c r="R11" s="16">
        <f t="shared" ref="R11:R17" ca="1" si="4">SUM(L11:P11)</f>
        <v>15809.385731404465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-41.962678876924656</v>
      </c>
      <c r="D12" s="9">
        <f ca="1">-(D17-Q4)</f>
        <v>0</v>
      </c>
      <c r="E12" s="9">
        <f ca="1">-(E17-Q5)</f>
        <v>-423.28420367168474</v>
      </c>
      <c r="F12" s="9">
        <f ca="1">-(F17-Q6)</f>
        <v>-489.90179104477647</v>
      </c>
      <c r="G12" s="9">
        <f ca="1">-(G17-Q7)</f>
        <v>-781.19722048066978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-1736.3458940740556</v>
      </c>
      <c r="M12" s="17"/>
      <c r="N12" s="17"/>
      <c r="O12" s="10"/>
      <c r="P12" s="12"/>
      <c r="Q12" s="9">
        <f t="shared" ref="Q12:Q17" ca="1" si="6">SUM(L12:P12)</f>
        <v>-1736.3458940740556</v>
      </c>
      <c r="R12" s="17">
        <f t="shared" ca="1" si="4"/>
        <v>-1736.3458940740556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-1275.8192729414186</v>
      </c>
      <c r="J13" s="14">
        <f ca="1">-(J17-Q10)</f>
        <v>-260.51731844873029</v>
      </c>
      <c r="K13" s="13">
        <f ca="1">-(K17-Q11)</f>
        <v>-1689.7976772053789</v>
      </c>
      <c r="L13" s="14">
        <f t="shared" ca="1" si="5"/>
        <v>-3226.1342685955278</v>
      </c>
      <c r="M13" s="16">
        <f ca="1">-E15</f>
        <v>-621.90394660160564</v>
      </c>
      <c r="N13" s="16"/>
      <c r="O13" s="11"/>
      <c r="P13" s="13"/>
      <c r="Q13" s="14">
        <f t="shared" ca="1" si="6"/>
        <v>-3848.0382151971335</v>
      </c>
      <c r="R13" s="16">
        <f t="shared" ca="1" si="4"/>
        <v>-3848.0382151971335</v>
      </c>
    </row>
    <row r="14" spans="1:20">
      <c r="A14" s="18" t="s">
        <v>78</v>
      </c>
      <c r="B14" s="11"/>
      <c r="C14" s="14"/>
      <c r="D14" s="14"/>
      <c r="E14" s="14">
        <f ca="1">-(I13+J13)-K13</f>
        <v>3226.1342685955278</v>
      </c>
      <c r="F14" s="14"/>
      <c r="G14" s="14"/>
      <c r="H14" s="14"/>
      <c r="I14" s="14"/>
      <c r="J14" s="14"/>
      <c r="K14" s="13"/>
      <c r="L14" s="14">
        <f t="shared" ca="1" si="5"/>
        <v>3226.1342685955278</v>
      </c>
      <c r="M14" s="16"/>
      <c r="N14" s="16"/>
      <c r="O14" s="11"/>
      <c r="P14" s="13"/>
      <c r="Q14" s="14">
        <f t="shared" ca="1" si="6"/>
        <v>3226.1342685955278</v>
      </c>
      <c r="R14" s="16">
        <f t="shared" ca="1" si="4"/>
        <v>3226.1342685955278</v>
      </c>
    </row>
    <row r="15" spans="1:20">
      <c r="A15" s="18" t="s">
        <v>79</v>
      </c>
      <c r="B15" s="11"/>
      <c r="C15" s="14"/>
      <c r="D15" s="14"/>
      <c r="E15" s="14">
        <f ca="1">E17-E14</f>
        <v>621.90394660160564</v>
      </c>
      <c r="F15" s="14"/>
      <c r="G15" s="14"/>
      <c r="H15" s="14"/>
      <c r="I15" s="14"/>
      <c r="J15" s="14"/>
      <c r="K15" s="13"/>
      <c r="L15" s="14">
        <f t="shared" ca="1" si="5"/>
        <v>621.90394660160564</v>
      </c>
      <c r="M15" s="16"/>
      <c r="N15" s="16"/>
      <c r="O15" s="11"/>
      <c r="P15" s="13"/>
      <c r="Q15" s="14">
        <f t="shared" ca="1" si="6"/>
        <v>621.90394660160564</v>
      </c>
      <c r="R15" s="16">
        <f t="shared" ca="1" si="4"/>
        <v>621.90394660160564</v>
      </c>
    </row>
    <row r="16" spans="1:20">
      <c r="A16" s="30" t="s">
        <v>89</v>
      </c>
      <c r="B16" s="21">
        <f ca="1">Q2</f>
        <v>2100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2100</v>
      </c>
      <c r="M16" s="19"/>
      <c r="N16" s="19"/>
      <c r="O16" s="21"/>
      <c r="P16" s="27"/>
      <c r="Q16" s="22">
        <f t="shared" ca="1" si="6"/>
        <v>2100</v>
      </c>
      <c r="R16" s="19">
        <f t="shared" ca="1" si="4"/>
        <v>2100</v>
      </c>
    </row>
    <row r="17" spans="1:18">
      <c r="A17" s="29" t="s">
        <v>88</v>
      </c>
      <c r="B17" s="9">
        <f ca="1">B16</f>
        <v>2100</v>
      </c>
      <c r="C17" s="9">
        <f ca="1">SUM(C$2:C$11)</f>
        <v>6660.7426788769244</v>
      </c>
      <c r="D17" s="9">
        <f ca="1">SUM(D$2:D$11)</f>
        <v>0</v>
      </c>
      <c r="E17" s="9">
        <f ca="1">$Q$5/parameters!$B$4</f>
        <v>3848.0382151971335</v>
      </c>
      <c r="F17" s="9">
        <f t="shared" ref="F17:K17" ca="1" si="7">SUM(F$2:F$11)</f>
        <v>7901.6417910447763</v>
      </c>
      <c r="G17" s="9">
        <f t="shared" ca="1" si="7"/>
        <v>18167.37722048067</v>
      </c>
      <c r="H17" s="9">
        <f t="shared" ca="1" si="7"/>
        <v>24797.919999999998</v>
      </c>
      <c r="I17" s="9">
        <f t="shared" ca="1" si="7"/>
        <v>21573.579272941417</v>
      </c>
      <c r="J17" s="9">
        <f t="shared" ca="1" si="7"/>
        <v>4405.2407270585791</v>
      </c>
      <c r="K17" s="9">
        <f t="shared" ca="1" si="7"/>
        <v>17499.183408609846</v>
      </c>
      <c r="L17" s="17">
        <f t="shared" ca="1" si="5"/>
        <v>106953.72331420935</v>
      </c>
      <c r="M17" s="17"/>
      <c r="N17" s="17"/>
      <c r="O17" s="9"/>
      <c r="P17" s="14"/>
      <c r="Q17" s="11">
        <f t="shared" ca="1" si="6"/>
        <v>106953.72331420935</v>
      </c>
      <c r="R17" s="17">
        <f t="shared" ca="1" si="4"/>
        <v>106953.72331420935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0.94086195634019754</v>
      </c>
      <c r="J18" s="39">
        <f ca="1">I18</f>
        <v>0.94086195634019754</v>
      </c>
      <c r="K18" s="40">
        <f ca="1">1-(-K13)/K17</f>
        <v>0.90343562680907874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23903.164939116428</v>
      </c>
      <c r="D2" s="9">
        <f ca="1">Q4/parameters!$B$3</f>
        <v>10.184160209318708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23913.349099325747</v>
      </c>
      <c r="M2" s="17"/>
      <c r="N2" s="17">
        <f ca="1">Q2-(L2+O2+P2)</f>
        <v>2360.6509006742563</v>
      </c>
      <c r="O2" s="11" cm="1">
        <f t="array" aca="1" ref="O2" ca="1">INDIRECT("'data'!$F$" &amp; $A$1)</f>
        <v>172926</v>
      </c>
      <c r="P2" s="13">
        <f ca="1">IF(-(L2-Q2+O2)&lt;0, -(L2-Q2+O2), 0)</f>
        <v>0</v>
      </c>
      <c r="Q2" s="17" cm="1">
        <f t="array" aca="1" ref="Q2" ca="1">INDIRECT("'data'!$D$" &amp; $A$1)</f>
        <v>199200</v>
      </c>
      <c r="R2" s="17">
        <f ca="1">SUM(L2:P2)</f>
        <v>199200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16433.910447761191</v>
      </c>
      <c r="G3" s="14">
        <f ca="1">Q3-O3-P3-F3</f>
        <v>4334.3545522388049</v>
      </c>
      <c r="H3" s="14"/>
      <c r="I3" s="14"/>
      <c r="J3" s="14"/>
      <c r="K3" s="13"/>
      <c r="L3" s="16">
        <f t="shared" ca="1" si="0"/>
        <v>20768.264999999996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2984.31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23752.574999999997</v>
      </c>
      <c r="R3" s="16">
        <f t="shared" ref="R3:R10" ca="1" si="2">SUM(L3:P3)</f>
        <v>23752.574999999997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10.120000000000001</v>
      </c>
      <c r="H4" s="14"/>
      <c r="I4" s="14"/>
      <c r="J4" s="14"/>
      <c r="K4" s="13"/>
      <c r="L4" s="16">
        <f t="shared" ca="1" si="0"/>
        <v>10.120000000000001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10.120000000000001</v>
      </c>
      <c r="R4" s="16">
        <f t="shared" ca="1" si="2"/>
        <v>10.120000000000001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4108.4776119402986</v>
      </c>
      <c r="G5" s="14">
        <f ca="1">Q7/parameters!$B$7-(G3+G4)</f>
        <v>2157.1137445219056</v>
      </c>
      <c r="H5" s="14"/>
      <c r="I5" s="14"/>
      <c r="J5" s="14"/>
      <c r="K5" s="13"/>
      <c r="L5" s="16">
        <f t="shared" ca="1" si="0"/>
        <v>6265.5913564622042</v>
      </c>
      <c r="M5" s="16"/>
      <c r="N5" s="16"/>
      <c r="O5" s="11" cm="1">
        <f t="array" aca="1" ref="O5" ca="1">INDIRECT("'data'!$M$" &amp; $A$1)*parameters!$B$15</f>
        <v>112.7</v>
      </c>
      <c r="P5" s="13" cm="1">
        <f t="array" aca="1" ref="P5" ca="1">-INDIRECT("'data'!$N$" &amp; $A$1)*parameters!$B$15</f>
        <v>-27.439999999999998</v>
      </c>
      <c r="Q5" s="16">
        <f ca="1">SUM(L5:P5)</f>
        <v>6350.8513564622044</v>
      </c>
      <c r="R5" s="16">
        <f t="shared" ca="1" si="2"/>
        <v>6350.8513564622044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19268.759999999998</v>
      </c>
      <c r="I6" s="14"/>
      <c r="J6" s="14"/>
      <c r="K6" s="13"/>
      <c r="L6" s="16">
        <f t="shared" ca="1" si="0"/>
        <v>19268.759999999998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19268.759999999998</v>
      </c>
      <c r="R6" s="16">
        <f t="shared" ca="1" si="2"/>
        <v>19268.759999999998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6222.0199999999995</v>
      </c>
      <c r="I7" s="14"/>
      <c r="J7" s="14"/>
      <c r="K7" s="13"/>
      <c r="L7" s="16">
        <f t="shared" ca="1" si="0"/>
        <v>6222.0199999999995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6222.0199999999995</v>
      </c>
      <c r="R7" s="16">
        <f t="shared" ca="1" si="2"/>
        <v>6222.0199999999995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8842.4720235014938</v>
      </c>
      <c r="J8" s="14">
        <f ca="1">Q10/J18</f>
        <v>12164.807976498503</v>
      </c>
      <c r="K8" s="13"/>
      <c r="L8" s="16">
        <f t="shared" ca="1" si="0"/>
        <v>21007.279999999999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4519.76</v>
      </c>
      <c r="P8" s="13" cm="1">
        <f t="array" aca="1" ref="P8" ca="1">-INDIRECT("'data'!$S$" &amp; $A$1)*parameters!$B$15</f>
        <v>-36.26</v>
      </c>
      <c r="Q8" s="16">
        <f ca="1">SUM(Q6:Q7)</f>
        <v>25490.78</v>
      </c>
      <c r="R8" s="16">
        <f t="shared" ca="1" si="2"/>
        <v>25490.780000000002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7458.7800000000007</v>
      </c>
      <c r="L9" s="16">
        <f t="shared" ca="1" si="0"/>
        <v>7458.7800000000007</v>
      </c>
      <c r="M9" s="16"/>
      <c r="N9" s="16">
        <f t="shared" ca="1" si="3"/>
        <v>0</v>
      </c>
      <c r="O9" s="11" cm="1">
        <f t="array" aca="1" ref="O9" ca="1">INDIRECT("'data'!$U$" &amp; $A$1)*parameters!$B$15</f>
        <v>1300.46</v>
      </c>
      <c r="P9" s="13" cm="1">
        <f t="array" aca="1" ref="P9" ca="1">-INDIRECT("'data'!$V$" &amp; $A$1)*parameters!$B$15</f>
        <v>-556.64</v>
      </c>
      <c r="Q9" s="16" cm="1">
        <f t="array" aca="1" ref="Q9" ca="1">INDIRECT("'data'!$T$" &amp; $A$1)*parameters!$B$15</f>
        <v>8202.6</v>
      </c>
      <c r="R9" s="16">
        <f t="shared" ca="1" si="2"/>
        <v>8202.6000000000022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10441.72017069701</v>
      </c>
      <c r="L10" s="16">
        <f t="shared" ca="1" si="0"/>
        <v>10441.72017069701</v>
      </c>
      <c r="M10" s="16"/>
      <c r="N10" s="16">
        <f t="shared" ca="1" si="3"/>
        <v>0</v>
      </c>
      <c r="O10" s="11" cm="1">
        <f t="array" aca="1" ref="O10" ca="1">INDIRECT("'data'!$X$" &amp; $A$1)*parameters!$B$15</f>
        <v>2357.88</v>
      </c>
      <c r="P10" s="13" cm="1">
        <f t="array" aca="1" ref="P10" ca="1">-INDIRECT("'data'!$Y$" &amp; $A$1)*parameters!$B$15</f>
        <v>-1515.08</v>
      </c>
      <c r="Q10" s="16" cm="1">
        <f t="array" aca="1" ref="Q10" ca="1">INDIRECT("'data'!$W$" &amp; $A$1)*parameters!$B$15</f>
        <v>11284.520170697011</v>
      </c>
      <c r="R10" s="16">
        <f t="shared" ca="1" si="2"/>
        <v>11284.520170697009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16517.39254679943</v>
      </c>
      <c r="N11" s="19"/>
      <c r="O11" s="21" cm="1">
        <f t="array" aca="1" ref="O11" ca="1">INDIRECT("'data'!$Z$" &amp; $A$1)*parameters!$B$15</f>
        <v>2027.62</v>
      </c>
      <c r="P11" s="27" cm="1">
        <f t="array" aca="1" ref="P11" ca="1">-INDIRECT("'data'!$AA$" &amp; $A$1)*parameters!$B$15</f>
        <v>-2553.88</v>
      </c>
      <c r="Q11" s="16">
        <f ca="1">K9*parameters!$B$10+K10*parameters!$B$11</f>
        <v>15991.132546799428</v>
      </c>
      <c r="R11" s="16">
        <f t="shared" ref="R11:R17" ca="1" si="4">SUM(L11:P11)</f>
        <v>15991.132546799428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-150.5899391164312</v>
      </c>
      <c r="D12" s="9">
        <f ca="1">-(D17-Q4)</f>
        <v>-6.4160209318707473E-2</v>
      </c>
      <c r="E12" s="9">
        <f ca="1">-(E17-Q5)</f>
        <v>-784.93668450656423</v>
      </c>
      <c r="F12" s="9">
        <f ca="1">-(F17-Q6)</f>
        <v>-1273.628059701492</v>
      </c>
      <c r="G12" s="9">
        <f ca="1">-(G17-Q7)</f>
        <v>-279.56829676071084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-2488.787140294517</v>
      </c>
      <c r="M12" s="17"/>
      <c r="N12" s="17"/>
      <c r="O12" s="10"/>
      <c r="P12" s="12"/>
      <c r="Q12" s="9">
        <f t="shared" ref="Q12:Q17" ca="1" si="6">SUM(L12:P12)</f>
        <v>-2488.787140294517</v>
      </c>
      <c r="R12" s="17">
        <f t="shared" ca="1" si="4"/>
        <v>-2488.787140294517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-639.87202350149346</v>
      </c>
      <c r="J13" s="14">
        <f ca="1">-(J17-Q10)</f>
        <v>-880.28780580149214</v>
      </c>
      <c r="K13" s="13">
        <f ca="1">-(K17-Q11)</f>
        <v>-1909.3676238975822</v>
      </c>
      <c r="L13" s="14">
        <f t="shared" ca="1" si="5"/>
        <v>-3429.5274532005678</v>
      </c>
      <c r="M13" s="16">
        <f ca="1">-E15</f>
        <v>-3706.2605877682008</v>
      </c>
      <c r="N13" s="16"/>
      <c r="O13" s="11"/>
      <c r="P13" s="13"/>
      <c r="Q13" s="14">
        <f t="shared" ca="1" si="6"/>
        <v>-7135.7880409687687</v>
      </c>
      <c r="R13" s="16">
        <f t="shared" ca="1" si="4"/>
        <v>-7135.7880409687687</v>
      </c>
    </row>
    <row r="14" spans="1:19">
      <c r="A14" s="18" t="s">
        <v>78</v>
      </c>
      <c r="B14" s="11"/>
      <c r="C14" s="14"/>
      <c r="D14" s="14"/>
      <c r="E14" s="14">
        <f ca="1">-(I13+J13)-K13</f>
        <v>3429.5274532005678</v>
      </c>
      <c r="F14" s="14"/>
      <c r="G14" s="14"/>
      <c r="H14" s="14"/>
      <c r="I14" s="14"/>
      <c r="J14" s="14"/>
      <c r="K14" s="13"/>
      <c r="L14" s="14">
        <f t="shared" ca="1" si="5"/>
        <v>3429.5274532005678</v>
      </c>
      <c r="M14" s="16"/>
      <c r="N14" s="16"/>
      <c r="O14" s="11"/>
      <c r="P14" s="13"/>
      <c r="Q14" s="14">
        <f t="shared" ca="1" si="6"/>
        <v>3429.5274532005678</v>
      </c>
      <c r="R14" s="16">
        <f t="shared" ca="1" si="4"/>
        <v>3429.5274532005678</v>
      </c>
    </row>
    <row r="15" spans="1:19">
      <c r="A15" s="18" t="s">
        <v>79</v>
      </c>
      <c r="B15" s="11"/>
      <c r="C15" s="14"/>
      <c r="D15" s="14"/>
      <c r="E15" s="14">
        <f ca="1">E17-E14</f>
        <v>3706.2605877682008</v>
      </c>
      <c r="F15" s="14"/>
      <c r="G15" s="14"/>
      <c r="H15" s="14"/>
      <c r="I15" s="14"/>
      <c r="J15" s="14"/>
      <c r="K15" s="13"/>
      <c r="L15" s="14">
        <f t="shared" ca="1" si="5"/>
        <v>3706.2605877682008</v>
      </c>
      <c r="M15" s="16"/>
      <c r="N15" s="16"/>
      <c r="O15" s="11"/>
      <c r="P15" s="13"/>
      <c r="Q15" s="14">
        <f t="shared" ca="1" si="6"/>
        <v>3706.2605877682008</v>
      </c>
      <c r="R15" s="16">
        <f t="shared" ca="1" si="4"/>
        <v>3706.2605877682008</v>
      </c>
    </row>
    <row r="16" spans="1:19">
      <c r="A16" s="30" t="s">
        <v>89</v>
      </c>
      <c r="B16" s="21">
        <f ca="1">Q2</f>
        <v>199200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199200</v>
      </c>
      <c r="M16" s="19"/>
      <c r="N16" s="19"/>
      <c r="O16" s="21"/>
      <c r="P16" s="27"/>
      <c r="Q16" s="22">
        <f t="shared" ca="1" si="6"/>
        <v>199200</v>
      </c>
      <c r="R16" s="19">
        <f t="shared" ca="1" si="4"/>
        <v>199200</v>
      </c>
    </row>
    <row r="17" spans="1:18">
      <c r="A17" s="29" t="s">
        <v>88</v>
      </c>
      <c r="B17" s="9">
        <f ca="1">B16</f>
        <v>199200</v>
      </c>
      <c r="C17" s="9">
        <f ca="1">SUM(C$2:C$11)</f>
        <v>23903.164939116428</v>
      </c>
      <c r="D17" s="9">
        <f ca="1">SUM(D$2:D$11)</f>
        <v>10.184160209318708</v>
      </c>
      <c r="E17" s="9">
        <f ca="1">$Q$5/parameters!$B$4</f>
        <v>7135.7880409687687</v>
      </c>
      <c r="F17" s="9">
        <f t="shared" ref="F17:K17" ca="1" si="7">SUM(F$2:F$11)</f>
        <v>20542.38805970149</v>
      </c>
      <c r="G17" s="9">
        <f t="shared" ca="1" si="7"/>
        <v>6501.5882967607104</v>
      </c>
      <c r="H17" s="9">
        <f t="shared" ca="1" si="7"/>
        <v>25490.78</v>
      </c>
      <c r="I17" s="9">
        <f t="shared" ca="1" si="7"/>
        <v>8842.4720235014938</v>
      </c>
      <c r="J17" s="9">
        <f t="shared" ca="1" si="7"/>
        <v>12164.807976498503</v>
      </c>
      <c r="K17" s="9">
        <f t="shared" ca="1" si="7"/>
        <v>17900.500170697011</v>
      </c>
      <c r="L17" s="17">
        <f t="shared" ca="1" si="5"/>
        <v>321691.67366745364</v>
      </c>
      <c r="M17" s="17"/>
      <c r="N17" s="17"/>
      <c r="O17" s="9"/>
      <c r="P17" s="14"/>
      <c r="Q17" s="11">
        <f t="shared" ca="1" si="6"/>
        <v>321691.67366745364</v>
      </c>
      <c r="R17" s="17">
        <f t="shared" ca="1" si="4"/>
        <v>321691.67366745364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0.92763652270531993</v>
      </c>
      <c r="J18" s="39">
        <f ca="1">I18</f>
        <v>0.92763652270531993</v>
      </c>
      <c r="K18" s="40">
        <f ca="1">1-(-K13)/K17</f>
        <v>0.89333439816261651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2041.4946591815963</v>
      </c>
      <c r="D2" s="9">
        <f ca="1">Q4/parameters!$B$3</f>
        <v>7498.3194122974737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9539.8140714790698</v>
      </c>
      <c r="M2" s="17"/>
      <c r="N2" s="17">
        <f ca="1">Q2-(L2+O2+P2)</f>
        <v>0</v>
      </c>
      <c r="O2" s="11" cm="1">
        <f t="array" aca="1" ref="O2" ca="1">INDIRECT("'data'!$F$" &amp; $A$1)</f>
        <v>4619.55</v>
      </c>
      <c r="P2" s="13">
        <f ca="1">IF(-(L2-Q2+O2)&lt;0, -(L2-Q2+O2), 0)</f>
        <v>-42.130405958444499</v>
      </c>
      <c r="Q2" s="17" cm="1">
        <f t="array" aca="1" ref="Q2" ca="1">INDIRECT("'data'!$D$" &amp; $A$1)</f>
        <v>14117.233665520625</v>
      </c>
      <c r="R2" s="17">
        <f ca="1">SUM(L2:P2)</f>
        <v>14117.233665520627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1664.9552238805968</v>
      </c>
      <c r="G3" s="14">
        <f ca="1">Q3-O3-P3-F3</f>
        <v>308.86801894815562</v>
      </c>
      <c r="H3" s="14"/>
      <c r="I3" s="14"/>
      <c r="J3" s="14"/>
      <c r="K3" s="13"/>
      <c r="L3" s="16">
        <f t="shared" ca="1" si="0"/>
        <v>1973.8232428287524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95.444999999999993</v>
      </c>
      <c r="P3" s="13" cm="1">
        <f t="array" aca="1" ref="P3" ca="1">-INDIRECT("'data'!$I$" &amp; $A$1)*parameters!$B$13</f>
        <v>-40.634999999999998</v>
      </c>
      <c r="Q3" s="16" cm="1">
        <f t="array" aca="1" ref="Q3" ca="1">INDIRECT("'data'!$G$" &amp; $A$1)*parameters!$B$13</f>
        <v>2028.6332428287524</v>
      </c>
      <c r="R3" s="16">
        <f t="shared" ref="R3:R10" ca="1" si="2">SUM(L3:P3)</f>
        <v>2028.6332428287526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7486.96</v>
      </c>
      <c r="H4" s="14"/>
      <c r="I4" s="14"/>
      <c r="J4" s="14"/>
      <c r="K4" s="13"/>
      <c r="L4" s="16">
        <f t="shared" ca="1" si="0"/>
        <v>7486.96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-35.880000000000003</v>
      </c>
      <c r="Q4" s="16" cm="1">
        <f t="array" aca="1" ref="Q4" ca="1">INDIRECT("'data'!$J$" &amp; $A$1)*parameters!$B$14</f>
        <v>7451.08</v>
      </c>
      <c r="R4" s="16">
        <f t="shared" ca="1" si="2"/>
        <v>7451.08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416.23880597014926</v>
      </c>
      <c r="G5" s="14">
        <f ca="1">Q7/parameters!$B$7-(G3+G4)</f>
        <v>1334.454112713287</v>
      </c>
      <c r="H5" s="14"/>
      <c r="I5" s="14"/>
      <c r="J5" s="14"/>
      <c r="K5" s="13"/>
      <c r="L5" s="16">
        <f t="shared" ca="1" si="0"/>
        <v>1750.6929186834363</v>
      </c>
      <c r="M5" s="16"/>
      <c r="N5" s="16"/>
      <c r="O5" s="11" cm="1">
        <f t="array" aca="1" ref="O5" ca="1">INDIRECT("'data'!$M$" &amp; $A$1)*parameters!$B$15</f>
        <v>6.8599999999999994</v>
      </c>
      <c r="P5" s="13" cm="1">
        <f t="array" aca="1" ref="P5" ca="1">-INDIRECT("'data'!$N$" &amp; $A$1)*parameters!$B$15</f>
        <v>-5.88</v>
      </c>
      <c r="Q5" s="16">
        <f ca="1">SUM(L5:P5)</f>
        <v>1751.6729186834361</v>
      </c>
      <c r="R5" s="16">
        <f t="shared" ca="1" si="2"/>
        <v>1751.6729186834361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1952.1599999999999</v>
      </c>
      <c r="I6" s="14"/>
      <c r="J6" s="14"/>
      <c r="K6" s="13"/>
      <c r="L6" s="16">
        <f t="shared" ca="1" si="0"/>
        <v>1952.1599999999999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1952.1599999999999</v>
      </c>
      <c r="R6" s="16">
        <f t="shared" ca="1" si="2"/>
        <v>1952.1599999999999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8737.68</v>
      </c>
      <c r="I7" s="14"/>
      <c r="J7" s="14"/>
      <c r="K7" s="13"/>
      <c r="L7" s="16">
        <f t="shared" ca="1" si="0"/>
        <v>8737.68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8737.68</v>
      </c>
      <c r="R7" s="16">
        <f t="shared" ca="1" si="2"/>
        <v>8737.68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5136</v>
      </c>
      <c r="J8" s="14">
        <f ca="1">Q10/J18</f>
        <v>4609.0355618776675</v>
      </c>
      <c r="K8" s="13"/>
      <c r="L8" s="16">
        <f t="shared" ca="1" si="0"/>
        <v>9745.0355618776666</v>
      </c>
      <c r="M8" s="16"/>
      <c r="N8" s="16">
        <f t="shared" ca="1" si="3"/>
        <v>3130.2044381223332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-2185.4</v>
      </c>
      <c r="Q8" s="16">
        <f ca="1">SUM(Q6:Q7)</f>
        <v>10689.84</v>
      </c>
      <c r="R8" s="16">
        <f t="shared" ca="1" si="2"/>
        <v>10689.84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7107.94</v>
      </c>
      <c r="L9" s="16">
        <f t="shared" ca="1" si="0"/>
        <v>7107.94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-2074.66</v>
      </c>
      <c r="Q9" s="16" cm="1">
        <f t="array" aca="1" ref="Q9" ca="1">INDIRECT("'data'!$T$" &amp; $A$1)*parameters!$B$15</f>
        <v>5033.28</v>
      </c>
      <c r="R9" s="16">
        <f t="shared" ca="1" si="2"/>
        <v>5033.28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6469.9948506401142</v>
      </c>
      <c r="L10" s="16">
        <f t="shared" ca="1" si="0"/>
        <v>6469.9948506401142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-1953.1399999999999</v>
      </c>
      <c r="Q10" s="16" cm="1">
        <f t="array" aca="1" ref="Q10" ca="1">INDIRECT("'data'!$W$" &amp; $A$1)*parameters!$B$15</f>
        <v>4516.8548506401139</v>
      </c>
      <c r="R10" s="16">
        <f t="shared" ca="1" si="2"/>
        <v>4516.8548506401148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13476.539171550497</v>
      </c>
      <c r="N11" s="19"/>
      <c r="O11" s="21" cm="1">
        <f t="array" aca="1" ref="O11" ca="1">INDIRECT("'data'!$Z$" &amp; $A$1)*parameters!$B$15</f>
        <v>44.1</v>
      </c>
      <c r="P11" s="27" cm="1">
        <f t="array" aca="1" ref="P11" ca="1">-INDIRECT("'data'!$AA$" &amp; $A$1)*parameters!$B$15</f>
        <v>-1274.98</v>
      </c>
      <c r="Q11" s="16">
        <f ca="1">K9*parameters!$B$10+K10*parameters!$B$11</f>
        <v>12245.659171550498</v>
      </c>
      <c r="R11" s="16">
        <f t="shared" ref="R11:R17" ca="1" si="4">SUM(L11:P11)</f>
        <v>12245.659171550498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-12.861416352843889</v>
      </c>
      <c r="D12" s="9">
        <f ca="1">-(D17-Q4)</f>
        <v>-47.239412297473791</v>
      </c>
      <c r="E12" s="9">
        <f ca="1">-(E17-Q5)</f>
        <v>-216.4989000619978</v>
      </c>
      <c r="F12" s="9">
        <f ca="1">-(F17-Q6)</f>
        <v>-129.03402985074626</v>
      </c>
      <c r="G12" s="9">
        <f ca="1">-(G17-Q7)</f>
        <v>-392.6021316614424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-798.23589022450415</v>
      </c>
      <c r="M12" s="17"/>
      <c r="N12" s="17"/>
      <c r="O12" s="10"/>
      <c r="P12" s="12"/>
      <c r="Q12" s="9">
        <f t="shared" ref="Q12:Q17" ca="1" si="6">SUM(L12:P12)</f>
        <v>-798.23589022450415</v>
      </c>
      <c r="R12" s="17">
        <f t="shared" ca="1" si="4"/>
        <v>-798.23589022450415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-102.72000000000025</v>
      </c>
      <c r="J13" s="14">
        <f ca="1">-(J17-Q10)</f>
        <v>-92.180711237553624</v>
      </c>
      <c r="K13" s="13">
        <f ca="1">-(K17-Q11)</f>
        <v>-1332.2756790896165</v>
      </c>
      <c r="L13" s="14">
        <f t="shared" ca="1" si="5"/>
        <v>-1527.1763903271703</v>
      </c>
      <c r="M13" s="16">
        <f ca="1">-E15</f>
        <v>-440.9954284182636</v>
      </c>
      <c r="N13" s="16"/>
      <c r="O13" s="11"/>
      <c r="P13" s="13"/>
      <c r="Q13" s="14">
        <f t="shared" ca="1" si="6"/>
        <v>-1968.1718187454339</v>
      </c>
      <c r="R13" s="16">
        <f t="shared" ca="1" si="4"/>
        <v>-1968.1718187454339</v>
      </c>
    </row>
    <row r="14" spans="1:22">
      <c r="A14" s="18" t="s">
        <v>78</v>
      </c>
      <c r="B14" s="11"/>
      <c r="C14" s="14"/>
      <c r="D14" s="14"/>
      <c r="E14" s="14">
        <f ca="1">-(I13+J13)-K13</f>
        <v>1527.1763903271703</v>
      </c>
      <c r="F14" s="14"/>
      <c r="G14" s="14"/>
      <c r="H14" s="14"/>
      <c r="I14" s="14"/>
      <c r="J14" s="14"/>
      <c r="K14" s="13"/>
      <c r="L14" s="14">
        <f t="shared" ca="1" si="5"/>
        <v>1527.1763903271703</v>
      </c>
      <c r="M14" s="16"/>
      <c r="N14" s="16"/>
      <c r="O14" s="11"/>
      <c r="P14" s="13"/>
      <c r="Q14" s="14">
        <f t="shared" ca="1" si="6"/>
        <v>1527.1763903271703</v>
      </c>
      <c r="R14" s="16">
        <f t="shared" ca="1" si="4"/>
        <v>1527.1763903271703</v>
      </c>
    </row>
    <row r="15" spans="1:22">
      <c r="A15" s="18" t="s">
        <v>79</v>
      </c>
      <c r="B15" s="11"/>
      <c r="C15" s="14"/>
      <c r="D15" s="14"/>
      <c r="E15" s="14">
        <f ca="1">E17-E14</f>
        <v>440.9954284182636</v>
      </c>
      <c r="F15" s="14"/>
      <c r="G15" s="14"/>
      <c r="H15" s="14"/>
      <c r="I15" s="14"/>
      <c r="J15" s="14"/>
      <c r="K15" s="13"/>
      <c r="L15" s="14">
        <f t="shared" ca="1" si="5"/>
        <v>440.9954284182636</v>
      </c>
      <c r="M15" s="16"/>
      <c r="N15" s="16"/>
      <c r="O15" s="11"/>
      <c r="P15" s="13"/>
      <c r="Q15" s="14">
        <f t="shared" ca="1" si="6"/>
        <v>440.9954284182636</v>
      </c>
      <c r="R15" s="16">
        <f t="shared" ca="1" si="4"/>
        <v>440.9954284182636</v>
      </c>
    </row>
    <row r="16" spans="1:22">
      <c r="A16" s="30" t="s">
        <v>89</v>
      </c>
      <c r="B16" s="21">
        <f ca="1">Q2</f>
        <v>14117.233665520625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14117.233665520625</v>
      </c>
      <c r="M16" s="19"/>
      <c r="N16" s="19"/>
      <c r="O16" s="21"/>
      <c r="P16" s="27"/>
      <c r="Q16" s="22">
        <f t="shared" ca="1" si="6"/>
        <v>14117.233665520625</v>
      </c>
      <c r="R16" s="19">
        <f t="shared" ca="1" si="4"/>
        <v>14117.233665520625</v>
      </c>
    </row>
    <row r="17" spans="1:18">
      <c r="A17" s="29" t="s">
        <v>88</v>
      </c>
      <c r="B17" s="9">
        <f ca="1">B16</f>
        <v>14117.233665520625</v>
      </c>
      <c r="C17" s="9">
        <f ca="1">SUM(C$2:C$11)</f>
        <v>2041.4946591815963</v>
      </c>
      <c r="D17" s="9">
        <f ca="1">SUM(D$2:D$11)</f>
        <v>7498.3194122974737</v>
      </c>
      <c r="E17" s="9">
        <f ca="1">$Q$5/parameters!$B$4</f>
        <v>1968.1718187454339</v>
      </c>
      <c r="F17" s="9">
        <f t="shared" ref="F17:K17" ca="1" si="7">SUM(F$2:F$11)</f>
        <v>2081.1940298507461</v>
      </c>
      <c r="G17" s="9">
        <f t="shared" ca="1" si="7"/>
        <v>9130.2821316614427</v>
      </c>
      <c r="H17" s="9">
        <f t="shared" ca="1" si="7"/>
        <v>10689.84</v>
      </c>
      <c r="I17" s="9">
        <f t="shared" ca="1" si="7"/>
        <v>5136</v>
      </c>
      <c r="J17" s="9">
        <f t="shared" ca="1" si="7"/>
        <v>4609.0355618776675</v>
      </c>
      <c r="K17" s="9">
        <f t="shared" ca="1" si="7"/>
        <v>13577.934850640115</v>
      </c>
      <c r="L17" s="17">
        <f t="shared" ca="1" si="5"/>
        <v>70849.506129775094</v>
      </c>
      <c r="M17" s="17"/>
      <c r="N17" s="17"/>
      <c r="O17" s="9"/>
      <c r="P17" s="14"/>
      <c r="Q17" s="11">
        <f t="shared" ca="1" si="6"/>
        <v>70849.506129775094</v>
      </c>
      <c r="R17" s="17">
        <f t="shared" ca="1" si="4"/>
        <v>70849.506129775094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0.90187935840428579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5413.0421656435537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5413.0421656435537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-5413.0421656435537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4857.7910447761196</v>
      </c>
      <c r="G3" s="14">
        <f ca="1">Q3-O3-P3-F3</f>
        <v>1310.2239552238798</v>
      </c>
      <c r="H3" s="14"/>
      <c r="I3" s="14"/>
      <c r="J3" s="14"/>
      <c r="K3" s="13"/>
      <c r="L3" s="16">
        <f t="shared" ca="1" si="0"/>
        <v>6168.0149999999994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58.589999999999996</v>
      </c>
      <c r="P3" s="13" cm="1">
        <f t="array" aca="1" ref="P3" ca="1">-INDIRECT("'data'!$I$" &amp; $A$1)*parameters!$B$13</f>
        <v>-847.66499999999996</v>
      </c>
      <c r="Q3" s="16" cm="1">
        <f t="array" aca="1" ref="Q3" ca="1">INDIRECT("'data'!$G$" &amp; $A$1)*parameters!$B$13</f>
        <v>5378.94</v>
      </c>
      <c r="R3" s="16">
        <f t="shared" ref="R3:R10" ca="1" si="2">SUM(L3:P3)</f>
        <v>5378.94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135.24</v>
      </c>
      <c r="H4" s="14"/>
      <c r="I4" s="14"/>
      <c r="J4" s="14"/>
      <c r="K4" s="13"/>
      <c r="L4" s="16">
        <f t="shared" ca="1" si="0"/>
        <v>135.24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-135.24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1214.4477611940299</v>
      </c>
      <c r="G5" s="14">
        <f ca="1">Q7/parameters!$B$7-(G3+G4)</f>
        <v>12927.869378109453</v>
      </c>
      <c r="H5" s="14"/>
      <c r="I5" s="14"/>
      <c r="J5" s="14"/>
      <c r="K5" s="13"/>
      <c r="L5" s="16">
        <f t="shared" ca="1" si="0"/>
        <v>14142.317139303483</v>
      </c>
      <c r="M5" s="16"/>
      <c r="N5" s="16"/>
      <c r="O5" s="11" cm="1">
        <f t="array" aca="1" ref="O5" ca="1">INDIRECT("'data'!$M$" &amp; $A$1)*parameters!$B$15</f>
        <v>318.5</v>
      </c>
      <c r="P5" s="13" cm="1">
        <f t="array" aca="1" ref="P5" ca="1">-INDIRECT("'data'!$N$" &amp; $A$1)*parameters!$B$15</f>
        <v>-3254.58</v>
      </c>
      <c r="Q5" s="16">
        <f ca="1">SUM(L5:P5)</f>
        <v>11206.237139303483</v>
      </c>
      <c r="R5" s="16">
        <f t="shared" ca="1" si="2"/>
        <v>11206.237139303483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5695.76</v>
      </c>
      <c r="I6" s="14"/>
      <c r="J6" s="14"/>
      <c r="K6" s="13"/>
      <c r="L6" s="16">
        <f t="shared" ca="1" si="0"/>
        <v>5695.76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5695.76</v>
      </c>
      <c r="R6" s="16">
        <f t="shared" ca="1" si="2"/>
        <v>5695.76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13755.28</v>
      </c>
      <c r="I7" s="14"/>
      <c r="J7" s="14"/>
      <c r="K7" s="13"/>
      <c r="L7" s="16">
        <f t="shared" ca="1" si="0"/>
        <v>13755.28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13755.28</v>
      </c>
      <c r="R7" s="16">
        <f t="shared" ca="1" si="2"/>
        <v>13755.28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12234.281727416595</v>
      </c>
      <c r="J8" s="14">
        <f ca="1">Q10/J18</f>
        <v>9261.0382725834115</v>
      </c>
      <c r="K8" s="13"/>
      <c r="L8" s="16">
        <f t="shared" ca="1" si="0"/>
        <v>21495.320000000007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558.6</v>
      </c>
      <c r="P8" s="13" cm="1">
        <f t="array" aca="1" ref="P8" ca="1">-INDIRECT("'data'!$S$" &amp; $A$1)*parameters!$B$15</f>
        <v>-2602.88</v>
      </c>
      <c r="Q8" s="16">
        <f ca="1">SUM(Q6:Q7)</f>
        <v>19451.04</v>
      </c>
      <c r="R8" s="16">
        <f t="shared" ca="1" si="2"/>
        <v>19451.040000000005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9312.94</v>
      </c>
      <c r="L9" s="16">
        <f t="shared" ca="1" si="0"/>
        <v>9312.94</v>
      </c>
      <c r="M9" s="16"/>
      <c r="N9" s="16">
        <f t="shared" ca="1" si="3"/>
        <v>0</v>
      </c>
      <c r="O9" s="11" cm="1">
        <f t="array" aca="1" ref="O9" ca="1">INDIRECT("'data'!$U$" &amp; $A$1)*parameters!$B$15</f>
        <v>3962.14</v>
      </c>
      <c r="P9" s="13" cm="1">
        <f t="array" aca="1" ref="P9" ca="1">-INDIRECT("'data'!$V$" &amp; $A$1)*parameters!$B$15</f>
        <v>-1849.26</v>
      </c>
      <c r="Q9" s="16" cm="1">
        <f t="array" aca="1" ref="Q9" ca="1">INDIRECT("'data'!$T$" &amp; $A$1)*parameters!$B$15</f>
        <v>11425.82</v>
      </c>
      <c r="R9" s="16">
        <f t="shared" ca="1" si="2"/>
        <v>11425.82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10816.813428165005</v>
      </c>
      <c r="L10" s="16">
        <f t="shared" ca="1" si="0"/>
        <v>10816.813428165005</v>
      </c>
      <c r="M10" s="16"/>
      <c r="N10" s="16">
        <f t="shared" ca="1" si="3"/>
        <v>0</v>
      </c>
      <c r="O10" s="11" cm="1">
        <f t="array" aca="1" ref="O10" ca="1">INDIRECT("'data'!$X$" &amp; $A$1)*parameters!$B$15</f>
        <v>4968.6000000000004</v>
      </c>
      <c r="P10" s="13" cm="1">
        <f t="array" aca="1" ref="P10" ca="1">-INDIRECT("'data'!$Y$" &amp; $A$1)*parameters!$B$15</f>
        <v>-7136.36</v>
      </c>
      <c r="Q10" s="16" cm="1">
        <f t="array" aca="1" ref="Q10" ca="1">INDIRECT("'data'!$W$" &amp; $A$1)*parameters!$B$15</f>
        <v>8649.0534281650052</v>
      </c>
      <c r="R10" s="16">
        <f t="shared" ca="1" si="2"/>
        <v>8649.0534281650071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15490.003148221906</v>
      </c>
      <c r="N11" s="19"/>
      <c r="O11" s="21" cm="1">
        <f t="array" aca="1" ref="O11" ca="1">INDIRECT("'data'!$Z$" &amp; $A$1)*parameters!$B$15</f>
        <v>10078.32</v>
      </c>
      <c r="P11" s="27" cm="1">
        <f t="array" aca="1" ref="P11" ca="1">-INDIRECT("'data'!$AA$" &amp; $A$1)*parameters!$B$15</f>
        <v>-7511.7</v>
      </c>
      <c r="Q11" s="16">
        <f ca="1">K9*parameters!$B$10+K10*parameters!$B$11</f>
        <v>18056.623148221905</v>
      </c>
      <c r="R11" s="16">
        <f t="shared" ref="R11:R17" ca="1" si="4">SUM(L11:P11)</f>
        <v>18056.623148221905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-34.102165643554144</v>
      </c>
      <c r="D12" s="9">
        <f ca="1">-(D17-Q4)</f>
        <v>0</v>
      </c>
      <c r="E12" s="9">
        <f ca="1">-(E17-Q5)</f>
        <v>-1385.0405453071726</v>
      </c>
      <c r="F12" s="9">
        <f ca="1">-(F17-Q6)</f>
        <v>-376.47880597014955</v>
      </c>
      <c r="G12" s="9">
        <f ca="1">-(G17-Q7)</f>
        <v>-618.05333333333328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-2413.6748502542096</v>
      </c>
      <c r="M12" s="17"/>
      <c r="N12" s="17"/>
      <c r="O12" s="10"/>
      <c r="P12" s="12"/>
      <c r="Q12" s="9">
        <f t="shared" ref="Q12:Q17" ca="1" si="6">SUM(L12:P12)</f>
        <v>-2413.6748502542096</v>
      </c>
      <c r="R12" s="17">
        <f t="shared" ca="1" si="4"/>
        <v>-2413.6748502542096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-808.46172741659575</v>
      </c>
      <c r="J13" s="14">
        <f ca="1">-(J17-Q10)</f>
        <v>-611.98484441840628</v>
      </c>
      <c r="K13" s="13">
        <f ca="1">-(K17-Q11)</f>
        <v>-2073.1302799431032</v>
      </c>
      <c r="L13" s="14">
        <f t="shared" ca="1" si="5"/>
        <v>-3493.5768517781053</v>
      </c>
      <c r="M13" s="16">
        <f ca="1">-E15</f>
        <v>-9097.7008328325501</v>
      </c>
      <c r="N13" s="16"/>
      <c r="O13" s="11"/>
      <c r="P13" s="13"/>
      <c r="Q13" s="14">
        <f t="shared" ca="1" si="6"/>
        <v>-12591.277684610655</v>
      </c>
      <c r="R13" s="16">
        <f t="shared" ca="1" si="4"/>
        <v>-12591.277684610655</v>
      </c>
    </row>
    <row r="14" spans="1:20">
      <c r="A14" s="18" t="s">
        <v>78</v>
      </c>
      <c r="B14" s="11"/>
      <c r="C14" s="14"/>
      <c r="D14" s="14"/>
      <c r="E14" s="14">
        <f ca="1">-(I13+J13)-K13</f>
        <v>3493.5768517781053</v>
      </c>
      <c r="F14" s="14"/>
      <c r="G14" s="14"/>
      <c r="H14" s="14"/>
      <c r="I14" s="14"/>
      <c r="J14" s="14"/>
      <c r="K14" s="13"/>
      <c r="L14" s="14">
        <f t="shared" ca="1" si="5"/>
        <v>3493.5768517781053</v>
      </c>
      <c r="M14" s="16"/>
      <c r="N14" s="16"/>
      <c r="O14" s="11"/>
      <c r="P14" s="13"/>
      <c r="Q14" s="14">
        <f t="shared" ca="1" si="6"/>
        <v>3493.5768517781053</v>
      </c>
      <c r="R14" s="16">
        <f t="shared" ca="1" si="4"/>
        <v>3493.5768517781053</v>
      </c>
    </row>
    <row r="15" spans="1:20">
      <c r="A15" s="18" t="s">
        <v>79</v>
      </c>
      <c r="B15" s="11"/>
      <c r="C15" s="14"/>
      <c r="D15" s="14"/>
      <c r="E15" s="14">
        <f ca="1">E17-E14</f>
        <v>9097.7008328325501</v>
      </c>
      <c r="F15" s="14"/>
      <c r="G15" s="14"/>
      <c r="H15" s="14"/>
      <c r="I15" s="14"/>
      <c r="J15" s="14"/>
      <c r="K15" s="13"/>
      <c r="L15" s="14">
        <f t="shared" ca="1" si="5"/>
        <v>9097.7008328325501</v>
      </c>
      <c r="M15" s="16"/>
      <c r="N15" s="16"/>
      <c r="O15" s="11"/>
      <c r="P15" s="13"/>
      <c r="Q15" s="14">
        <f t="shared" ca="1" si="6"/>
        <v>9097.7008328325501</v>
      </c>
      <c r="R15" s="16">
        <f t="shared" ca="1" si="4"/>
        <v>9097.7008328325501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5413.0421656435537</v>
      </c>
      <c r="D17" s="9">
        <f ca="1">SUM(D$2:D$11)</f>
        <v>0</v>
      </c>
      <c r="E17" s="9">
        <f ca="1">$Q$5/parameters!$B$4</f>
        <v>12591.277684610655</v>
      </c>
      <c r="F17" s="9">
        <f t="shared" ref="F17:K17" ca="1" si="7">SUM(F$2:F$11)</f>
        <v>6072.2388059701498</v>
      </c>
      <c r="G17" s="9">
        <f t="shared" ca="1" si="7"/>
        <v>14373.333333333334</v>
      </c>
      <c r="H17" s="9">
        <f t="shared" ca="1" si="7"/>
        <v>19451.04</v>
      </c>
      <c r="I17" s="9">
        <f t="shared" ca="1" si="7"/>
        <v>12234.281727416595</v>
      </c>
      <c r="J17" s="9">
        <f t="shared" ca="1" si="7"/>
        <v>9261.0382725834115</v>
      </c>
      <c r="K17" s="9">
        <f t="shared" ca="1" si="7"/>
        <v>20129.753428165008</v>
      </c>
      <c r="L17" s="17">
        <f t="shared" ca="1" si="5"/>
        <v>99526.005417722714</v>
      </c>
      <c r="M17" s="17"/>
      <c r="N17" s="17"/>
      <c r="O17" s="9"/>
      <c r="P17" s="14"/>
      <c r="Q17" s="11">
        <f t="shared" ca="1" si="6"/>
        <v>99526.005417722714</v>
      </c>
      <c r="R17" s="17">
        <f t="shared" ca="1" si="4"/>
        <v>99526.005417722714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0.93391833330069052</v>
      </c>
      <c r="J18" s="39">
        <f ca="1">I18</f>
        <v>0.93391833330069052</v>
      </c>
      <c r="K18" s="40">
        <f ca="1">1-(-K13)/K17</f>
        <v>0.89701164063726502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24417.651202576228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24417.651202576228</v>
      </c>
      <c r="M2" s="17"/>
      <c r="N2" s="17">
        <f ca="1">Q2-(L2+O2+P2)</f>
        <v>0</v>
      </c>
      <c r="O2" s="11" cm="1">
        <f t="array" aca="1" ref="O2" ca="1">INDIRECT("'data'!$F$" &amp; $A$1)</f>
        <v>17948.45</v>
      </c>
      <c r="P2" s="13">
        <f ca="1">IF(-(L2-Q2+O2)&lt;0, -(L2-Q2+O2), 0)</f>
        <v>-5866.1012025762284</v>
      </c>
      <c r="Q2" s="17" cm="1">
        <f t="array" aca="1" ref="Q2" ca="1">INDIRECT("'data'!$D$" &amp; $A$1)</f>
        <v>36500</v>
      </c>
      <c r="R2" s="17">
        <f ca="1">SUM(L2:P2)</f>
        <v>36500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22941.288059701492</v>
      </c>
      <c r="G3" s="14">
        <f ca="1">Q3-O3-P3-F3</f>
        <v>39.221940298506524</v>
      </c>
      <c r="H3" s="14"/>
      <c r="I3" s="14"/>
      <c r="J3" s="14"/>
      <c r="K3" s="13"/>
      <c r="L3" s="16">
        <f t="shared" ca="1" si="0"/>
        <v>22980.51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1294.6499999999999</v>
      </c>
      <c r="P3" s="13" cm="1">
        <f t="array" aca="1" ref="P3" ca="1">-INDIRECT("'data'!$I$" &amp; $A$1)*parameters!$B$13</f>
        <v>-11.34</v>
      </c>
      <c r="Q3" s="16" cm="1">
        <f t="array" aca="1" ref="Q3" ca="1">INDIRECT("'data'!$G$" &amp; $A$1)*parameters!$B$13</f>
        <v>24263.82</v>
      </c>
      <c r="R3" s="16">
        <f t="shared" ref="R3:R10" ca="1" si="2">SUM(L3:P3)</f>
        <v>24263.82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117.76</v>
      </c>
      <c r="H4" s="14"/>
      <c r="I4" s="14"/>
      <c r="J4" s="14"/>
      <c r="K4" s="13"/>
      <c r="L4" s="16">
        <f t="shared" ca="1" si="0"/>
        <v>117.76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-117.76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Q6/parameters!$B$5*23%</f>
        <v>6852.5925373134332</v>
      </c>
      <c r="G5" s="14">
        <f ca="1">Q7/parameters!$B$7-(G3+G4)</f>
        <v>1213.1747995134058</v>
      </c>
      <c r="H5" s="14"/>
      <c r="I5" s="14"/>
      <c r="J5" s="14"/>
      <c r="K5" s="13"/>
      <c r="L5" s="16">
        <f t="shared" ca="1" si="0"/>
        <v>8065.7673368268388</v>
      </c>
      <c r="M5" s="16"/>
      <c r="N5" s="16"/>
      <c r="O5" s="11" cm="1">
        <f t="array" aca="1" ref="O5" ca="1">INDIRECT("'data'!$M$" &amp; $A$1)*parameters!$B$15</f>
        <v>873.18</v>
      </c>
      <c r="P5" s="13" cm="1">
        <f t="array" aca="1" ref="P5" ca="1">-INDIRECT("'data'!$N$" &amp; $A$1)*parameters!$B$15</f>
        <v>-10.78</v>
      </c>
      <c r="Q5" s="16">
        <f ca="1">SUM(L5:P5)</f>
        <v>8928.1673368268384</v>
      </c>
      <c r="R5" s="16">
        <f t="shared" ca="1" si="2"/>
        <v>8928.1673368268384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27946.66</v>
      </c>
      <c r="I6" s="14"/>
      <c r="J6" s="14"/>
      <c r="K6" s="13"/>
      <c r="L6" s="16">
        <f t="shared" ca="1" si="0"/>
        <v>27946.66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27946.66</v>
      </c>
      <c r="R6" s="16">
        <f t="shared" ca="1" si="2"/>
        <v>27946.66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1311.24</v>
      </c>
      <c r="I7" s="14"/>
      <c r="J7" s="14"/>
      <c r="K7" s="13"/>
      <c r="L7" s="16">
        <f t="shared" ca="1" si="0"/>
        <v>1311.24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1311.24</v>
      </c>
      <c r="R7" s="16">
        <f t="shared" ca="1" si="2"/>
        <v>1311.24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12518.580812740258</v>
      </c>
      <c r="J8" s="14">
        <f ca="1">Q10/J18</f>
        <v>5691.7791872597491</v>
      </c>
      <c r="K8" s="13"/>
      <c r="L8" s="16">
        <f t="shared" ca="1" si="0"/>
        <v>18210.360000000008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11289.6</v>
      </c>
      <c r="P8" s="13" cm="1">
        <f t="array" aca="1" ref="P8" ca="1">-INDIRECT("'data'!$S$" &amp; $A$1)*parameters!$B$15</f>
        <v>-242.06</v>
      </c>
      <c r="Q8" s="16">
        <f ca="1">SUM(Q6:Q7)</f>
        <v>29257.9</v>
      </c>
      <c r="R8" s="16">
        <f t="shared" ca="1" si="2"/>
        <v>29257.900000000005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5260.64</v>
      </c>
      <c r="L9" s="16">
        <f t="shared" ca="1" si="0"/>
        <v>5260.64</v>
      </c>
      <c r="M9" s="16"/>
      <c r="N9" s="16">
        <f t="shared" ca="1" si="3"/>
        <v>0</v>
      </c>
      <c r="O9" s="11" cm="1">
        <f t="array" aca="1" ref="O9" ca="1">INDIRECT("'data'!$U$" &amp; $A$1)*parameters!$B$15</f>
        <v>4900</v>
      </c>
      <c r="P9" s="13" cm="1">
        <f t="array" aca="1" ref="P9" ca="1">-INDIRECT("'data'!$V$" &amp; $A$1)*parameters!$B$15</f>
        <v>-213.64</v>
      </c>
      <c r="Q9" s="16" cm="1">
        <f t="array" aca="1" ref="Q9" ca="1">INDIRECT("'data'!$T$" &amp; $A$1)*parameters!$B$15</f>
        <v>9947</v>
      </c>
      <c r="R9" s="16">
        <f t="shared" ca="1" si="2"/>
        <v>9947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-929.17243243243229</v>
      </c>
      <c r="L10" s="16">
        <f t="shared" ca="1" si="0"/>
        <v>-929.17243243243229</v>
      </c>
      <c r="M10" s="16"/>
      <c r="N10" s="16">
        <f t="shared" ca="1" si="3"/>
        <v>0</v>
      </c>
      <c r="O10" s="11" cm="1">
        <f t="array" aca="1" ref="O10" ca="1">INDIRECT("'data'!$X$" &amp; $A$1)*parameters!$B$15</f>
        <v>5939.78</v>
      </c>
      <c r="P10" s="13" cm="1">
        <f t="array" aca="1" ref="P10" ca="1">-INDIRECT("'data'!$Y$" &amp; $A$1)*parameters!$B$15</f>
        <v>-488.03999999999996</v>
      </c>
      <c r="Q10" s="16" cm="1">
        <f t="array" aca="1" ref="Q10" ca="1">INDIRECT("'data'!$W$" &amp; $A$1)*parameters!$B$15</f>
        <v>4522.5675675675675</v>
      </c>
      <c r="R10" s="16">
        <f t="shared" ca="1" si="2"/>
        <v>4522.5675675675675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3744.113308108108</v>
      </c>
      <c r="N11" s="19"/>
      <c r="O11" s="21" cm="1">
        <f t="array" aca="1" ref="O11" ca="1">INDIRECT("'data'!$Z$" &amp; $A$1)*parameters!$B$15</f>
        <v>1283.8</v>
      </c>
      <c r="P11" s="27" cm="1">
        <f t="array" aca="1" ref="P11" ca="1">-INDIRECT("'data'!$AA$" &amp; $A$1)*parameters!$B$15</f>
        <v>-882</v>
      </c>
      <c r="Q11" s="16">
        <f ca="1">K9*parameters!$B$10+K10*parameters!$B$11</f>
        <v>4145.9133081081081</v>
      </c>
      <c r="R11" s="16">
        <f t="shared" ref="R11:R17" ca="1" si="4">SUM(L11:P11)</f>
        <v>4145.9133081081081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-153.83120257622795</v>
      </c>
      <c r="D12" s="9">
        <f ca="1">-(D17-Q4)</f>
        <v>0</v>
      </c>
      <c r="E12" s="9">
        <f ca="1">-(E17-Q5)</f>
        <v>-1103.4813562370255</v>
      </c>
      <c r="F12" s="9">
        <f ca="1">-(F17-Q6)</f>
        <v>-1847.2205970149262</v>
      </c>
      <c r="G12" s="9">
        <f ca="1">-(G17-Q7)</f>
        <v>-58.916739811912294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-3163.4498956400921</v>
      </c>
      <c r="M12" s="17"/>
      <c r="N12" s="17"/>
      <c r="O12" s="10"/>
      <c r="P12" s="12"/>
      <c r="Q12" s="9">
        <f t="shared" ref="Q12:Q17" ca="1" si="6">SUM(L12:P12)</f>
        <v>-3163.4498956400921</v>
      </c>
      <c r="R12" s="17">
        <f t="shared" ca="1" si="4"/>
        <v>-3163.4498956400921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-2571.5808127402579</v>
      </c>
      <c r="J13" s="14">
        <f ca="1">-(J17-Q10)</f>
        <v>-1169.2116196921816</v>
      </c>
      <c r="K13" s="13">
        <f ca="1">-(K17-Q11)</f>
        <v>-185.5542594594599</v>
      </c>
      <c r="L13" s="14">
        <f t="shared" ca="1" si="5"/>
        <v>-3926.3466918918994</v>
      </c>
      <c r="M13" s="16">
        <f ca="1">-E15</f>
        <v>-6105.3020011719645</v>
      </c>
      <c r="N13" s="16"/>
      <c r="O13" s="11"/>
      <c r="P13" s="13"/>
      <c r="Q13" s="14">
        <f t="shared" ca="1" si="6"/>
        <v>-10031.648693063864</v>
      </c>
      <c r="R13" s="16">
        <f t="shared" ca="1" si="4"/>
        <v>-10031.648693063864</v>
      </c>
    </row>
    <row r="14" spans="1:20">
      <c r="A14" s="18" t="s">
        <v>78</v>
      </c>
      <c r="B14" s="11"/>
      <c r="C14" s="14"/>
      <c r="D14" s="14"/>
      <c r="E14" s="14">
        <f ca="1">-(I13+J13)-K13</f>
        <v>3926.3466918918994</v>
      </c>
      <c r="F14" s="14"/>
      <c r="G14" s="14"/>
      <c r="H14" s="14"/>
      <c r="I14" s="14"/>
      <c r="J14" s="14"/>
      <c r="K14" s="13"/>
      <c r="L14" s="14">
        <f t="shared" ca="1" si="5"/>
        <v>3926.3466918918994</v>
      </c>
      <c r="M14" s="16"/>
      <c r="N14" s="16"/>
      <c r="O14" s="11"/>
      <c r="P14" s="13"/>
      <c r="Q14" s="14">
        <f t="shared" ca="1" si="6"/>
        <v>3926.3466918918994</v>
      </c>
      <c r="R14" s="16">
        <f t="shared" ca="1" si="4"/>
        <v>3926.3466918918994</v>
      </c>
    </row>
    <row r="15" spans="1:20">
      <c r="A15" s="18" t="s">
        <v>79</v>
      </c>
      <c r="B15" s="11"/>
      <c r="C15" s="14"/>
      <c r="D15" s="14"/>
      <c r="E15" s="14">
        <f ca="1">E17-E14</f>
        <v>6105.3020011719645</v>
      </c>
      <c r="F15" s="14"/>
      <c r="G15" s="14"/>
      <c r="H15" s="14"/>
      <c r="I15" s="14"/>
      <c r="J15" s="14"/>
      <c r="K15" s="13"/>
      <c r="L15" s="14">
        <f t="shared" ca="1" si="5"/>
        <v>6105.3020011719645</v>
      </c>
      <c r="M15" s="16"/>
      <c r="N15" s="16"/>
      <c r="O15" s="11"/>
      <c r="P15" s="13"/>
      <c r="Q15" s="14">
        <f t="shared" ca="1" si="6"/>
        <v>6105.3020011719645</v>
      </c>
      <c r="R15" s="16">
        <f t="shared" ca="1" si="4"/>
        <v>6105.3020011719645</v>
      </c>
    </row>
    <row r="16" spans="1:20">
      <c r="A16" s="30" t="s">
        <v>89</v>
      </c>
      <c r="B16" s="21">
        <f ca="1">Q2</f>
        <v>36500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36500</v>
      </c>
      <c r="M16" s="19"/>
      <c r="N16" s="19"/>
      <c r="O16" s="21"/>
      <c r="P16" s="27"/>
      <c r="Q16" s="22">
        <f t="shared" ca="1" si="6"/>
        <v>36500</v>
      </c>
      <c r="R16" s="19">
        <f t="shared" ca="1" si="4"/>
        <v>36500</v>
      </c>
    </row>
    <row r="17" spans="1:18">
      <c r="A17" s="29" t="s">
        <v>88</v>
      </c>
      <c r="B17" s="9">
        <f ca="1">B16</f>
        <v>36500</v>
      </c>
      <c r="C17" s="9">
        <f ca="1">SUM(C$2:C$11)</f>
        <v>24417.651202576228</v>
      </c>
      <c r="D17" s="9">
        <f ca="1">SUM(D$2:D$11)</f>
        <v>0</v>
      </c>
      <c r="E17" s="9">
        <f ca="1">$Q$5/parameters!$B$4</f>
        <v>10031.648693063864</v>
      </c>
      <c r="F17" s="9">
        <f t="shared" ref="F17:K17" ca="1" si="7">SUM(F$2:F$11)</f>
        <v>29793.880597014926</v>
      </c>
      <c r="G17" s="9">
        <f t="shared" ca="1" si="7"/>
        <v>1370.1567398119123</v>
      </c>
      <c r="H17" s="9">
        <f t="shared" ca="1" si="7"/>
        <v>29257.9</v>
      </c>
      <c r="I17" s="9">
        <f t="shared" ca="1" si="7"/>
        <v>12518.580812740258</v>
      </c>
      <c r="J17" s="9">
        <f t="shared" ca="1" si="7"/>
        <v>5691.7791872597491</v>
      </c>
      <c r="K17" s="9">
        <f t="shared" ca="1" si="7"/>
        <v>4331.467567567568</v>
      </c>
      <c r="L17" s="17">
        <f t="shared" ca="1" si="5"/>
        <v>153913.06480003451</v>
      </c>
      <c r="M17" s="17"/>
      <c r="N17" s="17"/>
      <c r="O17" s="9"/>
      <c r="P17" s="14"/>
      <c r="Q17" s="11">
        <f t="shared" ca="1" si="6"/>
        <v>153913.06480003451</v>
      </c>
      <c r="R17" s="17">
        <f t="shared" ca="1" si="4"/>
        <v>153913.06480003451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0.79457888628053275</v>
      </c>
      <c r="J18" s="39">
        <f ca="1">I18</f>
        <v>0.79457888628053275</v>
      </c>
      <c r="K18" s="40">
        <f ca="1">1-(-K13)/K17</f>
        <v>0.95716134160882982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3726.9346885377877</v>
      </c>
      <c r="D2" s="9">
        <f ca="1">Q4/parameters!$B$3</f>
        <v>3839.4283989131532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7566.3630874509408</v>
      </c>
      <c r="M2" s="17"/>
      <c r="N2" s="17">
        <f ca="1">Q2-(L2+O2+P2)</f>
        <v>0</v>
      </c>
      <c r="O2" s="11" cm="1">
        <f t="array" aca="1" ref="O2" ca="1">INDIRECT("'data'!$F$" &amp; $A$1)</f>
        <v>2479.75</v>
      </c>
      <c r="P2" s="13">
        <f ca="1">IF(-(L2-Q2+O2)&lt;0, -(L2-Q2+O2), 0)</f>
        <v>-3046.1130874509408</v>
      </c>
      <c r="Q2" s="17" cm="1">
        <f t="array" aca="1" ref="Q2" ca="1">INDIRECT("'data'!$D$" &amp; $A$1)</f>
        <v>7000</v>
      </c>
      <c r="R2" s="17">
        <f ca="1">SUM(L2:P2)</f>
        <v>6999.9999999999991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3624.9552238805977</v>
      </c>
      <c r="G3" s="14">
        <f ca="1">Q3-O3-P3-F3</f>
        <v>206.07477611940203</v>
      </c>
      <c r="H3" s="14"/>
      <c r="I3" s="14"/>
      <c r="J3" s="14"/>
      <c r="K3" s="13"/>
      <c r="L3" s="16">
        <f t="shared" ca="1" si="0"/>
        <v>3831.0299999999997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-127.57499999999999</v>
      </c>
      <c r="Q3" s="16" cm="1">
        <f t="array" aca="1" ref="Q3" ca="1">INDIRECT("'data'!$G$" &amp; $A$1)*parameters!$B$13</f>
        <v>3703.4549999999999</v>
      </c>
      <c r="R3" s="16">
        <f t="shared" ref="R3:R10" ca="1" si="2">SUM(L3:P3)</f>
        <v>3703.4549999999999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3839.1600000000003</v>
      </c>
      <c r="H4" s="14"/>
      <c r="I4" s="14"/>
      <c r="J4" s="14"/>
      <c r="K4" s="13"/>
      <c r="L4" s="16">
        <f t="shared" ca="1" si="0"/>
        <v>3839.1600000000003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-23.92</v>
      </c>
      <c r="Q4" s="16" cm="1">
        <f t="array" aca="1" ref="Q4" ca="1">INDIRECT("'data'!$J$" &amp; $A$1)*parameters!$B$14</f>
        <v>3815.2400000000002</v>
      </c>
      <c r="R4" s="16">
        <f t="shared" ca="1" si="2"/>
        <v>3815.2400000000002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906.23880597014943</v>
      </c>
      <c r="G5" s="14">
        <f ca="1">Q7/parameters!$B$7-(G3+G4)</f>
        <v>5985.1727473915698</v>
      </c>
      <c r="H5" s="14"/>
      <c r="I5" s="14"/>
      <c r="J5" s="14"/>
      <c r="K5" s="13"/>
      <c r="L5" s="16">
        <f t="shared" ca="1" si="0"/>
        <v>6891.4115533617196</v>
      </c>
      <c r="M5" s="16"/>
      <c r="N5" s="16"/>
      <c r="O5" s="11" cm="1">
        <f t="array" aca="1" ref="O5" ca="1">INDIRECT("'data'!$M$" &amp; $A$1)*parameters!$B$15</f>
        <v>687.96</v>
      </c>
      <c r="P5" s="13" cm="1">
        <f t="array" aca="1" ref="P5" ca="1">-INDIRECT("'data'!$N$" &amp; $A$1)*parameters!$B$15</f>
        <v>-833</v>
      </c>
      <c r="Q5" s="16">
        <f ca="1">SUM(L5:P5)</f>
        <v>6746.3715533617196</v>
      </c>
      <c r="R5" s="16">
        <f t="shared" ca="1" si="2"/>
        <v>6746.3715533617196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4250.26</v>
      </c>
      <c r="I6" s="14"/>
      <c r="J6" s="14"/>
      <c r="K6" s="13"/>
      <c r="L6" s="16">
        <f t="shared" ca="1" si="0"/>
        <v>4250.26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4250.26</v>
      </c>
      <c r="R6" s="16">
        <f t="shared" ca="1" si="2"/>
        <v>4250.26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9599.1</v>
      </c>
      <c r="I7" s="14"/>
      <c r="J7" s="14"/>
      <c r="K7" s="13"/>
      <c r="L7" s="16">
        <f t="shared" ca="1" si="0"/>
        <v>9599.1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9599.1</v>
      </c>
      <c r="R7" s="16">
        <f t="shared" ca="1" si="2"/>
        <v>9599.1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7354.4771273319366</v>
      </c>
      <c r="J8" s="14">
        <f ca="1">Q10/J18</f>
        <v>6015.6628726680638</v>
      </c>
      <c r="K8" s="13"/>
      <c r="L8" s="16">
        <f t="shared" ca="1" si="0"/>
        <v>13370.14</v>
      </c>
      <c r="M8" s="16"/>
      <c r="N8" s="16">
        <f t="shared" ca="1" si="3"/>
        <v>0</v>
      </c>
      <c r="O8" s="11" cm="1">
        <f t="array" aca="1" ref="O8" ca="1">INDIRECT("'data'!$R$" &amp; $A$1)*parameters!$B$15</f>
        <v>982.93999999999994</v>
      </c>
      <c r="P8" s="13" cm="1">
        <f t="array" aca="1" ref="P8" ca="1">-INDIRECT("'data'!$S$" &amp; $A$1)*parameters!$B$15</f>
        <v>-503.71999999999997</v>
      </c>
      <c r="Q8" s="16">
        <f ca="1">SUM(Q6:Q7)</f>
        <v>13849.36</v>
      </c>
      <c r="R8" s="16">
        <f t="shared" ca="1" si="2"/>
        <v>13849.36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6905.08</v>
      </c>
      <c r="L9" s="16">
        <f t="shared" ca="1" si="0"/>
        <v>6905.08</v>
      </c>
      <c r="M9" s="16"/>
      <c r="N9" s="16">
        <f t="shared" ca="1" si="3"/>
        <v>0</v>
      </c>
      <c r="O9" s="11" cm="1">
        <f t="array" aca="1" ref="O9" ca="1">INDIRECT("'data'!$U$" &amp; $A$1)*parameters!$B$15</f>
        <v>840.84</v>
      </c>
      <c r="P9" s="13" cm="1">
        <f t="array" aca="1" ref="P9" ca="1">-INDIRECT("'data'!$V$" &amp; $A$1)*parameters!$B$15</f>
        <v>-833.98</v>
      </c>
      <c r="Q9" s="16" cm="1">
        <f t="array" aca="1" ref="Q9" ca="1">INDIRECT("'data'!$T$" &amp; $A$1)*parameters!$B$15</f>
        <v>6911.94</v>
      </c>
      <c r="R9" s="16">
        <f t="shared" ca="1" si="2"/>
        <v>6911.9400000000005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7561.745519203414</v>
      </c>
      <c r="L10" s="16">
        <f t="shared" ca="1" si="0"/>
        <v>7561.745519203414</v>
      </c>
      <c r="M10" s="16"/>
      <c r="N10" s="16">
        <f t="shared" ca="1" si="3"/>
        <v>0</v>
      </c>
      <c r="O10" s="11" cm="1">
        <f t="array" aca="1" ref="O10" ca="1">INDIRECT("'data'!$X$" &amp; $A$1)*parameters!$B$15</f>
        <v>1135.82</v>
      </c>
      <c r="P10" s="13" cm="1">
        <f t="array" aca="1" ref="P10" ca="1">-INDIRECT("'data'!$Y$" &amp; $A$1)*parameters!$B$15</f>
        <v>-3043.88</v>
      </c>
      <c r="Q10" s="16" cm="1">
        <f t="array" aca="1" ref="Q10" ca="1">INDIRECT("'data'!$W$" &amp; $A$1)*parameters!$B$15</f>
        <v>5653.6855192034136</v>
      </c>
      <c r="R10" s="16">
        <f t="shared" ca="1" si="2"/>
        <v>5653.6855192034136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12300.036346514935</v>
      </c>
      <c r="N11" s="19"/>
      <c r="O11" s="21" cm="1">
        <f t="array" aca="1" ref="O11" ca="1">INDIRECT("'data'!$Z$" &amp; $A$1)*parameters!$B$15</f>
        <v>5762.4</v>
      </c>
      <c r="P11" s="27" cm="1">
        <f t="array" aca="1" ref="P11" ca="1">-INDIRECT("'data'!$AA$" &amp; $A$1)*parameters!$B$15</f>
        <v>-5068.5599999999995</v>
      </c>
      <c r="Q11" s="16">
        <f ca="1">K9*parameters!$B$10+K10*parameters!$B$11</f>
        <v>12993.876346514935</v>
      </c>
      <c r="R11" s="16">
        <f t="shared" ref="R11:R17" ca="1" si="4">SUM(L11:P11)</f>
        <v>12993.876346514937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-23.479688537787752</v>
      </c>
      <c r="D12" s="9">
        <f ca="1">-(D17-Q4)</f>
        <v>-24.188398913152923</v>
      </c>
      <c r="E12" s="9">
        <f ca="1">-(E17-Q5)</f>
        <v>-833.82120322448191</v>
      </c>
      <c r="F12" s="9">
        <f ca="1">-(F17-Q6)</f>
        <v>-280.93402985074681</v>
      </c>
      <c r="G12" s="9">
        <f ca="1">-(G17-Q7)</f>
        <v>-431.30752351097181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-1593.7308440371412</v>
      </c>
      <c r="M12" s="17"/>
      <c r="N12" s="17"/>
      <c r="O12" s="10"/>
      <c r="P12" s="12"/>
      <c r="Q12" s="9">
        <f t="shared" ref="Q12:Q17" ca="1" si="6">SUM(L12:P12)</f>
        <v>-1593.7308440371412</v>
      </c>
      <c r="R12" s="17">
        <f t="shared" ca="1" si="4"/>
        <v>-1593.7308440371412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-442.53712733193697</v>
      </c>
      <c r="J13" s="14">
        <f ca="1">-(J17-Q10)</f>
        <v>-361.97735346465015</v>
      </c>
      <c r="K13" s="13">
        <f ca="1">-(K17-Q11)</f>
        <v>-1472.9491726884789</v>
      </c>
      <c r="L13" s="14">
        <f t="shared" ca="1" si="5"/>
        <v>-2277.4636534850661</v>
      </c>
      <c r="M13" s="16">
        <f ca="1">-E15</f>
        <v>-5302.7291031011355</v>
      </c>
      <c r="N13" s="16"/>
      <c r="O13" s="11"/>
      <c r="P13" s="13"/>
      <c r="Q13" s="14">
        <f t="shared" ca="1" si="6"/>
        <v>-7580.1927565862015</v>
      </c>
      <c r="R13" s="16">
        <f t="shared" ca="1" si="4"/>
        <v>-7580.1927565862015</v>
      </c>
    </row>
    <row r="14" spans="1:20">
      <c r="A14" s="18" t="s">
        <v>78</v>
      </c>
      <c r="B14" s="11"/>
      <c r="C14" s="14"/>
      <c r="D14" s="14"/>
      <c r="E14" s="14">
        <f ca="1">-(I13+J13)-K13</f>
        <v>2277.4636534850661</v>
      </c>
      <c r="F14" s="14"/>
      <c r="G14" s="14"/>
      <c r="H14" s="14"/>
      <c r="I14" s="14"/>
      <c r="J14" s="14"/>
      <c r="K14" s="13"/>
      <c r="L14" s="14">
        <f t="shared" ca="1" si="5"/>
        <v>2277.4636534850661</v>
      </c>
      <c r="M14" s="16"/>
      <c r="N14" s="16"/>
      <c r="O14" s="11"/>
      <c r="P14" s="13"/>
      <c r="Q14" s="14">
        <f t="shared" ca="1" si="6"/>
        <v>2277.4636534850661</v>
      </c>
      <c r="R14" s="16">
        <f t="shared" ca="1" si="4"/>
        <v>2277.4636534850661</v>
      </c>
    </row>
    <row r="15" spans="1:20">
      <c r="A15" s="18" t="s">
        <v>79</v>
      </c>
      <c r="B15" s="11"/>
      <c r="C15" s="14"/>
      <c r="D15" s="14"/>
      <c r="E15" s="14">
        <f ca="1">E17-E14</f>
        <v>5302.7291031011355</v>
      </c>
      <c r="F15" s="14"/>
      <c r="G15" s="14"/>
      <c r="H15" s="14"/>
      <c r="I15" s="14"/>
      <c r="J15" s="14"/>
      <c r="K15" s="13"/>
      <c r="L15" s="14">
        <f t="shared" ca="1" si="5"/>
        <v>5302.7291031011355</v>
      </c>
      <c r="M15" s="16"/>
      <c r="N15" s="16"/>
      <c r="O15" s="11"/>
      <c r="P15" s="13"/>
      <c r="Q15" s="14">
        <f t="shared" ca="1" si="6"/>
        <v>5302.7291031011355</v>
      </c>
      <c r="R15" s="16">
        <f t="shared" ca="1" si="4"/>
        <v>5302.7291031011355</v>
      </c>
    </row>
    <row r="16" spans="1:20">
      <c r="A16" s="30" t="s">
        <v>89</v>
      </c>
      <c r="B16" s="21">
        <f ca="1">Q2</f>
        <v>7000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7000</v>
      </c>
      <c r="M16" s="19"/>
      <c r="N16" s="19"/>
      <c r="O16" s="21"/>
      <c r="P16" s="27"/>
      <c r="Q16" s="22">
        <f t="shared" ca="1" si="6"/>
        <v>7000</v>
      </c>
      <c r="R16" s="19">
        <f t="shared" ca="1" si="4"/>
        <v>7000</v>
      </c>
    </row>
    <row r="17" spans="1:18">
      <c r="A17" s="29" t="s">
        <v>88</v>
      </c>
      <c r="B17" s="9">
        <f ca="1">B16</f>
        <v>7000</v>
      </c>
      <c r="C17" s="9">
        <f ca="1">SUM(C$2:C$11)</f>
        <v>3726.9346885377877</v>
      </c>
      <c r="D17" s="9">
        <f ca="1">SUM(D$2:D$11)</f>
        <v>3839.4283989131532</v>
      </c>
      <c r="E17" s="9">
        <f ca="1">$Q$5/parameters!$B$4</f>
        <v>7580.1927565862015</v>
      </c>
      <c r="F17" s="9">
        <f t="shared" ref="F17:K17" ca="1" si="7">SUM(F$2:F$11)</f>
        <v>4531.194029850747</v>
      </c>
      <c r="G17" s="9">
        <f t="shared" ca="1" si="7"/>
        <v>10030.407523510972</v>
      </c>
      <c r="H17" s="9">
        <f t="shared" ca="1" si="7"/>
        <v>13849.36</v>
      </c>
      <c r="I17" s="9">
        <f t="shared" ca="1" si="7"/>
        <v>7354.4771273319366</v>
      </c>
      <c r="J17" s="9">
        <f t="shared" ca="1" si="7"/>
        <v>6015.6628726680638</v>
      </c>
      <c r="K17" s="9">
        <f t="shared" ca="1" si="7"/>
        <v>14466.825519203414</v>
      </c>
      <c r="L17" s="17">
        <f t="shared" ca="1" si="5"/>
        <v>78394.482916602283</v>
      </c>
      <c r="M17" s="17"/>
      <c r="N17" s="17"/>
      <c r="O17" s="9"/>
      <c r="P17" s="14"/>
      <c r="Q17" s="11">
        <f t="shared" ca="1" si="6"/>
        <v>78394.482916602283</v>
      </c>
      <c r="R17" s="17">
        <f t="shared" ca="1" si="4"/>
        <v>78394.482916602283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0.93982752007109971</v>
      </c>
      <c r="J18" s="39">
        <f ca="1">I18</f>
        <v>0.93982752007109971</v>
      </c>
      <c r="K18" s="40">
        <f ca="1">1-(-K13)/K17</f>
        <v>0.89818435490679893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3"/>
  <sheetViews>
    <sheetView workbookViewId="0">
      <selection activeCell="N5" sqref="N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261.52259233168962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261.52259233168962</v>
      </c>
      <c r="M2" s="17"/>
      <c r="N2" s="17">
        <f ca="1">Q2-(L2+O2+P2)</f>
        <v>0</v>
      </c>
      <c r="O2" s="11" cm="1">
        <f t="array" aca="1" ref="O2" ca="1">INDIRECT("'data'!$F$" &amp; $A$1)</f>
        <v>1170</v>
      </c>
      <c r="P2" s="13">
        <f ca="1">IF(-(L2-Q2+O2)&lt;0, -(L2-Q2+O2), 0)</f>
        <v>-901.52259233168957</v>
      </c>
      <c r="Q2" s="17" cm="1">
        <f t="array" aca="1" ref="Q2" ca="1">INDIRECT("'data'!$D$" &amp; $A$1)</f>
        <v>530</v>
      </c>
      <c r="R2" s="17">
        <f ca="1">SUM(L2:P2)</f>
        <v>530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259.875</v>
      </c>
      <c r="H3" s="14"/>
      <c r="I3" s="14"/>
      <c r="J3" s="14"/>
      <c r="K3" s="13"/>
      <c r="L3" s="16">
        <f t="shared" ca="1" si="0"/>
        <v>259.875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139.85999999999999</v>
      </c>
      <c r="P3" s="13" cm="1">
        <f t="array" aca="1" ref="P3" ca="1">-INDIRECT("'data'!$I$" &amp; $A$1)*parameters!$B$13</f>
        <v>-139.85999999999999</v>
      </c>
      <c r="Q3" s="16" cm="1">
        <f t="array" aca="1" ref="Q3" ca="1">INDIRECT("'data'!$G$" &amp; $A$1)*parameters!$B$13</f>
        <v>259.875</v>
      </c>
      <c r="R3" s="16">
        <f t="shared" ref="R3:R10" ca="1" si="2">SUM(L3:P3)</f>
        <v>259.875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2505.0152821316615</v>
      </c>
      <c r="H5" s="14"/>
      <c r="I5" s="14"/>
      <c r="J5" s="14"/>
      <c r="K5" s="13"/>
      <c r="L5" s="16">
        <f t="shared" ca="1" si="0"/>
        <v>2505.0152821316615</v>
      </c>
      <c r="M5" s="16"/>
      <c r="N5" s="50">
        <f ca="1">$E$14*parameters!$B$4-$P$5-$L$5-$O$5</f>
        <v>135.76190586833991</v>
      </c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-1793.3999999999999</v>
      </c>
      <c r="Q5" s="16">
        <f ca="1">SUM(L5:P5)</f>
        <v>847.37718800000152</v>
      </c>
      <c r="R5" s="16">
        <f t="shared" ca="1" si="2"/>
        <v>847.37718800000152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2646</v>
      </c>
      <c r="I7" s="14"/>
      <c r="J7" s="14"/>
      <c r="K7" s="13"/>
      <c r="L7" s="16">
        <f t="shared" ca="1" si="0"/>
        <v>2646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2646</v>
      </c>
      <c r="R7" s="16">
        <f t="shared" ca="1" si="2"/>
        <v>2646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4879.42</v>
      </c>
      <c r="J8" s="14">
        <f ca="1">Q10/J18</f>
        <v>0</v>
      </c>
      <c r="K8" s="13"/>
      <c r="L8" s="16">
        <f t="shared" ca="1" si="0"/>
        <v>4879.42</v>
      </c>
      <c r="M8" s="16"/>
      <c r="N8" s="16">
        <f t="shared" ca="1" si="3"/>
        <v>0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-2237.34</v>
      </c>
      <c r="Q8" s="16">
        <f ca="1">SUM(Q6:Q7)</f>
        <v>2646</v>
      </c>
      <c r="R8" s="16">
        <f t="shared" ca="1" si="2"/>
        <v>2646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5837.86</v>
      </c>
      <c r="L9" s="16">
        <f t="shared" ca="1" si="0"/>
        <v>5837.86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-1209.32</v>
      </c>
      <c r="Q9" s="16" cm="1">
        <f t="array" aca="1" ref="Q9" ca="1">INDIRECT("'data'!$T$" &amp; $A$1)*parameters!$B$15</f>
        <v>4628.54</v>
      </c>
      <c r="R9" s="16">
        <f t="shared" ca="1" si="2"/>
        <v>4628.54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2506.84</v>
      </c>
      <c r="L10" s="16">
        <f t="shared" ca="1" si="0"/>
        <v>2506.84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-2506.84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8313.7907999999989</v>
      </c>
      <c r="N11" s="19"/>
      <c r="O11" s="21" cm="1">
        <f t="array" aca="1" ref="O11" ca="1">INDIRECT("'data'!$Z$" &amp; $A$1)*parameters!$B$15</f>
        <v>237.16</v>
      </c>
      <c r="P11" s="27" cm="1">
        <f t="array" aca="1" ref="P11" ca="1">-INDIRECT("'data'!$AA$" &amp; $A$1)*parameters!$B$15</f>
        <v>-907.48</v>
      </c>
      <c r="Q11" s="16">
        <f ca="1">K9*parameters!$B$10+K10*parameters!$B$11</f>
        <v>7643.4707999999991</v>
      </c>
      <c r="R11" s="16">
        <f t="shared" ref="R11:R17" ca="1" si="4">SUM(L11:P11)</f>
        <v>7643.4707999999991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-1.6475923316896228</v>
      </c>
      <c r="D12" s="9">
        <f ca="1">-(D17-Q4)</f>
        <v>0</v>
      </c>
      <c r="E12" s="9">
        <f ca="1">-(E17-Q5)</f>
        <v>-104.73201200000017</v>
      </c>
      <c r="F12" s="9">
        <f ca="1">-(F17-Q6)</f>
        <v>0</v>
      </c>
      <c r="G12" s="9">
        <f ca="1">-(G17-Q7)</f>
        <v>-118.89028213166148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-225.26988646335127</v>
      </c>
      <c r="M12" s="17"/>
      <c r="N12" s="17"/>
      <c r="O12" s="10"/>
      <c r="P12" s="12"/>
      <c r="Q12" s="9">
        <f t="shared" ref="Q12:Q17" ca="1" si="6">SUM(L12:P12)</f>
        <v>-225.26988646335127</v>
      </c>
      <c r="R12" s="17">
        <f t="shared" ca="1" si="4"/>
        <v>-225.26988646335127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-250.88000000000011</v>
      </c>
      <c r="J13" s="14">
        <f ca="1">-(J17-Q10)</f>
        <v>0</v>
      </c>
      <c r="K13" s="13">
        <f ca="1">-(K17-Q11)</f>
        <v>-701.22920000000158</v>
      </c>
      <c r="L13" s="14">
        <f t="shared" ca="1" si="5"/>
        <v>-952.10920000000169</v>
      </c>
      <c r="M13" s="16">
        <f ca="1">-E15</f>
        <v>0</v>
      </c>
      <c r="N13" s="16"/>
      <c r="O13" s="11"/>
      <c r="P13" s="13"/>
      <c r="Q13" s="14">
        <f t="shared" ca="1" si="6"/>
        <v>-952.10920000000169</v>
      </c>
      <c r="R13" s="16">
        <f t="shared" ca="1" si="4"/>
        <v>-952.10920000000169</v>
      </c>
    </row>
    <row r="14" spans="1:20">
      <c r="A14" s="18" t="s">
        <v>78</v>
      </c>
      <c r="B14" s="11"/>
      <c r="C14" s="14"/>
      <c r="D14" s="14"/>
      <c r="E14" s="14">
        <f ca="1">-(I13+J13)-K13</f>
        <v>952.10920000000169</v>
      </c>
      <c r="F14" s="14"/>
      <c r="G14" s="14"/>
      <c r="H14" s="14"/>
      <c r="I14" s="14"/>
      <c r="J14" s="14"/>
      <c r="K14" s="13"/>
      <c r="L14" s="14">
        <f t="shared" ca="1" si="5"/>
        <v>952.10920000000169</v>
      </c>
      <c r="M14" s="16"/>
      <c r="N14" s="16"/>
      <c r="O14" s="11"/>
      <c r="P14" s="13"/>
      <c r="Q14" s="14">
        <f t="shared" ca="1" si="6"/>
        <v>952.10920000000169</v>
      </c>
      <c r="R14" s="16">
        <f t="shared" ca="1" si="4"/>
        <v>952.10920000000169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530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530</v>
      </c>
      <c r="M16" s="19"/>
      <c r="N16" s="19"/>
      <c r="O16" s="21"/>
      <c r="P16" s="27"/>
      <c r="Q16" s="22">
        <f t="shared" ca="1" si="6"/>
        <v>530</v>
      </c>
      <c r="R16" s="19">
        <f t="shared" ca="1" si="4"/>
        <v>530</v>
      </c>
    </row>
    <row r="17" spans="1:18">
      <c r="A17" s="29" t="s">
        <v>88</v>
      </c>
      <c r="B17" s="9">
        <f ca="1">B16</f>
        <v>530</v>
      </c>
      <c r="C17" s="9">
        <f ca="1">SUM(C$2:C$11)</f>
        <v>261.52259233168962</v>
      </c>
      <c r="D17" s="9">
        <f ca="1">SUM(D$2:D$11)</f>
        <v>0</v>
      </c>
      <c r="E17" s="9">
        <f ca="1">$Q$5/parameters!$B$4</f>
        <v>952.10920000000169</v>
      </c>
      <c r="F17" s="9">
        <f t="shared" ref="F17:K17" ca="1" si="7">SUM(F$2:F$11)</f>
        <v>0</v>
      </c>
      <c r="G17" s="9">
        <f t="shared" ca="1" si="7"/>
        <v>2764.8902821316615</v>
      </c>
      <c r="H17" s="9">
        <f t="shared" ca="1" si="7"/>
        <v>2646</v>
      </c>
      <c r="I17" s="9">
        <f t="shared" ca="1" si="7"/>
        <v>4879.42</v>
      </c>
      <c r="J17" s="9">
        <f t="shared" ca="1" si="7"/>
        <v>0</v>
      </c>
      <c r="K17" s="9">
        <f t="shared" ca="1" si="7"/>
        <v>8344.7000000000007</v>
      </c>
      <c r="L17" s="17">
        <f t="shared" ca="1" si="5"/>
        <v>20378.642074463354</v>
      </c>
      <c r="M17" s="17"/>
      <c r="N17" s="17"/>
      <c r="O17" s="9"/>
      <c r="P17" s="14"/>
      <c r="Q17" s="11">
        <f t="shared" ca="1" si="6"/>
        <v>20378.642074463354</v>
      </c>
      <c r="R17" s="17">
        <f t="shared" ca="1" si="4"/>
        <v>20378.642074463354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0.94858405302269533</v>
      </c>
      <c r="J18" s="39">
        <f ca="1">I18</f>
        <v>0.94858405302269533</v>
      </c>
      <c r="K18" s="40">
        <f ca="1">1-(-K13)/K17</f>
        <v>0.91596711685261289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7706.8330482036827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7706.8330482036827</v>
      </c>
      <c r="M2" s="17"/>
      <c r="N2" s="17">
        <f ca="1">Q2-(L2+O2+P2)</f>
        <v>0</v>
      </c>
      <c r="O2" s="11" cm="1">
        <f t="array" aca="1" ref="O2" ca="1">INDIRECT("'data'!$F$" &amp; $A$1)</f>
        <v>80.600000000000009</v>
      </c>
      <c r="P2" s="13">
        <f ca="1">IF(-(L2-Q2+O2)&lt;0, -(L2-Q2+O2), 0)</f>
        <v>-7787.433048203683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6415.7611940298502</v>
      </c>
      <c r="G3" s="14">
        <f ca="1">Q3-O3-P3-F3</f>
        <v>1205.663805970149</v>
      </c>
      <c r="H3" s="14"/>
      <c r="I3" s="14"/>
      <c r="J3" s="14"/>
      <c r="K3" s="13"/>
      <c r="L3" s="16">
        <f t="shared" ca="1" si="0"/>
        <v>7621.4249999999993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143.63999999999999</v>
      </c>
      <c r="P3" s="13" cm="1">
        <f t="array" aca="1" ref="P3" ca="1">-INDIRECT("'data'!$I$" &amp; $A$1)*parameters!$B$13</f>
        <v>-106.785</v>
      </c>
      <c r="Q3" s="16" cm="1">
        <f t="array" aca="1" ref="Q3" ca="1">INDIRECT("'data'!$G$" &amp; $A$1)*parameters!$B$13</f>
        <v>7658.28</v>
      </c>
      <c r="R3" s="16">
        <f t="shared" ref="R3:R10" ca="1" si="2">SUM(L3:P3)</f>
        <v>7658.28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14.72</v>
      </c>
      <c r="H4" s="14"/>
      <c r="I4" s="14"/>
      <c r="J4" s="14"/>
      <c r="K4" s="13"/>
      <c r="L4" s="16">
        <f t="shared" ca="1" si="0"/>
        <v>14.72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-17.48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1603.9402985074628</v>
      </c>
      <c r="G5" s="14">
        <f ca="1">Q7/parameters!$B$7-(G3+G4)</f>
        <v>4067.7248669661103</v>
      </c>
      <c r="H5" s="14"/>
      <c r="I5" s="14"/>
      <c r="J5" s="14"/>
      <c r="K5" s="13"/>
      <c r="L5" s="16">
        <f t="shared" ca="1" si="0"/>
        <v>5671.6651654735733</v>
      </c>
      <c r="M5" s="16"/>
      <c r="N5" s="16"/>
      <c r="O5" s="11" cm="1">
        <f t="array" aca="1" ref="O5" ca="1">INDIRECT("'data'!$M$" &amp; $A$1)*parameters!$B$15</f>
        <v>5256.72</v>
      </c>
      <c r="P5" s="13" cm="1">
        <f t="array" aca="1" ref="P5" ca="1">-INDIRECT("'data'!$N$" &amp; $A$1)*parameters!$B$15</f>
        <v>-2356.9</v>
      </c>
      <c r="Q5" s="16">
        <f ca="1">SUM(L5:P5)</f>
        <v>8571.4851654735739</v>
      </c>
      <c r="R5" s="16">
        <f t="shared" ca="1" si="2"/>
        <v>8571.4851654735739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7522.48</v>
      </c>
      <c r="I6" s="14"/>
      <c r="J6" s="14"/>
      <c r="K6" s="13"/>
      <c r="L6" s="16">
        <f t="shared" ca="1" si="0"/>
        <v>7522.48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7522.48</v>
      </c>
      <c r="R6" s="16">
        <f t="shared" ca="1" si="2"/>
        <v>7522.48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5060.72</v>
      </c>
      <c r="I7" s="14"/>
      <c r="J7" s="14"/>
      <c r="K7" s="13"/>
      <c r="L7" s="16">
        <f t="shared" ca="1" si="0"/>
        <v>5060.72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5060.72</v>
      </c>
      <c r="R7" s="16">
        <f t="shared" ca="1" si="2"/>
        <v>5060.72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3740.9033463382502</v>
      </c>
      <c r="J8" s="14">
        <f ca="1">Q10/J18</f>
        <v>8156.2966536617505</v>
      </c>
      <c r="K8" s="13"/>
      <c r="L8" s="16">
        <f t="shared" ca="1" si="0"/>
        <v>11897.2</v>
      </c>
      <c r="M8" s="16"/>
      <c r="N8" s="16">
        <f t="shared" ca="1" si="3"/>
        <v>0</v>
      </c>
      <c r="O8" s="11" cm="1">
        <f t="array" aca="1" ref="O8" ca="1">INDIRECT("'data'!$R$" &amp; $A$1)*parameters!$B$15</f>
        <v>1776.74</v>
      </c>
      <c r="P8" s="13" cm="1">
        <f t="array" aca="1" ref="P8" ca="1">-INDIRECT("'data'!$S$" &amp; $A$1)*parameters!$B$15</f>
        <v>-1090.74</v>
      </c>
      <c r="Q8" s="16">
        <f ca="1">SUM(Q6:Q7)</f>
        <v>12583.2</v>
      </c>
      <c r="R8" s="16">
        <f t="shared" ca="1" si="2"/>
        <v>12583.2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4362.96</v>
      </c>
      <c r="L9" s="16">
        <f t="shared" ca="1" si="0"/>
        <v>4362.96</v>
      </c>
      <c r="M9" s="16"/>
      <c r="N9" s="16">
        <f t="shared" ca="1" si="3"/>
        <v>0</v>
      </c>
      <c r="O9" s="11" cm="1">
        <f t="array" aca="1" ref="O9" ca="1">INDIRECT("'data'!$U$" &amp; $A$1)*parameters!$B$15</f>
        <v>1803.2</v>
      </c>
      <c r="P9" s="13" cm="1">
        <f t="array" aca="1" ref="P9" ca="1">-INDIRECT("'data'!$V$" &amp; $A$1)*parameters!$B$15</f>
        <v>-2734.2</v>
      </c>
      <c r="Q9" s="16" cm="1">
        <f t="array" aca="1" ref="Q9" ca="1">INDIRECT("'data'!$T$" &amp; $A$1)*parameters!$B$15</f>
        <v>3431.96</v>
      </c>
      <c r="R9" s="16">
        <f t="shared" ca="1" si="2"/>
        <v>3431.96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6527.2070554765296</v>
      </c>
      <c r="L10" s="16">
        <f t="shared" ca="1" si="0"/>
        <v>6527.2070554765296</v>
      </c>
      <c r="M10" s="16"/>
      <c r="N10" s="16">
        <f t="shared" ca="1" si="3"/>
        <v>0</v>
      </c>
      <c r="O10" s="11" cm="1">
        <f t="array" aca="1" ref="O10" ca="1">INDIRECT("'data'!$X$" &amp; $A$1)*parameters!$B$15</f>
        <v>7243.18</v>
      </c>
      <c r="P10" s="13" cm="1">
        <f t="array" aca="1" ref="P10" ca="1">-INDIRECT("'data'!$Y$" &amp; $A$1)*parameters!$B$15</f>
        <v>-6287.68</v>
      </c>
      <c r="Q10" s="16" cm="1">
        <f t="array" aca="1" ref="Q10" ca="1">INDIRECT("'data'!$W$" &amp; $A$1)*parameters!$B$15</f>
        <v>7482.7070554765296</v>
      </c>
      <c r="R10" s="16">
        <f t="shared" ca="1" si="2"/>
        <v>7482.7070554765305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12887.820467709815</v>
      </c>
      <c r="N11" s="19"/>
      <c r="O11" s="21" cm="1">
        <f t="array" aca="1" ref="O11" ca="1">INDIRECT("'data'!$Z$" &amp; $A$1)*parameters!$B$15</f>
        <v>7219.66</v>
      </c>
      <c r="P11" s="27" cm="1">
        <f t="array" aca="1" ref="P11" ca="1">-INDIRECT("'data'!$AA$" &amp; $A$1)*parameters!$B$15</f>
        <v>-10392.9</v>
      </c>
      <c r="Q11" s="16">
        <f ca="1">K9*parameters!$B$10+K10*parameters!$B$11</f>
        <v>9714.5804677098149</v>
      </c>
      <c r="R11" s="16">
        <f t="shared" ref="R11:R17" ca="1" si="4">SUM(L11:P11)</f>
        <v>9714.5804677098149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-48.55304820368292</v>
      </c>
      <c r="D12" s="9">
        <f ca="1">-(D17-Q4)</f>
        <v>0</v>
      </c>
      <c r="E12" s="9">
        <f ca="1">-(E17-Q5)</f>
        <v>-1059.3970429236997</v>
      </c>
      <c r="F12" s="9">
        <f ca="1">-(F17-Q6)</f>
        <v>-497.22149253731368</v>
      </c>
      <c r="G12" s="9">
        <f ca="1">-(G17-Q7)</f>
        <v>-227.38867293625935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-1832.5602566009557</v>
      </c>
      <c r="M12" s="17"/>
      <c r="N12" s="17"/>
      <c r="O12" s="10"/>
      <c r="P12" s="12"/>
      <c r="Q12" s="9">
        <f t="shared" ref="Q12:Q17" ca="1" si="6">SUM(L12:P12)</f>
        <v>-1832.5602566009557</v>
      </c>
      <c r="R12" s="17">
        <f t="shared" ca="1" si="4"/>
        <v>-1832.5602566009557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-308.94334633825019</v>
      </c>
      <c r="J13" s="14">
        <f ca="1">-(J17-Q10)</f>
        <v>-673.58959818522089</v>
      </c>
      <c r="K13" s="13">
        <f ca="1">-(K17-Q11)</f>
        <v>-1175.5865877667147</v>
      </c>
      <c r="L13" s="14">
        <f t="shared" ca="1" si="5"/>
        <v>-2158.1195322901858</v>
      </c>
      <c r="M13" s="16">
        <f ca="1">-E15</f>
        <v>-7472.7626761070878</v>
      </c>
      <c r="N13" s="16"/>
      <c r="O13" s="11"/>
      <c r="P13" s="13"/>
      <c r="Q13" s="14">
        <f t="shared" ca="1" si="6"/>
        <v>-9630.8822083972736</v>
      </c>
      <c r="R13" s="16">
        <f t="shared" ca="1" si="4"/>
        <v>-9630.8822083972736</v>
      </c>
    </row>
    <row r="14" spans="1:20">
      <c r="A14" s="18" t="s">
        <v>78</v>
      </c>
      <c r="B14" s="11"/>
      <c r="C14" s="14"/>
      <c r="D14" s="14"/>
      <c r="E14" s="14">
        <f ca="1">-(I13+J13)-K13</f>
        <v>2158.1195322901858</v>
      </c>
      <c r="F14" s="14"/>
      <c r="G14" s="14"/>
      <c r="H14" s="14"/>
      <c r="I14" s="14"/>
      <c r="J14" s="14"/>
      <c r="K14" s="13"/>
      <c r="L14" s="14">
        <f t="shared" ca="1" si="5"/>
        <v>2158.1195322901858</v>
      </c>
      <c r="M14" s="16"/>
      <c r="N14" s="16"/>
      <c r="O14" s="11"/>
      <c r="P14" s="13"/>
      <c r="Q14" s="14">
        <f t="shared" ca="1" si="6"/>
        <v>2158.1195322901858</v>
      </c>
      <c r="R14" s="16">
        <f t="shared" ca="1" si="4"/>
        <v>2158.1195322901858</v>
      </c>
    </row>
    <row r="15" spans="1:20">
      <c r="A15" s="18" t="s">
        <v>79</v>
      </c>
      <c r="B15" s="11"/>
      <c r="C15" s="14"/>
      <c r="D15" s="14"/>
      <c r="E15" s="14">
        <f ca="1">E17-E14</f>
        <v>7472.7626761070878</v>
      </c>
      <c r="F15" s="14"/>
      <c r="G15" s="14"/>
      <c r="H15" s="14"/>
      <c r="I15" s="14"/>
      <c r="J15" s="14"/>
      <c r="K15" s="13"/>
      <c r="L15" s="14">
        <f t="shared" ca="1" si="5"/>
        <v>7472.7626761070878</v>
      </c>
      <c r="M15" s="16"/>
      <c r="N15" s="16"/>
      <c r="O15" s="11"/>
      <c r="P15" s="13"/>
      <c r="Q15" s="14">
        <f t="shared" ca="1" si="6"/>
        <v>7472.7626761070878</v>
      </c>
      <c r="R15" s="16">
        <f t="shared" ca="1" si="4"/>
        <v>7472.7626761070878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7706.8330482036827</v>
      </c>
      <c r="D17" s="9">
        <f ca="1">SUM(D$2:D$11)</f>
        <v>0</v>
      </c>
      <c r="E17" s="9">
        <f ca="1">$Q$5/parameters!$B$4</f>
        <v>9630.8822083972736</v>
      </c>
      <c r="F17" s="9">
        <f t="shared" ref="F17:K17" ca="1" si="7">SUM(F$2:F$11)</f>
        <v>8019.7014925373132</v>
      </c>
      <c r="G17" s="9">
        <f t="shared" ca="1" si="7"/>
        <v>5288.1086729362596</v>
      </c>
      <c r="H17" s="9">
        <f t="shared" ca="1" si="7"/>
        <v>12583.2</v>
      </c>
      <c r="I17" s="9">
        <f t="shared" ca="1" si="7"/>
        <v>3740.9033463382502</v>
      </c>
      <c r="J17" s="9">
        <f t="shared" ca="1" si="7"/>
        <v>8156.2966536617505</v>
      </c>
      <c r="K17" s="9">
        <f t="shared" ca="1" si="7"/>
        <v>10890.16705547653</v>
      </c>
      <c r="L17" s="17">
        <f t="shared" ca="1" si="5"/>
        <v>66016.09247755105</v>
      </c>
      <c r="M17" s="17"/>
      <c r="N17" s="17"/>
      <c r="O17" s="9"/>
      <c r="P17" s="14"/>
      <c r="Q17" s="11">
        <f t="shared" ca="1" si="6"/>
        <v>66016.09247755105</v>
      </c>
      <c r="R17" s="17">
        <f t="shared" ca="1" si="4"/>
        <v>66016.09247755105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0.91741477452480658</v>
      </c>
      <c r="J18" s="39">
        <f ca="1">I18</f>
        <v>0.91741477452480658</v>
      </c>
      <c r="K18" s="40">
        <f ca="1">1-(-K13)/K17</f>
        <v>0.89205063781133398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2776.8944349401222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2776.8944349401222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-2776.8944349401222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2581.0149253731342</v>
      </c>
      <c r="G3" s="14">
        <f ca="1">Q3-O3-P3-F3</f>
        <v>533.70507462686555</v>
      </c>
      <c r="H3" s="14"/>
      <c r="I3" s="14"/>
      <c r="J3" s="14"/>
      <c r="K3" s="13"/>
      <c r="L3" s="16">
        <f t="shared" ca="1" si="0"/>
        <v>3114.72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-360.04499999999996</v>
      </c>
      <c r="Q3" s="16" cm="1">
        <f t="array" aca="1" ref="Q3" ca="1">INDIRECT("'data'!$G$" &amp; $A$1)*parameters!$B$13</f>
        <v>2759.3999999999996</v>
      </c>
      <c r="R3" s="16">
        <f t="shared" ref="R3:R10" ca="1" si="2">SUM(L3:P3)</f>
        <v>2759.3999999999996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232.76000000000002</v>
      </c>
      <c r="H4" s="14"/>
      <c r="I4" s="14"/>
      <c r="J4" s="14"/>
      <c r="K4" s="13"/>
      <c r="L4" s="16">
        <f t="shared" ca="1" si="0"/>
        <v>232.76000000000002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-232.76000000000002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645.25373134328356</v>
      </c>
      <c r="G5" s="14">
        <f ca="1">Q7/parameters!$B$7-(G3+G4)</f>
        <v>10774.391769678256</v>
      </c>
      <c r="H5" s="14"/>
      <c r="I5" s="14"/>
      <c r="J5" s="14"/>
      <c r="K5" s="13"/>
      <c r="L5" s="16">
        <f t="shared" ca="1" si="0"/>
        <v>11419.64550102154</v>
      </c>
      <c r="M5" s="16"/>
      <c r="N5" s="16"/>
      <c r="O5" s="11" cm="1">
        <f t="array" aca="1" ref="O5" ca="1">INDIRECT("'data'!$M$" &amp; $A$1)*parameters!$B$15</f>
        <v>280.27999999999997</v>
      </c>
      <c r="P5" s="13" cm="1">
        <f t="array" aca="1" ref="P5" ca="1">-INDIRECT("'data'!$N$" &amp; $A$1)*parameters!$B$15</f>
        <v>-4549.16</v>
      </c>
      <c r="Q5" s="16">
        <f ca="1">SUM(L5:P5)</f>
        <v>7150.7655010215403</v>
      </c>
      <c r="R5" s="16">
        <f t="shared" ca="1" si="2"/>
        <v>7150.7655010215403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3026.24</v>
      </c>
      <c r="I6" s="14"/>
      <c r="J6" s="14"/>
      <c r="K6" s="13"/>
      <c r="L6" s="16">
        <f t="shared" ca="1" si="0"/>
        <v>3026.24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3026.24</v>
      </c>
      <c r="R6" s="16">
        <f t="shared" ca="1" si="2"/>
        <v>3026.24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11044.6</v>
      </c>
      <c r="I7" s="14"/>
      <c r="J7" s="14"/>
      <c r="K7" s="13"/>
      <c r="L7" s="16">
        <f t="shared" ca="1" si="0"/>
        <v>11044.6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11044.6</v>
      </c>
      <c r="R7" s="16">
        <f t="shared" ca="1" si="2"/>
        <v>11044.6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10761.013683014229</v>
      </c>
      <c r="J8" s="14">
        <f ca="1">Q10/J18</f>
        <v>3952.7063169857702</v>
      </c>
      <c r="K8" s="13"/>
      <c r="L8" s="16">
        <f t="shared" ca="1" si="0"/>
        <v>14713.72</v>
      </c>
      <c r="M8" s="16"/>
      <c r="N8" s="16">
        <f t="shared" ca="1" si="3"/>
        <v>0</v>
      </c>
      <c r="O8" s="11" cm="1">
        <f t="array" aca="1" ref="O8" ca="1">INDIRECT("'data'!$R$" &amp; $A$1)*parameters!$B$15</f>
        <v>255.78</v>
      </c>
      <c r="P8" s="13" cm="1">
        <f t="array" aca="1" ref="P8" ca="1">-INDIRECT("'data'!$S$" &amp; $A$1)*parameters!$B$15</f>
        <v>-898.66</v>
      </c>
      <c r="Q8" s="16">
        <f ca="1">SUM(Q6:Q7)</f>
        <v>14070.84</v>
      </c>
      <c r="R8" s="16">
        <f t="shared" ca="1" si="2"/>
        <v>14070.84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6301.4000000000015</v>
      </c>
      <c r="L9" s="16">
        <f t="shared" ca="1" si="0"/>
        <v>6301.4000000000015</v>
      </c>
      <c r="M9" s="16"/>
      <c r="N9" s="16">
        <f t="shared" ca="1" si="3"/>
        <v>0</v>
      </c>
      <c r="O9" s="11" cm="1">
        <f t="array" aca="1" ref="O9" ca="1">INDIRECT("'data'!$U$" &amp; $A$1)*parameters!$B$15</f>
        <v>5217.5199999999995</v>
      </c>
      <c r="P9" s="13" cm="1">
        <f t="array" aca="1" ref="P9" ca="1">-INDIRECT("'data'!$V$" &amp; $A$1)*parameters!$B$15</f>
        <v>-1274.98</v>
      </c>
      <c r="Q9" s="16" cm="1">
        <f t="array" aca="1" ref="Q9" ca="1">INDIRECT("'data'!$T$" &amp; $A$1)*parameters!$B$15</f>
        <v>10243.94</v>
      </c>
      <c r="R9" s="16">
        <f t="shared" ca="1" si="2"/>
        <v>10243.940000000002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5800.1962162162163</v>
      </c>
      <c r="L10" s="16">
        <f t="shared" ca="1" si="0"/>
        <v>5800.1962162162163</v>
      </c>
      <c r="M10" s="16"/>
      <c r="N10" s="16">
        <f t="shared" ca="1" si="3"/>
        <v>0</v>
      </c>
      <c r="O10" s="11" cm="1">
        <f t="array" aca="1" ref="O10" ca="1">INDIRECT("'data'!$X$" &amp; $A$1)*parameters!$B$15</f>
        <v>1980.58</v>
      </c>
      <c r="P10" s="13" cm="1">
        <f t="array" aca="1" ref="P10" ca="1">-INDIRECT("'data'!$Y$" &amp; $A$1)*parameters!$B$15</f>
        <v>-4018</v>
      </c>
      <c r="Q10" s="16" cm="1">
        <f t="array" aca="1" ref="Q10" ca="1">INDIRECT("'data'!$W$" &amp; $A$1)*parameters!$B$15</f>
        <v>3762.7762162162162</v>
      </c>
      <c r="R10" s="16">
        <f t="shared" ca="1" si="2"/>
        <v>3762.7762162162162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8762.3447459459458</v>
      </c>
      <c r="N11" s="19"/>
      <c r="O11" s="21" cm="1">
        <f t="array" aca="1" ref="O11" ca="1">INDIRECT("'data'!$Z$" &amp; $A$1)*parameters!$B$15</f>
        <v>7551.88</v>
      </c>
      <c r="P11" s="27" cm="1">
        <f t="array" aca="1" ref="P11" ca="1">-INDIRECT("'data'!$AA$" &amp; $A$1)*parameters!$B$15</f>
        <v>-5402.74</v>
      </c>
      <c r="Q11" s="16">
        <f ca="1">K9*parameters!$B$10+K10*parameters!$B$11</f>
        <v>10911.484745945947</v>
      </c>
      <c r="R11" s="16">
        <f t="shared" ref="R11:R17" ca="1" si="4">SUM(L11:P11)</f>
        <v>10911.484745945947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-17.494434940122574</v>
      </c>
      <c r="D12" s="9">
        <f ca="1">-(D17-Q4)</f>
        <v>0</v>
      </c>
      <c r="E12" s="9">
        <f ca="1">-(E17-Q5)</f>
        <v>-883.80247765434797</v>
      </c>
      <c r="F12" s="9">
        <f ca="1">-(F17-Q6)</f>
        <v>-200.02865671641803</v>
      </c>
      <c r="G12" s="9">
        <f ca="1">-(G17-Q7)</f>
        <v>-496.25684430512047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-1597.582413616009</v>
      </c>
      <c r="M12" s="17"/>
      <c r="N12" s="17"/>
      <c r="O12" s="10"/>
      <c r="P12" s="12"/>
      <c r="Q12" s="9">
        <f t="shared" ref="Q12:Q17" ca="1" si="6">SUM(L12:P12)</f>
        <v>-1597.582413616009</v>
      </c>
      <c r="R12" s="17">
        <f t="shared" ca="1" si="4"/>
        <v>-1597.582413616009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-517.07368301422866</v>
      </c>
      <c r="J13" s="14">
        <f ca="1">-(J17-Q10)</f>
        <v>-189.93010076955397</v>
      </c>
      <c r="K13" s="13">
        <f ca="1">-(K17-Q11)</f>
        <v>-1190.1114702702707</v>
      </c>
      <c r="L13" s="14">
        <f t="shared" ca="1" si="5"/>
        <v>-1897.1152540540534</v>
      </c>
      <c r="M13" s="16">
        <f ca="1">-E15</f>
        <v>-6137.4527246218349</v>
      </c>
      <c r="N13" s="16"/>
      <c r="O13" s="11"/>
      <c r="P13" s="13"/>
      <c r="Q13" s="14">
        <f t="shared" ca="1" si="6"/>
        <v>-8034.5679786758883</v>
      </c>
      <c r="R13" s="16">
        <f t="shared" ca="1" si="4"/>
        <v>-8034.5679786758883</v>
      </c>
    </row>
    <row r="14" spans="1:20">
      <c r="A14" s="18" t="s">
        <v>78</v>
      </c>
      <c r="B14" s="11"/>
      <c r="C14" s="14"/>
      <c r="D14" s="14"/>
      <c r="E14" s="14">
        <f ca="1">-(I13+J13)-K13</f>
        <v>1897.1152540540534</v>
      </c>
      <c r="F14" s="14"/>
      <c r="G14" s="14"/>
      <c r="H14" s="14"/>
      <c r="I14" s="14"/>
      <c r="J14" s="14"/>
      <c r="K14" s="13"/>
      <c r="L14" s="14">
        <f t="shared" ca="1" si="5"/>
        <v>1897.1152540540534</v>
      </c>
      <c r="M14" s="16"/>
      <c r="N14" s="16"/>
      <c r="O14" s="11"/>
      <c r="P14" s="13"/>
      <c r="Q14" s="14">
        <f t="shared" ca="1" si="6"/>
        <v>1897.1152540540534</v>
      </c>
      <c r="R14" s="16">
        <f t="shared" ca="1" si="4"/>
        <v>1897.1152540540534</v>
      </c>
    </row>
    <row r="15" spans="1:20">
      <c r="A15" s="18" t="s">
        <v>79</v>
      </c>
      <c r="B15" s="11"/>
      <c r="C15" s="14"/>
      <c r="D15" s="14"/>
      <c r="E15" s="14">
        <f ca="1">E17-E14</f>
        <v>6137.4527246218349</v>
      </c>
      <c r="F15" s="14"/>
      <c r="G15" s="14"/>
      <c r="H15" s="14"/>
      <c r="I15" s="14"/>
      <c r="J15" s="14"/>
      <c r="K15" s="13"/>
      <c r="L15" s="14">
        <f t="shared" ca="1" si="5"/>
        <v>6137.4527246218349</v>
      </c>
      <c r="M15" s="16"/>
      <c r="N15" s="16"/>
      <c r="O15" s="11"/>
      <c r="P15" s="13"/>
      <c r="Q15" s="14">
        <f t="shared" ca="1" si="6"/>
        <v>6137.4527246218349</v>
      </c>
      <c r="R15" s="16">
        <f t="shared" ca="1" si="4"/>
        <v>6137.4527246218349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2776.8944349401222</v>
      </c>
      <c r="D17" s="9">
        <f ca="1">SUM(D$2:D$11)</f>
        <v>0</v>
      </c>
      <c r="E17" s="9">
        <f ca="1">$Q$5/parameters!$B$4</f>
        <v>8034.5679786758883</v>
      </c>
      <c r="F17" s="9">
        <f t="shared" ref="F17:K17" ca="1" si="7">SUM(F$2:F$11)</f>
        <v>3226.2686567164178</v>
      </c>
      <c r="G17" s="9">
        <f t="shared" ca="1" si="7"/>
        <v>11540.856844305121</v>
      </c>
      <c r="H17" s="9">
        <f t="shared" ca="1" si="7"/>
        <v>14070.84</v>
      </c>
      <c r="I17" s="9">
        <f t="shared" ca="1" si="7"/>
        <v>10761.013683014229</v>
      </c>
      <c r="J17" s="9">
        <f t="shared" ca="1" si="7"/>
        <v>3952.7063169857702</v>
      </c>
      <c r="K17" s="9">
        <f t="shared" ca="1" si="7"/>
        <v>12101.596216216218</v>
      </c>
      <c r="L17" s="17">
        <f t="shared" ca="1" si="5"/>
        <v>66464.744130853767</v>
      </c>
      <c r="M17" s="17"/>
      <c r="N17" s="17"/>
      <c r="O17" s="9"/>
      <c r="P17" s="14"/>
      <c r="Q17" s="11">
        <f t="shared" ca="1" si="6"/>
        <v>66464.744130853767</v>
      </c>
      <c r="R17" s="17">
        <f t="shared" ca="1" si="4"/>
        <v>66464.744130853767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0.95194935177618012</v>
      </c>
      <c r="J18" s="39">
        <f ca="1">I18</f>
        <v>0.95194935177618012</v>
      </c>
      <c r="K18" s="40">
        <f ca="1">1-(-K13)/K17</f>
        <v>0.90165665346894375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B2" sqref="B2:K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5014.5768340545428</v>
      </c>
      <c r="D2" s="9">
        <f ca="1">Q4/parameters!$B$3</f>
        <v>316.63479923518162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5331.211633289724</v>
      </c>
      <c r="M2" s="17"/>
      <c r="N2" s="17">
        <f ca="1">Q2-(L2+O2+P2)</f>
        <v>0</v>
      </c>
      <c r="O2" s="11" cm="1">
        <f t="array" aca="1" ref="O2" ca="1">INDIRECT("'data'!$F$" &amp; $A$1)</f>
        <v>20219.55</v>
      </c>
      <c r="P2" s="13">
        <f ca="1">IF(-(L2-Q2+O2)&lt;0, -(L2-Q2+O2), 0)</f>
        <v>-5850.7616332897232</v>
      </c>
      <c r="Q2" s="17" cm="1">
        <f t="array" aca="1" ref="Q2" ca="1">INDIRECT("'data'!$D$" &amp; $A$1)</f>
        <v>19700</v>
      </c>
      <c r="R2" s="17">
        <f ca="1">SUM(L2:P2)</f>
        <v>19700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4460.7761194029854</v>
      </c>
      <c r="G3" s="14">
        <f ca="1">Q3-O3-P3-F3</f>
        <v>451.33388059701429</v>
      </c>
      <c r="H3" s="14"/>
      <c r="I3" s="14"/>
      <c r="J3" s="14"/>
      <c r="K3" s="13"/>
      <c r="L3" s="16">
        <f t="shared" ca="1" si="0"/>
        <v>4912.1099999999997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85.99499999999999</v>
      </c>
      <c r="P3" s="13" cm="1">
        <f t="array" aca="1" ref="P3" ca="1">-INDIRECT("'data'!$I$" &amp; $A$1)*parameters!$B$13</f>
        <v>-15.12</v>
      </c>
      <c r="Q3" s="16" cm="1">
        <f t="array" aca="1" ref="Q3" ca="1">INDIRECT("'data'!$G$" &amp; $A$1)*parameters!$B$13</f>
        <v>4982.9849999999997</v>
      </c>
      <c r="R3" s="16">
        <f t="shared" ref="R3:R10" ca="1" si="2">SUM(L3:P3)</f>
        <v>4982.9849999999997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547.4</v>
      </c>
      <c r="H4" s="14"/>
      <c r="I4" s="14"/>
      <c r="J4" s="14"/>
      <c r="K4" s="13"/>
      <c r="L4" s="16">
        <f t="shared" ca="1" si="0"/>
        <v>547.4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-232.76000000000002</v>
      </c>
      <c r="Q4" s="16" cm="1">
        <f t="array" aca="1" ref="Q4" ca="1">INDIRECT("'data'!$J$" &amp; $A$1)*parameters!$B$14</f>
        <v>314.64</v>
      </c>
      <c r="R4" s="16">
        <f t="shared" ca="1" si="2"/>
        <v>314.64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1115.1940298507463</v>
      </c>
      <c r="G5" s="14">
        <f ca="1">Q7/parameters!$B$7-(G3+G4)</f>
        <v>3051.3183660069567</v>
      </c>
      <c r="H5" s="14"/>
      <c r="I5" s="14"/>
      <c r="J5" s="14"/>
      <c r="K5" s="13"/>
      <c r="L5" s="16">
        <f t="shared" ca="1" si="0"/>
        <v>4166.5123958577033</v>
      </c>
      <c r="M5" s="16"/>
      <c r="N5" s="16"/>
      <c r="O5" s="11" cm="1">
        <f t="array" aca="1" ref="O5" ca="1">INDIRECT("'data'!$M$" &amp; $A$1)*parameters!$B$15</f>
        <v>4697.1400000000003</v>
      </c>
      <c r="P5" s="13" cm="1">
        <f t="array" aca="1" ref="P5" ca="1">-INDIRECT("'data'!$N$" &amp; $A$1)*parameters!$B$15</f>
        <v>-1395.52</v>
      </c>
      <c r="Q5" s="16">
        <f ca="1">SUM(L5:P5)</f>
        <v>7468.1323958577032</v>
      </c>
      <c r="R5" s="16">
        <f t="shared" ca="1" si="2"/>
        <v>7468.1323958577032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5230.26</v>
      </c>
      <c r="I6" s="14"/>
      <c r="J6" s="14"/>
      <c r="K6" s="13"/>
      <c r="L6" s="16">
        <f t="shared" ca="1" si="0"/>
        <v>5230.26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5230.26</v>
      </c>
      <c r="R6" s="16">
        <f t="shared" ca="1" si="2"/>
        <v>5230.26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3875.9</v>
      </c>
      <c r="I7" s="14"/>
      <c r="J7" s="14"/>
      <c r="K7" s="13"/>
      <c r="L7" s="16">
        <f t="shared" ca="1" si="0"/>
        <v>3875.9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3875.9</v>
      </c>
      <c r="R7" s="16">
        <f t="shared" ca="1" si="2"/>
        <v>3875.9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2286.2211121350015</v>
      </c>
      <c r="J8" s="14">
        <f ca="1">Q10/J18</f>
        <v>6157.4588878650002</v>
      </c>
      <c r="K8" s="13"/>
      <c r="L8" s="16">
        <f t="shared" ca="1" si="0"/>
        <v>8443.6800000000021</v>
      </c>
      <c r="M8" s="16"/>
      <c r="N8" s="16">
        <f t="shared" ca="1" si="3"/>
        <v>0</v>
      </c>
      <c r="O8" s="11" cm="1">
        <f t="array" aca="1" ref="O8" ca="1">INDIRECT("'data'!$R$" &amp; $A$1)*parameters!$B$15</f>
        <v>867.3</v>
      </c>
      <c r="P8" s="13" cm="1">
        <f t="array" aca="1" ref="P8" ca="1">-INDIRECT("'data'!$S$" &amp; $A$1)*parameters!$B$15</f>
        <v>-204.82</v>
      </c>
      <c r="Q8" s="16">
        <f ca="1">SUM(Q6:Q7)</f>
        <v>9106.16</v>
      </c>
      <c r="R8" s="16">
        <f t="shared" ca="1" si="2"/>
        <v>9106.1600000000017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3039.96</v>
      </c>
      <c r="L9" s="16">
        <f t="shared" ca="1" si="0"/>
        <v>3039.96</v>
      </c>
      <c r="M9" s="16"/>
      <c r="N9" s="16">
        <f t="shared" ca="1" si="3"/>
        <v>0</v>
      </c>
      <c r="O9" s="11" cm="1">
        <f t="array" aca="1" ref="O9" ca="1">INDIRECT("'data'!$U$" &amp; $A$1)*parameters!$B$15</f>
        <v>904.54</v>
      </c>
      <c r="P9" s="13" cm="1">
        <f t="array" aca="1" ref="P9" ca="1">-INDIRECT("'data'!$V$" &amp; $A$1)*parameters!$B$15</f>
        <v>-1755.18</v>
      </c>
      <c r="Q9" s="16" cm="1">
        <f t="array" aca="1" ref="Q9" ca="1">INDIRECT("'data'!$T$" &amp; $A$1)*parameters!$B$15</f>
        <v>2189.3200000000002</v>
      </c>
      <c r="R9" s="16">
        <f t="shared" ca="1" si="2"/>
        <v>2189.3199999999997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6420.7759886201993</v>
      </c>
      <c r="L10" s="16">
        <f t="shared" ca="1" si="0"/>
        <v>6420.7759886201993</v>
      </c>
      <c r="M10" s="16"/>
      <c r="N10" s="16">
        <f t="shared" ca="1" si="3"/>
        <v>0</v>
      </c>
      <c r="O10" s="11" cm="1">
        <f t="array" aca="1" ref="O10" ca="1">INDIRECT("'data'!$X$" &amp; $A$1)*parameters!$B$15</f>
        <v>2326.52</v>
      </c>
      <c r="P10" s="13" cm="1">
        <f t="array" aca="1" ref="P10" ca="1">-INDIRECT("'data'!$Y$" &amp; $A$1)*parameters!$B$15</f>
        <v>-2850.82</v>
      </c>
      <c r="Q10" s="16" cm="1">
        <f t="array" aca="1" ref="Q10" ca="1">INDIRECT("'data'!$W$" &amp; $A$1)*parameters!$B$15</f>
        <v>5896.4759886201991</v>
      </c>
      <c r="R10" s="16">
        <f t="shared" ca="1" si="2"/>
        <v>5896.4759886201991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12723.769750213371</v>
      </c>
      <c r="N11" s="19"/>
      <c r="O11" s="21" cm="1">
        <f t="array" aca="1" ref="O11" ca="1">INDIRECT("'data'!$Z$" &amp; $A$1)*parameters!$B$15</f>
        <v>3745.56</v>
      </c>
      <c r="P11" s="27" cm="1">
        <f t="array" aca="1" ref="P11" ca="1">-INDIRECT("'data'!$AA$" &amp; $A$1)*parameters!$B$15</f>
        <v>-8089.9</v>
      </c>
      <c r="Q11" s="16">
        <f ca="1">K9*parameters!$B$10+K10*parameters!$B$11</f>
        <v>8379.4297502133704</v>
      </c>
      <c r="R11" s="16">
        <f t="shared" ref="R11:R17" ca="1" si="4">SUM(L11:P11)</f>
        <v>8379.4297502133722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-31.591834054543142</v>
      </c>
      <c r="D12" s="9">
        <f ca="1">-(D17-Q4)</f>
        <v>-1.994799235181631</v>
      </c>
      <c r="E12" s="9">
        <f ca="1">-(E17-Q5)</f>
        <v>-923.02759948803032</v>
      </c>
      <c r="F12" s="9">
        <f ca="1">-(F17-Q6)</f>
        <v>-345.71014925373129</v>
      </c>
      <c r="G12" s="9">
        <f ca="1">-(G17-Q7)</f>
        <v>-174.15224660397098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-1476.4766286354575</v>
      </c>
      <c r="M12" s="17"/>
      <c r="N12" s="17"/>
      <c r="O12" s="10"/>
      <c r="P12" s="12"/>
      <c r="Q12" s="9">
        <f t="shared" ref="Q12:Q17" ca="1" si="6">SUM(L12:P12)</f>
        <v>-1476.4766286354575</v>
      </c>
      <c r="R12" s="17">
        <f t="shared" ca="1" si="4"/>
        <v>-1476.4766286354575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-96.901112135001313</v>
      </c>
      <c r="J13" s="14">
        <f ca="1">-(J17-Q10)</f>
        <v>-260.98289924480105</v>
      </c>
      <c r="K13" s="13">
        <f ca="1">-(K17-Q11)</f>
        <v>-1081.3062384068289</v>
      </c>
      <c r="L13" s="14">
        <f t="shared" ca="1" si="5"/>
        <v>-1439.1902497866313</v>
      </c>
      <c r="M13" s="16">
        <f ca="1">-E15</f>
        <v>-6951.9697455591022</v>
      </c>
      <c r="N13" s="16"/>
      <c r="O13" s="11"/>
      <c r="P13" s="13"/>
      <c r="Q13" s="14">
        <f t="shared" ca="1" si="6"/>
        <v>-8391.1599953457335</v>
      </c>
      <c r="R13" s="16">
        <f t="shared" ca="1" si="4"/>
        <v>-8391.1599953457335</v>
      </c>
    </row>
    <row r="14" spans="1:20">
      <c r="A14" s="18" t="s">
        <v>78</v>
      </c>
      <c r="B14" s="11"/>
      <c r="C14" s="14"/>
      <c r="D14" s="14"/>
      <c r="E14" s="14">
        <f ca="1">-(I13+J13)-K13</f>
        <v>1439.1902497866313</v>
      </c>
      <c r="F14" s="14"/>
      <c r="G14" s="14"/>
      <c r="H14" s="14"/>
      <c r="I14" s="14"/>
      <c r="J14" s="14"/>
      <c r="K14" s="13"/>
      <c r="L14" s="14">
        <f t="shared" ca="1" si="5"/>
        <v>1439.1902497866313</v>
      </c>
      <c r="M14" s="16"/>
      <c r="N14" s="16"/>
      <c r="O14" s="11"/>
      <c r="P14" s="13"/>
      <c r="Q14" s="14">
        <f t="shared" ca="1" si="6"/>
        <v>1439.1902497866313</v>
      </c>
      <c r="R14" s="16">
        <f t="shared" ca="1" si="4"/>
        <v>1439.1902497866313</v>
      </c>
    </row>
    <row r="15" spans="1:20">
      <c r="A15" s="18" t="s">
        <v>79</v>
      </c>
      <c r="B15" s="11"/>
      <c r="C15" s="14"/>
      <c r="D15" s="14"/>
      <c r="E15" s="14">
        <f ca="1">E17-E14</f>
        <v>6951.9697455591022</v>
      </c>
      <c r="F15" s="14"/>
      <c r="G15" s="14"/>
      <c r="H15" s="14"/>
      <c r="I15" s="14"/>
      <c r="J15" s="14"/>
      <c r="K15" s="13"/>
      <c r="L15" s="14">
        <f t="shared" ca="1" si="5"/>
        <v>6951.9697455591022</v>
      </c>
      <c r="M15" s="16"/>
      <c r="N15" s="16"/>
      <c r="O15" s="11"/>
      <c r="P15" s="13"/>
      <c r="Q15" s="14">
        <f t="shared" ca="1" si="6"/>
        <v>6951.9697455591022</v>
      </c>
      <c r="R15" s="16">
        <f t="shared" ca="1" si="4"/>
        <v>6951.9697455591022</v>
      </c>
    </row>
    <row r="16" spans="1:20">
      <c r="A16" s="30" t="s">
        <v>89</v>
      </c>
      <c r="B16" s="21">
        <f ca="1">Q2</f>
        <v>19700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19700</v>
      </c>
      <c r="M16" s="19"/>
      <c r="N16" s="19"/>
      <c r="O16" s="21"/>
      <c r="P16" s="27"/>
      <c r="Q16" s="22">
        <f t="shared" ca="1" si="6"/>
        <v>19700</v>
      </c>
      <c r="R16" s="19">
        <f t="shared" ca="1" si="4"/>
        <v>19700</v>
      </c>
    </row>
    <row r="17" spans="1:18">
      <c r="A17" s="29" t="s">
        <v>88</v>
      </c>
      <c r="B17" s="9">
        <f ca="1">B16</f>
        <v>19700</v>
      </c>
      <c r="C17" s="9">
        <f ca="1">SUM(C$2:C$11)</f>
        <v>5014.5768340545428</v>
      </c>
      <c r="D17" s="9">
        <f ca="1">SUM(D$2:D$11)</f>
        <v>316.63479923518162</v>
      </c>
      <c r="E17" s="9">
        <f ca="1">$Q$5/parameters!$B$4</f>
        <v>8391.1599953457335</v>
      </c>
      <c r="F17" s="9">
        <f t="shared" ref="F17:K17" ca="1" si="7">SUM(F$2:F$11)</f>
        <v>5575.9701492537315</v>
      </c>
      <c r="G17" s="9">
        <f t="shared" ca="1" si="7"/>
        <v>4050.0522466039711</v>
      </c>
      <c r="H17" s="9">
        <f t="shared" ca="1" si="7"/>
        <v>9106.16</v>
      </c>
      <c r="I17" s="9">
        <f t="shared" ca="1" si="7"/>
        <v>2286.2211121350015</v>
      </c>
      <c r="J17" s="9">
        <f t="shared" ca="1" si="7"/>
        <v>6157.4588878650002</v>
      </c>
      <c r="K17" s="9">
        <f t="shared" ca="1" si="7"/>
        <v>9460.7359886201994</v>
      </c>
      <c r="L17" s="17">
        <f t="shared" ca="1" si="5"/>
        <v>70058.970013113372</v>
      </c>
      <c r="M17" s="17"/>
      <c r="N17" s="17"/>
      <c r="O17" s="9"/>
      <c r="P17" s="14"/>
      <c r="Q17" s="11">
        <f t="shared" ca="1" si="6"/>
        <v>70058.970013113372</v>
      </c>
      <c r="R17" s="17">
        <f t="shared" ca="1" si="4"/>
        <v>70058.970013113372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0.95761516170913608</v>
      </c>
      <c r="J18" s="39">
        <f ca="1">I18</f>
        <v>0.95761516170913608</v>
      </c>
      <c r="K18" s="40">
        <f ca="1">1-(-K13)/K17</f>
        <v>0.8857059070554899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1036.0068431116031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1036.0068431116031</v>
      </c>
      <c r="M2" s="17"/>
      <c r="N2" s="17">
        <f ca="1">Q2-(L2+O2+P2)</f>
        <v>0</v>
      </c>
      <c r="O2" s="11" cm="1">
        <f t="array" aca="1" ref="O2" ca="1">INDIRECT("'data'!$F$" &amp; $A$1)</f>
        <v>31.85</v>
      </c>
      <c r="P2" s="13">
        <f ca="1">IF(-(L2-Q2+O2)&lt;0, -(L2-Q2+O2), 0)</f>
        <v>-1031.856843111603</v>
      </c>
      <c r="Q2" s="17" cm="1">
        <f t="array" aca="1" ref="Q2" ca="1">INDIRECT("'data'!$D$" &amp; $A$1)</f>
        <v>36</v>
      </c>
      <c r="R2" s="17">
        <f ca="1">SUM(L2:P2)</f>
        <v>36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38"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-8.5049999999999955</v>
      </c>
      <c r="O3" s="11" cm="1">
        <f t="array" aca="1" ref="O3" ca="1">INDIRECT("'data'!$H$" &amp; $A$1)*parameters!$B$13</f>
        <v>88.83</v>
      </c>
      <c r="P3" s="13" cm="1">
        <f t="array" aca="1" ref="P3" ca="1">-INDIRECT("'data'!$I$" &amp; $A$1)*parameters!$B$13</f>
        <v>-80.325000000000003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993.35794402133251</v>
      </c>
      <c r="H4" s="14"/>
      <c r="I4" s="14"/>
      <c r="J4" s="14"/>
      <c r="K4" s="13"/>
      <c r="L4" s="16">
        <f t="shared" ca="1" si="0"/>
        <v>993.35794402133251</v>
      </c>
      <c r="M4" s="16"/>
      <c r="N4" s="16">
        <f t="shared" ca="1" si="1"/>
        <v>241.28205597866747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-205.16</v>
      </c>
      <c r="Q4" s="16" cm="1">
        <f t="array" aca="1" ref="Q4" ca="1">INDIRECT("'data'!$J$" &amp; $A$1)*parameters!$B$14</f>
        <v>1029.48</v>
      </c>
      <c r="R4" s="16">
        <f t="shared" ca="1" si="2"/>
        <v>1029.4799999999998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2591.7831218093888</v>
      </c>
      <c r="H5" s="14"/>
      <c r="I5" s="14"/>
      <c r="J5" s="14"/>
      <c r="K5" s="13"/>
      <c r="L5" s="16">
        <f t="shared" ca="1" si="0"/>
        <v>2591.7831218093888</v>
      </c>
      <c r="M5" s="16"/>
      <c r="N5" s="16"/>
      <c r="O5" s="11" cm="1">
        <f t="array" aca="1" ref="O5" ca="1">INDIRECT("'data'!$M$" &amp; $A$1)*parameters!$B$15</f>
        <v>38.22</v>
      </c>
      <c r="P5" s="13" cm="1">
        <f t="array" aca="1" ref="P5" ca="1">-INDIRECT("'data'!$N$" &amp; $A$1)*parameters!$B$15</f>
        <v>-1470</v>
      </c>
      <c r="Q5" s="16">
        <f ca="1">SUM(L5:P5)</f>
        <v>1160.0031218093886</v>
      </c>
      <c r="R5" s="16">
        <f t="shared" ca="1" si="2"/>
        <v>1160.0031218093886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3430.98</v>
      </c>
      <c r="I7" s="14"/>
      <c r="J7" s="14"/>
      <c r="K7" s="13"/>
      <c r="L7" s="16">
        <f t="shared" ca="1" si="0"/>
        <v>3430.98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3430.98</v>
      </c>
      <c r="R7" s="16">
        <f t="shared" ca="1" si="2"/>
        <v>3430.98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2904.8667128492471</v>
      </c>
      <c r="J8" s="14">
        <f ca="1">Q10/J18</f>
        <v>2575.2932871507537</v>
      </c>
      <c r="K8" s="13"/>
      <c r="L8" s="16">
        <f t="shared" ca="1" si="0"/>
        <v>5480.1600000000008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1.96</v>
      </c>
      <c r="P8" s="13" cm="1">
        <f t="array" aca="1" ref="P8" ca="1">-INDIRECT("'data'!$S$" &amp; $A$1)*parameters!$B$15</f>
        <v>-2051.14</v>
      </c>
      <c r="Q8" s="16">
        <f ca="1">SUM(Q6:Q7)</f>
        <v>3430.98</v>
      </c>
      <c r="R8" s="16">
        <f t="shared" ca="1" si="2"/>
        <v>3430.9800000000009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3068.38</v>
      </c>
      <c r="L9" s="16">
        <f t="shared" ca="1" si="0"/>
        <v>3068.38</v>
      </c>
      <c r="M9" s="16"/>
      <c r="N9" s="16">
        <f t="shared" ca="1" si="3"/>
        <v>0</v>
      </c>
      <c r="O9" s="11" cm="1">
        <f t="array" aca="1" ref="O9" ca="1">INDIRECT("'data'!$U$" &amp; $A$1)*parameters!$B$15</f>
        <v>289.10000000000002</v>
      </c>
      <c r="P9" s="13" cm="1">
        <f t="array" aca="1" ref="P9" ca="1">-INDIRECT("'data'!$V$" &amp; $A$1)*parameters!$B$15</f>
        <v>-747.74</v>
      </c>
      <c r="Q9" s="16" cm="1">
        <f t="array" aca="1" ref="Q9" ca="1">INDIRECT("'data'!$T$" &amp; $A$1)*parameters!$B$15</f>
        <v>2609.7399999999998</v>
      </c>
      <c r="R9" s="16">
        <f t="shared" ca="1" si="2"/>
        <v>2609.7399999999998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4017.870355618777</v>
      </c>
      <c r="L10" s="16">
        <f t="shared" ca="1" si="0"/>
        <v>4017.870355618777</v>
      </c>
      <c r="M10" s="16"/>
      <c r="N10" s="16">
        <f t="shared" ca="1" si="3"/>
        <v>0</v>
      </c>
      <c r="O10" s="11" cm="1">
        <f t="array" aca="1" ref="O10" ca="1">INDIRECT("'data'!$X$" &amp; $A$1)*parameters!$B$15</f>
        <v>530.17999999999995</v>
      </c>
      <c r="P10" s="13" cm="1">
        <f t="array" aca="1" ref="P10" ca="1">-INDIRECT("'data'!$Y$" &amp; $A$1)*parameters!$B$15</f>
        <v>-2234.4</v>
      </c>
      <c r="Q10" s="16" cm="1">
        <f t="array" aca="1" ref="Q10" ca="1">INDIRECT("'data'!$W$" &amp; $A$1)*parameters!$B$15</f>
        <v>2313.6503556187768</v>
      </c>
      <c r="R10" s="16">
        <f t="shared" ca="1" si="2"/>
        <v>2313.6503556187768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8341.7857058321479</v>
      </c>
      <c r="N11" s="19"/>
      <c r="O11" s="21" cm="1">
        <f t="array" aca="1" ref="O11" ca="1">INDIRECT("'data'!$Z$" &amp; $A$1)*parameters!$B$15</f>
        <v>1248.52</v>
      </c>
      <c r="P11" s="27" cm="1">
        <f t="array" aca="1" ref="P11" ca="1">-INDIRECT("'data'!$AA$" &amp; $A$1)*parameters!$B$15</f>
        <v>-3250.66</v>
      </c>
      <c r="Q11" s="16">
        <f ca="1">K9*parameters!$B$10+K10*parameters!$B$11</f>
        <v>6339.6457058321485</v>
      </c>
      <c r="R11" s="16">
        <f t="shared" ref="R11:R17" ca="1" si="4">SUM(L11:P11)</f>
        <v>6339.6457058321485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-6.526843111603057</v>
      </c>
      <c r="E12" s="9">
        <f ca="1">-(E17-Q5)</f>
        <v>-143.37117235846381</v>
      </c>
      <c r="F12" s="9">
        <f ca="1">-(F17-Q6)</f>
        <v>0</v>
      </c>
      <c r="G12" s="9">
        <f ca="1">-(G17-Q7)</f>
        <v>-154.16106583072133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-304.05908130078819</v>
      </c>
      <c r="M12" s="17"/>
      <c r="N12" s="17"/>
      <c r="O12" s="10"/>
      <c r="P12" s="12"/>
      <c r="Q12" s="9">
        <f t="shared" ref="Q12:Q17" ca="1" si="6">SUM(L12:P12)</f>
        <v>-304.05908130078819</v>
      </c>
      <c r="R12" s="17">
        <f t="shared" ca="1" si="4"/>
        <v>-304.05908130078819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-295.12671284924727</v>
      </c>
      <c r="J13" s="14">
        <f ca="1">-(J17-Q10)</f>
        <v>-261.64293153197696</v>
      </c>
      <c r="K13" s="13">
        <f ca="1">-(K17-Q11)</f>
        <v>-746.60464978662822</v>
      </c>
      <c r="L13" s="14">
        <f t="shared" ca="1" si="5"/>
        <v>-1303.3742941678524</v>
      </c>
      <c r="M13" s="16">
        <f ca="1">-E15</f>
        <v>0</v>
      </c>
      <c r="N13" s="16"/>
      <c r="O13" s="11"/>
      <c r="P13" s="13"/>
      <c r="Q13" s="14">
        <f t="shared" ca="1" si="6"/>
        <v>-1303.3742941678524</v>
      </c>
      <c r="R13" s="16">
        <f t="shared" ca="1" si="4"/>
        <v>-1303.3742941678524</v>
      </c>
    </row>
    <row r="14" spans="1:19">
      <c r="A14" s="18" t="s">
        <v>78</v>
      </c>
      <c r="B14" s="11"/>
      <c r="C14" s="14"/>
      <c r="D14" s="14"/>
      <c r="E14" s="14">
        <f ca="1">-(I13+J13)-K13</f>
        <v>1303.3742941678524</v>
      </c>
      <c r="F14" s="14"/>
      <c r="G14" s="14"/>
      <c r="H14" s="14"/>
      <c r="I14" s="14"/>
      <c r="J14" s="14"/>
      <c r="K14" s="13"/>
      <c r="L14" s="14">
        <f t="shared" ca="1" si="5"/>
        <v>1303.3742941678524</v>
      </c>
      <c r="M14" s="16"/>
      <c r="N14" s="16"/>
      <c r="O14" s="11"/>
      <c r="P14" s="13"/>
      <c r="Q14" s="14">
        <f t="shared" ca="1" si="6"/>
        <v>1303.3742941678524</v>
      </c>
      <c r="R14" s="16">
        <f t="shared" ca="1" si="4"/>
        <v>1303.3742941678524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36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</v>
      </c>
      <c r="M16" s="19"/>
      <c r="N16" s="19"/>
      <c r="O16" s="21"/>
      <c r="P16" s="27"/>
      <c r="Q16" s="22">
        <f t="shared" ca="1" si="6"/>
        <v>36</v>
      </c>
      <c r="R16" s="19">
        <f t="shared" ca="1" si="4"/>
        <v>36</v>
      </c>
    </row>
    <row r="17" spans="1:18">
      <c r="A17" s="29" t="s">
        <v>88</v>
      </c>
      <c r="B17" s="9">
        <f ca="1">B16</f>
        <v>36</v>
      </c>
      <c r="C17" s="9">
        <f ca="1">SUM(C$2:C$11)</f>
        <v>0</v>
      </c>
      <c r="D17" s="9">
        <f ca="1">SUM(D$2:D$11)</f>
        <v>1036.0068431116031</v>
      </c>
      <c r="E17" s="9">
        <f ca="1">$Q$5/parameters!$B$4</f>
        <v>1303.3742941678524</v>
      </c>
      <c r="F17" s="9">
        <f t="shared" ref="F17:K17" ca="1" si="7">SUM(F$2:F$11)</f>
        <v>0</v>
      </c>
      <c r="G17" s="9">
        <f t="shared" ca="1" si="7"/>
        <v>3585.1410658307213</v>
      </c>
      <c r="H17" s="9">
        <f t="shared" ca="1" si="7"/>
        <v>3430.98</v>
      </c>
      <c r="I17" s="9">
        <f t="shared" ca="1" si="7"/>
        <v>2904.8667128492471</v>
      </c>
      <c r="J17" s="9">
        <f t="shared" ca="1" si="7"/>
        <v>2575.2932871507537</v>
      </c>
      <c r="K17" s="9">
        <f t="shared" ca="1" si="7"/>
        <v>7086.2503556187767</v>
      </c>
      <c r="L17" s="17">
        <f t="shared" ca="1" si="5"/>
        <v>21957.912558728953</v>
      </c>
      <c r="M17" s="17"/>
      <c r="N17" s="17"/>
      <c r="O17" s="9"/>
      <c r="P17" s="14"/>
      <c r="Q17" s="11">
        <f t="shared" ca="1" si="6"/>
        <v>21957.912558728953</v>
      </c>
      <c r="R17" s="17">
        <f t="shared" ca="1" si="4"/>
        <v>21957.912558728953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0.89840266627594378</v>
      </c>
      <c r="J18" s="39">
        <f ca="1">I18</f>
        <v>0.89840266627594378</v>
      </c>
      <c r="K18" s="40">
        <f ca="1">1-(-K13)/K17</f>
        <v>0.89464037928117568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>
      <selection activeCell="G3" sqref="G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2837.757874610043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2837.757874610043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-2837.757874610043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2704.7164179104479</v>
      </c>
      <c r="G3" s="14">
        <f ca="1">Q3-O3-P3-F3</f>
        <v>255.96858208955155</v>
      </c>
      <c r="H3" s="14"/>
      <c r="I3" s="14"/>
      <c r="J3" s="14"/>
      <c r="K3" s="13"/>
      <c r="L3" s="16">
        <f t="shared" ca="1" si="0"/>
        <v>2960.6849999999995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-140.80500000000001</v>
      </c>
      <c r="Q3" s="16" cm="1">
        <f t="array" aca="1" ref="Q3" ca="1">INDIRECT("'data'!$G$" &amp; $A$1)*parameters!$B$13</f>
        <v>2819.8799999999997</v>
      </c>
      <c r="R3" s="16">
        <f t="shared" ref="R3:R10" ca="1" si="2">SUM(L3:P3)</f>
        <v>2819.8799999999997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676.17910447761199</v>
      </c>
      <c r="G5" s="14">
        <f ca="1">Q7/parameters!$B$7-(G3+G4)</f>
        <v>3730.5935913691737</v>
      </c>
      <c r="H5" s="14"/>
      <c r="I5" s="14"/>
      <c r="J5" s="14"/>
      <c r="K5" s="13"/>
      <c r="L5" s="16">
        <f t="shared" ca="1" si="0"/>
        <v>4406.7726958467856</v>
      </c>
      <c r="M5" s="16"/>
      <c r="N5" s="16"/>
      <c r="O5" s="11" cm="1">
        <f t="array" aca="1" ref="O5" ca="1">INDIRECT("'data'!$M$" &amp; $A$1)*parameters!$B$15</f>
        <v>892.78</v>
      </c>
      <c r="P5" s="13" cm="1">
        <f t="array" aca="1" ref="P5" ca="1">-INDIRECT("'data'!$N$" &amp; $A$1)*parameters!$B$15</f>
        <v>-585.05999999999995</v>
      </c>
      <c r="Q5" s="16">
        <f ca="1">SUM(L5:P5)</f>
        <v>4714.4926958467859</v>
      </c>
      <c r="R5" s="16">
        <f t="shared" ca="1" si="2"/>
        <v>4714.4926958467859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3171.2799999999997</v>
      </c>
      <c r="I6" s="14"/>
      <c r="J6" s="14"/>
      <c r="K6" s="13"/>
      <c r="L6" s="16">
        <f t="shared" ca="1" si="0"/>
        <v>3171.2799999999997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3171.2799999999997</v>
      </c>
      <c r="R6" s="16">
        <f t="shared" ca="1" si="2"/>
        <v>3171.2799999999997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3815.14</v>
      </c>
      <c r="I7" s="14"/>
      <c r="J7" s="14"/>
      <c r="K7" s="13"/>
      <c r="L7" s="16">
        <f t="shared" ca="1" si="0"/>
        <v>3815.14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3815.14</v>
      </c>
      <c r="R7" s="16">
        <f t="shared" ca="1" si="2"/>
        <v>3815.14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4356.0013486079006</v>
      </c>
      <c r="J8" s="14">
        <f ca="1">Q10/J18</f>
        <v>2133.5586513920998</v>
      </c>
      <c r="K8" s="13"/>
      <c r="L8" s="16">
        <f t="shared" ca="1" si="0"/>
        <v>6489.56</v>
      </c>
      <c r="M8" s="16"/>
      <c r="N8" s="16">
        <f t="shared" ca="1" si="3"/>
        <v>0</v>
      </c>
      <c r="O8" s="11" cm="1">
        <f t="array" aca="1" ref="O8" ca="1">INDIRECT("'data'!$R$" &amp; $A$1)*parameters!$B$15</f>
        <v>649.74</v>
      </c>
      <c r="P8" s="13" cm="1">
        <f t="array" aca="1" ref="P8" ca="1">-INDIRECT("'data'!$S$" &amp; $A$1)*parameters!$B$15</f>
        <v>-152.88</v>
      </c>
      <c r="Q8" s="16">
        <f ca="1">SUM(Q6:Q7)</f>
        <v>6986.42</v>
      </c>
      <c r="R8" s="16">
        <f t="shared" ca="1" si="2"/>
        <v>6986.42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3018.4</v>
      </c>
      <c r="L9" s="16">
        <f t="shared" ca="1" si="0"/>
        <v>3018.4</v>
      </c>
      <c r="M9" s="16"/>
      <c r="N9" s="16">
        <f t="shared" ca="1" si="3"/>
        <v>0</v>
      </c>
      <c r="O9" s="11" cm="1">
        <f t="array" aca="1" ref="O9" ca="1">INDIRECT("'data'!$U$" &amp; $A$1)*parameters!$B$15</f>
        <v>2086.42</v>
      </c>
      <c r="P9" s="13" cm="1">
        <f t="array" aca="1" ref="P9" ca="1">-INDIRECT("'data'!$V$" &amp; $A$1)*parameters!$B$15</f>
        <v>-962.36</v>
      </c>
      <c r="Q9" s="16" cm="1">
        <f t="array" aca="1" ref="Q9" ca="1">INDIRECT("'data'!$T$" &amp; $A$1)*parameters!$B$15</f>
        <v>4142.46</v>
      </c>
      <c r="R9" s="16">
        <f t="shared" ca="1" si="2"/>
        <v>4142.46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4741.6066287339963</v>
      </c>
      <c r="L10" s="16">
        <f t="shared" ca="1" si="0"/>
        <v>4741.6066287339963</v>
      </c>
      <c r="M10" s="16"/>
      <c r="N10" s="16">
        <f t="shared" ca="1" si="3"/>
        <v>0</v>
      </c>
      <c r="O10" s="11" cm="1">
        <f t="array" aca="1" ref="O10" ca="1">INDIRECT("'data'!$X$" &amp; $A$1)*parameters!$B$15</f>
        <v>877.1</v>
      </c>
      <c r="P10" s="13" cm="1">
        <f t="array" aca="1" ref="P10" ca="1">-INDIRECT("'data'!$Y$" &amp; $A$1)*parameters!$B$15</f>
        <v>-3589.74</v>
      </c>
      <c r="Q10" s="16" cm="1">
        <f t="array" aca="1" ref="Q10" ca="1">INDIRECT("'data'!$W$" &amp; $A$1)*parameters!$B$15</f>
        <v>2028.9666287339971</v>
      </c>
      <c r="R10" s="16">
        <f t="shared" ca="1" si="2"/>
        <v>2028.9666287339969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5556.7977007112368</v>
      </c>
      <c r="N11" s="19"/>
      <c r="O11" s="21" cm="1">
        <f t="array" aca="1" ref="O11" ca="1">INDIRECT("'data'!$Z$" &amp; $A$1)*parameters!$B$15</f>
        <v>6022.0999999999995</v>
      </c>
      <c r="P11" s="27" cm="1">
        <f t="array" aca="1" ref="P11" ca="1">-INDIRECT("'data'!$AA$" &amp; $A$1)*parameters!$B$15</f>
        <v>-4663.82</v>
      </c>
      <c r="Q11" s="16">
        <f ca="1">K9*parameters!$B$10+K10*parameters!$B$11</f>
        <v>6915.0777007112365</v>
      </c>
      <c r="R11" s="16">
        <f t="shared" ref="R11:R17" ca="1" si="4">SUM(L11:P11)</f>
        <v>6915.0777007112374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-17.877874610043364</v>
      </c>
      <c r="D12" s="9">
        <f ca="1">-(D17-Q4)</f>
        <v>0</v>
      </c>
      <c r="E12" s="9">
        <f ca="1">-(E17-Q5)</f>
        <v>-582.69010847544541</v>
      </c>
      <c r="F12" s="9">
        <f ca="1">-(F17-Q6)</f>
        <v>-209.61552238806007</v>
      </c>
      <c r="G12" s="9">
        <f ca="1">-(G17-Q7)</f>
        <v>-171.42217345872541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-981.60567893227426</v>
      </c>
      <c r="M12" s="17"/>
      <c r="N12" s="17"/>
      <c r="O12" s="10"/>
      <c r="P12" s="12"/>
      <c r="Q12" s="9">
        <f t="shared" ref="Q12:Q17" ca="1" si="6">SUM(L12:P12)</f>
        <v>-981.60567893227426</v>
      </c>
      <c r="R12" s="17">
        <f t="shared" ca="1" si="4"/>
        <v>-981.60567893227426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-213.54134860790055</v>
      </c>
      <c r="J13" s="14">
        <f ca="1">-(J17-Q10)</f>
        <v>-104.59202265810268</v>
      </c>
      <c r="K13" s="13">
        <f ca="1">-(K17-Q11)</f>
        <v>-844.92892802275946</v>
      </c>
      <c r="L13" s="14">
        <f t="shared" ca="1" si="5"/>
        <v>-1163.0622992887627</v>
      </c>
      <c r="M13" s="16">
        <f ca="1">-E15</f>
        <v>-4134.1205050334684</v>
      </c>
      <c r="N13" s="16"/>
      <c r="O13" s="11"/>
      <c r="P13" s="13"/>
      <c r="Q13" s="14">
        <f t="shared" ca="1" si="6"/>
        <v>-5297.1828043222313</v>
      </c>
      <c r="R13" s="16">
        <f t="shared" ca="1" si="4"/>
        <v>-5297.1828043222313</v>
      </c>
    </row>
    <row r="14" spans="1:20">
      <c r="A14" s="18" t="s">
        <v>78</v>
      </c>
      <c r="B14" s="11"/>
      <c r="C14" s="14"/>
      <c r="D14" s="14"/>
      <c r="E14" s="14">
        <f ca="1">-(I13+J13)-K13</f>
        <v>1163.0622992887627</v>
      </c>
      <c r="F14" s="14"/>
      <c r="G14" s="14"/>
      <c r="H14" s="14"/>
      <c r="I14" s="14"/>
      <c r="J14" s="14"/>
      <c r="K14" s="13"/>
      <c r="L14" s="14">
        <f t="shared" ca="1" si="5"/>
        <v>1163.0622992887627</v>
      </c>
      <c r="M14" s="16"/>
      <c r="N14" s="16"/>
      <c r="O14" s="11"/>
      <c r="P14" s="13"/>
      <c r="Q14" s="14">
        <f t="shared" ca="1" si="6"/>
        <v>1163.0622992887627</v>
      </c>
      <c r="R14" s="16">
        <f t="shared" ca="1" si="4"/>
        <v>1163.0622992887627</v>
      </c>
    </row>
    <row r="15" spans="1:20">
      <c r="A15" s="18" t="s">
        <v>79</v>
      </c>
      <c r="B15" s="11"/>
      <c r="C15" s="14"/>
      <c r="D15" s="14"/>
      <c r="E15" s="14">
        <f ca="1">E17-E14</f>
        <v>4134.1205050334684</v>
      </c>
      <c r="F15" s="14"/>
      <c r="G15" s="14"/>
      <c r="H15" s="14"/>
      <c r="I15" s="14"/>
      <c r="J15" s="14"/>
      <c r="K15" s="13"/>
      <c r="L15" s="14">
        <f t="shared" ca="1" si="5"/>
        <v>4134.1205050334684</v>
      </c>
      <c r="M15" s="16"/>
      <c r="N15" s="16"/>
      <c r="O15" s="11"/>
      <c r="P15" s="13"/>
      <c r="Q15" s="14">
        <f t="shared" ca="1" si="6"/>
        <v>4134.1205050334684</v>
      </c>
      <c r="R15" s="16">
        <f t="shared" ca="1" si="4"/>
        <v>4134.1205050334684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2837.757874610043</v>
      </c>
      <c r="D17" s="9">
        <f ca="1">SUM(D$2:D$11)</f>
        <v>0</v>
      </c>
      <c r="E17" s="9">
        <f ca="1">$Q$5/parameters!$B$4</f>
        <v>5297.1828043222313</v>
      </c>
      <c r="F17" s="9">
        <f t="shared" ref="F17:K17" ca="1" si="7">SUM(F$2:F$11)</f>
        <v>3380.8955223880598</v>
      </c>
      <c r="G17" s="9">
        <f t="shared" ca="1" si="7"/>
        <v>3986.5621734587253</v>
      </c>
      <c r="H17" s="9">
        <f t="shared" ca="1" si="7"/>
        <v>6986.42</v>
      </c>
      <c r="I17" s="9">
        <f t="shared" ca="1" si="7"/>
        <v>4356.0013486079006</v>
      </c>
      <c r="J17" s="9">
        <f t="shared" ca="1" si="7"/>
        <v>2133.5586513920998</v>
      </c>
      <c r="K17" s="9">
        <f t="shared" ca="1" si="7"/>
        <v>7760.006628733996</v>
      </c>
      <c r="L17" s="17">
        <f t="shared" ca="1" si="5"/>
        <v>36738.38500351306</v>
      </c>
      <c r="M17" s="17"/>
      <c r="N17" s="17"/>
      <c r="O17" s="9"/>
      <c r="P17" s="14"/>
      <c r="Q17" s="11">
        <f t="shared" ca="1" si="6"/>
        <v>36738.38500351306</v>
      </c>
      <c r="R17" s="17">
        <f t="shared" ca="1" si="4"/>
        <v>36738.38500351306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0.95097766701193864</v>
      </c>
      <c r="J18" s="39">
        <f ca="1">I18</f>
        <v>0.95097766701193864</v>
      </c>
      <c r="K18" s="40">
        <f ca="1">1-(-K13)/K17</f>
        <v>0.89111749919205863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760.79299587400624</v>
      </c>
      <c r="D2" s="9">
        <f ca="1">Q4/parameters!$B$3</f>
        <v>2824.7157089664888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3585.5087048404948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-2685.5087048404948</v>
      </c>
      <c r="Q2" s="17" cm="1">
        <f t="array" aca="1" ref="Q2" ca="1">INDIRECT("'data'!$D$" &amp; $A$1)</f>
        <v>900</v>
      </c>
      <c r="R2" s="17">
        <f ca="1">SUM(L2:P2)</f>
        <v>900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702.08955223880594</v>
      </c>
      <c r="G3" s="14">
        <f ca="1">Q3-O3-P3-F3</f>
        <v>86.985447761194109</v>
      </c>
      <c r="H3" s="14"/>
      <c r="I3" s="14"/>
      <c r="J3" s="14"/>
      <c r="K3" s="13"/>
      <c r="L3" s="16">
        <f t="shared" ca="1" si="0"/>
        <v>789.07500000000005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-33.074999999999996</v>
      </c>
      <c r="Q3" s="16" cm="1">
        <f t="array" aca="1" ref="Q3" ca="1">INDIRECT("'data'!$G$" &amp; $A$1)*parameters!$B$13</f>
        <v>756</v>
      </c>
      <c r="R3" s="16">
        <f t="shared" ref="R3:R10" ca="1" si="2">SUM(L3:P3)</f>
        <v>756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2667.8525330476896</v>
      </c>
      <c r="H4" s="14"/>
      <c r="I4" s="14"/>
      <c r="J4" s="14"/>
      <c r="K4" s="13"/>
      <c r="L4" s="16">
        <f t="shared" ca="1" si="0"/>
        <v>2667.8525330476896</v>
      </c>
      <c r="M4" s="16"/>
      <c r="N4" s="16">
        <f t="shared" ca="1" si="1"/>
        <v>275.22746695231035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-136.16</v>
      </c>
      <c r="Q4" s="16" cm="1">
        <f t="array" aca="1" ref="Q4" ca="1">INDIRECT("'data'!$J$" &amp; $A$1)*parameters!$B$14</f>
        <v>2806.92</v>
      </c>
      <c r="R4" s="16">
        <f t="shared" ca="1" si="2"/>
        <v>2806.92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175.52238805970148</v>
      </c>
      <c r="G5" s="38">
        <f ca="1">E14*parameters!$B$4-O5-P5-F5</f>
        <v>2058.1191769758607</v>
      </c>
      <c r="H5" s="14"/>
      <c r="I5" s="14"/>
      <c r="J5" s="14"/>
      <c r="K5" s="13"/>
      <c r="L5" s="16">
        <f t="shared" ca="1" si="0"/>
        <v>2233.6415650355621</v>
      </c>
      <c r="M5" s="16"/>
      <c r="N5" s="16"/>
      <c r="O5" s="11" cm="1">
        <f t="array" aca="1" ref="O5" ca="1">INDIRECT("'data'!$M$" &amp; $A$1)*parameters!$B$15</f>
        <v>29.4</v>
      </c>
      <c r="P5" s="13" cm="1">
        <f t="array" aca="1" ref="P5" ca="1">-INDIRECT("'data'!$N$" &amp; $A$1)*parameters!$B$15</f>
        <v>-1273.02</v>
      </c>
      <c r="Q5" s="16">
        <f ca="1">SUM(L5:P5)</f>
        <v>990.02156503556216</v>
      </c>
      <c r="R5" s="16">
        <f t="shared" ca="1" si="2"/>
        <v>990.02156503556216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823.19999999999993</v>
      </c>
      <c r="I6" s="14"/>
      <c r="J6" s="14"/>
      <c r="K6" s="13"/>
      <c r="L6" s="16">
        <f t="shared" ca="1" si="0"/>
        <v>823.19999999999993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823.19999999999993</v>
      </c>
      <c r="R6" s="16">
        <f t="shared" ca="1" si="2"/>
        <v>823.19999999999993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4606</v>
      </c>
      <c r="I7" s="14"/>
      <c r="J7" s="14"/>
      <c r="K7" s="13"/>
      <c r="L7" s="16">
        <f t="shared" ca="1" si="0"/>
        <v>4606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4606</v>
      </c>
      <c r="R7" s="16">
        <f t="shared" ca="1" si="2"/>
        <v>4606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5528.0629369244125</v>
      </c>
      <c r="J8" s="14">
        <f ca="1">Q10/J18</f>
        <v>1189.8370630755876</v>
      </c>
      <c r="K8" s="13"/>
      <c r="L8" s="16">
        <f t="shared" ca="1" si="0"/>
        <v>6717.9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-1288.7</v>
      </c>
      <c r="Q8" s="16">
        <f ca="1">SUM(Q6:Q7)</f>
        <v>5429.2</v>
      </c>
      <c r="R8" s="16">
        <f t="shared" ca="1" si="2"/>
        <v>5429.2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7963.48</v>
      </c>
      <c r="L9" s="16">
        <f t="shared" ca="1" si="0"/>
        <v>7963.48</v>
      </c>
      <c r="M9" s="16"/>
      <c r="N9" s="16">
        <f t="shared" ca="1" si="3"/>
        <v>0</v>
      </c>
      <c r="O9" s="11" cm="1">
        <f t="array" aca="1" ref="O9" ca="1">INDIRECT("'data'!$U$" &amp; $A$1)*parameters!$B$15</f>
        <v>159.74</v>
      </c>
      <c r="P9" s="13" cm="1">
        <f t="array" aca="1" ref="P9" ca="1">-INDIRECT("'data'!$V$" &amp; $A$1)*parameters!$B$15</f>
        <v>-3027.22</v>
      </c>
      <c r="Q9" s="16" cm="1">
        <f t="array" aca="1" ref="Q9" ca="1">INDIRECT("'data'!$T$" &amp; $A$1)*parameters!$B$15</f>
        <v>5096</v>
      </c>
      <c r="R9" s="16">
        <f t="shared" ca="1" si="2"/>
        <v>5096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782.26165007112377</v>
      </c>
      <c r="L10" s="16">
        <f t="shared" ca="1" si="0"/>
        <v>782.26165007112377</v>
      </c>
      <c r="M10" s="16"/>
      <c r="N10" s="16">
        <f t="shared" ca="1" si="3"/>
        <v>0</v>
      </c>
      <c r="O10" s="11" cm="1">
        <f t="array" aca="1" ref="O10" ca="1">INDIRECT("'data'!$X$" &amp; $A$1)*parameters!$B$15</f>
        <v>728.14</v>
      </c>
      <c r="P10" s="13" cm="1">
        <f t="array" aca="1" ref="P10" ca="1">-INDIRECT("'data'!$Y$" &amp; $A$1)*parameters!$B$15</f>
        <v>-413.56</v>
      </c>
      <c r="Q10" s="16" cm="1">
        <f t="array" aca="1" ref="Q10" ca="1">INDIRECT("'data'!$W$" &amp; $A$1)*parameters!$B$15</f>
        <v>1096.8416500711237</v>
      </c>
      <c r="R10" s="16">
        <f t="shared" ca="1" si="2"/>
        <v>1096.8416500711237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8870.8762190611651</v>
      </c>
      <c r="N11" s="19"/>
      <c r="O11" s="21" cm="1">
        <f t="array" aca="1" ref="O11" ca="1">INDIRECT("'data'!$Z$" &amp; $A$1)*parameters!$B$15</f>
        <v>317.52</v>
      </c>
      <c r="P11" s="27" cm="1">
        <f t="array" aca="1" ref="P11" ca="1">-INDIRECT("'data'!$AA$" &amp; $A$1)*parameters!$B$15</f>
        <v>-1029.98</v>
      </c>
      <c r="Q11" s="16">
        <f ca="1">K9*parameters!$B$10+K10*parameters!$B$11</f>
        <v>8158.4162190611651</v>
      </c>
      <c r="R11" s="16">
        <f t="shared" ref="R11:R17" ca="1" si="4">SUM(L11:P11)</f>
        <v>8158.416219061166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-4.7929958740062375</v>
      </c>
      <c r="D12" s="9">
        <f ca="1">-(D17-Q4)</f>
        <v>-17.795708966488746</v>
      </c>
      <c r="E12" s="9">
        <f ca="1">-(E17-Q5)</f>
        <v>-122.36221590327182</v>
      </c>
      <c r="F12" s="9">
        <f ca="1">-(F17-Q6)</f>
        <v>-54.411940298507488</v>
      </c>
      <c r="G12" s="9">
        <f ca="1">-(G17-Q7)</f>
        <v>-206.9571577847446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-406.32001882701888</v>
      </c>
      <c r="M12" s="17"/>
      <c r="N12" s="17"/>
      <c r="O12" s="10"/>
      <c r="P12" s="12"/>
      <c r="Q12" s="9">
        <f t="shared" ref="Q12:Q17" ca="1" si="6">SUM(L12:P12)</f>
        <v>-406.32001882701888</v>
      </c>
      <c r="R12" s="17">
        <f t="shared" ca="1" si="4"/>
        <v>-406.32001882701888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-432.0629369244125</v>
      </c>
      <c r="J13" s="14">
        <f ca="1">-(J17-Q10)</f>
        <v>-92.995413004463899</v>
      </c>
      <c r="K13" s="13">
        <f ca="1">-(K17-Q11)</f>
        <v>-587.32543100995736</v>
      </c>
      <c r="L13" s="14">
        <f t="shared" ca="1" si="5"/>
        <v>-1112.3837809388338</v>
      </c>
      <c r="M13" s="16">
        <f ca="1">-E15</f>
        <v>0</v>
      </c>
      <c r="N13" s="16"/>
      <c r="O13" s="11"/>
      <c r="P13" s="13"/>
      <c r="Q13" s="14">
        <f t="shared" ca="1" si="6"/>
        <v>-1112.3837809388338</v>
      </c>
      <c r="R13" s="16">
        <f t="shared" ca="1" si="4"/>
        <v>-1112.3837809388338</v>
      </c>
    </row>
    <row r="14" spans="1:19">
      <c r="A14" s="18" t="s">
        <v>78</v>
      </c>
      <c r="B14" s="11"/>
      <c r="C14" s="14"/>
      <c r="D14" s="14"/>
      <c r="E14" s="14">
        <f ca="1">-(I13+J13)-K13</f>
        <v>1112.3837809388338</v>
      </c>
      <c r="F14" s="14"/>
      <c r="G14" s="14"/>
      <c r="H14" s="14"/>
      <c r="I14" s="14"/>
      <c r="J14" s="14"/>
      <c r="K14" s="13"/>
      <c r="L14" s="14">
        <f t="shared" ca="1" si="5"/>
        <v>1112.3837809388338</v>
      </c>
      <c r="M14" s="16"/>
      <c r="N14" s="16"/>
      <c r="O14" s="11"/>
      <c r="P14" s="13"/>
      <c r="Q14" s="14">
        <f t="shared" ca="1" si="6"/>
        <v>1112.3837809388338</v>
      </c>
      <c r="R14" s="16">
        <f t="shared" ca="1" si="4"/>
        <v>1112.3837809388338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900</v>
      </c>
      <c r="M16" s="19"/>
      <c r="N16" s="19"/>
      <c r="O16" s="21"/>
      <c r="P16" s="27"/>
      <c r="Q16" s="22">
        <f t="shared" ca="1" si="6"/>
        <v>900</v>
      </c>
      <c r="R16" s="19">
        <f t="shared" ca="1" si="4"/>
        <v>900</v>
      </c>
    </row>
    <row r="17" spans="1:18">
      <c r="A17" s="29" t="s">
        <v>88</v>
      </c>
      <c r="B17" s="9">
        <f ca="1">B16</f>
        <v>900</v>
      </c>
      <c r="C17" s="9">
        <f ca="1">SUM(C$2:C$11)</f>
        <v>760.79299587400624</v>
      </c>
      <c r="D17" s="9">
        <f ca="1">SUM(D$2:D$11)</f>
        <v>2824.7157089664888</v>
      </c>
      <c r="E17" s="9">
        <f ca="1">$Q$5/parameters!$B$4</f>
        <v>1112.383780938834</v>
      </c>
      <c r="F17" s="9">
        <f t="shared" ref="F17:K17" ca="1" si="7">SUM(F$2:F$11)</f>
        <v>877.61194029850742</v>
      </c>
      <c r="G17" s="9">
        <f t="shared" ca="1" si="7"/>
        <v>4812.9571577847446</v>
      </c>
      <c r="H17" s="9">
        <f t="shared" ca="1" si="7"/>
        <v>5429.2</v>
      </c>
      <c r="I17" s="9">
        <f t="shared" ca="1" si="7"/>
        <v>5528.0629369244125</v>
      </c>
      <c r="J17" s="9">
        <f t="shared" ca="1" si="7"/>
        <v>1189.8370630755876</v>
      </c>
      <c r="K17" s="9">
        <f t="shared" ca="1" si="7"/>
        <v>8745.7416500711224</v>
      </c>
      <c r="L17" s="17">
        <f t="shared" ca="1" si="5"/>
        <v>32181.303233933704</v>
      </c>
      <c r="M17" s="17"/>
      <c r="N17" s="17"/>
      <c r="O17" s="9"/>
      <c r="P17" s="14"/>
      <c r="Q17" s="11">
        <f t="shared" ca="1" si="6"/>
        <v>32181.303233933704</v>
      </c>
      <c r="R17" s="17">
        <f t="shared" ca="1" si="4"/>
        <v>32181.303233933704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0.92184189256629656</v>
      </c>
      <c r="J18" s="39">
        <f ca="1">I18</f>
        <v>0.92184189256629656</v>
      </c>
      <c r="K18" s="40">
        <f ca="1">1-(-K13)/K17</f>
        <v>0.93284441108488714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tabSelected="1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4280.1247861527618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4280.1247861527618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-4280.1247861527618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67.094999999999999</v>
      </c>
      <c r="H3" s="14"/>
      <c r="I3" s="14"/>
      <c r="J3" s="14"/>
      <c r="K3" s="13"/>
      <c r="L3" s="16">
        <f t="shared" ca="1" si="0"/>
        <v>67.094999999999999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-67.094999999999999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3268.7083204420396</v>
      </c>
      <c r="H4" s="14"/>
      <c r="I4" s="14"/>
      <c r="J4" s="14"/>
      <c r="K4" s="13"/>
      <c r="L4" s="16">
        <f t="shared" ca="1" si="0"/>
        <v>3268.7083204420396</v>
      </c>
      <c r="M4" s="16"/>
      <c r="N4" s="16">
        <f t="shared" ca="1" si="1"/>
        <v>982.61167955796009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4253.16</v>
      </c>
      <c r="R4" s="16">
        <f t="shared" ca="1" si="2"/>
        <v>4253.16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1466.9135029644385</v>
      </c>
      <c r="H5" s="14"/>
      <c r="I5" s="14"/>
      <c r="J5" s="14"/>
      <c r="K5" s="13"/>
      <c r="L5" s="16">
        <f t="shared" ca="1" si="0"/>
        <v>1466.9135029644385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1466.9135029644385</v>
      </c>
      <c r="R5" s="16">
        <f t="shared" ca="1" si="2"/>
        <v>1466.9135029644385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4596.2</v>
      </c>
      <c r="I7" s="14"/>
      <c r="J7" s="14"/>
      <c r="K7" s="13"/>
      <c r="L7" s="16">
        <f t="shared" ca="1" si="0"/>
        <v>4596.2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4596.2</v>
      </c>
      <c r="R7" s="16">
        <f t="shared" ca="1" si="2"/>
        <v>4596.2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3093.0614177458633</v>
      </c>
      <c r="J8" s="14">
        <f ca="1">Q10/J18</f>
        <v>2019.5985822541363</v>
      </c>
      <c r="K8" s="13"/>
      <c r="L8" s="16">
        <f t="shared" ca="1" si="0"/>
        <v>5112.66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-516.46</v>
      </c>
      <c r="Q8" s="16">
        <f ca="1">SUM(Q6:Q7)</f>
        <v>4596.2</v>
      </c>
      <c r="R8" s="16">
        <f t="shared" ca="1" si="2"/>
        <v>4596.2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3514.2799999999997</v>
      </c>
      <c r="L9" s="16">
        <f t="shared" ca="1" si="0"/>
        <v>3514.2799999999997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-1093.68</v>
      </c>
      <c r="Q9" s="16" cm="1">
        <f t="array" aca="1" ref="Q9" ca="1">INDIRECT("'data'!$T$" &amp; $A$1)*parameters!$B$15</f>
        <v>2420.6</v>
      </c>
      <c r="R9" s="16">
        <f t="shared" ca="1" si="2"/>
        <v>2420.5999999999995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2327.2783499288762</v>
      </c>
      <c r="L10" s="16">
        <f t="shared" ca="1" si="0"/>
        <v>2327.2783499288762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-746.76</v>
      </c>
      <c r="Q10" s="16" cm="1">
        <f t="array" aca="1" ref="Q10" ca="1">INDIRECT("'data'!$W$" &amp; $A$1)*parameters!$B$15</f>
        <v>1580.5183499288762</v>
      </c>
      <c r="R10" s="16">
        <f t="shared" ca="1" si="2"/>
        <v>1580.5183499288762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7355.0425809388325</v>
      </c>
      <c r="N11" s="19"/>
      <c r="O11" s="21" cm="1">
        <f t="array" aca="1" ref="O11" ca="1">INDIRECT("'data'!$Z$" &amp; $A$1)*parameters!$B$15</f>
        <v>45.08</v>
      </c>
      <c r="P11" s="27" cm="1">
        <f t="array" aca="1" ref="P11" ca="1">-INDIRECT("'data'!$AA$" &amp; $A$1)*parameters!$B$15</f>
        <v>-2095.2399999999998</v>
      </c>
      <c r="Q11" s="16">
        <f ca="1">K9*parameters!$B$10+K10*parameters!$B$11</f>
        <v>5304.8825809388327</v>
      </c>
      <c r="R11" s="16">
        <f t="shared" ref="R11:R17" ca="1" si="4">SUM(L11:P11)</f>
        <v>5304.8825809388327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-26.964786152761917</v>
      </c>
      <c r="E12" s="9">
        <f ca="1">-(E17-Q5)</f>
        <v>-181.30391609672824</v>
      </c>
      <c r="F12" s="9">
        <f ca="1">-(F17-Q6)</f>
        <v>0</v>
      </c>
      <c r="G12" s="9">
        <f ca="1">-(G17-Q7)</f>
        <v>-206.51682340647767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-414.78552565596783</v>
      </c>
      <c r="M12" s="17"/>
      <c r="N12" s="17"/>
      <c r="O12" s="10"/>
      <c r="P12" s="12"/>
      <c r="Q12" s="9">
        <f t="shared" ref="Q12:Q17" ca="1" si="6">SUM(L12:P12)</f>
        <v>-414.78552565596783</v>
      </c>
      <c r="R12" s="17">
        <f t="shared" ca="1" si="4"/>
        <v>-414.78552565596783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-672.4614177458634</v>
      </c>
      <c r="J13" s="14">
        <f ca="1">-(J17-Q10)</f>
        <v>-439.08023232526011</v>
      </c>
      <c r="K13" s="13">
        <f ca="1">-(K17-Q11)</f>
        <v>-536.67576899004325</v>
      </c>
      <c r="L13" s="14">
        <f t="shared" ca="1" si="5"/>
        <v>-1648.2174190611668</v>
      </c>
      <c r="M13" s="16">
        <f ca="1">-E15</f>
        <v>0</v>
      </c>
      <c r="N13" s="16"/>
      <c r="O13" s="11"/>
      <c r="P13" s="13"/>
      <c r="Q13" s="14">
        <f t="shared" ca="1" si="6"/>
        <v>-1648.2174190611668</v>
      </c>
      <c r="R13" s="16">
        <f t="shared" ca="1" si="4"/>
        <v>-1648.2174190611668</v>
      </c>
    </row>
    <row r="14" spans="1:22">
      <c r="A14" s="18" t="s">
        <v>78</v>
      </c>
      <c r="B14" s="11"/>
      <c r="C14" s="14"/>
      <c r="D14" s="14"/>
      <c r="E14" s="14">
        <f ca="1">-(I13+J13)-K13</f>
        <v>1648.2174190611668</v>
      </c>
      <c r="F14" s="14"/>
      <c r="G14" s="14"/>
      <c r="H14" s="14"/>
      <c r="I14" s="14"/>
      <c r="J14" s="14"/>
      <c r="K14" s="13"/>
      <c r="L14" s="14">
        <f t="shared" ca="1" si="5"/>
        <v>1648.2174190611668</v>
      </c>
      <c r="M14" s="16"/>
      <c r="N14" s="16"/>
      <c r="O14" s="11"/>
      <c r="P14" s="13"/>
      <c r="Q14" s="14">
        <f t="shared" ca="1" si="6"/>
        <v>1648.2174190611668</v>
      </c>
      <c r="R14" s="16">
        <f t="shared" ca="1" si="4"/>
        <v>1648.2174190611668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4280.1247861527618</v>
      </c>
      <c r="E17" s="9">
        <f ca="1">$Q$5/parameters!$B$4</f>
        <v>1648.2174190611668</v>
      </c>
      <c r="F17" s="9">
        <f t="shared" ref="F17:K17" ca="1" si="7">SUM(F$2:F$11)</f>
        <v>0</v>
      </c>
      <c r="G17" s="9">
        <f t="shared" ca="1" si="7"/>
        <v>4802.7168234064775</v>
      </c>
      <c r="H17" s="9">
        <f t="shared" ca="1" si="7"/>
        <v>4596.2</v>
      </c>
      <c r="I17" s="9">
        <f t="shared" ca="1" si="7"/>
        <v>3093.0614177458633</v>
      </c>
      <c r="J17" s="9">
        <f t="shared" ca="1" si="7"/>
        <v>2019.5985822541363</v>
      </c>
      <c r="K17" s="9">
        <f t="shared" ca="1" si="7"/>
        <v>5841.5583499288759</v>
      </c>
      <c r="L17" s="17">
        <f t="shared" ca="1" si="5"/>
        <v>26281.477378549283</v>
      </c>
      <c r="M17" s="17"/>
      <c r="N17" s="17"/>
      <c r="O17" s="9"/>
      <c r="P17" s="14"/>
      <c r="Q17" s="11">
        <f t="shared" ca="1" si="6"/>
        <v>26281.477378549283</v>
      </c>
      <c r="R17" s="17">
        <f t="shared" ca="1" si="4"/>
        <v>26281.477378549283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0.95700000000000018</v>
      </c>
      <c r="H18" s="39">
        <f t="shared" ref="H18" ca="1" si="9">1-(-H12)/H17</f>
        <v>1</v>
      </c>
      <c r="I18" s="39">
        <f ca="1">(Q9+Q10)/(Q8-O8-P8)</f>
        <v>0.78259034434694985</v>
      </c>
      <c r="J18" s="39">
        <f ca="1">I18</f>
        <v>0.78259034434694985</v>
      </c>
      <c r="K18" s="40">
        <f ca="1">1-(-K13)/K17</f>
        <v>0.9081279794121071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4139.6648887994361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4139.6648887994361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-3659.6648887994361</v>
      </c>
      <c r="Q2" s="17" cm="1">
        <f t="array" aca="1" ref="Q2" ca="1">INDIRECT("'data'!$D$" &amp; $A$1)</f>
        <v>480</v>
      </c>
      <c r="R2" s="17">
        <f ca="1">SUM(L2:P2)</f>
        <v>480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4134.9313432835825</v>
      </c>
      <c r="G3" s="14">
        <f ca="1">Q3-O3-P3-F3</f>
        <v>4.1686567164169901</v>
      </c>
      <c r="H3" s="14"/>
      <c r="I3" s="14"/>
      <c r="J3" s="14"/>
      <c r="K3" s="13"/>
      <c r="L3" s="16">
        <f t="shared" ca="1" si="0"/>
        <v>4139.0999999999995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-27.404999999999998</v>
      </c>
      <c r="Q3" s="16" cm="1">
        <f t="array" aca="1" ref="Q3" ca="1">INDIRECT("'data'!$G$" &amp; $A$1)*parameters!$B$13</f>
        <v>4113.585</v>
      </c>
      <c r="R3" s="16">
        <f t="shared" ref="R3:R10" ca="1" si="2">SUM(L3:P3)</f>
        <v>4113.585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2.7600000000000002</v>
      </c>
      <c r="H4" s="14"/>
      <c r="I4" s="14"/>
      <c r="J4" s="14"/>
      <c r="K4" s="13"/>
      <c r="L4" s="16">
        <f t="shared" ca="1" si="0"/>
        <v>2.7600000000000002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-2.7600000000000002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Q6/parameters!$B$5*22%</f>
        <v>1166.2626865671641</v>
      </c>
      <c r="G5" s="14">
        <f ca="1">Q7/parameters!$B$7-(G3+G4)</f>
        <v>595.20300472558927</v>
      </c>
      <c r="H5" s="14"/>
      <c r="I5" s="14"/>
      <c r="J5" s="14"/>
      <c r="K5" s="13"/>
      <c r="L5" s="16">
        <f t="shared" ca="1" si="0"/>
        <v>1761.4656912927535</v>
      </c>
      <c r="M5" s="16"/>
      <c r="N5" s="16"/>
      <c r="O5" s="11" cm="1">
        <f t="array" aca="1" ref="O5" ca="1">INDIRECT("'data'!$M$" &amp; $A$1)*parameters!$B$15</f>
        <v>1060.3599999999999</v>
      </c>
      <c r="P5" s="13" cm="1">
        <f t="array" aca="1" ref="P5" ca="1">-INDIRECT("'data'!$N$" &amp; $A$1)*parameters!$B$15</f>
        <v>-1126.02</v>
      </c>
      <c r="Q5" s="16">
        <f ca="1">SUM(L5:P5)</f>
        <v>1695.8056912927536</v>
      </c>
      <c r="R5" s="16">
        <f t="shared" ca="1" si="2"/>
        <v>1695.8056912927536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4972.5199999999995</v>
      </c>
      <c r="I6" s="14"/>
      <c r="J6" s="14"/>
      <c r="K6" s="13"/>
      <c r="L6" s="16">
        <f t="shared" ca="1" si="0"/>
        <v>4972.5199999999995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4972.5199999999995</v>
      </c>
      <c r="R6" s="16">
        <f t="shared" ca="1" si="2"/>
        <v>4972.5199999999995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576.24</v>
      </c>
      <c r="I7" s="14"/>
      <c r="J7" s="14"/>
      <c r="K7" s="13"/>
      <c r="L7" s="16">
        <f t="shared" ca="1" si="0"/>
        <v>576.24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576.24</v>
      </c>
      <c r="R7" s="16">
        <f t="shared" ca="1" si="2"/>
        <v>576.24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1535.4226679217097</v>
      </c>
      <c r="J8" s="14">
        <f ca="1">Q10/J18</f>
        <v>3876.1373320782895</v>
      </c>
      <c r="K8" s="13"/>
      <c r="L8" s="16">
        <f t="shared" ca="1" si="0"/>
        <v>5411.5599999999995</v>
      </c>
      <c r="M8" s="16"/>
      <c r="N8" s="16">
        <f t="shared" ca="1" si="3"/>
        <v>0</v>
      </c>
      <c r="O8" s="11" cm="1">
        <f t="array" aca="1" ref="O8" ca="1">INDIRECT("'data'!$R$" &amp; $A$1)*parameters!$B$15</f>
        <v>183.26</v>
      </c>
      <c r="P8" s="13" cm="1">
        <f t="array" aca="1" ref="P8" ca="1">-INDIRECT("'data'!$S$" &amp; $A$1)*parameters!$B$15</f>
        <v>-46.06</v>
      </c>
      <c r="Q8" s="16">
        <f ca="1">SUM(Q6:Q7)</f>
        <v>5548.7599999999993</v>
      </c>
      <c r="R8" s="16">
        <f t="shared" ca="1" si="2"/>
        <v>5548.7599999999993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1421</v>
      </c>
      <c r="L9" s="16">
        <f t="shared" ca="1" si="0"/>
        <v>1421</v>
      </c>
      <c r="M9" s="16"/>
      <c r="N9" s="16">
        <f t="shared" ca="1" si="3"/>
        <v>0</v>
      </c>
      <c r="O9" s="11" cm="1">
        <f t="array" aca="1" ref="O9" ca="1">INDIRECT("'data'!$U$" &amp; $A$1)*parameters!$B$15</f>
        <v>1036.8399999999999</v>
      </c>
      <c r="P9" s="13" cm="1">
        <f t="array" aca="1" ref="P9" ca="1">-INDIRECT("'data'!$V$" &amp; $A$1)*parameters!$B$15</f>
        <v>-988.81999999999994</v>
      </c>
      <c r="Q9" s="16" cm="1">
        <f t="array" aca="1" ref="Q9" ca="1">INDIRECT("'data'!$T$" &amp; $A$1)*parameters!$B$15</f>
        <v>1469.02</v>
      </c>
      <c r="R9" s="16">
        <f t="shared" ca="1" si="2"/>
        <v>1469.0200000000002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1589.7454054054053</v>
      </c>
      <c r="L10" s="16">
        <f t="shared" ca="1" si="0"/>
        <v>1589.7454054054053</v>
      </c>
      <c r="M10" s="16"/>
      <c r="N10" s="16">
        <f t="shared" ca="1" si="3"/>
        <v>0</v>
      </c>
      <c r="O10" s="11" cm="1">
        <f t="array" aca="1" ref="O10" ca="1">INDIRECT("'data'!$X$" &amp; $A$1)*parameters!$B$15</f>
        <v>3482.92</v>
      </c>
      <c r="P10" s="13" cm="1">
        <f t="array" aca="1" ref="P10" ca="1">-INDIRECT("'data'!$Y$" &amp; $A$1)*parameters!$B$15</f>
        <v>-1364.16</v>
      </c>
      <c r="Q10" s="16" cm="1">
        <f t="array" aca="1" ref="Q10" ca="1">INDIRECT("'data'!$W$" &amp; $A$1)*parameters!$B$15</f>
        <v>3708.5054054054053</v>
      </c>
      <c r="R10" s="16">
        <f t="shared" ca="1" si="2"/>
        <v>3708.5054054054053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2894.0210486486485</v>
      </c>
      <c r="N11" s="19"/>
      <c r="O11" s="21" cm="1">
        <f t="array" aca="1" ref="O11" ca="1">INDIRECT("'data'!$Z$" &amp; $A$1)*parameters!$B$15</f>
        <v>2651.88</v>
      </c>
      <c r="P11" s="27" cm="1">
        <f t="array" aca="1" ref="P11" ca="1">-INDIRECT("'data'!$AA$" &amp; $A$1)*parameters!$B$15</f>
        <v>-2842.98</v>
      </c>
      <c r="Q11" s="16">
        <f ca="1">K9*parameters!$B$10+K10*parameters!$B$11</f>
        <v>2702.9210486486486</v>
      </c>
      <c r="R11" s="16">
        <f t="shared" ref="R11:R17" ca="1" si="4">SUM(L11:P11)</f>
        <v>2702.9210486486486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-26.079888799436048</v>
      </c>
      <c r="D12" s="9">
        <f ca="1">-(D17-Q4)</f>
        <v>0</v>
      </c>
      <c r="E12" s="9">
        <f ca="1">-(E17-Q5)</f>
        <v>-209.59396184517186</v>
      </c>
      <c r="F12" s="9">
        <f ca="1">-(F17-Q6)</f>
        <v>-328.6740298507475</v>
      </c>
      <c r="G12" s="9">
        <f ca="1">-(G17-Q7)</f>
        <v>-25.891661442006239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-590.23954193736165</v>
      </c>
      <c r="M12" s="17"/>
      <c r="N12" s="17"/>
      <c r="O12" s="10"/>
      <c r="P12" s="12"/>
      <c r="Q12" s="9">
        <f t="shared" ref="Q12:Q17" ca="1" si="6">SUM(L12:P12)</f>
        <v>-590.23954193736165</v>
      </c>
      <c r="R12" s="17">
        <f t="shared" ca="1" si="4"/>
        <v>-590.23954193736165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-66.402667921709735</v>
      </c>
      <c r="J13" s="14">
        <f ca="1">-(J17-Q10)</f>
        <v>-167.63192667288422</v>
      </c>
      <c r="K13" s="13">
        <f ca="1">-(K17-Q11)</f>
        <v>-307.82435675675652</v>
      </c>
      <c r="L13" s="14">
        <f t="shared" ca="1" si="5"/>
        <v>-541.85895135135047</v>
      </c>
      <c r="M13" s="16">
        <f ca="1">-E15</f>
        <v>-1363.540701786575</v>
      </c>
      <c r="N13" s="16"/>
      <c r="O13" s="11"/>
      <c r="P13" s="13"/>
      <c r="Q13" s="14">
        <f t="shared" ca="1" si="6"/>
        <v>-1905.3996531379255</v>
      </c>
      <c r="R13" s="16">
        <f t="shared" ca="1" si="4"/>
        <v>-1905.3996531379255</v>
      </c>
    </row>
    <row r="14" spans="1:20">
      <c r="A14" s="18" t="s">
        <v>78</v>
      </c>
      <c r="B14" s="11"/>
      <c r="C14" s="14"/>
      <c r="D14" s="14"/>
      <c r="E14" s="14">
        <f ca="1">-(I13+J13)-K13</f>
        <v>541.85895135135047</v>
      </c>
      <c r="F14" s="14"/>
      <c r="G14" s="14"/>
      <c r="H14" s="14"/>
      <c r="I14" s="14"/>
      <c r="J14" s="14"/>
      <c r="K14" s="13"/>
      <c r="L14" s="14">
        <f t="shared" ca="1" si="5"/>
        <v>541.85895135135047</v>
      </c>
      <c r="M14" s="16"/>
      <c r="N14" s="16"/>
      <c r="O14" s="11"/>
      <c r="P14" s="13"/>
      <c r="Q14" s="14">
        <f t="shared" ca="1" si="6"/>
        <v>541.85895135135047</v>
      </c>
      <c r="R14" s="16">
        <f t="shared" ca="1" si="4"/>
        <v>541.85895135135047</v>
      </c>
    </row>
    <row r="15" spans="1:20">
      <c r="A15" s="18" t="s">
        <v>79</v>
      </c>
      <c r="B15" s="11"/>
      <c r="C15" s="14"/>
      <c r="D15" s="14"/>
      <c r="E15" s="14">
        <f ca="1">E17-E14</f>
        <v>1363.540701786575</v>
      </c>
      <c r="F15" s="14"/>
      <c r="G15" s="14"/>
      <c r="H15" s="14"/>
      <c r="I15" s="14"/>
      <c r="J15" s="14"/>
      <c r="K15" s="13"/>
      <c r="L15" s="14">
        <f t="shared" ca="1" si="5"/>
        <v>1363.540701786575</v>
      </c>
      <c r="M15" s="16"/>
      <c r="N15" s="16"/>
      <c r="O15" s="11"/>
      <c r="P15" s="13"/>
      <c r="Q15" s="14">
        <f t="shared" ca="1" si="6"/>
        <v>1363.540701786575</v>
      </c>
      <c r="R15" s="16">
        <f t="shared" ca="1" si="4"/>
        <v>1363.540701786575</v>
      </c>
    </row>
    <row r="16" spans="1:20">
      <c r="A16" s="30" t="s">
        <v>89</v>
      </c>
      <c r="B16" s="21">
        <f ca="1">Q2</f>
        <v>480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480</v>
      </c>
      <c r="M16" s="19"/>
      <c r="N16" s="19"/>
      <c r="O16" s="21"/>
      <c r="P16" s="27"/>
      <c r="Q16" s="22">
        <f t="shared" ca="1" si="6"/>
        <v>480</v>
      </c>
      <c r="R16" s="19">
        <f t="shared" ca="1" si="4"/>
        <v>480</v>
      </c>
    </row>
    <row r="17" spans="1:18">
      <c r="A17" s="29" t="s">
        <v>88</v>
      </c>
      <c r="B17" s="9">
        <f ca="1">B16</f>
        <v>480</v>
      </c>
      <c r="C17" s="9">
        <f ca="1">SUM(C$2:C$11)</f>
        <v>4139.6648887994361</v>
      </c>
      <c r="D17" s="9">
        <f ca="1">SUM(D$2:D$11)</f>
        <v>0</v>
      </c>
      <c r="E17" s="9">
        <f ca="1">$Q$5/parameters!$B$4</f>
        <v>1905.3996531379255</v>
      </c>
      <c r="F17" s="9">
        <f t="shared" ref="F17:K17" ca="1" si="7">SUM(F$2:F$11)</f>
        <v>5301.194029850747</v>
      </c>
      <c r="G17" s="9">
        <f t="shared" ca="1" si="7"/>
        <v>602.13166144200625</v>
      </c>
      <c r="H17" s="9">
        <f t="shared" ca="1" si="7"/>
        <v>5548.7599999999993</v>
      </c>
      <c r="I17" s="9">
        <f t="shared" ca="1" si="7"/>
        <v>1535.4226679217097</v>
      </c>
      <c r="J17" s="9">
        <f t="shared" ca="1" si="7"/>
        <v>3876.1373320782895</v>
      </c>
      <c r="K17" s="9">
        <f t="shared" ca="1" si="7"/>
        <v>3010.7454054054051</v>
      </c>
      <c r="L17" s="17">
        <f t="shared" ca="1" si="5"/>
        <v>26399.455638635518</v>
      </c>
      <c r="M17" s="17"/>
      <c r="N17" s="17"/>
      <c r="O17" s="9"/>
      <c r="P17" s="14"/>
      <c r="Q17" s="11">
        <f t="shared" ca="1" si="6"/>
        <v>26399.455638635518</v>
      </c>
      <c r="R17" s="17">
        <f t="shared" ca="1" si="4"/>
        <v>26399.455638635518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0.93799999999999972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0.95675284121499271</v>
      </c>
      <c r="J18" s="39">
        <f ca="1">I18</f>
        <v>0.95675284121499271</v>
      </c>
      <c r="K18" s="40">
        <f ca="1">1-(-K13)/K17</f>
        <v>0.8977580913337615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2935.7099728288213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2935.7099728288213</v>
      </c>
      <c r="M2" s="17"/>
      <c r="N2" s="17">
        <f ca="1">Q2-(L2+O2+P2)</f>
        <v>0</v>
      </c>
      <c r="O2" s="11" cm="1">
        <f t="array" aca="1" ref="O2" ca="1">INDIRECT("'data'!$F$" &amp; $A$1)</f>
        <v>116.35000000000001</v>
      </c>
      <c r="P2" s="13">
        <f ca="1">IF(-(L2-Q2+O2)&lt;0, -(L2-Q2+O2), 0)</f>
        <v>-3052.0599728288212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2749.0149253731342</v>
      </c>
      <c r="G3" s="14">
        <f ca="1">Q3-O3-P3-F3</f>
        <v>283.49007462686586</v>
      </c>
      <c r="H3" s="14"/>
      <c r="I3" s="14"/>
      <c r="J3" s="14"/>
      <c r="K3" s="13"/>
      <c r="L3" s="16">
        <f t="shared" ca="1" si="0"/>
        <v>3032.5050000000001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151.19999999999999</v>
      </c>
      <c r="P3" s="13" cm="1">
        <f t="array" aca="1" ref="P3" ca="1">-INDIRECT("'data'!$I$" &amp; $A$1)*parameters!$B$13</f>
        <v>-266.49</v>
      </c>
      <c r="Q3" s="16" cm="1">
        <f t="array" aca="1" ref="Q3" ca="1">INDIRECT("'data'!$G$" &amp; $A$1)*parameters!$B$13</f>
        <v>2917.2149999999997</v>
      </c>
      <c r="R3" s="16">
        <f t="shared" ref="R3:R10" ca="1" si="2">SUM(L3:P3)</f>
        <v>2917.2150000000001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687.25373134328356</v>
      </c>
      <c r="G5" s="14">
        <f ca="1">Q7/parameters!$B$7-(G3+G4)</f>
        <v>2119.9164039520265</v>
      </c>
      <c r="H5" s="14"/>
      <c r="I5" s="14"/>
      <c r="J5" s="14"/>
      <c r="K5" s="13"/>
      <c r="L5" s="16">
        <f t="shared" ca="1" si="0"/>
        <v>2807.17013529531</v>
      </c>
      <c r="M5" s="16"/>
      <c r="N5" s="16"/>
      <c r="O5" s="11" cm="1">
        <f t="array" aca="1" ref="O5" ca="1">INDIRECT("'data'!$M$" &amp; $A$1)*parameters!$B$15</f>
        <v>3180.1</v>
      </c>
      <c r="P5" s="13" cm="1">
        <f t="array" aca="1" ref="P5" ca="1">-INDIRECT("'data'!$N$" &amp; $A$1)*parameters!$B$15</f>
        <v>-3605.42</v>
      </c>
      <c r="Q5" s="16">
        <f ca="1">SUM(L5:P5)</f>
        <v>2381.8501352953099</v>
      </c>
      <c r="R5" s="16">
        <f t="shared" ca="1" si="2"/>
        <v>2381.8501352953099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3223.22</v>
      </c>
      <c r="I6" s="14"/>
      <c r="J6" s="14"/>
      <c r="K6" s="13"/>
      <c r="L6" s="16">
        <f t="shared" ca="1" si="0"/>
        <v>3223.22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3223.22</v>
      </c>
      <c r="R6" s="16">
        <f t="shared" ca="1" si="2"/>
        <v>3223.22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2300.06</v>
      </c>
      <c r="I7" s="14"/>
      <c r="J7" s="14"/>
      <c r="K7" s="13"/>
      <c r="L7" s="16">
        <f t="shared" ca="1" si="0"/>
        <v>2300.06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2300.06</v>
      </c>
      <c r="R7" s="16">
        <f t="shared" ca="1" si="2"/>
        <v>2300.06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871.68421052631572</v>
      </c>
      <c r="J8" s="14">
        <f ca="1">Q10/J18</f>
        <v>6341.1157894736834</v>
      </c>
      <c r="K8" s="13"/>
      <c r="L8" s="16">
        <f t="shared" ca="1" si="0"/>
        <v>7212.7999999999993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258.71999999999997</v>
      </c>
      <c r="P8" s="13" cm="1">
        <f t="array" aca="1" ref="P8" ca="1">-INDIRECT("'data'!$S$" &amp; $A$1)*parameters!$B$15</f>
        <v>-1948.24</v>
      </c>
      <c r="Q8" s="16">
        <f ca="1">SUM(Q6:Q7)</f>
        <v>5523.28</v>
      </c>
      <c r="R8" s="16">
        <f t="shared" ca="1" si="2"/>
        <v>5523.28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1008.4200000000002</v>
      </c>
      <c r="L9" s="16">
        <f t="shared" ca="1" si="0"/>
        <v>1008.4200000000002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1465.1</v>
      </c>
      <c r="P9" s="13" cm="1">
        <f t="array" aca="1" ref="P9" ca="1">-INDIRECT("'data'!$V$" &amp; $A$1)*parameters!$B$15</f>
        <v>-1645.42</v>
      </c>
      <c r="Q9" s="16" cm="1">
        <f t="array" aca="1" ref="Q9" ca="1">INDIRECT("'data'!$T$" &amp; $A$1)*parameters!$B$15</f>
        <v>828.1</v>
      </c>
      <c r="R9" s="16">
        <f t="shared" ca="1" si="2"/>
        <v>828.09999999999991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902.57999999999902</v>
      </c>
      <c r="L10" s="16">
        <f t="shared" ca="1" si="0"/>
        <v>902.57999999999902</v>
      </c>
      <c r="M10" s="16"/>
      <c r="N10" s="16">
        <f t="shared" ca="1" si="3"/>
        <v>0</v>
      </c>
      <c r="O10" s="11" cm="1">
        <f t="array" aca="1" ref="O10" ca="1">INDIRECT("'data'!$X$" &amp; $A$1)*parameters!$B$15</f>
        <v>10403.68</v>
      </c>
      <c r="P10" s="13" cm="1">
        <f t="array" aca="1" ref="P10" ca="1">-INDIRECT("'data'!$Y$" &amp; $A$1)*parameters!$B$15</f>
        <v>-5282.2</v>
      </c>
      <c r="Q10" s="16" cm="1">
        <f t="array" aca="1" ref="Q10" ca="1">INDIRECT("'data'!$W$" &amp; $A$1)*parameters!$B$15</f>
        <v>6024.0599999999995</v>
      </c>
      <c r="R10" s="16">
        <f t="shared" ca="1" si="2"/>
        <v>6024.0599999999986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2122.0135999999984</v>
      </c>
      <c r="N11" s="19"/>
      <c r="O11" s="21" cm="1">
        <f t="array" aca="1" ref="O11" ca="1">INDIRECT("'data'!$Z$" &amp; $A$1)*parameters!$B$15</f>
        <v>5356.68</v>
      </c>
      <c r="P11" s="27" cm="1">
        <f t="array" aca="1" ref="P11" ca="1">-INDIRECT("'data'!$AA$" &amp; $A$1)*parameters!$B$15</f>
        <v>-5754.5599999999995</v>
      </c>
      <c r="Q11" s="16">
        <f ca="1">K9*parameters!$B$10+K10*parameters!$B$11</f>
        <v>1724.1335999999992</v>
      </c>
      <c r="R11" s="16">
        <f t="shared" ref="R11:R17" ca="1" si="4">SUM(L11:P11)</f>
        <v>1724.1335999999992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-18.494972828821574</v>
      </c>
      <c r="D12" s="9">
        <f ca="1">-(D17-Q4)</f>
        <v>0</v>
      </c>
      <c r="E12" s="9">
        <f ca="1">-(E17-Q5)</f>
        <v>-294.38597177807196</v>
      </c>
      <c r="F12" s="9">
        <f ca="1">-(F17-Q6)</f>
        <v>-213.04865671641801</v>
      </c>
      <c r="G12" s="9">
        <f ca="1">-(G17-Q7)</f>
        <v>-103.3464785788924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-629.27607990220395</v>
      </c>
      <c r="M12" s="17"/>
      <c r="N12" s="17"/>
      <c r="O12" s="10"/>
      <c r="P12" s="12"/>
      <c r="Q12" s="9">
        <f t="shared" ref="Q12:Q17" ca="1" si="6">SUM(L12:P12)</f>
        <v>-629.27607990220395</v>
      </c>
      <c r="R12" s="17">
        <f t="shared" ca="1" si="4"/>
        <v>-629.27607990220395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-43.584210526315701</v>
      </c>
      <c r="J13" s="14">
        <f ca="1">-(J17-Q10)</f>
        <v>-317.05578947368394</v>
      </c>
      <c r="K13" s="13">
        <f ca="1">-(K17-Q11)</f>
        <v>-186.86639999999989</v>
      </c>
      <c r="L13" s="14">
        <f t="shared" ca="1" si="5"/>
        <v>-547.50639999999953</v>
      </c>
      <c r="M13" s="16">
        <f ca="1">-E15</f>
        <v>-2128.7297070733821</v>
      </c>
      <c r="N13" s="16"/>
      <c r="O13" s="11"/>
      <c r="P13" s="13"/>
      <c r="Q13" s="14">
        <f t="shared" ca="1" si="6"/>
        <v>-2676.2361070733814</v>
      </c>
      <c r="R13" s="16">
        <f t="shared" ca="1" si="4"/>
        <v>-2676.2361070733814</v>
      </c>
    </row>
    <row r="14" spans="1:20">
      <c r="A14" s="18" t="s">
        <v>78</v>
      </c>
      <c r="B14" s="11"/>
      <c r="C14" s="14"/>
      <c r="D14" s="14"/>
      <c r="E14" s="14">
        <f ca="1">-(I13+J13)-K13</f>
        <v>547.50639999999953</v>
      </c>
      <c r="F14" s="14"/>
      <c r="G14" s="14"/>
      <c r="H14" s="14"/>
      <c r="I14" s="14"/>
      <c r="J14" s="14"/>
      <c r="K14" s="13"/>
      <c r="L14" s="14">
        <f t="shared" ca="1" si="5"/>
        <v>547.50639999999953</v>
      </c>
      <c r="M14" s="16"/>
      <c r="N14" s="16"/>
      <c r="O14" s="11"/>
      <c r="P14" s="13"/>
      <c r="Q14" s="14">
        <f t="shared" ca="1" si="6"/>
        <v>547.50639999999953</v>
      </c>
      <c r="R14" s="16">
        <f t="shared" ca="1" si="4"/>
        <v>547.50639999999953</v>
      </c>
    </row>
    <row r="15" spans="1:20">
      <c r="A15" s="18" t="s">
        <v>79</v>
      </c>
      <c r="B15" s="11"/>
      <c r="C15" s="14"/>
      <c r="D15" s="14"/>
      <c r="E15" s="14">
        <f ca="1">E17-E14</f>
        <v>2128.7297070733821</v>
      </c>
      <c r="F15" s="14"/>
      <c r="G15" s="14"/>
      <c r="H15" s="14"/>
      <c r="I15" s="14"/>
      <c r="J15" s="14"/>
      <c r="K15" s="13"/>
      <c r="L15" s="14">
        <f t="shared" ca="1" si="5"/>
        <v>2128.7297070733821</v>
      </c>
      <c r="M15" s="16"/>
      <c r="N15" s="16"/>
      <c r="O15" s="11"/>
      <c r="P15" s="13"/>
      <c r="Q15" s="14">
        <f t="shared" ca="1" si="6"/>
        <v>2128.7297070733821</v>
      </c>
      <c r="R15" s="16">
        <f t="shared" ca="1" si="4"/>
        <v>2128.7297070733821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2935.7099728288213</v>
      </c>
      <c r="D17" s="9">
        <f ca="1">SUM(D$2:D$11)</f>
        <v>0</v>
      </c>
      <c r="E17" s="9">
        <f ca="1">$Q$5/parameters!$B$4</f>
        <v>2676.2361070733818</v>
      </c>
      <c r="F17" s="9">
        <f t="shared" ref="F17:K17" ca="1" si="7">SUM(F$2:F$11)</f>
        <v>3436.2686567164178</v>
      </c>
      <c r="G17" s="9">
        <f t="shared" ca="1" si="7"/>
        <v>2403.4064785788923</v>
      </c>
      <c r="H17" s="9">
        <f t="shared" ca="1" si="7"/>
        <v>5523.28</v>
      </c>
      <c r="I17" s="9">
        <f t="shared" ca="1" si="7"/>
        <v>871.68421052631572</v>
      </c>
      <c r="J17" s="9">
        <f t="shared" ca="1" si="7"/>
        <v>6341.1157894736834</v>
      </c>
      <c r="K17" s="9">
        <f t="shared" ca="1" si="7"/>
        <v>1910.9999999999991</v>
      </c>
      <c r="L17" s="17">
        <f t="shared" ca="1" si="5"/>
        <v>26098.701215197514</v>
      </c>
      <c r="M17" s="17"/>
      <c r="N17" s="17"/>
      <c r="O17" s="9"/>
      <c r="P17" s="14"/>
      <c r="Q17" s="11">
        <f t="shared" ca="1" si="6"/>
        <v>26098.701215197514</v>
      </c>
      <c r="R17" s="17">
        <f t="shared" ca="1" si="4"/>
        <v>26098.701215197514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0.95000000000000007</v>
      </c>
      <c r="J18" s="39">
        <f ca="1">I18</f>
        <v>0.95000000000000007</v>
      </c>
      <c r="K18" s="40">
        <f ca="1">1-(-K13)/K17</f>
        <v>0.90221538461538464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7295.0538391868768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7295.0538391868768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-7295.0538391868768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6981.4029850746274</v>
      </c>
      <c r="G3" s="14">
        <f ca="1">Q3-O3-P3-F3</f>
        <v>261.07701492537126</v>
      </c>
      <c r="H3" s="14"/>
      <c r="I3" s="14"/>
      <c r="J3" s="14"/>
      <c r="K3" s="13"/>
      <c r="L3" s="16">
        <f t="shared" ca="1" si="0"/>
        <v>7242.4799999999987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25.514999999999997</v>
      </c>
      <c r="P3" s="13" cm="1">
        <f t="array" aca="1" ref="P3" ca="1">-INDIRECT("'data'!$I$" &amp; $A$1)*parameters!$B$13</f>
        <v>-18.899999999999999</v>
      </c>
      <c r="Q3" s="16" cm="1">
        <f t="array" aca="1" ref="Q3" ca="1">INDIRECT("'data'!$G$" &amp; $A$1)*parameters!$B$13</f>
        <v>7249.0949999999993</v>
      </c>
      <c r="R3" s="16">
        <f t="shared" ref="R3:R10" ca="1" si="2">SUM(L3:P3)</f>
        <v>7249.0949999999993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Q6/parameters!$B$5*16%</f>
        <v>1329.7910447761196</v>
      </c>
      <c r="G5" s="14">
        <f ca="1">Q7/parameters!$B$7-(G3+G4)</f>
        <v>1908.9538732668962</v>
      </c>
      <c r="H5" s="14"/>
      <c r="I5" s="14"/>
      <c r="J5" s="14"/>
      <c r="K5" s="13"/>
      <c r="L5" s="16">
        <f t="shared" ca="1" si="0"/>
        <v>3238.7449180430158</v>
      </c>
      <c r="M5" s="16"/>
      <c r="N5" s="16"/>
      <c r="O5" s="11" cm="1">
        <f t="array" aca="1" ref="O5" ca="1">INDIRECT("'data'!$M$" &amp; $A$1)*parameters!$B$15</f>
        <v>5887.84</v>
      </c>
      <c r="P5" s="13" cm="1">
        <f t="array" aca="1" ref="P5" ca="1">-INDIRECT("'data'!$N$" &amp; $A$1)*parameters!$B$15</f>
        <v>-215.6</v>
      </c>
      <c r="Q5" s="16">
        <f ca="1">SUM(L5:P5)</f>
        <v>8910.9849180430156</v>
      </c>
      <c r="R5" s="16">
        <f t="shared" ca="1" si="2"/>
        <v>8910.9849180430156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7795.9</v>
      </c>
      <c r="I6" s="14"/>
      <c r="J6" s="14"/>
      <c r="K6" s="13"/>
      <c r="L6" s="16">
        <f t="shared" ca="1" si="0"/>
        <v>7795.9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7795.9</v>
      </c>
      <c r="R6" s="16">
        <f t="shared" ca="1" si="2"/>
        <v>7795.9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2077.6</v>
      </c>
      <c r="I7" s="14"/>
      <c r="J7" s="14"/>
      <c r="K7" s="13"/>
      <c r="L7" s="16">
        <f t="shared" ca="1" si="0"/>
        <v>2077.6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2077.6</v>
      </c>
      <c r="R7" s="16">
        <f t="shared" ca="1" si="2"/>
        <v>2077.6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3563.9260198041866</v>
      </c>
      <c r="J8" s="14">
        <f ca="1">Q10/J18</f>
        <v>4427.9739801958131</v>
      </c>
      <c r="K8" s="13"/>
      <c r="L8" s="16">
        <f t="shared" ca="1" si="0"/>
        <v>7991.9</v>
      </c>
      <c r="M8" s="16"/>
      <c r="N8" s="16">
        <f t="shared" ca="1" si="3"/>
        <v>0</v>
      </c>
      <c r="O8" s="11" cm="1">
        <f t="array" aca="1" ref="O8" ca="1">INDIRECT("'data'!$R$" &amp; $A$1)*parameters!$B$15</f>
        <v>2087.4</v>
      </c>
      <c r="P8" s="13" cm="1">
        <f t="array" aca="1" ref="P8" ca="1">-INDIRECT("'data'!$S$" &amp; $A$1)*parameters!$B$15</f>
        <v>-205.79999999999998</v>
      </c>
      <c r="Q8" s="16">
        <f ca="1">SUM(Q6:Q7)</f>
        <v>9873.5</v>
      </c>
      <c r="R8" s="16">
        <f t="shared" ca="1" si="2"/>
        <v>9873.5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2453.92</v>
      </c>
      <c r="L9" s="16">
        <f t="shared" ca="1" si="0"/>
        <v>2453.92</v>
      </c>
      <c r="M9" s="16"/>
      <c r="N9" s="16">
        <f t="shared" ca="1" si="3"/>
        <v>0</v>
      </c>
      <c r="O9" s="11" cm="1">
        <f t="array" aca="1" ref="O9" ca="1">INDIRECT("'data'!$U$" &amp; $A$1)*parameters!$B$15</f>
        <v>1651.3</v>
      </c>
      <c r="P9" s="13" cm="1">
        <f t="array" aca="1" ref="P9" ca="1">-INDIRECT("'data'!$V$" &amp; $A$1)*parameters!$B$15</f>
        <v>-1036.8399999999999</v>
      </c>
      <c r="Q9" s="16" cm="1">
        <f t="array" aca="1" ref="Q9" ca="1">INDIRECT("'data'!$T$" &amp; $A$1)*parameters!$B$15</f>
        <v>3068.38</v>
      </c>
      <c r="R9" s="16">
        <f t="shared" ca="1" si="2"/>
        <v>3068.38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4419.8864295874828</v>
      </c>
      <c r="L10" s="16">
        <f t="shared" ca="1" si="0"/>
        <v>4419.8864295874828</v>
      </c>
      <c r="M10" s="16"/>
      <c r="N10" s="16">
        <f t="shared" ca="1" si="3"/>
        <v>0</v>
      </c>
      <c r="O10" s="11" cm="1">
        <f t="array" aca="1" ref="O10" ca="1">INDIRECT("'data'!$X$" &amp; $A$1)*parameters!$B$15</f>
        <v>1707.16</v>
      </c>
      <c r="P10" s="13" cm="1">
        <f t="array" aca="1" ref="P10" ca="1">-INDIRECT("'data'!$Y$" &amp; $A$1)*parameters!$B$15</f>
        <v>-2314.7599999999998</v>
      </c>
      <c r="Q10" s="16" cm="1">
        <f t="array" aca="1" ref="Q10" ca="1">INDIRECT("'data'!$W$" &amp; $A$1)*parameters!$B$15</f>
        <v>3812.2864295874824</v>
      </c>
      <c r="R10" s="16">
        <f t="shared" ca="1" si="2"/>
        <v>3812.2864295874829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8919.4071294452351</v>
      </c>
      <c r="N11" s="19"/>
      <c r="O11" s="21" cm="1">
        <f t="array" aca="1" ref="O11" ca="1">INDIRECT("'data'!$Z$" &amp; $A$1)*parameters!$B$15</f>
        <v>4590.32</v>
      </c>
      <c r="P11" s="27" cm="1">
        <f t="array" aca="1" ref="P11" ca="1">-INDIRECT("'data'!$AA$" &amp; $A$1)*parameters!$B$15</f>
        <v>-7401.94</v>
      </c>
      <c r="Q11" s="16">
        <f ca="1">K9*parameters!$B$10+K10*parameters!$B$11</f>
        <v>6107.7871294452352</v>
      </c>
      <c r="R11" s="16">
        <f t="shared" ref="R11:R17" ca="1" si="4">SUM(L11:P11)</f>
        <v>6107.7871294452352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-45.958839186877412</v>
      </c>
      <c r="D12" s="9">
        <f ca="1">-(D17-Q4)</f>
        <v>0</v>
      </c>
      <c r="E12" s="9">
        <f ca="1">-(E17-Q5)</f>
        <v>-1101.3576864996976</v>
      </c>
      <c r="F12" s="9">
        <f ca="1">-(F17-Q6)</f>
        <v>-515.29402985074739</v>
      </c>
      <c r="G12" s="9">
        <f ca="1">-(G17-Q7)</f>
        <v>-93.350888192267576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-1755.96144372959</v>
      </c>
      <c r="M12" s="17"/>
      <c r="N12" s="17"/>
      <c r="O12" s="10"/>
      <c r="P12" s="12"/>
      <c r="Q12" s="9">
        <f t="shared" ref="Q12:Q17" ca="1" si="6">SUM(L12:P12)</f>
        <v>-1755.96144372959</v>
      </c>
      <c r="R12" s="17">
        <f t="shared" ca="1" si="4"/>
        <v>-1755.96144372959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-495.54601980418647</v>
      </c>
      <c r="J13" s="14">
        <f ca="1">-(J17-Q10)</f>
        <v>-615.68755060833064</v>
      </c>
      <c r="K13" s="13">
        <f ca="1">-(K17-Q11)</f>
        <v>-766.01930014224763</v>
      </c>
      <c r="L13" s="14">
        <f t="shared" ca="1" si="5"/>
        <v>-1877.2528705547647</v>
      </c>
      <c r="M13" s="16">
        <f ca="1">-E15</f>
        <v>-8135.0897339879484</v>
      </c>
      <c r="N13" s="16"/>
      <c r="O13" s="11"/>
      <c r="P13" s="13"/>
      <c r="Q13" s="14">
        <f t="shared" ca="1" si="6"/>
        <v>-10012.342604542713</v>
      </c>
      <c r="R13" s="16">
        <f t="shared" ca="1" si="4"/>
        <v>-10012.342604542713</v>
      </c>
    </row>
    <row r="14" spans="1:20">
      <c r="A14" s="18" t="s">
        <v>78</v>
      </c>
      <c r="B14" s="11"/>
      <c r="C14" s="14"/>
      <c r="D14" s="14"/>
      <c r="E14" s="14">
        <f ca="1">-(I13+J13)-K13</f>
        <v>1877.2528705547647</v>
      </c>
      <c r="F14" s="14"/>
      <c r="G14" s="14"/>
      <c r="H14" s="14"/>
      <c r="I14" s="14"/>
      <c r="J14" s="14"/>
      <c r="K14" s="13"/>
      <c r="L14" s="14">
        <f t="shared" ca="1" si="5"/>
        <v>1877.2528705547647</v>
      </c>
      <c r="M14" s="16"/>
      <c r="N14" s="16"/>
      <c r="O14" s="11"/>
      <c r="P14" s="13"/>
      <c r="Q14" s="14">
        <f t="shared" ca="1" si="6"/>
        <v>1877.2528705547647</v>
      </c>
      <c r="R14" s="16">
        <f t="shared" ca="1" si="4"/>
        <v>1877.2528705547647</v>
      </c>
    </row>
    <row r="15" spans="1:20">
      <c r="A15" s="18" t="s">
        <v>79</v>
      </c>
      <c r="B15" s="11"/>
      <c r="C15" s="14"/>
      <c r="D15" s="14"/>
      <c r="E15" s="14">
        <f ca="1">E17-E14</f>
        <v>8135.0897339879484</v>
      </c>
      <c r="F15" s="14"/>
      <c r="G15" s="14"/>
      <c r="H15" s="14"/>
      <c r="I15" s="14"/>
      <c r="J15" s="14"/>
      <c r="K15" s="13"/>
      <c r="L15" s="14">
        <f t="shared" ca="1" si="5"/>
        <v>8135.0897339879484</v>
      </c>
      <c r="M15" s="16"/>
      <c r="N15" s="16"/>
      <c r="O15" s="11"/>
      <c r="P15" s="13"/>
      <c r="Q15" s="14">
        <f t="shared" ca="1" si="6"/>
        <v>8135.0897339879484</v>
      </c>
      <c r="R15" s="16">
        <f t="shared" ca="1" si="4"/>
        <v>8135.0897339879484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7295.0538391868768</v>
      </c>
      <c r="D17" s="9">
        <f ca="1">SUM(D$2:D$11)</f>
        <v>0</v>
      </c>
      <c r="E17" s="9">
        <f ca="1">$Q$5/parameters!$B$4</f>
        <v>10012.342604542713</v>
      </c>
      <c r="F17" s="9">
        <f t="shared" ref="F17:K17" ca="1" si="7">SUM(F$2:F$11)</f>
        <v>8311.194029850747</v>
      </c>
      <c r="G17" s="9">
        <f t="shared" ca="1" si="7"/>
        <v>2170.9508881922675</v>
      </c>
      <c r="H17" s="9">
        <f t="shared" ca="1" si="7"/>
        <v>9873.5</v>
      </c>
      <c r="I17" s="9">
        <f t="shared" ca="1" si="7"/>
        <v>3563.9260198041866</v>
      </c>
      <c r="J17" s="9">
        <f t="shared" ca="1" si="7"/>
        <v>4427.9739801958131</v>
      </c>
      <c r="K17" s="9">
        <f t="shared" ca="1" si="7"/>
        <v>6873.8064295874829</v>
      </c>
      <c r="L17" s="17">
        <f t="shared" ca="1" si="5"/>
        <v>52528.747791360089</v>
      </c>
      <c r="M17" s="17"/>
      <c r="N17" s="17"/>
      <c r="O17" s="9"/>
      <c r="P17" s="14"/>
      <c r="Q17" s="11">
        <f t="shared" ca="1" si="6"/>
        <v>52528.747791360089</v>
      </c>
      <c r="R17" s="17">
        <f t="shared" ca="1" si="4"/>
        <v>52528.747791360089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0.86095502065685037</v>
      </c>
      <c r="J18" s="39">
        <f ca="1">I18</f>
        <v>0.86095502065685037</v>
      </c>
      <c r="K18" s="40">
        <f ca="1">1-(-K13)/K17</f>
        <v>0.88855966370466755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4028.9626429800282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4028.9626429800282</v>
      </c>
      <c r="M2" s="17"/>
      <c r="N2" s="17">
        <f ca="1">Q2-(L2+O2+P2)</f>
        <v>0</v>
      </c>
      <c r="O2" s="11" cm="1">
        <f t="array" aca="1" ref="O2" ca="1">INDIRECT("'data'!$F$" &amp; $A$1)</f>
        <v>10624.25</v>
      </c>
      <c r="P2" s="13">
        <f ca="1">IF(-(L2-Q2+O2)&lt;0, -(L2-Q2+O2), 0)</f>
        <v>-14653.212642980028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3969.2716417910442</v>
      </c>
      <c r="G3" s="14">
        <f ca="1">Q3-O3-P3-F3</f>
        <v>47.538536538209883</v>
      </c>
      <c r="H3" s="14"/>
      <c r="I3" s="14"/>
      <c r="J3" s="14"/>
      <c r="K3" s="13"/>
      <c r="L3" s="16">
        <f t="shared" ca="1" si="0"/>
        <v>4016.8101783292541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160.65</v>
      </c>
      <c r="P3" s="13" cm="1">
        <f t="array" aca="1" ref="P3" ca="1">-INDIRECT("'data'!$I$" &amp; $A$1)*parameters!$B$13</f>
        <v>-173.88</v>
      </c>
      <c r="Q3" s="16" cm="1">
        <f t="array" aca="1" ref="Q3" ca="1">INDIRECT("'data'!$G$" &amp; $A$1)*parameters!$B$13</f>
        <v>4003.5801783292541</v>
      </c>
      <c r="R3" s="16">
        <f t="shared" ref="R3:R10" ca="1" si="2">SUM(L3:P3)</f>
        <v>4003.5801783292536</v>
      </c>
    </row>
    <row r="4" spans="1:19">
      <c r="A4" s="18" t="s">
        <v>65</v>
      </c>
      <c r="B4" s="11"/>
      <c r="C4" s="14"/>
      <c r="D4" s="14"/>
      <c r="E4" s="14"/>
      <c r="F4" s="14"/>
      <c r="G4" s="49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199.64</v>
      </c>
      <c r="O4" s="11" cm="1">
        <f t="array" aca="1" ref="O4" ca="1">INDIRECT("'data'!$K$" &amp; $A$1)*parameters!$B$14</f>
        <v>102.12</v>
      </c>
      <c r="P4" s="13" cm="1">
        <f t="array" aca="1" ref="P4" ca="1">-INDIRECT("'data'!$L$" &amp; $A$1)*parameters!$B$14</f>
        <v>-301.76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108</v>
      </c>
      <c r="B5" s="11"/>
      <c r="C5" s="14"/>
      <c r="D5" s="14"/>
      <c r="E5" s="14"/>
      <c r="F5" s="14">
        <f ca="1">Q6/parameters!$B$5*26%</f>
        <v>1394.6089552238807</v>
      </c>
      <c r="G5" s="14">
        <f ca="1">Q7/parameters!$B$7-(G3+G4)</f>
        <v>13.903469731382593</v>
      </c>
      <c r="H5" s="14"/>
      <c r="I5" s="14"/>
      <c r="J5" s="14"/>
      <c r="K5" s="13"/>
      <c r="L5" s="16">
        <f t="shared" ca="1" si="0"/>
        <v>1408.5124249552632</v>
      </c>
      <c r="M5" s="16"/>
      <c r="N5" s="16"/>
      <c r="O5" s="11" cm="1">
        <f t="array" aca="1" ref="O5" ca="1">INDIRECT("'data'!$M$" &amp; $A$1)*parameters!$B$15</f>
        <v>4253.2</v>
      </c>
      <c r="P5" s="13" cm="1">
        <f t="array" aca="1" ref="P5" ca="1">-INDIRECT("'data'!$N$" &amp; $A$1)*parameters!$B$15</f>
        <v>-1813.98</v>
      </c>
      <c r="Q5" s="16">
        <f ca="1">SUM(L5:P5)</f>
        <v>3847.7324249552635</v>
      </c>
      <c r="R5" s="16">
        <f t="shared" ca="1" si="2"/>
        <v>3847.7324249552635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8"/>
      <c r="H6" s="14">
        <f ca="1">Q6</f>
        <v>5031.32</v>
      </c>
      <c r="I6" s="14"/>
      <c r="J6" s="14"/>
      <c r="K6" s="13"/>
      <c r="L6" s="16">
        <f t="shared" ca="1" si="0"/>
        <v>5031.32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5031.32</v>
      </c>
      <c r="R6" s="16">
        <f t="shared" ca="1" si="2"/>
        <v>5031.32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58.8</v>
      </c>
      <c r="I7" s="14"/>
      <c r="J7" s="14"/>
      <c r="K7" s="13"/>
      <c r="L7" s="16">
        <f t="shared" ca="1" si="0"/>
        <v>58.8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58.8</v>
      </c>
      <c r="R7" s="16">
        <f t="shared" ca="1" si="2"/>
        <v>58.8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116.44714369415942</v>
      </c>
      <c r="J8" s="14">
        <f ca="1">Q10/J18</f>
        <v>4934.4728563058407</v>
      </c>
      <c r="K8" s="13"/>
      <c r="L8" s="16">
        <f t="shared" ca="1" si="0"/>
        <v>5050.92</v>
      </c>
      <c r="M8" s="16"/>
      <c r="N8" s="16">
        <f t="shared" ca="1" si="3"/>
        <v>0</v>
      </c>
      <c r="O8" s="11" cm="1">
        <f t="array" aca="1" ref="O8" ca="1">INDIRECT("'data'!$R$" &amp; $A$1)*parameters!$B$15</f>
        <v>366.52</v>
      </c>
      <c r="P8" s="13" cm="1">
        <f t="array" aca="1" ref="P8" ca="1">-INDIRECT("'data'!$S$" &amp; $A$1)*parameters!$B$15</f>
        <v>-327.32</v>
      </c>
      <c r="Q8" s="16">
        <f ca="1">SUM(Q6:Q7)</f>
        <v>5090.12</v>
      </c>
      <c r="R8" s="16">
        <f t="shared" ca="1" si="2"/>
        <v>5090.1200000000008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1416.1</v>
      </c>
      <c r="L9" s="16">
        <f t="shared" ca="1" si="0"/>
        <v>1416.1</v>
      </c>
      <c r="M9" s="16"/>
      <c r="N9" s="16">
        <f t="shared" ca="1" si="3"/>
        <v>0</v>
      </c>
      <c r="O9" s="11" cm="1">
        <f t="array" aca="1" ref="O9" ca="1">INDIRECT("'data'!$U$" &amp; $A$1)*parameters!$B$15</f>
        <v>691.88</v>
      </c>
      <c r="P9" s="13" cm="1">
        <f t="array" aca="1" ref="P9" ca="1">-INDIRECT("'data'!$V$" &amp; $A$1)*parameters!$B$15</f>
        <v>-1998.22</v>
      </c>
      <c r="Q9" s="16" cm="1">
        <f t="array" aca="1" ref="Q9" ca="1">INDIRECT("'data'!$T$" &amp; $A$1)*parameters!$B$15</f>
        <v>109.75999999999999</v>
      </c>
      <c r="R9" s="16">
        <f t="shared" ca="1" si="2"/>
        <v>109.75999999999999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1575.863698435277</v>
      </c>
      <c r="L10" s="16">
        <f t="shared" ca="1" si="0"/>
        <v>1575.863698435277</v>
      </c>
      <c r="M10" s="16"/>
      <c r="N10" s="16">
        <f t="shared" ca="1" si="3"/>
        <v>0</v>
      </c>
      <c r="O10" s="11" cm="1">
        <f t="array" aca="1" ref="O10" ca="1">INDIRECT("'data'!$X$" &amp; $A$1)*parameters!$B$15</f>
        <v>5700.66</v>
      </c>
      <c r="P10" s="13" cm="1">
        <f t="array" aca="1" ref="P10" ca="1">-INDIRECT("'data'!$Y$" &amp; $A$1)*parameters!$B$15</f>
        <v>-2625.42</v>
      </c>
      <c r="Q10" s="16" cm="1">
        <f t="array" aca="1" ref="Q10" ca="1">INDIRECT("'data'!$W$" &amp; $A$1)*parameters!$B$15</f>
        <v>4651.1036984352768</v>
      </c>
      <c r="R10" s="16">
        <f t="shared" ca="1" si="2"/>
        <v>4651.1036984352768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2941.1767806543385</v>
      </c>
      <c r="N11" s="19"/>
      <c r="O11" s="21" cm="1">
        <f t="array" aca="1" ref="O11" ca="1">INDIRECT("'data'!$Z$" &amp; $A$1)*parameters!$B$15</f>
        <v>3818.08</v>
      </c>
      <c r="P11" s="27" cm="1">
        <f t="array" aca="1" ref="P11" ca="1">-INDIRECT("'data'!$AA$" &amp; $A$1)*parameters!$B$15</f>
        <v>-4072.88</v>
      </c>
      <c r="Q11" s="16">
        <f ca="1">K9*parameters!$B$10+K10*parameters!$B$11</f>
        <v>2686.3767806543383</v>
      </c>
      <c r="R11" s="16">
        <f t="shared" ref="R11:R17" ca="1" si="4">SUM(L11:P11)</f>
        <v>2686.3767806543383</v>
      </c>
    </row>
    <row r="12" spans="1:19">
      <c r="A12" s="29" t="s">
        <v>86</v>
      </c>
      <c r="B12" s="10">
        <f ca="1">-(B17-Q2)</f>
        <v>0</v>
      </c>
      <c r="C12" s="9">
        <f ca="1">-(C17-Q3)</f>
        <v>-25.382464650774182</v>
      </c>
      <c r="D12" s="9">
        <f ca="1">-(D17-Q4)</f>
        <v>0</v>
      </c>
      <c r="E12" s="9">
        <f ca="1">-(E17-Q5)</f>
        <v>-475.56243454503283</v>
      </c>
      <c r="F12" s="9">
        <f ca="1">-(F17-Q6)</f>
        <v>-332.56059701492541</v>
      </c>
      <c r="G12" s="9">
        <f ca="1">-(G17-Q7)</f>
        <v>-2.6420062695924784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-836.14750248032487</v>
      </c>
      <c r="M12" s="17"/>
      <c r="N12" s="17"/>
      <c r="O12" s="10"/>
      <c r="P12" s="12"/>
      <c r="Q12" s="9">
        <f t="shared" ref="Q12:Q17" ca="1" si="6">SUM(L12:P12)</f>
        <v>-836.14750248032487</v>
      </c>
      <c r="R12" s="17">
        <f t="shared" ca="1" si="4"/>
        <v>-836.14750248032487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-6.6871436941594311</v>
      </c>
      <c r="J13" s="14">
        <f ca="1">-(J17-Q10)</f>
        <v>-283.36915787056387</v>
      </c>
      <c r="K13" s="13">
        <f ca="1">-(K17-Q11)</f>
        <v>-305.58691778093862</v>
      </c>
      <c r="L13" s="14">
        <f t="shared" ca="1" si="5"/>
        <v>-595.64321934566192</v>
      </c>
      <c r="M13" s="16">
        <f ca="1">-E15</f>
        <v>-3727.6516401546342</v>
      </c>
      <c r="N13" s="16"/>
      <c r="O13" s="11"/>
      <c r="P13" s="13"/>
      <c r="Q13" s="14">
        <f t="shared" ca="1" si="6"/>
        <v>-4323.2948595002963</v>
      </c>
      <c r="R13" s="16">
        <f t="shared" ca="1" si="4"/>
        <v>-4323.2948595002963</v>
      </c>
    </row>
    <row r="14" spans="1:19">
      <c r="A14" s="18" t="s">
        <v>78</v>
      </c>
      <c r="B14" s="11"/>
      <c r="C14" s="14"/>
      <c r="D14" s="14"/>
      <c r="E14" s="14">
        <f ca="1">-(I13+J13)-K13</f>
        <v>595.64321934566192</v>
      </c>
      <c r="F14" s="14"/>
      <c r="G14" s="14"/>
      <c r="H14" s="14"/>
      <c r="I14" s="14"/>
      <c r="J14" s="14"/>
      <c r="K14" s="13"/>
      <c r="L14" s="14">
        <f t="shared" ca="1" si="5"/>
        <v>595.64321934566192</v>
      </c>
      <c r="M14" s="16"/>
      <c r="N14" s="16"/>
      <c r="O14" s="11"/>
      <c r="P14" s="13"/>
      <c r="Q14" s="14">
        <f t="shared" ca="1" si="6"/>
        <v>595.64321934566192</v>
      </c>
      <c r="R14" s="16">
        <f t="shared" ca="1" si="4"/>
        <v>595.64321934566192</v>
      </c>
    </row>
    <row r="15" spans="1:19">
      <c r="A15" s="18" t="s">
        <v>79</v>
      </c>
      <c r="B15" s="11"/>
      <c r="C15" s="14"/>
      <c r="D15" s="14"/>
      <c r="E15" s="14">
        <f ca="1">E17-E14</f>
        <v>3727.6516401546342</v>
      </c>
      <c r="F15" s="14"/>
      <c r="G15" s="14"/>
      <c r="H15" s="14"/>
      <c r="I15" s="14"/>
      <c r="J15" s="14"/>
      <c r="K15" s="13"/>
      <c r="L15" s="14">
        <f t="shared" ca="1" si="5"/>
        <v>3727.6516401546342</v>
      </c>
      <c r="M15" s="16"/>
      <c r="N15" s="16"/>
      <c r="O15" s="11"/>
      <c r="P15" s="13"/>
      <c r="Q15" s="14">
        <f t="shared" ca="1" si="6"/>
        <v>3727.6516401546342</v>
      </c>
      <c r="R15" s="16">
        <f t="shared" ca="1" si="4"/>
        <v>3727.6516401546342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4028.9626429800282</v>
      </c>
      <c r="D17" s="9">
        <f ca="1">SUM(D$2:D$11)</f>
        <v>0</v>
      </c>
      <c r="E17" s="9">
        <f ca="1">$Q$5/parameters!$B$4</f>
        <v>4323.2948595002963</v>
      </c>
      <c r="F17" s="9">
        <f t="shared" ref="F17:K17" ca="1" si="7">SUM(F$2:F$11)</f>
        <v>5363.8805970149251</v>
      </c>
      <c r="G17" s="9">
        <f t="shared" ca="1" si="7"/>
        <v>61.442006269592476</v>
      </c>
      <c r="H17" s="9">
        <f t="shared" ca="1" si="7"/>
        <v>5090.12</v>
      </c>
      <c r="I17" s="9">
        <f t="shared" ca="1" si="7"/>
        <v>116.44714369415942</v>
      </c>
      <c r="J17" s="9">
        <f t="shared" ca="1" si="7"/>
        <v>4934.4728563058407</v>
      </c>
      <c r="K17" s="9">
        <f t="shared" ca="1" si="7"/>
        <v>2991.9636984352769</v>
      </c>
      <c r="L17" s="17">
        <f t="shared" ca="1" si="5"/>
        <v>26910.58380420012</v>
      </c>
      <c r="M17" s="17"/>
      <c r="N17" s="17"/>
      <c r="O17" s="9"/>
      <c r="P17" s="14"/>
      <c r="Q17" s="11">
        <f t="shared" ca="1" si="6"/>
        <v>26910.58380420012</v>
      </c>
      <c r="R17" s="17">
        <f t="shared" ca="1" si="4"/>
        <v>26910.58380420012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0.94257357044563705</v>
      </c>
      <c r="J18" s="39">
        <f ca="1">I18</f>
        <v>0.94257357044563705</v>
      </c>
      <c r="K18" s="40">
        <f ca="1">1-(-K13)/K17</f>
        <v>0.89786409576401183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4155.831739961759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4155.831739961759</v>
      </c>
      <c r="M2" s="17"/>
      <c r="N2" s="17">
        <f ca="1">Q2-(L2+O2+P2)</f>
        <v>0</v>
      </c>
      <c r="O2" s="11" cm="1">
        <f t="array" aca="1" ref="O2" ca="1">INDIRECT("'data'!$F$" &amp; $A$1)</f>
        <v>247339.95</v>
      </c>
      <c r="P2" s="13">
        <f ca="1">IF(-(L2-Q2+O2)&lt;0, -(L2-Q2+O2), 0)</f>
        <v>-23495.781739961763</v>
      </c>
      <c r="Q2" s="17" cm="1">
        <f t="array" aca="1" ref="Q2" ca="1">INDIRECT("'data'!$D$" &amp; $A$1)</f>
        <v>228000</v>
      </c>
      <c r="R2" s="17">
        <f ca="1">SUM(L2:P2)</f>
        <v>228000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3619.940298507463</v>
      </c>
      <c r="G3" s="14">
        <f ca="1">Q3-O3-P3-F3</f>
        <v>421.82470149253641</v>
      </c>
      <c r="H3" s="14"/>
      <c r="I3" s="14"/>
      <c r="J3" s="14"/>
      <c r="K3" s="13"/>
      <c r="L3" s="16">
        <f t="shared" ca="1" si="0"/>
        <v>4041.7649999999994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98.28</v>
      </c>
      <c r="P3" s="13" cm="1">
        <f t="array" aca="1" ref="P3" ca="1">-INDIRECT("'data'!$I$" &amp; $A$1)*parameters!$B$13</f>
        <v>-10.395</v>
      </c>
      <c r="Q3" s="16" cm="1">
        <f t="array" aca="1" ref="Q3" ca="1">INDIRECT("'data'!$G$" &amp; $A$1)*parameters!$B$13</f>
        <v>4129.6499999999996</v>
      </c>
      <c r="R3" s="16">
        <f t="shared" ref="R3:R10" ca="1" si="2">SUM(L3:P3)</f>
        <v>4129.6499999999987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0.92</v>
      </c>
      <c r="H4" s="14"/>
      <c r="I4" s="14"/>
      <c r="J4" s="14"/>
      <c r="K4" s="13"/>
      <c r="L4" s="16">
        <f t="shared" ca="1" si="0"/>
        <v>0.92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904.98507462686575</v>
      </c>
      <c r="G5" s="14">
        <f ca="1">Q7/parameters!$B$7-(G3+G4)</f>
        <v>518.34202787005506</v>
      </c>
      <c r="H5" s="14"/>
      <c r="I5" s="14"/>
      <c r="J5" s="14"/>
      <c r="K5" s="13"/>
      <c r="L5" s="16">
        <f t="shared" ca="1" si="0"/>
        <v>1423.3271024969208</v>
      </c>
      <c r="M5" s="16"/>
      <c r="N5" s="16"/>
      <c r="O5" s="11" cm="1">
        <f t="array" aca="1" ref="O5" ca="1">INDIRECT("'data'!$M$" &amp; $A$1)*parameters!$B$15</f>
        <v>1886.5</v>
      </c>
      <c r="P5" s="13" cm="1">
        <f t="array" aca="1" ref="P5" ca="1">-INDIRECT("'data'!$N$" &amp; $A$1)*parameters!$B$15</f>
        <v>-1.96</v>
      </c>
      <c r="Q5" s="16">
        <f ca="1">SUM(L5:P5)</f>
        <v>3307.8671024969208</v>
      </c>
      <c r="R5" s="16">
        <f t="shared" ca="1" si="2"/>
        <v>3307.8671024969208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4244.38</v>
      </c>
      <c r="I6" s="14"/>
      <c r="J6" s="14"/>
      <c r="K6" s="13"/>
      <c r="L6" s="16">
        <f t="shared" ca="1" si="0"/>
        <v>4244.38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4244.38</v>
      </c>
      <c r="R6" s="16">
        <f t="shared" ca="1" si="2"/>
        <v>4244.38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900.62</v>
      </c>
      <c r="I7" s="14"/>
      <c r="J7" s="14"/>
      <c r="K7" s="13"/>
      <c r="L7" s="16">
        <f t="shared" ca="1" si="0"/>
        <v>900.62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900.62</v>
      </c>
      <c r="R7" s="16">
        <f t="shared" ca="1" si="2"/>
        <v>900.62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1924.1919433605535</v>
      </c>
      <c r="J8" s="14">
        <f ca="1">Q10/J18</f>
        <v>3194.3480566394464</v>
      </c>
      <c r="K8" s="13"/>
      <c r="L8" s="16">
        <f t="shared" ca="1" si="0"/>
        <v>5118.54</v>
      </c>
      <c r="M8" s="16"/>
      <c r="N8" s="16">
        <f t="shared" ca="1" si="3"/>
        <v>0</v>
      </c>
      <c r="O8" s="11" cm="1">
        <f t="array" aca="1" ref="O8" ca="1">INDIRECT("'data'!$R$" &amp; $A$1)*parameters!$B$15</f>
        <v>31.36</v>
      </c>
      <c r="P8" s="13" cm="1">
        <f t="array" aca="1" ref="P8" ca="1">-INDIRECT("'data'!$S$" &amp; $A$1)*parameters!$B$15</f>
        <v>-4.9000000000000004</v>
      </c>
      <c r="Q8" s="16">
        <f ca="1">SUM(Q6:Q7)</f>
        <v>5145</v>
      </c>
      <c r="R8" s="16">
        <f t="shared" ca="1" si="2"/>
        <v>5145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2272.62</v>
      </c>
      <c r="L9" s="16">
        <f t="shared" ca="1" si="0"/>
        <v>2272.62</v>
      </c>
      <c r="M9" s="16"/>
      <c r="N9" s="16">
        <f t="shared" ca="1" si="3"/>
        <v>0</v>
      </c>
      <c r="O9" s="11" cm="1">
        <f t="array" aca="1" ref="O9" ca="1">INDIRECT("'data'!$U$" &amp; $A$1)*parameters!$B$15</f>
        <v>71.539999999999992</v>
      </c>
      <c r="P9" s="13" cm="1">
        <f t="array" aca="1" ref="P9" ca="1">-INDIRECT("'data'!$V$" &amp; $A$1)*parameters!$B$15</f>
        <v>-611.52</v>
      </c>
      <c r="Q9" s="16" cm="1">
        <f t="array" aca="1" ref="Q9" ca="1">INDIRECT("'data'!$T$" &amp; $A$1)*parameters!$B$15</f>
        <v>1732.6399999999999</v>
      </c>
      <c r="R9" s="16">
        <f t="shared" ca="1" si="2"/>
        <v>1732.6399999999999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2866.5529729729728</v>
      </c>
      <c r="L10" s="16">
        <f t="shared" ca="1" si="0"/>
        <v>2866.5529729729728</v>
      </c>
      <c r="M10" s="16"/>
      <c r="N10" s="16">
        <f t="shared" ca="1" si="3"/>
        <v>0</v>
      </c>
      <c r="O10" s="11" cm="1">
        <f t="array" aca="1" ref="O10" ca="1">INDIRECT("'data'!$X$" &amp; $A$1)*parameters!$B$15</f>
        <v>738.92</v>
      </c>
      <c r="P10" s="13" cm="1">
        <f t="array" aca="1" ref="P10" ca="1">-INDIRECT("'data'!$Y$" &amp; $A$1)*parameters!$B$15</f>
        <v>-729.12</v>
      </c>
      <c r="Q10" s="16" cm="1">
        <f t="array" aca="1" ref="Q10" ca="1">INDIRECT("'data'!$W$" &amp; $A$1)*parameters!$B$15</f>
        <v>2876.352972972973</v>
      </c>
      <c r="R10" s="16">
        <f t="shared" ca="1" si="2"/>
        <v>2876.352972972973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7320.998356756756</v>
      </c>
      <c r="N11" s="19"/>
      <c r="O11" s="21" cm="1">
        <f t="array" aca="1" ref="O11" ca="1">INDIRECT("'data'!$Z$" &amp; $A$1)*parameters!$B$15</f>
        <v>526.26</v>
      </c>
      <c r="P11" s="27" cm="1">
        <f t="array" aca="1" ref="P11" ca="1">-INDIRECT("'data'!$AA$" &amp; $A$1)*parameters!$B$15</f>
        <v>-3245.7599999999998</v>
      </c>
      <c r="Q11" s="16">
        <f ca="1">K9*parameters!$B$10+K10*parameters!$B$11</f>
        <v>4601.498356756756</v>
      </c>
      <c r="R11" s="16">
        <f t="shared" ref="R11:R17" ca="1" si="4">SUM(L11:P11)</f>
        <v>4601.498356756756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-26.181739961759376</v>
      </c>
      <c r="D12" s="9">
        <f ca="1">-(D17-Q4)</f>
        <v>0</v>
      </c>
      <c r="E12" s="9">
        <f ca="1">-(E17-Q5)</f>
        <v>-408.8375070501811</v>
      </c>
      <c r="F12" s="9">
        <f ca="1">-(F17-Q6)</f>
        <v>-280.54537313432866</v>
      </c>
      <c r="G12" s="9">
        <f ca="1">-(G17-Q7)</f>
        <v>-40.466729362591536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-756.03134950886067</v>
      </c>
      <c r="M12" s="17"/>
      <c r="N12" s="17"/>
      <c r="O12" s="10"/>
      <c r="P12" s="12"/>
      <c r="Q12" s="9">
        <f t="shared" ref="Q12:Q17" ca="1" si="6">SUM(L12:P12)</f>
        <v>-756.03134950886067</v>
      </c>
      <c r="R12" s="17">
        <f t="shared" ca="1" si="4"/>
        <v>-756.03134950886067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-191.55194336055365</v>
      </c>
      <c r="J13" s="14">
        <f ca="1">-(J17-Q10)</f>
        <v>-317.99508366647342</v>
      </c>
      <c r="K13" s="13">
        <f ca="1">-(K17-Q11)</f>
        <v>-537.67461621621624</v>
      </c>
      <c r="L13" s="14">
        <f t="shared" ca="1" si="5"/>
        <v>-1047.2216432432433</v>
      </c>
      <c r="M13" s="16">
        <f ca="1">-E15</f>
        <v>-2669.4829663038586</v>
      </c>
      <c r="N13" s="16"/>
      <c r="O13" s="11"/>
      <c r="P13" s="13"/>
      <c r="Q13" s="14">
        <f t="shared" ca="1" si="6"/>
        <v>-3716.7046095471019</v>
      </c>
      <c r="R13" s="16">
        <f t="shared" ca="1" si="4"/>
        <v>-3716.7046095471019</v>
      </c>
    </row>
    <row r="14" spans="1:19">
      <c r="A14" s="18" t="s">
        <v>78</v>
      </c>
      <c r="B14" s="11"/>
      <c r="C14" s="14"/>
      <c r="D14" s="14"/>
      <c r="E14" s="14">
        <f ca="1">-(I13+J13)-K13</f>
        <v>1047.2216432432433</v>
      </c>
      <c r="F14" s="14"/>
      <c r="G14" s="14"/>
      <c r="H14" s="14"/>
      <c r="I14" s="14"/>
      <c r="J14" s="14"/>
      <c r="K14" s="13"/>
      <c r="L14" s="14">
        <f t="shared" ca="1" si="5"/>
        <v>1047.2216432432433</v>
      </c>
      <c r="M14" s="16"/>
      <c r="N14" s="16"/>
      <c r="O14" s="11"/>
      <c r="P14" s="13"/>
      <c r="Q14" s="14">
        <f t="shared" ca="1" si="6"/>
        <v>1047.2216432432433</v>
      </c>
      <c r="R14" s="16">
        <f t="shared" ca="1" si="4"/>
        <v>1047.2216432432433</v>
      </c>
    </row>
    <row r="15" spans="1:19">
      <c r="A15" s="18" t="s">
        <v>79</v>
      </c>
      <c r="B15" s="11"/>
      <c r="C15" s="14"/>
      <c r="D15" s="14"/>
      <c r="E15" s="14">
        <f ca="1">E17-E14</f>
        <v>2669.4829663038586</v>
      </c>
      <c r="F15" s="14"/>
      <c r="G15" s="14"/>
      <c r="H15" s="14"/>
      <c r="I15" s="14"/>
      <c r="J15" s="14"/>
      <c r="K15" s="13"/>
      <c r="L15" s="14">
        <f t="shared" ca="1" si="5"/>
        <v>2669.4829663038586</v>
      </c>
      <c r="M15" s="16"/>
      <c r="N15" s="16"/>
      <c r="O15" s="11"/>
      <c r="P15" s="13"/>
      <c r="Q15" s="14">
        <f t="shared" ca="1" si="6"/>
        <v>2669.4829663038586</v>
      </c>
      <c r="R15" s="16">
        <f t="shared" ca="1" si="4"/>
        <v>2669.4829663038586</v>
      </c>
    </row>
    <row r="16" spans="1:19">
      <c r="A16" s="30" t="s">
        <v>89</v>
      </c>
      <c r="B16" s="21">
        <f ca="1">Q2</f>
        <v>228000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228000</v>
      </c>
      <c r="M16" s="19"/>
      <c r="N16" s="19"/>
      <c r="O16" s="21"/>
      <c r="P16" s="27"/>
      <c r="Q16" s="22">
        <f t="shared" ca="1" si="6"/>
        <v>228000</v>
      </c>
      <c r="R16" s="19">
        <f t="shared" ca="1" si="4"/>
        <v>228000</v>
      </c>
    </row>
    <row r="17" spans="1:18">
      <c r="A17" s="29" t="s">
        <v>88</v>
      </c>
      <c r="B17" s="9">
        <f ca="1">B16</f>
        <v>228000</v>
      </c>
      <c r="C17" s="9">
        <f ca="1">SUM(C$2:C$11)</f>
        <v>4155.831739961759</v>
      </c>
      <c r="D17" s="9">
        <f ca="1">SUM(D$2:D$11)</f>
        <v>0</v>
      </c>
      <c r="E17" s="9">
        <f ca="1">$Q$5/parameters!$B$4</f>
        <v>3716.7046095471019</v>
      </c>
      <c r="F17" s="9">
        <f t="shared" ref="F17:K17" ca="1" si="7">SUM(F$2:F$11)</f>
        <v>4524.9253731343288</v>
      </c>
      <c r="G17" s="9">
        <f t="shared" ca="1" si="7"/>
        <v>941.08672936259154</v>
      </c>
      <c r="H17" s="9">
        <f t="shared" ca="1" si="7"/>
        <v>5145</v>
      </c>
      <c r="I17" s="9">
        <f t="shared" ca="1" si="7"/>
        <v>1924.1919433605535</v>
      </c>
      <c r="J17" s="9">
        <f t="shared" ca="1" si="7"/>
        <v>3194.3480566394464</v>
      </c>
      <c r="K17" s="9">
        <f t="shared" ca="1" si="7"/>
        <v>5139.1729729729723</v>
      </c>
      <c r="L17" s="17">
        <f t="shared" ca="1" si="5"/>
        <v>256741.26142497873</v>
      </c>
      <c r="M17" s="17"/>
      <c r="N17" s="17"/>
      <c r="O17" s="9"/>
      <c r="P17" s="14"/>
      <c r="Q17" s="11">
        <f t="shared" ca="1" si="6"/>
        <v>256741.26142497873</v>
      </c>
      <c r="R17" s="17">
        <f t="shared" ca="1" si="4"/>
        <v>256741.26142497873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0.90045070918132375</v>
      </c>
      <c r="J18" s="39">
        <f ca="1">I18</f>
        <v>0.90045070918132375</v>
      </c>
      <c r="K18" s="40">
        <f ca="1">1-(-K13)/K17</f>
        <v>0.8953772097098387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4226.2050920801048</v>
      </c>
      <c r="D2" s="9">
        <f ca="1">Q4/parameters!$B$3</f>
        <v>1240.6158800442788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5466.8209721243838</v>
      </c>
      <c r="M2" s="17"/>
      <c r="N2" s="17">
        <f ca="1">Q2-(L2+O2+P2)</f>
        <v>1169.8290278756176</v>
      </c>
      <c r="O2" s="11" cm="1">
        <f t="array" aca="1" ref="O2" ca="1">INDIRECT("'data'!$F$" &amp; $A$1)</f>
        <v>28963.350000000002</v>
      </c>
      <c r="P2" s="13">
        <f ca="1">IF(-(L2-Q2+O2)&lt;0, -(L2-Q2+O2), 0)</f>
        <v>0</v>
      </c>
      <c r="Q2" s="17" cm="1">
        <f t="array" aca="1" ref="Q2" ca="1">INDIRECT("'data'!$D$" &amp; $A$1)</f>
        <v>35600</v>
      </c>
      <c r="R2" s="17">
        <f ca="1">SUM(L2:P2)</f>
        <v>35600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3304.8358208955228</v>
      </c>
      <c r="G3" s="14">
        <f ca="1">Q3-O3-P3-F3</f>
        <v>349.47917910447723</v>
      </c>
      <c r="H3" s="14"/>
      <c r="I3" s="14"/>
      <c r="J3" s="14"/>
      <c r="K3" s="13"/>
      <c r="L3" s="16">
        <f t="shared" ca="1" si="0"/>
        <v>3654.3150000000001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545.26499999999999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4199.58</v>
      </c>
      <c r="R3" s="16">
        <f t="shared" ref="R3:R10" ca="1" si="2">SUM(L3:P3)</f>
        <v>4199.58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1231.8799999999999</v>
      </c>
      <c r="H4" s="14"/>
      <c r="I4" s="14"/>
      <c r="J4" s="14"/>
      <c r="K4" s="13"/>
      <c r="L4" s="16">
        <f t="shared" ca="1" si="0"/>
        <v>1231.8799999999999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1232.8</v>
      </c>
      <c r="R4" s="16">
        <f t="shared" ca="1" si="2"/>
        <v>1232.8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826.20895522388082</v>
      </c>
      <c r="G5" s="14">
        <f ca="1">Q7/parameters!$B$7-(G3+G4)</f>
        <v>2033.4788564232138</v>
      </c>
      <c r="H5" s="14"/>
      <c r="I5" s="14"/>
      <c r="J5" s="14"/>
      <c r="K5" s="13"/>
      <c r="L5" s="16">
        <f t="shared" ca="1" si="0"/>
        <v>2859.6878116470943</v>
      </c>
      <c r="M5" s="16"/>
      <c r="N5" s="16"/>
      <c r="O5" s="11" cm="1">
        <f t="array" aca="1" ref="O5" ca="1">INDIRECT("'data'!$M$" &amp; $A$1)*parameters!$B$15</f>
        <v>1121.1199999999999</v>
      </c>
      <c r="P5" s="13" cm="1">
        <f t="array" aca="1" ref="P5" ca="1">-INDIRECT("'data'!$N$" &amp; $A$1)*parameters!$B$15</f>
        <v>-40.18</v>
      </c>
      <c r="Q5" s="16">
        <f ca="1">SUM(L5:P5)</f>
        <v>3940.6278116470944</v>
      </c>
      <c r="R5" s="16">
        <f t="shared" ca="1" si="2"/>
        <v>3940.6278116470944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3874.92</v>
      </c>
      <c r="I6" s="14"/>
      <c r="J6" s="14"/>
      <c r="K6" s="13"/>
      <c r="L6" s="16">
        <f t="shared" ca="1" si="0"/>
        <v>3874.92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3874.92</v>
      </c>
      <c r="R6" s="16">
        <f t="shared" ca="1" si="2"/>
        <v>3874.92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3459.4</v>
      </c>
      <c r="I7" s="14"/>
      <c r="J7" s="14"/>
      <c r="K7" s="13"/>
      <c r="L7" s="16">
        <f t="shared" ca="1" si="0"/>
        <v>3459.4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3459.4</v>
      </c>
      <c r="R7" s="16">
        <f t="shared" ca="1" si="2"/>
        <v>3459.4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2838.638649441395</v>
      </c>
      <c r="J8" s="14">
        <f ca="1">Q10/J18</f>
        <v>4075.2613505586046</v>
      </c>
      <c r="K8" s="13"/>
      <c r="L8" s="16">
        <f t="shared" ca="1" si="0"/>
        <v>6913.9</v>
      </c>
      <c r="M8" s="16"/>
      <c r="N8" s="16">
        <f t="shared" ca="1" si="3"/>
        <v>0</v>
      </c>
      <c r="O8" s="11" cm="1">
        <f t="array" aca="1" ref="O8" ca="1">INDIRECT("'data'!$R$" &amp; $A$1)*parameters!$B$15</f>
        <v>427.28</v>
      </c>
      <c r="P8" s="13" cm="1">
        <f t="array" aca="1" ref="P8" ca="1">-INDIRECT("'data'!$S$" &amp; $A$1)*parameters!$B$15</f>
        <v>-6.8599999999999994</v>
      </c>
      <c r="Q8" s="16">
        <f ca="1">SUM(Q6:Q7)</f>
        <v>7334.32</v>
      </c>
      <c r="R8" s="16">
        <f t="shared" ca="1" si="2"/>
        <v>7334.32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1573.88</v>
      </c>
      <c r="L9" s="16">
        <f t="shared" ca="1" si="0"/>
        <v>1573.88</v>
      </c>
      <c r="M9" s="16"/>
      <c r="N9" s="16">
        <f t="shared" ca="1" si="3"/>
        <v>0</v>
      </c>
      <c r="O9" s="11" cm="1">
        <f t="array" aca="1" ref="O9" ca="1">INDIRECT("'data'!$U$" &amp; $A$1)*parameters!$B$15</f>
        <v>725.19999999999993</v>
      </c>
      <c r="P9" s="13" cm="1">
        <f t="array" aca="1" ref="P9" ca="1">-INDIRECT("'data'!$V$" &amp; $A$1)*parameters!$B$15</f>
        <v>-103.88</v>
      </c>
      <c r="Q9" s="16" cm="1">
        <f t="array" aca="1" ref="Q9" ca="1">INDIRECT("'data'!$T$" &amp; $A$1)*parameters!$B$15</f>
        <v>2195.1999999999998</v>
      </c>
      <c r="R9" s="16">
        <f t="shared" ca="1" si="2"/>
        <v>2195.1999999999998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2040.1955049786632</v>
      </c>
      <c r="L10" s="16">
        <f t="shared" ca="1" si="0"/>
        <v>2040.1955049786632</v>
      </c>
      <c r="M10" s="16"/>
      <c r="N10" s="16">
        <f t="shared" ca="1" si="3"/>
        <v>0</v>
      </c>
      <c r="O10" s="11" cm="1">
        <f t="array" aca="1" ref="O10" ca="1">INDIRECT("'data'!$X$" &amp; $A$1)*parameters!$B$15</f>
        <v>1515.08</v>
      </c>
      <c r="P10" s="13" cm="1">
        <f t="array" aca="1" ref="P10" ca="1">-INDIRECT("'data'!$Y$" &amp; $A$1)*parameters!$B$15</f>
        <v>-403.76</v>
      </c>
      <c r="Q10" s="16" cm="1">
        <f t="array" aca="1" ref="Q10" ca="1">INDIRECT("'data'!$W$" &amp; $A$1)*parameters!$B$15</f>
        <v>3151.5155049786631</v>
      </c>
      <c r="R10" s="16">
        <f t="shared" ca="1" si="2"/>
        <v>3151.5155049786626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3354.5553342816502</v>
      </c>
      <c r="N11" s="19"/>
      <c r="O11" s="21" cm="1">
        <f t="array" aca="1" ref="O11" ca="1">INDIRECT("'data'!$Z$" &amp; $A$1)*parameters!$B$15</f>
        <v>1017.24</v>
      </c>
      <c r="P11" s="27" cm="1">
        <f t="array" aca="1" ref="P11" ca="1">-INDIRECT("'data'!$AA$" &amp; $A$1)*parameters!$B$15</f>
        <v>-1137.78</v>
      </c>
      <c r="Q11" s="16">
        <f ca="1">K9*parameters!$B$10+K10*parameters!$B$11</f>
        <v>3234.0153342816502</v>
      </c>
      <c r="R11" s="16">
        <f t="shared" ref="R11:R17" ca="1" si="4">SUM(L11:P11)</f>
        <v>3234.0153342816502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-26.625092080104878</v>
      </c>
      <c r="D12" s="9">
        <f ca="1">-(D17-Q4)</f>
        <v>-7.8158800442788561</v>
      </c>
      <c r="E12" s="9">
        <f ca="1">-(E17-Q5)</f>
        <v>-487.04388683278694</v>
      </c>
      <c r="F12" s="9">
        <f ca="1">-(F17-Q6)</f>
        <v>-256.12477611940358</v>
      </c>
      <c r="G12" s="9">
        <f ca="1">-(G17-Q7)</f>
        <v>-155.43803552769077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-933.04767060426502</v>
      </c>
      <c r="M12" s="17"/>
      <c r="N12" s="17"/>
      <c r="O12" s="10"/>
      <c r="P12" s="12"/>
      <c r="Q12" s="9">
        <f t="shared" ref="Q12:Q17" ca="1" si="6">SUM(L12:P12)</f>
        <v>-933.04767060426502</v>
      </c>
      <c r="R12" s="17">
        <f t="shared" ca="1" si="4"/>
        <v>-933.04767060426502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-643.43864944139523</v>
      </c>
      <c r="J13" s="14">
        <f ca="1">-(J17-Q10)</f>
        <v>-923.74584557994149</v>
      </c>
      <c r="K13" s="13">
        <f ca="1">-(K17-Q11)</f>
        <v>-380.06017069701284</v>
      </c>
      <c r="L13" s="14">
        <f t="shared" ca="1" si="5"/>
        <v>-1947.2446657183496</v>
      </c>
      <c r="M13" s="16">
        <f ca="1">-E15</f>
        <v>-2480.4270327615318</v>
      </c>
      <c r="N13" s="16"/>
      <c r="O13" s="11"/>
      <c r="P13" s="13"/>
      <c r="Q13" s="14">
        <f t="shared" ca="1" si="6"/>
        <v>-4427.6716984798813</v>
      </c>
      <c r="R13" s="16">
        <f t="shared" ca="1" si="4"/>
        <v>-4427.6716984798813</v>
      </c>
    </row>
    <row r="14" spans="1:20">
      <c r="A14" s="18" t="s">
        <v>78</v>
      </c>
      <c r="B14" s="11"/>
      <c r="C14" s="14"/>
      <c r="D14" s="14"/>
      <c r="E14" s="14">
        <f ca="1">-(I13+J13)-K13</f>
        <v>1947.2446657183496</v>
      </c>
      <c r="F14" s="14"/>
      <c r="G14" s="14"/>
      <c r="H14" s="14"/>
      <c r="I14" s="14"/>
      <c r="J14" s="14"/>
      <c r="K14" s="13"/>
      <c r="L14" s="14">
        <f t="shared" ca="1" si="5"/>
        <v>1947.2446657183496</v>
      </c>
      <c r="M14" s="16"/>
      <c r="N14" s="16"/>
      <c r="O14" s="11"/>
      <c r="P14" s="13"/>
      <c r="Q14" s="14">
        <f t="shared" ca="1" si="6"/>
        <v>1947.2446657183496</v>
      </c>
      <c r="R14" s="16">
        <f t="shared" ca="1" si="4"/>
        <v>1947.2446657183496</v>
      </c>
    </row>
    <row r="15" spans="1:20">
      <c r="A15" s="18" t="s">
        <v>79</v>
      </c>
      <c r="B15" s="11"/>
      <c r="C15" s="14"/>
      <c r="D15" s="14"/>
      <c r="E15" s="14">
        <f ca="1">E17-E14</f>
        <v>2480.4270327615318</v>
      </c>
      <c r="F15" s="14"/>
      <c r="G15" s="14"/>
      <c r="H15" s="14"/>
      <c r="I15" s="14"/>
      <c r="J15" s="14"/>
      <c r="K15" s="13"/>
      <c r="L15" s="14">
        <f t="shared" ca="1" si="5"/>
        <v>2480.4270327615318</v>
      </c>
      <c r="M15" s="16"/>
      <c r="N15" s="16"/>
      <c r="O15" s="11"/>
      <c r="P15" s="13"/>
      <c r="Q15" s="14">
        <f t="shared" ca="1" si="6"/>
        <v>2480.4270327615318</v>
      </c>
      <c r="R15" s="16">
        <f t="shared" ca="1" si="4"/>
        <v>2480.4270327615318</v>
      </c>
    </row>
    <row r="16" spans="1:20">
      <c r="A16" s="30" t="s">
        <v>89</v>
      </c>
      <c r="B16" s="21">
        <f ca="1">Q2</f>
        <v>35600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35600</v>
      </c>
      <c r="M16" s="19"/>
      <c r="N16" s="19"/>
      <c r="O16" s="21"/>
      <c r="P16" s="27"/>
      <c r="Q16" s="22">
        <f t="shared" ca="1" si="6"/>
        <v>35600</v>
      </c>
      <c r="R16" s="19">
        <f t="shared" ca="1" si="4"/>
        <v>35600</v>
      </c>
    </row>
    <row r="17" spans="1:18">
      <c r="A17" s="29" t="s">
        <v>88</v>
      </c>
      <c r="B17" s="9">
        <f ca="1">B16</f>
        <v>35600</v>
      </c>
      <c r="C17" s="9">
        <f ca="1">SUM(C$2:C$11)</f>
        <v>4226.2050920801048</v>
      </c>
      <c r="D17" s="9">
        <f ca="1">SUM(D$2:D$11)</f>
        <v>1240.6158800442788</v>
      </c>
      <c r="E17" s="9">
        <f ca="1">$Q$5/parameters!$B$4</f>
        <v>4427.6716984798813</v>
      </c>
      <c r="F17" s="9">
        <f t="shared" ref="F17:K17" ca="1" si="7">SUM(F$2:F$11)</f>
        <v>4131.0447761194037</v>
      </c>
      <c r="G17" s="9">
        <f t="shared" ca="1" si="7"/>
        <v>3614.8380355276909</v>
      </c>
      <c r="H17" s="9">
        <f t="shared" ca="1" si="7"/>
        <v>7334.32</v>
      </c>
      <c r="I17" s="9">
        <f t="shared" ca="1" si="7"/>
        <v>2838.638649441395</v>
      </c>
      <c r="J17" s="9">
        <f t="shared" ca="1" si="7"/>
        <v>4075.2613505586046</v>
      </c>
      <c r="K17" s="9">
        <f t="shared" ca="1" si="7"/>
        <v>3614.075504978663</v>
      </c>
      <c r="L17" s="17">
        <f t="shared" ca="1" si="5"/>
        <v>71102.670987230027</v>
      </c>
      <c r="M17" s="17"/>
      <c r="N17" s="17"/>
      <c r="O17" s="9"/>
      <c r="P17" s="14"/>
      <c r="Q17" s="11">
        <f t="shared" ca="1" si="6"/>
        <v>71102.670987230027</v>
      </c>
      <c r="R17" s="17">
        <f t="shared" ca="1" si="4"/>
        <v>71102.670987230027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0.77332844052975358</v>
      </c>
      <c r="J18" s="39">
        <f ca="1">I18</f>
        <v>0.77332844052975358</v>
      </c>
      <c r="K18" s="40">
        <f ca="1">1-(-K13)/K17</f>
        <v>0.89483889581901344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S28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2210.8885981684612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2210.8885981684612</v>
      </c>
      <c r="M2" s="17"/>
      <c r="N2" s="17">
        <f ca="1">Q2-(L2+O2+P2)</f>
        <v>0</v>
      </c>
      <c r="O2" s="11" cm="1">
        <f t="array" aca="1" ref="O2" ca="1">INDIRECT("'data'!$F$" &amp; $A$1)</f>
        <v>536.25</v>
      </c>
      <c r="P2" s="13">
        <f ca="1">IF(-(L2-Q2+O2)&lt;0, -(L2-Q2+O2), 0)</f>
        <v>-2215.1385981684612</v>
      </c>
      <c r="Q2" s="17" cm="1">
        <f t="array" aca="1" ref="Q2" ca="1">INDIRECT("'data'!$D$" &amp; $A$1)</f>
        <v>532</v>
      </c>
      <c r="R2" s="17">
        <f ca="1">SUM(L2:P2)</f>
        <v>532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65.204999999999998</v>
      </c>
      <c r="H3" s="14"/>
      <c r="I3" s="14"/>
      <c r="J3" s="14"/>
      <c r="K3" s="13"/>
      <c r="L3" s="16">
        <f t="shared" ca="1" si="0"/>
        <v>65.204999999999998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-65.204999999999998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2141.7600000000002</v>
      </c>
      <c r="H4" s="14"/>
      <c r="I4" s="14"/>
      <c r="J4" s="14"/>
      <c r="K4" s="13"/>
      <c r="L4" s="16">
        <f t="shared" ca="1" si="0"/>
        <v>2141.7600000000002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234.60000000000002</v>
      </c>
      <c r="P4" s="13" cm="1">
        <f t="array" aca="1" ref="P4" ca="1">-INDIRECT("'data'!$L$" &amp; $A$1)*parameters!$B$14</f>
        <v>-179.4</v>
      </c>
      <c r="Q4" s="16" cm="1">
        <f t="array" aca="1" ref="Q4" ca="1">INDIRECT("'data'!$J$" &amp; $A$1)*parameters!$B$14</f>
        <v>2196.96</v>
      </c>
      <c r="R4" s="16">
        <f t="shared" ca="1" si="2"/>
        <v>2196.96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3275.7100261233018</v>
      </c>
      <c r="H5" s="14"/>
      <c r="I5" s="14"/>
      <c r="J5" s="14"/>
      <c r="K5" s="13"/>
      <c r="L5" s="16">
        <f t="shared" ca="1" si="0"/>
        <v>3275.7100261233018</v>
      </c>
      <c r="M5" s="16"/>
      <c r="N5" s="16"/>
      <c r="O5" s="11" cm="1">
        <f t="array" aca="1" ref="O5" ca="1">INDIRECT("'data'!$M$" &amp; $A$1)*parameters!$B$15</f>
        <v>76.44</v>
      </c>
      <c r="P5" s="13" cm="1">
        <f t="array" aca="1" ref="P5" ca="1">-INDIRECT("'data'!$N$" &amp; $A$1)*parameters!$B$15</f>
        <v>-1706.18</v>
      </c>
      <c r="Q5" s="16">
        <f ca="1">SUM(L5:P5)</f>
        <v>1645.9700261233017</v>
      </c>
      <c r="R5" s="16">
        <f t="shared" ca="1" si="2"/>
        <v>1645.9700261233017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5246.92</v>
      </c>
      <c r="I7" s="14"/>
      <c r="J7" s="14"/>
      <c r="K7" s="13"/>
      <c r="L7" s="16">
        <f t="shared" ca="1" si="0"/>
        <v>5246.92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5246.92</v>
      </c>
      <c r="R7" s="16">
        <f t="shared" ca="1" si="2"/>
        <v>5246.92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3694</v>
      </c>
      <c r="J8" s="14">
        <f ca="1">Q10/J18</f>
        <v>1368.9146514935985</v>
      </c>
      <c r="K8" s="13"/>
      <c r="L8" s="16">
        <f t="shared" ca="1" si="0"/>
        <v>5062.9146514935983</v>
      </c>
      <c r="M8" s="16"/>
      <c r="N8" s="16">
        <f t="shared" ca="1" si="3"/>
        <v>-320.69465149359803</v>
      </c>
      <c r="O8" s="11" cm="1">
        <f t="array" aca="1" ref="O8" ca="1">INDIRECT("'data'!$R$" &amp; $A$1)*parameters!$B$15</f>
        <v>634.05999999999995</v>
      </c>
      <c r="P8" s="13" cm="1">
        <f t="array" aca="1" ref="P8" ca="1">-INDIRECT("'data'!$S$" &amp; $A$1)*parameters!$B$15</f>
        <v>-129.35999999999999</v>
      </c>
      <c r="Q8" s="16">
        <f ca="1">SUM(Q6:Q7)</f>
        <v>5246.92</v>
      </c>
      <c r="R8" s="16">
        <f t="shared" ca="1" si="2"/>
        <v>5246.920000000001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3657.3599999999997</v>
      </c>
      <c r="L9" s="16">
        <f t="shared" ca="1" si="0"/>
        <v>3657.3599999999997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742.84</v>
      </c>
      <c r="P9" s="13" cm="1">
        <f t="array" aca="1" ref="P9" ca="1">-INDIRECT("'data'!$V$" &amp; $A$1)*parameters!$B$15</f>
        <v>-780.08</v>
      </c>
      <c r="Q9" s="16" cm="1">
        <f t="array" aca="1" ref="Q9" ca="1">INDIRECT("'data'!$T$" &amp; $A$1)*parameters!$B$15</f>
        <v>3620.12</v>
      </c>
      <c r="R9" s="16">
        <f t="shared" ca="1" si="2"/>
        <v>3620.12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3202.5563584637266</v>
      </c>
      <c r="L10" s="16">
        <f t="shared" ca="1" si="0"/>
        <v>3202.5563584637266</v>
      </c>
      <c r="M10" s="16"/>
      <c r="N10" s="16">
        <f t="shared" ca="1" si="3"/>
        <v>0</v>
      </c>
      <c r="O10" s="11" cm="1">
        <f t="array" aca="1" ref="O10" ca="1">INDIRECT("'data'!$X$" &amp; $A$1)*parameters!$B$15</f>
        <v>522.34</v>
      </c>
      <c r="P10" s="13" cm="1">
        <f t="array" aca="1" ref="P10" ca="1">-INDIRECT("'data'!$Y$" &amp; $A$1)*parameters!$B$15</f>
        <v>-2383.36</v>
      </c>
      <c r="Q10" s="16" cm="1">
        <f t="array" aca="1" ref="Q10" ca="1">INDIRECT("'data'!$W$" &amp; $A$1)*parameters!$B$15</f>
        <v>1341.5363584637266</v>
      </c>
      <c r="R10" s="16">
        <f t="shared" ca="1" si="2"/>
        <v>1341.5363584637266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6472.3968682788045</v>
      </c>
      <c r="N11" s="19"/>
      <c r="O11" s="21" cm="1">
        <f t="array" aca="1" ref="O11" ca="1">INDIRECT("'data'!$Z$" &amp; $A$1)*parameters!$B$15</f>
        <v>1579.76</v>
      </c>
      <c r="P11" s="27" cm="1">
        <f t="array" aca="1" ref="P11" ca="1">-INDIRECT("'data'!$AA$" &amp; $A$1)*parameters!$B$15</f>
        <v>-1860.04</v>
      </c>
      <c r="Q11" s="16">
        <f ca="1">K9*parameters!$B$10+K10*parameters!$B$11</f>
        <v>6192.1168682788048</v>
      </c>
      <c r="R11" s="16">
        <f t="shared" ref="R11:R17" ca="1" si="4">SUM(L11:P11)</f>
        <v>6192.1168682788048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-13.928598168461122</v>
      </c>
      <c r="E12" s="9">
        <f ca="1">-(E17-Q5)</f>
        <v>-203.43449761074521</v>
      </c>
      <c r="F12" s="9">
        <f ca="1">-(F17-Q6)</f>
        <v>0</v>
      </c>
      <c r="G12" s="9">
        <f ca="1">-(G17-Q7)</f>
        <v>-235.75502612330183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-453.11812190250816</v>
      </c>
      <c r="M12" s="17"/>
      <c r="N12" s="17"/>
      <c r="O12" s="10"/>
      <c r="P12" s="12"/>
      <c r="Q12" s="9">
        <f t="shared" ref="Q12:Q17" ca="1" si="6">SUM(L12:P12)</f>
        <v>-453.11812190250816</v>
      </c>
      <c r="R12" s="17">
        <f t="shared" ca="1" si="4"/>
        <v>-453.11812190250816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-73.880000000000109</v>
      </c>
      <c r="J13" s="14">
        <f ca="1">-(J17-Q10)</f>
        <v>-27.378293029871884</v>
      </c>
      <c r="K13" s="13">
        <f ca="1">-(K17-Q11)</f>
        <v>-667.79949018492152</v>
      </c>
      <c r="L13" s="14">
        <f t="shared" ca="1" si="5"/>
        <v>-769.05778321479352</v>
      </c>
      <c r="M13" s="16">
        <f ca="1">-E15</f>
        <v>-1080.3467405192534</v>
      </c>
      <c r="N13" s="16"/>
      <c r="O13" s="11"/>
      <c r="P13" s="13"/>
      <c r="Q13" s="14">
        <f t="shared" ca="1" si="6"/>
        <v>-1849.404523734047</v>
      </c>
      <c r="R13" s="16">
        <f t="shared" ca="1" si="4"/>
        <v>-1849.404523734047</v>
      </c>
    </row>
    <row r="14" spans="1:19">
      <c r="A14" s="18" t="s">
        <v>78</v>
      </c>
      <c r="B14" s="11"/>
      <c r="C14" s="14"/>
      <c r="D14" s="14"/>
      <c r="E14" s="14">
        <f ca="1">-(I13+J13)-K13</f>
        <v>769.05778321479352</v>
      </c>
      <c r="F14" s="14"/>
      <c r="G14" s="14"/>
      <c r="H14" s="14"/>
      <c r="I14" s="14"/>
      <c r="J14" s="14"/>
      <c r="K14" s="13"/>
      <c r="L14" s="14">
        <f t="shared" ca="1" si="5"/>
        <v>769.05778321479352</v>
      </c>
      <c r="M14" s="16"/>
      <c r="N14" s="16"/>
      <c r="O14" s="11"/>
      <c r="P14" s="13"/>
      <c r="Q14" s="14">
        <f t="shared" ca="1" si="6"/>
        <v>769.05778321479352</v>
      </c>
      <c r="R14" s="16">
        <f t="shared" ca="1" si="4"/>
        <v>769.05778321479352</v>
      </c>
    </row>
    <row r="15" spans="1:19">
      <c r="A15" s="18" t="s">
        <v>79</v>
      </c>
      <c r="B15" s="11"/>
      <c r="C15" s="14"/>
      <c r="D15" s="14"/>
      <c r="E15" s="14">
        <f ca="1">E17-E14</f>
        <v>1080.3467405192534</v>
      </c>
      <c r="F15" s="14"/>
      <c r="G15" s="14"/>
      <c r="H15" s="14"/>
      <c r="I15" s="14"/>
      <c r="J15" s="14"/>
      <c r="K15" s="13"/>
      <c r="L15" s="14">
        <f t="shared" ca="1" si="5"/>
        <v>1080.3467405192534</v>
      </c>
      <c r="M15" s="16"/>
      <c r="N15" s="16"/>
      <c r="O15" s="11"/>
      <c r="P15" s="13"/>
      <c r="Q15" s="14">
        <f t="shared" ca="1" si="6"/>
        <v>1080.3467405192534</v>
      </c>
      <c r="R15" s="16">
        <f t="shared" ca="1" si="4"/>
        <v>1080.3467405192534</v>
      </c>
    </row>
    <row r="16" spans="1:19">
      <c r="A16" s="30" t="s">
        <v>89</v>
      </c>
      <c r="B16" s="21">
        <f ca="1">Q2</f>
        <v>532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532</v>
      </c>
      <c r="M16" s="19"/>
      <c r="N16" s="19"/>
      <c r="O16" s="21"/>
      <c r="P16" s="27"/>
      <c r="Q16" s="22">
        <f t="shared" ca="1" si="6"/>
        <v>532</v>
      </c>
      <c r="R16" s="19">
        <f t="shared" ca="1" si="4"/>
        <v>532</v>
      </c>
    </row>
    <row r="17" spans="1:18">
      <c r="A17" s="29" t="s">
        <v>88</v>
      </c>
      <c r="B17" s="9">
        <f ca="1">B16</f>
        <v>532</v>
      </c>
      <c r="C17" s="9">
        <f ca="1">SUM(C$2:C$11)</f>
        <v>0</v>
      </c>
      <c r="D17" s="9">
        <f ca="1">SUM(D$2:D$11)</f>
        <v>2210.8885981684612</v>
      </c>
      <c r="E17" s="9">
        <f ca="1">$Q$5/parameters!$B$4</f>
        <v>1849.404523734047</v>
      </c>
      <c r="F17" s="9">
        <f t="shared" ref="F17:K17" ca="1" si="7">SUM(F$2:F$11)</f>
        <v>0</v>
      </c>
      <c r="G17" s="9">
        <f t="shared" ca="1" si="7"/>
        <v>5482.6750261233019</v>
      </c>
      <c r="H17" s="9">
        <f t="shared" ca="1" si="7"/>
        <v>5246.92</v>
      </c>
      <c r="I17" s="9">
        <f t="shared" ca="1" si="7"/>
        <v>3694</v>
      </c>
      <c r="J17" s="9">
        <f t="shared" ca="1" si="7"/>
        <v>1368.9146514935985</v>
      </c>
      <c r="K17" s="9">
        <f t="shared" ca="1" si="7"/>
        <v>6859.9163584637263</v>
      </c>
      <c r="L17" s="17">
        <f t="shared" ca="1" si="5"/>
        <v>27244.719157983141</v>
      </c>
      <c r="M17" s="17"/>
      <c r="N17" s="17"/>
      <c r="O17" s="9"/>
      <c r="P17" s="14"/>
      <c r="Q17" s="11">
        <f t="shared" ca="1" si="6"/>
        <v>27244.719157983141</v>
      </c>
      <c r="R17" s="17">
        <f t="shared" ca="1" si="4"/>
        <v>27244.719157983141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0.90265194861144415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855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855</v>
      </c>
      <c r="R2" s="17">
        <f ca="1">SUM(L2:P2)</f>
        <v>855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390.28499999999997</v>
      </c>
      <c r="H3" s="14"/>
      <c r="I3" s="14"/>
      <c r="J3" s="14"/>
      <c r="K3" s="13"/>
      <c r="L3" s="16">
        <f t="shared" ca="1" si="0"/>
        <v>390.28499999999997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-391.22999999999996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3343.3409143155695</v>
      </c>
      <c r="H5" s="14"/>
      <c r="I5" s="14"/>
      <c r="J5" s="14"/>
      <c r="K5" s="13"/>
      <c r="L5" s="16">
        <f t="shared" ca="1" si="0"/>
        <v>3343.3409143155695</v>
      </c>
      <c r="M5" s="16"/>
      <c r="N5" s="16"/>
      <c r="O5" s="11" cm="1">
        <f t="array" aca="1" ref="O5" ca="1">INDIRECT("'data'!$M$" &amp; $A$1)*parameters!$B$15</f>
        <v>335.15999999999997</v>
      </c>
      <c r="P5" s="13" cm="1">
        <f t="array" aca="1" ref="P5" ca="1">-INDIRECT("'data'!$N$" &amp; $A$1)*parameters!$B$15</f>
        <v>-1460.2</v>
      </c>
      <c r="Q5" s="16">
        <f ca="1">SUM(L5:P5)</f>
        <v>2218.3009143155696</v>
      </c>
      <c r="R5" s="16">
        <f t="shared" ca="1" si="2"/>
        <v>2218.3009143155696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3573.08</v>
      </c>
      <c r="I7" s="14"/>
      <c r="J7" s="14"/>
      <c r="K7" s="13"/>
      <c r="L7" s="16">
        <f t="shared" ca="1" si="0"/>
        <v>3573.08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3573.08</v>
      </c>
      <c r="R7" s="16">
        <f t="shared" ca="1" si="2"/>
        <v>3573.08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3778.2058228683345</v>
      </c>
      <c r="J8" s="14">
        <f ca="1">Q10/J18</f>
        <v>3413.0341771316648</v>
      </c>
      <c r="K8" s="13"/>
      <c r="L8" s="16">
        <f t="shared" ca="1" si="0"/>
        <v>7191.24</v>
      </c>
      <c r="M8" s="16"/>
      <c r="N8" s="16">
        <f t="shared" ca="1" si="3"/>
        <v>0</v>
      </c>
      <c r="O8" s="11" cm="1">
        <f t="array" aca="1" ref="O8" ca="1">INDIRECT("'data'!$R$" &amp; $A$1)*parameters!$B$15</f>
        <v>142.1</v>
      </c>
      <c r="P8" s="13" cm="1">
        <f t="array" aca="1" ref="P8" ca="1">-INDIRECT("'data'!$S$" &amp; $A$1)*parameters!$B$15</f>
        <v>-3760.2599999999998</v>
      </c>
      <c r="Q8" s="16">
        <f ca="1">SUM(Q6:Q7)</f>
        <v>3573.08</v>
      </c>
      <c r="R8" s="16">
        <f t="shared" ca="1" si="2"/>
        <v>3573.0800000000004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3868.06</v>
      </c>
      <c r="L9" s="16">
        <f t="shared" ca="1" si="0"/>
        <v>3868.06</v>
      </c>
      <c r="M9" s="16"/>
      <c r="N9" s="16">
        <f t="shared" ca="1" si="3"/>
        <v>0</v>
      </c>
      <c r="O9" s="11" cm="1">
        <f t="array" aca="1" ref="O9" ca="1">INDIRECT("'data'!$U$" &amp; $A$1)*parameters!$B$15</f>
        <v>609.55999999999995</v>
      </c>
      <c r="P9" s="13" cm="1">
        <f t="array" aca="1" ref="P9" ca="1">-INDIRECT("'data'!$V$" &amp; $A$1)*parameters!$B$15</f>
        <v>-945.69999999999993</v>
      </c>
      <c r="Q9" s="16" cm="1">
        <f t="array" aca="1" ref="Q9" ca="1">INDIRECT("'data'!$T$" &amp; $A$1)*parameters!$B$15</f>
        <v>3531.92</v>
      </c>
      <c r="R9" s="16">
        <f t="shared" ca="1" si="2"/>
        <v>3531.92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6377.5124039829298</v>
      </c>
      <c r="L10" s="16">
        <f t="shared" ca="1" si="0"/>
        <v>6377.5124039829298</v>
      </c>
      <c r="M10" s="16"/>
      <c r="N10" s="16">
        <f t="shared" ca="1" si="3"/>
        <v>0</v>
      </c>
      <c r="O10" s="11" cm="1">
        <f t="array" aca="1" ref="O10" ca="1">INDIRECT("'data'!$X$" &amp; $A$1)*parameters!$B$15</f>
        <v>581.14</v>
      </c>
      <c r="P10" s="13" cm="1">
        <f t="array" aca="1" ref="P10" ca="1">-INDIRECT("'data'!$Y$" &amp; $A$1)*parameters!$B$15</f>
        <v>-3768.1</v>
      </c>
      <c r="Q10" s="16" cm="1">
        <f t="array" aca="1" ref="Q10" ca="1">INDIRECT("'data'!$W$" &amp; $A$1)*parameters!$B$15</f>
        <v>3190.5524039829302</v>
      </c>
      <c r="R10" s="16">
        <f t="shared" ca="1" si="2"/>
        <v>3190.5524039829302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8454.2370674253198</v>
      </c>
      <c r="N11" s="19"/>
      <c r="O11" s="21" cm="1">
        <f t="array" aca="1" ref="O11" ca="1">INDIRECT("'data'!$Z$" &amp; $A$1)*parameters!$B$15</f>
        <v>2598.96</v>
      </c>
      <c r="P11" s="27" cm="1">
        <f t="array" aca="1" ref="P11" ca="1">-INDIRECT("'data'!$AA$" &amp; $A$1)*parameters!$B$15</f>
        <v>-1932.56</v>
      </c>
      <c r="Q11" s="16">
        <f ca="1">K9*parameters!$B$10+K10*parameters!$B$11</f>
        <v>9120.6370674253194</v>
      </c>
      <c r="R11" s="16">
        <f t="shared" ref="R11:R17" ca="1" si="4">SUM(L11:P11)</f>
        <v>9120.6370674253212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-274.17202311765459</v>
      </c>
      <c r="F12" s="9">
        <f ca="1">-(F17-Q6)</f>
        <v>0</v>
      </c>
      <c r="G12" s="9">
        <f ca="1">-(G17-Q7)</f>
        <v>-160.54591431556946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-434.71793743322405</v>
      </c>
      <c r="M12" s="17"/>
      <c r="N12" s="17"/>
      <c r="O12" s="10"/>
      <c r="P12" s="12"/>
      <c r="Q12" s="9">
        <f t="shared" ref="Q12:Q17" ca="1" si="6">SUM(L12:P12)</f>
        <v>-434.71793743322405</v>
      </c>
      <c r="R12" s="17">
        <f t="shared" ca="1" si="4"/>
        <v>-434.71793743322405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-246.28582286833444</v>
      </c>
      <c r="J13" s="14">
        <f ca="1">-(J17-Q10)</f>
        <v>-222.48177314873465</v>
      </c>
      <c r="K13" s="13">
        <f ca="1">-(K17-Q11)</f>
        <v>-1124.9353365576098</v>
      </c>
      <c r="L13" s="14">
        <f t="shared" ca="1" si="5"/>
        <v>-1593.7029325746789</v>
      </c>
      <c r="M13" s="16">
        <f ca="1">-E15</f>
        <v>-898.77000485854524</v>
      </c>
      <c r="N13" s="16"/>
      <c r="O13" s="11"/>
      <c r="P13" s="13"/>
      <c r="Q13" s="14">
        <f t="shared" ca="1" si="6"/>
        <v>-2492.4729374332242</v>
      </c>
      <c r="R13" s="16">
        <f t="shared" ca="1" si="4"/>
        <v>-2492.4729374332242</v>
      </c>
    </row>
    <row r="14" spans="1:20">
      <c r="A14" s="18" t="s">
        <v>78</v>
      </c>
      <c r="B14" s="11"/>
      <c r="C14" s="14"/>
      <c r="D14" s="14"/>
      <c r="E14" s="14">
        <f ca="1">-(I13+J13)-K13</f>
        <v>1593.7029325746789</v>
      </c>
      <c r="F14" s="14"/>
      <c r="G14" s="14"/>
      <c r="H14" s="14"/>
      <c r="I14" s="14"/>
      <c r="J14" s="14"/>
      <c r="K14" s="13"/>
      <c r="L14" s="14">
        <f t="shared" ca="1" si="5"/>
        <v>1593.7029325746789</v>
      </c>
      <c r="M14" s="16"/>
      <c r="N14" s="16"/>
      <c r="O14" s="11"/>
      <c r="P14" s="13"/>
      <c r="Q14" s="14">
        <f t="shared" ca="1" si="6"/>
        <v>1593.7029325746789</v>
      </c>
      <c r="R14" s="16">
        <f t="shared" ca="1" si="4"/>
        <v>1593.7029325746789</v>
      </c>
    </row>
    <row r="15" spans="1:20">
      <c r="A15" s="18" t="s">
        <v>79</v>
      </c>
      <c r="B15" s="11"/>
      <c r="C15" s="14"/>
      <c r="D15" s="14"/>
      <c r="E15" s="14">
        <f ca="1">E17-E14</f>
        <v>898.77000485854524</v>
      </c>
      <c r="F15" s="14"/>
      <c r="G15" s="14"/>
      <c r="H15" s="14"/>
      <c r="I15" s="14"/>
      <c r="J15" s="14"/>
      <c r="K15" s="13"/>
      <c r="L15" s="14">
        <f t="shared" ca="1" si="5"/>
        <v>898.77000485854524</v>
      </c>
      <c r="M15" s="16"/>
      <c r="N15" s="16"/>
      <c r="O15" s="11"/>
      <c r="P15" s="13"/>
      <c r="Q15" s="14">
        <f t="shared" ca="1" si="6"/>
        <v>898.77000485854524</v>
      </c>
      <c r="R15" s="16">
        <f t="shared" ca="1" si="4"/>
        <v>898.77000485854524</v>
      </c>
    </row>
    <row r="16" spans="1:20">
      <c r="A16" s="30" t="s">
        <v>89</v>
      </c>
      <c r="B16" s="21">
        <f ca="1">Q2</f>
        <v>855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855</v>
      </c>
      <c r="M16" s="19"/>
      <c r="N16" s="19"/>
      <c r="O16" s="21"/>
      <c r="P16" s="27"/>
      <c r="Q16" s="22">
        <f t="shared" ca="1" si="6"/>
        <v>855</v>
      </c>
      <c r="R16" s="19">
        <f t="shared" ca="1" si="4"/>
        <v>855</v>
      </c>
    </row>
    <row r="17" spans="1:18">
      <c r="A17" s="29" t="s">
        <v>88</v>
      </c>
      <c r="B17" s="9">
        <f ca="1">B16</f>
        <v>855</v>
      </c>
      <c r="C17" s="9">
        <f ca="1">SUM(C$2:C$11)</f>
        <v>0</v>
      </c>
      <c r="D17" s="9">
        <f ca="1">SUM(D$2:D$11)</f>
        <v>0</v>
      </c>
      <c r="E17" s="9">
        <f ca="1">$Q$5/parameters!$B$4</f>
        <v>2492.4729374332242</v>
      </c>
      <c r="F17" s="9">
        <f t="shared" ref="F17:K17" ca="1" si="7">SUM(F$2:F$11)</f>
        <v>0</v>
      </c>
      <c r="G17" s="9">
        <f t="shared" ca="1" si="7"/>
        <v>3733.6259143155694</v>
      </c>
      <c r="H17" s="9">
        <f t="shared" ca="1" si="7"/>
        <v>3573.08</v>
      </c>
      <c r="I17" s="9">
        <f t="shared" ca="1" si="7"/>
        <v>3778.2058228683345</v>
      </c>
      <c r="J17" s="9">
        <f t="shared" ca="1" si="7"/>
        <v>3413.0341771316648</v>
      </c>
      <c r="K17" s="9">
        <f t="shared" ca="1" si="7"/>
        <v>10245.572403982929</v>
      </c>
      <c r="L17" s="17">
        <f t="shared" ca="1" si="5"/>
        <v>28090.991255731722</v>
      </c>
      <c r="M17" s="17"/>
      <c r="N17" s="17"/>
      <c r="O17" s="9"/>
      <c r="P17" s="14"/>
      <c r="Q17" s="11">
        <f t="shared" ca="1" si="6"/>
        <v>28090.991255731722</v>
      </c>
      <c r="R17" s="17">
        <f t="shared" ca="1" si="4"/>
        <v>28090.991255731722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0.93481407990595933</v>
      </c>
      <c r="J18" s="39">
        <f ca="1">I18</f>
        <v>0.93481407990595933</v>
      </c>
      <c r="K18" s="40">
        <f ca="1">1-(-K13)/K17</f>
        <v>0.89020278299723932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sheetPr>
    <tabColor theme="2" tint="-9.9978637043366805E-2"/>
  </sheetPr>
  <dimension ref="A1:T23"/>
  <sheetViews>
    <sheetView workbookViewId="0">
      <selection activeCell="I18" sqref="I18:J18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1869.6487873603701</v>
      </c>
      <c r="D2" s="9">
        <f ca="1">Q4/parameters!$B$3</f>
        <v>88.879943644963276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1958.5287310053334</v>
      </c>
      <c r="M2" s="17"/>
      <c r="N2" s="17">
        <f ca="1">Q2-(L2+O2+P2)</f>
        <v>0</v>
      </c>
      <c r="O2" s="11" cm="1">
        <f t="array" aca="1" ref="O2" ca="1">INDIRECT("'data'!$F$" &amp; $A$1)</f>
        <v>10467.6</v>
      </c>
      <c r="P2" s="13">
        <f ca="1">IF(-(L2-Q2+O2)&lt;0, -(L2-Q2+O2), 0)</f>
        <v>-926.12873100533398</v>
      </c>
      <c r="Q2" s="17" cm="1">
        <f t="array" aca="1" ref="Q2" ca="1">INDIRECT("'data'!$D$" &amp; $A$1)</f>
        <v>11500</v>
      </c>
      <c r="R2" s="17">
        <f ca="1">SUM(L2:P2)</f>
        <v>11500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1535.4029850746269</v>
      </c>
      <c r="G3" s="14">
        <f ca="1">Q3-O3-P3-F3</f>
        <v>227.02201492537301</v>
      </c>
      <c r="H3" s="14"/>
      <c r="I3" s="14"/>
      <c r="J3" s="14"/>
      <c r="K3" s="13"/>
      <c r="L3" s="16">
        <f t="shared" ca="1" si="0"/>
        <v>1762.425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133.245</v>
      </c>
      <c r="P3" s="13" cm="1">
        <f t="array" aca="1" ref="P3" ca="1">-INDIRECT("'data'!$I$" &amp; $A$1)*parameters!$B$13</f>
        <v>-37.799999999999997</v>
      </c>
      <c r="Q3" s="16" cm="1">
        <f t="array" aca="1" ref="Q3" ca="1">INDIRECT("'data'!$G$" &amp; $A$1)*parameters!$B$13</f>
        <v>1857.87</v>
      </c>
      <c r="R3" s="16">
        <f t="shared" ref="R3:R10" ca="1" si="2">SUM(L3:P3)</f>
        <v>1857.8700000000001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82.800000000000011</v>
      </c>
      <c r="H4" s="14"/>
      <c r="I4" s="14"/>
      <c r="J4" s="14"/>
      <c r="K4" s="13"/>
      <c r="L4" s="16">
        <f t="shared" ca="1" si="0"/>
        <v>82.800000000000011</v>
      </c>
      <c r="M4" s="16"/>
      <c r="N4" s="16">
        <f t="shared" ca="1" si="1"/>
        <v>0</v>
      </c>
      <c r="O4" s="11" cm="1">
        <f t="array" aca="1" ref="O4" ca="1">INDIRECT("'data'!$K$" &amp; $A$1)*parameters!$B$14</f>
        <v>5.5200000000000005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88.320000000000007</v>
      </c>
      <c r="R4" s="16">
        <f t="shared" ca="1" si="2"/>
        <v>88.320000000000007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383.85074626865679</v>
      </c>
      <c r="G5" s="14">
        <f ca="1">Q7/parameters!$B$7-(G3+G4)</f>
        <v>680.41831945289232</v>
      </c>
      <c r="H5" s="14"/>
      <c r="I5" s="14"/>
      <c r="J5" s="14"/>
      <c r="K5" s="13"/>
      <c r="L5" s="16">
        <f t="shared" ca="1" si="0"/>
        <v>1064.2690657215492</v>
      </c>
      <c r="M5" s="16"/>
      <c r="N5" s="16"/>
      <c r="O5" s="11" cm="1">
        <f t="array" aca="1" ref="O5" ca="1">INDIRECT("'data'!$M$" &amp; $A$1)*parameters!$B$15</f>
        <v>1386.7</v>
      </c>
      <c r="P5" s="13" cm="1">
        <f t="array" aca="1" ref="P5" ca="1">-INDIRECT("'data'!$N$" &amp; $A$1)*parameters!$B$15</f>
        <v>-170.52</v>
      </c>
      <c r="Q5" s="16">
        <f ca="1">SUM(L5:P5)</f>
        <v>2280.4490657215492</v>
      </c>
      <c r="R5" s="16">
        <f t="shared" ca="1" si="2"/>
        <v>2280.4490657215492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1800.26</v>
      </c>
      <c r="I6" s="14"/>
      <c r="J6" s="14"/>
      <c r="K6" s="13"/>
      <c r="L6" s="16">
        <f t="shared" ca="1" si="0"/>
        <v>1800.26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1800.26</v>
      </c>
      <c r="R6" s="16">
        <f t="shared" ca="1" si="2"/>
        <v>1800.26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947.66</v>
      </c>
      <c r="I7" s="14"/>
      <c r="J7" s="14"/>
      <c r="K7" s="13"/>
      <c r="L7" s="16">
        <f t="shared" ca="1" si="0"/>
        <v>947.66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947.66</v>
      </c>
      <c r="R7" s="16">
        <f t="shared" ca="1" si="2"/>
        <v>947.66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418</v>
      </c>
      <c r="J8" s="14">
        <f ca="1">Q10/J18</f>
        <v>2466.7667140825033</v>
      </c>
      <c r="K8" s="13"/>
      <c r="L8" s="16">
        <f t="shared" ca="1" si="0"/>
        <v>2884.7667140825033</v>
      </c>
      <c r="M8" s="16"/>
      <c r="N8" s="16">
        <f t="shared" ca="1" si="3"/>
        <v>-77.066714082503495</v>
      </c>
      <c r="O8" s="11" cm="1">
        <f t="array" aca="1" ref="O8" ca="1">INDIRECT("'data'!$R$" &amp; $A$1)*parameters!$B$15</f>
        <v>57.82</v>
      </c>
      <c r="P8" s="13" cm="1">
        <f t="array" aca="1" ref="P8" ca="1">-INDIRECT("'data'!$S$" &amp; $A$1)*parameters!$B$15</f>
        <v>-117.6</v>
      </c>
      <c r="Q8" s="16">
        <f ca="1">SUM(Q6:Q7)</f>
        <v>2747.92</v>
      </c>
      <c r="R8" s="16">
        <f t="shared" ca="1" si="2"/>
        <v>2747.92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646.79999999999995</v>
      </c>
      <c r="L9" s="16">
        <f t="shared" ca="1" si="0"/>
        <v>646.79999999999995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376.32</v>
      </c>
      <c r="P9" s="13" cm="1">
        <f t="array" aca="1" ref="P9" ca="1">-INDIRECT("'data'!$V$" &amp; $A$1)*parameters!$B$15</f>
        <v>-613.48</v>
      </c>
      <c r="Q9" s="16" cm="1">
        <f t="array" aca="1" ref="Q9" ca="1">INDIRECT("'data'!$T$" &amp; $A$1)*parameters!$B$15</f>
        <v>409.64</v>
      </c>
      <c r="R9" s="16">
        <f t="shared" ca="1" si="2"/>
        <v>409.63999999999987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1998.9713798008536</v>
      </c>
      <c r="L10" s="16">
        <f t="shared" ca="1" si="0"/>
        <v>1998.9713798008536</v>
      </c>
      <c r="M10" s="16"/>
      <c r="N10" s="16">
        <f t="shared" ca="1" si="3"/>
        <v>0</v>
      </c>
      <c r="O10" s="11" cm="1">
        <f t="array" aca="1" ref="O10" ca="1">INDIRECT("'data'!$X$" &amp; $A$1)*parameters!$B$15</f>
        <v>1782.62</v>
      </c>
      <c r="P10" s="13" cm="1">
        <f t="array" aca="1" ref="P10" ca="1">-INDIRECT("'data'!$Y$" &amp; $A$1)*parameters!$B$15</f>
        <v>-1364.16</v>
      </c>
      <c r="Q10" s="16" cm="1">
        <f t="array" aca="1" ref="Q10" ca="1">INDIRECT("'data'!$W$" &amp; $A$1)*parameters!$B$15</f>
        <v>2417.4313798008534</v>
      </c>
      <c r="R10" s="16">
        <f t="shared" ca="1" si="2"/>
        <v>2417.4313798008534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2433.927386628734</v>
      </c>
      <c r="N11" s="19"/>
      <c r="O11" s="21" cm="1">
        <f t="array" aca="1" ref="O11" ca="1">INDIRECT("'data'!$Z$" &amp; $A$1)*parameters!$B$15</f>
        <v>2022.72</v>
      </c>
      <c r="P11" s="27" cm="1">
        <f t="array" aca="1" ref="P11" ca="1">-INDIRECT("'data'!$AA$" &amp; $A$1)*parameters!$B$15</f>
        <v>-2129.54</v>
      </c>
      <c r="Q11" s="16">
        <f ca="1">K9*parameters!$B$10+K10*parameters!$B$11</f>
        <v>2327.1073866287343</v>
      </c>
      <c r="R11" s="16">
        <f t="shared" ref="R11:R17" ca="1" si="4">SUM(L11:P11)</f>
        <v>2327.1073866287343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-11.778787360370188</v>
      </c>
      <c r="D12" s="9">
        <f ca="1">-(D17-Q4)</f>
        <v>-0.55994364496326909</v>
      </c>
      <c r="E12" s="9">
        <f ca="1">-(E17-Q5)</f>
        <v>-281.85325531389935</v>
      </c>
      <c r="F12" s="9">
        <f ca="1">-(F17-Q6)</f>
        <v>-118.9937313432838</v>
      </c>
      <c r="G12" s="9">
        <f ca="1">-(G17-Q7)</f>
        <v>-42.58033437826532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-455.76605204078191</v>
      </c>
      <c r="M12" s="17"/>
      <c r="N12" s="17"/>
      <c r="O12" s="10"/>
      <c r="P12" s="12"/>
      <c r="Q12" s="9">
        <f t="shared" ref="Q12:Q17" ca="1" si="6">SUM(L12:P12)</f>
        <v>-455.76605204078191</v>
      </c>
      <c r="R12" s="17">
        <f t="shared" ca="1" si="4"/>
        <v>-455.76605204078191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-8.3600000000000136</v>
      </c>
      <c r="J13" s="14">
        <f ca="1">-(J17-Q10)</f>
        <v>-49.335334281649921</v>
      </c>
      <c r="K13" s="13">
        <f ca="1">-(K17-Q11)</f>
        <v>-318.66399317211926</v>
      </c>
      <c r="L13" s="14">
        <f t="shared" ca="1" si="5"/>
        <v>-376.3593274537692</v>
      </c>
      <c r="M13" s="16">
        <f ca="1">-E15</f>
        <v>-2185.9429935816793</v>
      </c>
      <c r="N13" s="16"/>
      <c r="O13" s="11"/>
      <c r="P13" s="13"/>
      <c r="Q13" s="14">
        <f t="shared" ca="1" si="6"/>
        <v>-2562.3023210354486</v>
      </c>
      <c r="R13" s="16">
        <f t="shared" ca="1" si="4"/>
        <v>-2562.3023210354486</v>
      </c>
    </row>
    <row r="14" spans="1:20">
      <c r="A14" s="18" t="s">
        <v>78</v>
      </c>
      <c r="B14" s="11"/>
      <c r="C14" s="14"/>
      <c r="D14" s="14"/>
      <c r="E14" s="14">
        <f ca="1">-(I13+J13)-K13</f>
        <v>376.3593274537692</v>
      </c>
      <c r="F14" s="14"/>
      <c r="G14" s="14"/>
      <c r="H14" s="14"/>
      <c r="I14" s="14"/>
      <c r="J14" s="14"/>
      <c r="K14" s="13"/>
      <c r="L14" s="14">
        <f t="shared" ca="1" si="5"/>
        <v>376.3593274537692</v>
      </c>
      <c r="M14" s="16"/>
      <c r="N14" s="16"/>
      <c r="O14" s="11"/>
      <c r="P14" s="13"/>
      <c r="Q14" s="14">
        <f t="shared" ca="1" si="6"/>
        <v>376.3593274537692</v>
      </c>
      <c r="R14" s="16">
        <f t="shared" ca="1" si="4"/>
        <v>376.3593274537692</v>
      </c>
    </row>
    <row r="15" spans="1:20">
      <c r="A15" s="18" t="s">
        <v>79</v>
      </c>
      <c r="B15" s="11"/>
      <c r="C15" s="14"/>
      <c r="D15" s="14"/>
      <c r="E15" s="14">
        <f ca="1">E17-E14</f>
        <v>2185.9429935816793</v>
      </c>
      <c r="F15" s="14"/>
      <c r="G15" s="14"/>
      <c r="H15" s="14"/>
      <c r="I15" s="14"/>
      <c r="J15" s="14"/>
      <c r="K15" s="13"/>
      <c r="L15" s="14">
        <f t="shared" ca="1" si="5"/>
        <v>2185.9429935816793</v>
      </c>
      <c r="M15" s="16"/>
      <c r="N15" s="16"/>
      <c r="O15" s="11"/>
      <c r="P15" s="13"/>
      <c r="Q15" s="14">
        <f t="shared" ca="1" si="6"/>
        <v>2185.9429935816793</v>
      </c>
      <c r="R15" s="16">
        <f t="shared" ca="1" si="4"/>
        <v>2185.9429935816793</v>
      </c>
    </row>
    <row r="16" spans="1:20">
      <c r="A16" s="30" t="s">
        <v>89</v>
      </c>
      <c r="B16" s="21">
        <f ca="1">Q2</f>
        <v>11500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11500</v>
      </c>
      <c r="M16" s="19"/>
      <c r="N16" s="19"/>
      <c r="O16" s="21"/>
      <c r="P16" s="27"/>
      <c r="Q16" s="22">
        <f t="shared" ca="1" si="6"/>
        <v>11500</v>
      </c>
      <c r="R16" s="19">
        <f t="shared" ca="1" si="4"/>
        <v>11500</v>
      </c>
    </row>
    <row r="17" spans="1:18">
      <c r="A17" s="29" t="s">
        <v>88</v>
      </c>
      <c r="B17" s="9">
        <f ca="1">B16</f>
        <v>11500</v>
      </c>
      <c r="C17" s="9">
        <f ca="1">SUM(C$2:C$11)</f>
        <v>1869.6487873603701</v>
      </c>
      <c r="D17" s="9">
        <f ca="1">SUM(D$2:D$11)</f>
        <v>88.879943644963276</v>
      </c>
      <c r="E17" s="9">
        <f ca="1">$Q$5/parameters!$B$4</f>
        <v>2562.3023210354486</v>
      </c>
      <c r="F17" s="9">
        <f t="shared" ref="F17:K17" ca="1" si="7">SUM(F$2:F$11)</f>
        <v>1919.2537313432838</v>
      </c>
      <c r="G17" s="9">
        <f t="shared" ca="1" si="7"/>
        <v>990.24033437826529</v>
      </c>
      <c r="H17" s="9">
        <f t="shared" ca="1" si="7"/>
        <v>2747.92</v>
      </c>
      <c r="I17" s="9">
        <f t="shared" ca="1" si="7"/>
        <v>418</v>
      </c>
      <c r="J17" s="9">
        <f t="shared" ca="1" si="7"/>
        <v>2466.7667140825033</v>
      </c>
      <c r="K17" s="9">
        <f t="shared" ca="1" si="7"/>
        <v>2645.7713798008535</v>
      </c>
      <c r="L17" s="17">
        <f t="shared" ca="1" si="5"/>
        <v>27208.783211645685</v>
      </c>
      <c r="M17" s="17"/>
      <c r="N17" s="17"/>
      <c r="O17" s="9"/>
      <c r="P17" s="14"/>
      <c r="Q17" s="11">
        <f t="shared" ca="1" si="6"/>
        <v>27208.783211645685</v>
      </c>
      <c r="R17" s="17">
        <f t="shared" ca="1" si="4"/>
        <v>27208.783211645685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0.87955724534441637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2024-08-12T09:09:06Z</dcterms:modified>
</cp:coreProperties>
</file>