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6A6BB9B0-63F1-EB46-BC80-575A51EBB5DC}" xr6:coauthVersionLast="47" xr6:coauthVersionMax="47" xr10:uidLastSave="{00000000-0000-0000-0000-000000000000}"/>
  <bookViews>
    <workbookView xWindow="0" yWindow="500" windowWidth="38400" windowHeight="21100" firstSheet="13" activeTab="2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I18" i="18"/>
  <c r="J18" i="18" s="1"/>
  <c r="C4" i="49"/>
  <c r="D4" i="49"/>
  <c r="C5" i="49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D3" i="49"/>
  <c r="C3" i="49"/>
  <c r="J4" i="49"/>
  <c r="J5" i="49"/>
  <c r="J6" i="49"/>
  <c r="J7" i="49"/>
  <c r="J8" i="49"/>
  <c r="J9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I18" i="19" l="1"/>
  <c r="J18" i="19" s="1"/>
  <c r="I18" i="34" l="1"/>
  <c r="J18" i="34" s="1"/>
  <c r="I18" i="15"/>
  <c r="J18" i="15" s="1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O2" i="17" a="1"/>
  <c r="P10" i="33" a="1"/>
  <c r="O5" i="30" a="1"/>
  <c r="O11" i="19" a="1"/>
  <c r="Q6" i="28" a="1"/>
  <c r="Q9" i="33" a="1"/>
  <c r="P4" i="15" a="1"/>
  <c r="P10" i="26" a="1"/>
  <c r="O9" i="17" a="1"/>
  <c r="O5" i="37" a="1"/>
  <c r="Q6" i="23" a="1"/>
  <c r="Q10" i="40" a="1"/>
  <c r="Q10" i="26" a="1"/>
  <c r="Q3" i="38" a="1"/>
  <c r="O2" i="11" a="1"/>
  <c r="O9" i="37" a="1"/>
  <c r="Q10" i="36" a="1"/>
  <c r="Q3" i="22" a="1"/>
  <c r="P11" i="19" a="1"/>
  <c r="P8" i="16" a="1"/>
  <c r="Q7" i="18" a="1"/>
  <c r="P8" i="32" a="1"/>
  <c r="O5" i="40" a="1"/>
  <c r="Q3" i="42" a="1"/>
  <c r="Q9" i="18" a="1"/>
  <c r="P3" i="38" a="1"/>
  <c r="P10" i="42" a="1"/>
  <c r="Q7" i="28" a="1"/>
  <c r="O3" i="26" a="1"/>
  <c r="P8" i="17" a="1"/>
  <c r="Q4" i="38" a="1"/>
  <c r="O2" i="43" a="1"/>
  <c r="O11" i="36" a="1"/>
  <c r="O11" i="41" a="1"/>
  <c r="P10" i="24" a="1"/>
  <c r="P4" i="20" a="1"/>
  <c r="Q10" i="21" a="1"/>
  <c r="P4" i="16" a="1"/>
  <c r="P9" i="23" a="1"/>
  <c r="P4" i="40" a="1"/>
  <c r="P5" i="11" a="1"/>
  <c r="P10" i="35" a="1"/>
  <c r="P8" i="35" a="1"/>
  <c r="O3" i="23" a="1"/>
  <c r="Q2" i="35" a="1"/>
  <c r="O9" i="14" a="1"/>
  <c r="Q9" i="28" a="1"/>
  <c r="O8" i="31" a="1"/>
  <c r="Q2" i="19" a="1"/>
  <c r="P4" i="42" a="1"/>
  <c r="O10" i="36" a="1"/>
  <c r="O9" i="20" a="1"/>
  <c r="Q3" i="39" a="1"/>
  <c r="O3" i="33" a="1"/>
  <c r="O5" i="38" a="1"/>
  <c r="P3" i="23" a="1"/>
  <c r="P9" i="38" a="1"/>
  <c r="O4" i="31" a="1"/>
  <c r="O8" i="29" a="1"/>
  <c r="O5" i="15" a="1"/>
  <c r="P8" i="23" a="1"/>
  <c r="O5" i="26" a="1"/>
  <c r="O4" i="32" a="1"/>
  <c r="P5" i="37" a="1"/>
  <c r="O10" i="33" a="1"/>
  <c r="Q3" i="35" a="1"/>
  <c r="O10" i="24" a="1"/>
  <c r="P3" i="28" a="1"/>
  <c r="O11" i="26" a="1"/>
  <c r="P10" i="28" a="1"/>
  <c r="O3" i="31" a="1"/>
  <c r="Q7" i="31" a="1"/>
  <c r="O5" i="34" a="1"/>
  <c r="P5" i="17" a="1"/>
  <c r="Q2" i="17" a="1"/>
  <c r="P8" i="15" a="1"/>
  <c r="Q6" i="36" a="1"/>
  <c r="O4" i="23" a="1"/>
  <c r="Q9" i="14" a="1"/>
  <c r="O5" i="18" a="1"/>
  <c r="O5" i="20" a="1"/>
  <c r="P9" i="19" a="1"/>
  <c r="P11" i="16" a="1"/>
  <c r="O2" i="30" a="1"/>
  <c r="Q6" i="42" a="1"/>
  <c r="Q6" i="43" a="1"/>
  <c r="O8" i="20" a="1"/>
  <c r="Q6" i="34" a="1"/>
  <c r="O4" i="41" a="1"/>
  <c r="O11" i="20" a="1"/>
  <c r="O8" i="43" a="1"/>
  <c r="O5" i="36" a="1"/>
  <c r="Q7" i="11" a="1"/>
  <c r="O8" i="30" a="1"/>
  <c r="O11" i="15" a="1"/>
  <c r="Q9" i="32" a="1"/>
  <c r="O2" i="35" a="1"/>
  <c r="P10" i="40" a="1"/>
  <c r="O11" i="39" a="1"/>
  <c r="P5" i="18" a="1"/>
  <c r="Q4" i="17" a="1"/>
  <c r="P8" i="43" a="1"/>
  <c r="O5" i="22" a="1"/>
  <c r="P11" i="33" a="1"/>
  <c r="O8" i="16" a="1"/>
  <c r="O3" i="18" a="1"/>
  <c r="P8" i="29" a="1"/>
  <c r="O9" i="41" a="1"/>
  <c r="Q10" i="24" a="1"/>
  <c r="P8" i="42" a="1"/>
  <c r="P11" i="11" a="1"/>
  <c r="O4" i="20" a="1"/>
  <c r="O5" i="31" a="1"/>
  <c r="O11" i="11" a="1"/>
  <c r="P3" i="15" a="1"/>
  <c r="Q9" i="15" a="1"/>
  <c r="O4" i="19" a="1"/>
  <c r="O9" i="35" a="1"/>
  <c r="P11" i="23" a="1"/>
  <c r="P8" i="30" a="1"/>
  <c r="P10" i="37" a="1"/>
  <c r="Q2" i="15" a="1"/>
  <c r="Q4" i="32" a="1"/>
  <c r="P4" i="18" a="1"/>
  <c r="O8" i="42" a="1"/>
  <c r="P9" i="16" a="1"/>
  <c r="O4" i="11" a="1"/>
  <c r="O9" i="34" a="1"/>
  <c r="P11" i="21" a="1"/>
  <c r="Q4" i="21" a="1"/>
  <c r="O10" i="38" a="1"/>
  <c r="P9" i="43" a="1"/>
  <c r="P5" i="14" a="1"/>
  <c r="Q3" i="41" a="1"/>
  <c r="P4" i="26" a="1"/>
  <c r="O10" i="19" a="1"/>
  <c r="O9" i="22" a="1"/>
  <c r="O11" i="21" a="1"/>
  <c r="O8" i="23" a="1"/>
  <c r="O5" i="21" a="1"/>
  <c r="O10" i="17" a="1"/>
  <c r="Q10" i="43" a="1"/>
  <c r="P10" i="11" a="1"/>
  <c r="O5" i="33" a="1"/>
  <c r="O2" i="15" a="1"/>
  <c r="Q3" i="15" a="1"/>
  <c r="O4" i="21" a="1"/>
  <c r="O9" i="38" a="1"/>
  <c r="O4" i="27" a="1"/>
  <c r="P10" i="36" a="1"/>
  <c r="P8" i="38" a="1"/>
  <c r="P9" i="28" a="1"/>
  <c r="Q9" i="19" a="1"/>
  <c r="O5" i="23" a="1"/>
  <c r="Q9" i="22" a="1"/>
  <c r="Q4" i="19" a="1"/>
  <c r="Q6" i="24" a="1"/>
  <c r="Q4" i="27" a="1"/>
  <c r="P5" i="19" a="1"/>
  <c r="P11" i="26" a="1"/>
  <c r="Q9" i="39" a="1"/>
  <c r="Q2" i="30" a="1"/>
  <c r="Q9" i="42" a="1"/>
  <c r="O5" i="11" a="1"/>
  <c r="Q3" i="21" a="1"/>
  <c r="O2" i="14" a="1"/>
  <c r="O8" i="28" a="1"/>
  <c r="P9" i="34" a="1"/>
  <c r="O2" i="36" a="1"/>
  <c r="P5" i="41" a="1"/>
  <c r="Q6" i="18" a="1"/>
  <c r="O8" i="24" a="1"/>
  <c r="P10" i="43" a="1"/>
  <c r="Q3" i="18" a="1"/>
  <c r="P9" i="21" a="1"/>
  <c r="P10" i="41" a="1"/>
  <c r="Q4" i="14" a="1"/>
  <c r="P4" i="17" a="1"/>
  <c r="Q9" i="41" a="1"/>
  <c r="Q9" i="43" a="1"/>
  <c r="P5" i="26" a="1"/>
  <c r="P9" i="29" a="1"/>
  <c r="O8" i="11" a="1"/>
  <c r="P5" i="39" a="1"/>
  <c r="Q7" i="38" a="1"/>
  <c r="P5" i="35" a="1"/>
  <c r="O11" i="37" a="1"/>
  <c r="P10" i="31" a="1"/>
  <c r="O10" i="41" a="1"/>
  <c r="O2" i="22" a="1"/>
  <c r="Q6" i="31" a="1"/>
  <c r="O9" i="28" a="1"/>
  <c r="O5" i="17" a="1"/>
  <c r="Q10" i="28" a="1"/>
  <c r="P9" i="15" a="1"/>
  <c r="P4" i="22" a="1"/>
  <c r="Q10" i="27" a="1"/>
  <c r="Q4" i="29" a="1"/>
  <c r="O11" i="18" a="1"/>
  <c r="P11" i="14" a="1"/>
  <c r="P8" i="21" a="1"/>
  <c r="O3" i="19" a="1"/>
  <c r="P4" i="23" a="1"/>
  <c r="O4" i="39" a="1"/>
  <c r="Q4" i="31" a="1"/>
  <c r="Q7" i="30" a="1"/>
  <c r="P9" i="41" a="1"/>
  <c r="O2" i="42" a="1"/>
  <c r="Q7" i="35" a="1"/>
  <c r="P3" i="42" a="1"/>
  <c r="P9" i="35" a="1"/>
  <c r="P3" i="31" a="1"/>
  <c r="Q4" i="20" a="1"/>
  <c r="P5" i="42" a="1"/>
  <c r="O2" i="34" a="1"/>
  <c r="O8" i="35" a="1"/>
  <c r="Q4" i="33" a="1"/>
  <c r="Q10" i="22" a="1"/>
  <c r="Q7" i="40" a="1"/>
  <c r="P3" i="14" a="1"/>
  <c r="Q4" i="42" a="1"/>
  <c r="Q3" i="24" a="1"/>
  <c r="O11" i="27" a="1"/>
  <c r="P10" i="39" a="1"/>
  <c r="O11" i="22" a="1"/>
  <c r="P5" i="16" a="1"/>
  <c r="Q3" i="33" a="1"/>
  <c r="O3" i="14" a="1"/>
  <c r="O2" i="33" a="1"/>
  <c r="O2" i="39" a="1"/>
  <c r="P4" i="27" a="1"/>
  <c r="P8" i="18" a="1"/>
  <c r="Q9" i="31" a="1"/>
  <c r="Q3" i="29" a="1"/>
  <c r="Q7" i="32" a="1"/>
  <c r="O9" i="42" a="1"/>
  <c r="O9" i="30" a="1"/>
  <c r="Q4" i="26" a="1"/>
  <c r="P5" i="23" a="1"/>
  <c r="Q9" i="24" a="1"/>
  <c r="P4" i="29" a="1"/>
  <c r="Q3" i="30" a="1"/>
  <c r="P10" i="30" a="1"/>
  <c r="O3" i="36" a="1"/>
  <c r="Q2" i="18" a="1"/>
  <c r="P8" i="24" a="1"/>
  <c r="Q3" i="32" a="1"/>
  <c r="Q9" i="29" a="1"/>
  <c r="P9" i="22" a="1"/>
  <c r="Q4" i="34" a="1"/>
  <c r="Q10" i="33" a="1"/>
  <c r="O8" i="34" a="1"/>
  <c r="P5" i="20" a="1"/>
  <c r="O4" i="15" a="1"/>
  <c r="O2" i="32" a="1"/>
  <c r="Q6" i="33" a="1"/>
  <c r="Q10" i="37" a="1"/>
  <c r="Q3" i="26" a="1"/>
  <c r="P3" i="22" a="1"/>
  <c r="Q4" i="11" a="1"/>
  <c r="Q6" i="39" a="1"/>
  <c r="P3" i="32" a="1"/>
  <c r="O10" i="30" a="1"/>
  <c r="O10" i="43" a="1"/>
  <c r="O3" i="22" a="1"/>
  <c r="O10" i="21" a="1"/>
  <c r="O5" i="35" a="1"/>
  <c r="Q7" i="37" a="1"/>
  <c r="Q6" i="27" a="1"/>
  <c r="P9" i="26" a="1"/>
  <c r="Q4" i="39" a="1"/>
  <c r="O10" i="11" a="1"/>
  <c r="P10" i="17" a="1"/>
  <c r="O11" i="38" a="1"/>
  <c r="P3" i="26" a="1"/>
  <c r="O10" i="15" a="1"/>
  <c r="P3" i="43" a="1"/>
  <c r="O10" i="39" a="1"/>
  <c r="Q7" i="43" a="1"/>
  <c r="O2" i="16" a="1"/>
  <c r="P9" i="40" a="1"/>
  <c r="O11" i="28" a="1"/>
  <c r="P3" i="33" a="1"/>
  <c r="P11" i="18" a="1"/>
  <c r="Q2" i="33" a="1"/>
  <c r="P8" i="28" a="1"/>
  <c r="O8" i="18" a="1"/>
  <c r="O4" i="30" a="1"/>
  <c r="P8" i="41" a="1"/>
  <c r="O8" i="36" a="1"/>
  <c r="Q3" i="19" a="1"/>
  <c r="Q4" i="43" a="1"/>
  <c r="Q9" i="37" a="1"/>
  <c r="P9" i="31" a="1"/>
  <c r="Q7" i="26" a="1"/>
  <c r="Q6" i="35" a="1"/>
  <c r="Q3" i="40" a="1"/>
  <c r="P11" i="20" a="1"/>
  <c r="P4" i="35" a="1"/>
  <c r="Q2" i="34" a="1"/>
  <c r="O9" i="23" a="1"/>
  <c r="Q9" i="16" a="1"/>
  <c r="P3" i="27" a="1"/>
  <c r="Q3" i="20" a="1"/>
  <c r="P8" i="22" a="1"/>
  <c r="O11" i="29" a="1"/>
  <c r="Q7" i="22" a="1"/>
  <c r="Q9" i="26" a="1"/>
  <c r="O5" i="27" a="1"/>
  <c r="O5" i="14" a="1"/>
  <c r="P8" i="19" a="1"/>
  <c r="P8" i="34" a="1"/>
  <c r="Q3" i="28" a="1"/>
  <c r="P3" i="35" a="1"/>
  <c r="P11" i="38" a="1"/>
  <c r="O9" i="32" a="1"/>
  <c r="Q7" i="17" a="1"/>
  <c r="P3" i="20" a="1"/>
  <c r="O10" i="28" a="1"/>
  <c r="Q6" i="30" a="1"/>
  <c r="P4" i="30" a="1"/>
  <c r="O9" i="33" a="1"/>
  <c r="P4" i="36" a="1"/>
  <c r="Q7" i="14" a="1"/>
  <c r="P8" i="20" a="1"/>
  <c r="Q4" i="37" a="1"/>
  <c r="P10" i="19" a="1"/>
  <c r="P3" i="37" a="1"/>
  <c r="O10" i="37" a="1"/>
  <c r="P3" i="21" a="1"/>
  <c r="O5" i="42" a="1"/>
  <c r="O10" i="31" a="1"/>
  <c r="O3" i="29" a="1"/>
  <c r="O4" i="22" a="1"/>
  <c r="O10" i="26" a="1"/>
  <c r="Q7" i="33" a="1"/>
  <c r="Q9" i="27" a="1"/>
  <c r="Q10" i="30" a="1"/>
  <c r="Q3" i="27" a="1"/>
  <c r="P4" i="28" a="1"/>
  <c r="O4" i="43" a="1"/>
  <c r="Q3" i="43" a="1"/>
  <c r="O9" i="36" a="1"/>
  <c r="P3" i="29" a="1"/>
  <c r="Q2" i="37" a="1"/>
  <c r="P4" i="24" a="1"/>
  <c r="O4" i="28" a="1"/>
  <c r="Q4" i="16" a="1"/>
  <c r="O2" i="26" a="1"/>
  <c r="Q10" i="35" a="1"/>
  <c r="P9" i="11" a="1"/>
  <c r="P10" i="29" a="1"/>
  <c r="P10" i="18" a="1"/>
  <c r="P4" i="39" a="1"/>
  <c r="O9" i="40" a="1"/>
  <c r="O3" i="40" a="1"/>
  <c r="O5" i="29" a="1"/>
  <c r="O5" i="24" a="1"/>
  <c r="Q6" i="14" a="1"/>
  <c r="Q10" i="17" a="1"/>
  <c r="Q6" i="41" a="1"/>
  <c r="O10" i="32" a="1"/>
  <c r="P11" i="30" a="1"/>
  <c r="O2" i="31" a="1"/>
  <c r="O10" i="18" a="1"/>
  <c r="O3" i="11" a="1"/>
  <c r="Q6" i="37" a="1"/>
  <c r="P3" i="19" a="1"/>
  <c r="P5" i="29" a="1"/>
  <c r="Q7" i="15" a="1"/>
  <c r="O3" i="32" a="1"/>
  <c r="P5" i="30" a="1"/>
  <c r="P9" i="30" a="1"/>
  <c r="Q9" i="17" a="1"/>
  <c r="O10" i="42" a="1"/>
  <c r="Q7" i="27" a="1"/>
  <c r="O8" i="39" a="1"/>
  <c r="O4" i="16" a="1"/>
  <c r="Q4" i="30" a="1"/>
  <c r="O2" i="20" a="1"/>
  <c r="O3" i="38" a="1"/>
  <c r="Q9" i="11" a="1"/>
  <c r="O11" i="24" a="1"/>
  <c r="Q10" i="15" a="1"/>
  <c r="O11" i="35" a="1"/>
  <c r="O3" i="15" a="1"/>
  <c r="P8" i="27" a="1"/>
  <c r="Q3" i="14" a="1"/>
  <c r="P9" i="18" a="1"/>
  <c r="O3" i="16" a="1"/>
  <c r="P4" i="38" a="1"/>
  <c r="P10" i="22" a="1"/>
  <c r="P5" i="24" a="1"/>
  <c r="Q10" i="11" a="1"/>
  <c r="O3" i="35" a="1"/>
  <c r="O3" i="28" a="1"/>
  <c r="O3" i="41" a="1"/>
  <c r="Q6" i="38" a="1"/>
  <c r="Q9" i="21" a="1"/>
  <c r="Q2" i="21" a="1"/>
  <c r="Q2" i="20" a="1"/>
  <c r="Q9" i="38" a="1"/>
  <c r="Q3" i="34" a="1"/>
  <c r="Q6" i="32" a="1"/>
  <c r="O8" i="26" a="1"/>
  <c r="O11" i="32" a="1"/>
  <c r="P10" i="32" a="1"/>
  <c r="P8" i="31" a="1"/>
  <c r="Q10" i="34" a="1"/>
  <c r="Q10" i="38" a="1"/>
  <c r="Q7" i="29" a="1"/>
  <c r="Q10" i="39" a="1"/>
  <c r="Q9" i="40" a="1"/>
  <c r="O5" i="32" a="1"/>
  <c r="Q4" i="15" a="1"/>
  <c r="P11" i="24" a="1"/>
  <c r="P3" i="16" a="1"/>
  <c r="O10" i="40" a="1"/>
  <c r="Q6" i="16" a="1"/>
  <c r="O4" i="17" a="1"/>
  <c r="Q4" i="23" a="1"/>
  <c r="P5" i="27" a="1"/>
  <c r="Q2" i="24" a="1"/>
  <c r="P11" i="15" a="1"/>
  <c r="P4" i="32" a="1"/>
  <c r="Q3" i="16" a="1"/>
  <c r="Q10" i="18" a="1"/>
  <c r="Q2" i="23" a="1"/>
  <c r="Q10" i="31" a="1"/>
  <c r="O4" i="36" a="1"/>
  <c r="Q2" i="40" a="1"/>
  <c r="O5" i="43" a="1"/>
  <c r="O3" i="39" a="1"/>
  <c r="O11" i="23" a="1"/>
  <c r="O2" i="23" a="1"/>
  <c r="O3" i="17" a="1"/>
  <c r="P11" i="40" a="1"/>
  <c r="O9" i="27" a="1"/>
  <c r="O4" i="14" a="1"/>
  <c r="P3" i="24" a="1"/>
  <c r="P11" i="35" a="1"/>
  <c r="O10" i="27" a="1"/>
  <c r="Q4" i="28" a="1"/>
  <c r="P3" i="18" a="1"/>
  <c r="P10" i="20" a="1"/>
  <c r="O3" i="42" a="1"/>
  <c r="P11" i="34" a="1"/>
  <c r="O4" i="18" a="1"/>
  <c r="O11" i="43" a="1"/>
  <c r="Q9" i="23" a="1"/>
  <c r="O2" i="38" a="1"/>
  <c r="Q2" i="42" a="1"/>
  <c r="O3" i="24" a="1"/>
  <c r="Q7" i="19" a="1"/>
  <c r="O5" i="41" a="1"/>
  <c r="P11" i="37" a="1"/>
  <c r="P4" i="33" a="1"/>
  <c r="P9" i="20" a="1"/>
  <c r="O8" i="27" a="1"/>
  <c r="Q4" i="41" a="1"/>
  <c r="O11" i="31" a="1"/>
  <c r="P9" i="33" a="1"/>
  <c r="P4" i="37" a="1"/>
  <c r="P9" i="37" a="1"/>
  <c r="P3" i="11" a="1"/>
  <c r="P11" i="42" a="1"/>
  <c r="P5" i="40" a="1"/>
  <c r="O10" i="22" a="1"/>
  <c r="O3" i="21" a="1"/>
  <c r="P8" i="14" a="1"/>
  <c r="P11" i="27" a="1"/>
  <c r="O2" i="18" a="1"/>
  <c r="Q4" i="24" a="1"/>
  <c r="O11" i="16" a="1"/>
  <c r="P10" i="34" a="1"/>
  <c r="P4" i="43" a="1"/>
  <c r="Q4" i="40" a="1"/>
  <c r="P4" i="14" a="1"/>
  <c r="P4" i="31" a="1"/>
  <c r="P9" i="24" a="1"/>
  <c r="Q9" i="20" a="1"/>
  <c r="Q6" i="29" a="1"/>
  <c r="P11" i="39" a="1"/>
  <c r="P11" i="22" a="1"/>
  <c r="O9" i="24" a="1"/>
  <c r="O2" i="21" a="1"/>
  <c r="O8" i="41" a="1"/>
  <c r="O10" i="29" a="1"/>
  <c r="Q7" i="23" a="1"/>
  <c r="P9" i="32" a="1"/>
  <c r="Q2" i="38" a="1"/>
  <c r="Q7" i="21" a="1"/>
  <c r="Q2" i="39" a="1"/>
  <c r="Q4" i="22" a="1"/>
  <c r="O5" i="28" a="1"/>
  <c r="Q10" i="42" a="1"/>
  <c r="P11" i="41" a="1"/>
  <c r="P11" i="43" a="1"/>
  <c r="Q3" i="17" a="1"/>
  <c r="P3" i="39" a="1"/>
  <c r="Q6" i="26" a="1"/>
  <c r="O9" i="31" a="1"/>
  <c r="P3" i="34" a="1"/>
  <c r="Q7" i="42" a="1"/>
  <c r="P8" i="40" a="1"/>
  <c r="P10" i="15" a="1"/>
  <c r="Q6" i="40" a="1"/>
  <c r="P10" i="23" a="1"/>
  <c r="P9" i="42" a="1"/>
  <c r="P8" i="36" a="1"/>
  <c r="O8" i="33" a="1"/>
  <c r="P10" i="27" a="1"/>
  <c r="O9" i="16" a="1"/>
  <c r="O11" i="34" a="1"/>
  <c r="O8" i="38" a="1"/>
  <c r="O8" i="17" a="1"/>
  <c r="P8" i="39" a="1"/>
  <c r="O4" i="42" a="1"/>
  <c r="O2" i="27" a="1"/>
  <c r="P9" i="14" a="1"/>
  <c r="P5" i="32" a="1"/>
  <c r="P5" i="21" a="1"/>
  <c r="Q10" i="41" a="1"/>
  <c r="Q4" i="35" a="1"/>
  <c r="P9" i="39" a="1"/>
  <c r="O11" i="14" a="1"/>
  <c r="Q2" i="31" a="1"/>
  <c r="P11" i="36" a="1"/>
  <c r="Q2" i="26" a="1"/>
  <c r="Q7" i="41" a="1"/>
  <c r="Q7" i="20" a="1"/>
  <c r="O2" i="19" a="1"/>
  <c r="P9" i="27" a="1"/>
  <c r="Q2" i="27" a="1"/>
  <c r="P8" i="11" a="1"/>
  <c r="P8" i="26" a="1"/>
  <c r="Q2" i="29" a="1"/>
  <c r="O4" i="37" a="1"/>
  <c r="O4" i="29" a="1"/>
  <c r="P4" i="19" a="1"/>
  <c r="P10" i="38" a="1"/>
  <c r="Q7" i="34" a="1"/>
  <c r="P11" i="31" a="1"/>
  <c r="O2" i="29" a="1"/>
  <c r="P5" i="43" a="1"/>
  <c r="P8" i="37" a="1"/>
  <c r="O9" i="21" a="1"/>
  <c r="O10" i="34" a="1"/>
  <c r="O10" i="16" a="1"/>
  <c r="Q10" i="20" a="1"/>
  <c r="P11" i="29" a="1"/>
  <c r="O2" i="40" a="1"/>
  <c r="Q3" i="37" a="1"/>
  <c r="Q2" i="22" a="1"/>
  <c r="P11" i="17" a="1"/>
  <c r="Q10" i="16" a="1"/>
  <c r="P5" i="15" a="1"/>
  <c r="O8" i="15" a="1"/>
  <c r="P5" i="31" a="1"/>
  <c r="O4" i="35" a="1"/>
  <c r="P3" i="36" a="1"/>
  <c r="Q3" i="23" a="1"/>
  <c r="Q9" i="30" a="1"/>
  <c r="Q6" i="17" a="1"/>
  <c r="Q6" i="21" a="1"/>
  <c r="O10" i="20" a="1"/>
  <c r="Q10" i="29" a="1"/>
  <c r="P10" i="21" a="1"/>
  <c r="Q7" i="36" a="1"/>
  <c r="Q9" i="36" a="1"/>
  <c r="O9" i="26" a="1"/>
  <c r="O9" i="19" a="1"/>
  <c r="Q3" i="36" a="1"/>
  <c r="O9" i="11" a="1"/>
  <c r="Q2" i="43" a="1"/>
  <c r="Q2" i="28" a="1"/>
  <c r="O3" i="37" a="1"/>
  <c r="Q2" i="36" a="1"/>
  <c r="Q7" i="24" a="1"/>
  <c r="O10" i="35" a="1"/>
  <c r="P10" i="16" a="1"/>
  <c r="O9" i="18" a="1"/>
  <c r="O4" i="40" a="1"/>
  <c r="P4" i="11" a="1"/>
  <c r="Q7" i="39" a="1"/>
  <c r="P5" i="34" a="1"/>
  <c r="O4" i="38" a="1"/>
  <c r="O11" i="30" a="1"/>
  <c r="P3" i="30" a="1"/>
  <c r="O3" i="43" a="1"/>
  <c r="O4" i="26" a="1"/>
  <c r="O11" i="33" a="1"/>
  <c r="P4" i="41" a="1"/>
  <c r="Q6" i="15" a="1"/>
  <c r="O8" i="19" a="1"/>
  <c r="O9" i="15" a="1"/>
  <c r="P3" i="17" a="1"/>
  <c r="P11" i="28" a="1"/>
  <c r="O8" i="32" a="1"/>
  <c r="Q4" i="18" a="1"/>
  <c r="Q9" i="35" a="1"/>
  <c r="O8" i="14" a="1"/>
  <c r="P5" i="22" a="1"/>
  <c r="O3" i="27" a="1"/>
  <c r="O9" i="39" a="1"/>
  <c r="Q3" i="31" a="1"/>
  <c r="Q2" i="41" a="1"/>
  <c r="P4" i="34" a="1"/>
  <c r="P9" i="36" a="1"/>
  <c r="Q6" i="22" a="1"/>
  <c r="P3" i="40" a="1"/>
  <c r="O2" i="37" a="1"/>
  <c r="Q6" i="11" a="1"/>
  <c r="Q10" i="14" a="1"/>
  <c r="P5" i="33" a="1"/>
  <c r="P9" i="17" a="1"/>
  <c r="Q2" i="11" a="1"/>
  <c r="Q4" i="36" a="1"/>
  <c r="P4" i="21" a="1"/>
  <c r="Q10" i="23" a="1"/>
  <c r="P8" i="33" a="1"/>
  <c r="O2" i="41" a="1"/>
  <c r="O3" i="20" a="1"/>
  <c r="O11" i="40" a="1"/>
  <c r="P5" i="38" a="1"/>
  <c r="O10" i="23" a="1"/>
  <c r="O2" i="28" a="1"/>
  <c r="O4" i="34" a="1"/>
  <c r="P5" i="36" a="1"/>
  <c r="O11" i="42" a="1"/>
  <c r="O9" i="43" a="1"/>
  <c r="O2" i="24" a="1"/>
  <c r="O10" i="14" a="1"/>
  <c r="Q6" i="19" a="1"/>
  <c r="O5" i="19" a="1"/>
  <c r="O8" i="37" a="1"/>
  <c r="Q2" i="14" a="1"/>
  <c r="O5" i="16" a="1"/>
  <c r="Q7" i="16" a="1"/>
  <c r="O8" i="21" a="1"/>
  <c r="P11" i="32" a="1"/>
  <c r="O11" i="17" a="1"/>
  <c r="O4" i="24" a="1"/>
  <c r="O3" i="34" a="1"/>
  <c r="Q10" i="32" a="1"/>
  <c r="Q3" i="11" a="1"/>
  <c r="O8" i="40" a="1"/>
  <c r="P3" i="41" a="1"/>
  <c r="O8" i="22" a="1"/>
  <c r="P5" i="28" a="1"/>
  <c r="O4" i="33" a="1"/>
  <c r="Q9" i="34" a="1"/>
  <c r="P10" i="14" a="1"/>
  <c r="Q2" i="16" a="1"/>
  <c r="O9" i="29" a="1"/>
  <c r="O3" i="30" a="1"/>
  <c r="Q2" i="32" a="1"/>
  <c r="Q10" i="19" a="1"/>
  <c r="O5" i="39" a="1"/>
  <c r="Q6" i="19" l="1"/>
  <c r="Q6" i="35"/>
  <c r="Q6" i="26"/>
  <c r="Q6" i="43"/>
  <c r="Q6" i="34"/>
  <c r="Q6" i="15"/>
  <c r="Q6" i="42"/>
  <c r="Q6" i="33"/>
  <c r="Q6" i="14"/>
  <c r="F5" i="14" s="1"/>
  <c r="Q6" i="41"/>
  <c r="Q6" i="18"/>
  <c r="Q6" i="24"/>
  <c r="Q6" i="40"/>
  <c r="Q6" i="32"/>
  <c r="Q6" i="23"/>
  <c r="Q6" i="16"/>
  <c r="F5" i="16" s="1"/>
  <c r="Q6" i="31"/>
  <c r="Q6" i="22"/>
  <c r="Q6" i="39"/>
  <c r="F5" i="39" s="1"/>
  <c r="Q6" i="30"/>
  <c r="Q6" i="21"/>
  <c r="F5" i="21" s="1"/>
  <c r="Q6" i="38"/>
  <c r="Q6" i="29"/>
  <c r="Q6" i="11"/>
  <c r="F5" i="11" s="1"/>
  <c r="Q6" i="37"/>
  <c r="Q6" i="28"/>
  <c r="Q6" i="17"/>
  <c r="Q6" i="36"/>
  <c r="Q6" i="27"/>
  <c r="F5" i="27" s="1"/>
  <c r="Q6" i="20"/>
  <c r="F5" i="20" s="1"/>
  <c r="P10" i="42"/>
  <c r="O4" i="41"/>
  <c r="P10" i="40"/>
  <c r="O4" i="16"/>
  <c r="O10" i="16"/>
  <c r="O3" i="38"/>
  <c r="O10" i="38"/>
  <c r="O2" i="35"/>
  <c r="P9" i="34"/>
  <c r="Q3" i="38"/>
  <c r="P10" i="38"/>
  <c r="O8" i="37"/>
  <c r="Q10" i="35"/>
  <c r="P10" i="34"/>
  <c r="Q2" i="43"/>
  <c r="O9" i="43"/>
  <c r="Q2" i="42"/>
  <c r="Q10" i="42"/>
  <c r="P4" i="41"/>
  <c r="O9" i="41"/>
  <c r="Q2" i="40"/>
  <c r="Q10" i="40"/>
  <c r="Q4" i="16"/>
  <c r="P10" i="16"/>
  <c r="O3" i="20"/>
  <c r="O11" i="20"/>
  <c r="Q4" i="43"/>
  <c r="P9" i="43"/>
  <c r="O3" i="42"/>
  <c r="O11" i="42"/>
  <c r="Q4" i="41"/>
  <c r="P9" i="41"/>
  <c r="O3" i="40"/>
  <c r="O11" i="40"/>
  <c r="P5" i="16"/>
  <c r="O11" i="16"/>
  <c r="O4" i="38"/>
  <c r="O11" i="38"/>
  <c r="O9" i="37"/>
  <c r="P11" i="35"/>
  <c r="Q10" i="33"/>
  <c r="P3" i="32"/>
  <c r="P5" i="43"/>
  <c r="O10" i="43"/>
  <c r="Q3" i="42"/>
  <c r="P5" i="41"/>
  <c r="O10" i="41"/>
  <c r="Q3" i="40"/>
  <c r="Q4" i="38"/>
  <c r="O2" i="37"/>
  <c r="P9" i="37"/>
  <c r="O4" i="35"/>
  <c r="P11" i="33"/>
  <c r="O4" i="20"/>
  <c r="Q10" i="43"/>
  <c r="P4" i="42"/>
  <c r="P10" i="20"/>
  <c r="O4" i="43"/>
  <c r="Q2" i="20"/>
  <c r="Q10" i="20"/>
  <c r="P4" i="43"/>
  <c r="Q3" i="20"/>
  <c r="P8" i="20"/>
  <c r="O2" i="43"/>
  <c r="P8" i="42"/>
  <c r="O2" i="41"/>
  <c r="P8" i="40"/>
  <c r="O2" i="16"/>
  <c r="P9" i="39"/>
  <c r="P5" i="38"/>
  <c r="P4" i="35"/>
  <c r="O3" i="33"/>
  <c r="P10" i="41"/>
  <c r="O4" i="40"/>
  <c r="O3" i="39"/>
  <c r="O10" i="39"/>
  <c r="P8" i="36"/>
  <c r="O5" i="35"/>
  <c r="P4" i="34"/>
  <c r="P3" i="33"/>
  <c r="O4" i="37"/>
  <c r="Q4" i="18"/>
  <c r="Q4" i="34"/>
  <c r="Q4" i="20"/>
  <c r="P9" i="20"/>
  <c r="O3" i="43"/>
  <c r="O11" i="43"/>
  <c r="Q4" i="42"/>
  <c r="P9" i="42"/>
  <c r="O3" i="41"/>
  <c r="O11" i="41"/>
  <c r="Q4" i="40"/>
  <c r="P9" i="40"/>
  <c r="O3" i="16"/>
  <c r="P8" i="16"/>
  <c r="O4" i="39"/>
  <c r="O11" i="39"/>
  <c r="P4" i="37"/>
  <c r="O9" i="20"/>
  <c r="Q10" i="41"/>
  <c r="P4" i="40"/>
  <c r="O9" i="40"/>
  <c r="Q2" i="16"/>
  <c r="Q3" i="39"/>
  <c r="P10" i="39"/>
  <c r="P5" i="20"/>
  <c r="O10" i="20"/>
  <c r="Q3" i="43"/>
  <c r="P5" i="42"/>
  <c r="O10" i="42"/>
  <c r="Q3" i="41"/>
  <c r="P5" i="40"/>
  <c r="O10" i="40"/>
  <c r="Q3" i="16"/>
  <c r="Q4" i="39"/>
  <c r="O5" i="37"/>
  <c r="O3" i="36"/>
  <c r="P10" i="36"/>
  <c r="O8" i="35"/>
  <c r="Q7" i="34"/>
  <c r="O8" i="18"/>
  <c r="Q4" i="31"/>
  <c r="P10" i="43"/>
  <c r="O4" i="42"/>
  <c r="P4" i="20"/>
  <c r="O9" i="42"/>
  <c r="Q2" i="41"/>
  <c r="O2" i="20"/>
  <c r="P8" i="43"/>
  <c r="O2" i="42"/>
  <c r="P8" i="41"/>
  <c r="O2" i="40"/>
  <c r="P9" i="16"/>
  <c r="P5" i="39"/>
  <c r="P9" i="38"/>
  <c r="P3" i="36"/>
  <c r="O11" i="36"/>
  <c r="O8" i="34"/>
  <c r="P9" i="18"/>
  <c r="O8" i="31"/>
  <c r="Q10" i="32"/>
  <c r="P9" i="31"/>
  <c r="Q7" i="20"/>
  <c r="O8" i="20"/>
  <c r="O8" i="43"/>
  <c r="O8" i="42"/>
  <c r="O8" i="41"/>
  <c r="O8" i="40"/>
  <c r="O8" i="16"/>
  <c r="O8" i="39"/>
  <c r="O8" i="38"/>
  <c r="Q10" i="37"/>
  <c r="Q4" i="36"/>
  <c r="Q7" i="36"/>
  <c r="Q9" i="36"/>
  <c r="O9" i="35"/>
  <c r="O4" i="34"/>
  <c r="O5" i="33"/>
  <c r="O9" i="33"/>
  <c r="O4" i="18"/>
  <c r="O5" i="32"/>
  <c r="O9" i="32"/>
  <c r="O4" i="31"/>
  <c r="O5" i="30"/>
  <c r="O9" i="30"/>
  <c r="P10" i="29"/>
  <c r="O4" i="28"/>
  <c r="Q2" i="27"/>
  <c r="Q7" i="27"/>
  <c r="P4" i="18"/>
  <c r="Q7" i="18"/>
  <c r="P10" i="18"/>
  <c r="O3" i="32"/>
  <c r="P11" i="32"/>
  <c r="P4" i="31"/>
  <c r="Q7" i="31"/>
  <c r="P10" i="31"/>
  <c r="O3" i="30"/>
  <c r="Q2" i="29"/>
  <c r="Q10" i="29"/>
  <c r="P4" i="28"/>
  <c r="O9" i="28"/>
  <c r="O4" i="26"/>
  <c r="O2" i="39"/>
  <c r="P8" i="39"/>
  <c r="O2" i="38"/>
  <c r="P8" i="38"/>
  <c r="O11" i="37"/>
  <c r="O5" i="36"/>
  <c r="O8" i="36"/>
  <c r="P9" i="35"/>
  <c r="Q10" i="34"/>
  <c r="P9" i="33"/>
  <c r="Q10" i="18"/>
  <c r="P9" i="32"/>
  <c r="Q10" i="31"/>
  <c r="P9" i="30"/>
  <c r="O9" i="27"/>
  <c r="P4" i="26"/>
  <c r="P3" i="30"/>
  <c r="O3" i="29"/>
  <c r="O11" i="29"/>
  <c r="Q4" i="28"/>
  <c r="P9" i="28"/>
  <c r="O4" i="27"/>
  <c r="Q2" i="37"/>
  <c r="P11" i="37"/>
  <c r="Q2" i="35"/>
  <c r="Q9" i="35"/>
  <c r="Q2" i="34"/>
  <c r="O11" i="34"/>
  <c r="Q9" i="33"/>
  <c r="Q2" i="18"/>
  <c r="O11" i="18"/>
  <c r="Q9" i="32"/>
  <c r="Q2" i="31"/>
  <c r="O11" i="31"/>
  <c r="Q7" i="29"/>
  <c r="P4" i="27"/>
  <c r="O9" i="38"/>
  <c r="Q10" i="36"/>
  <c r="Q4" i="35"/>
  <c r="Q7" i="35"/>
  <c r="O5" i="34"/>
  <c r="O9" i="34"/>
  <c r="O4" i="33"/>
  <c r="O5" i="18"/>
  <c r="O9" i="18"/>
  <c r="O4" i="32"/>
  <c r="O5" i="31"/>
  <c r="O9" i="31"/>
  <c r="O4" i="30"/>
  <c r="P10" i="30"/>
  <c r="O4" i="29"/>
  <c r="P10" i="28"/>
  <c r="P10" i="27"/>
  <c r="P4" i="16"/>
  <c r="O9" i="16"/>
  <c r="Q10" i="16"/>
  <c r="Q2" i="39"/>
  <c r="P4" i="39"/>
  <c r="O9" i="39"/>
  <c r="Q10" i="39"/>
  <c r="Q2" i="38"/>
  <c r="P4" i="38"/>
  <c r="Q10" i="38"/>
  <c r="Q4" i="37"/>
  <c r="Q7" i="37"/>
  <c r="Q9" i="37"/>
  <c r="O3" i="37"/>
  <c r="O2" i="36"/>
  <c r="O4" i="36"/>
  <c r="O9" i="36"/>
  <c r="O3" i="35"/>
  <c r="P10" i="35"/>
  <c r="O3" i="34"/>
  <c r="P11" i="34"/>
  <c r="P4" i="33"/>
  <c r="Q7" i="33"/>
  <c r="P10" i="33"/>
  <c r="O3" i="18"/>
  <c r="P11" i="18"/>
  <c r="P4" i="32"/>
  <c r="Q7" i="32"/>
  <c r="P10" i="32"/>
  <c r="O3" i="31"/>
  <c r="P11" i="31"/>
  <c r="P4" i="30"/>
  <c r="Q7" i="30"/>
  <c r="Q10" i="30"/>
  <c r="P4" i="29"/>
  <c r="O9" i="29"/>
  <c r="Q2" i="28"/>
  <c r="Q10" i="28"/>
  <c r="Q10" i="27"/>
  <c r="Q7" i="43"/>
  <c r="Q7" i="42"/>
  <c r="Q7" i="41"/>
  <c r="Q7" i="40"/>
  <c r="Q7" i="16"/>
  <c r="Q7" i="39"/>
  <c r="Q7" i="38"/>
  <c r="P3" i="37"/>
  <c r="P8" i="37"/>
  <c r="P10" i="37"/>
  <c r="P4" i="36"/>
  <c r="P9" i="36"/>
  <c r="P3" i="35"/>
  <c r="P3" i="34"/>
  <c r="Q4" i="33"/>
  <c r="O8" i="33"/>
  <c r="P3" i="18"/>
  <c r="Q4" i="32"/>
  <c r="O8" i="32"/>
  <c r="P3" i="31"/>
  <c r="Q4" i="30"/>
  <c r="O8" i="30"/>
  <c r="O11" i="30"/>
  <c r="Q4" i="29"/>
  <c r="P9" i="29"/>
  <c r="O3" i="28"/>
  <c r="O9" i="26"/>
  <c r="P3" i="20"/>
  <c r="O5" i="20"/>
  <c r="Q9" i="20"/>
  <c r="P11" i="20"/>
  <c r="P3" i="43"/>
  <c r="O5" i="43"/>
  <c r="Q9" i="43"/>
  <c r="P11" i="43"/>
  <c r="P3" i="42"/>
  <c r="O5" i="42"/>
  <c r="Q9" i="42"/>
  <c r="P11" i="42"/>
  <c r="P3" i="41"/>
  <c r="O5" i="41"/>
  <c r="Q9" i="41"/>
  <c r="P11" i="41"/>
  <c r="P3" i="40"/>
  <c r="O5" i="40"/>
  <c r="Q9" i="40"/>
  <c r="P11" i="40"/>
  <c r="P3" i="16"/>
  <c r="O5" i="16"/>
  <c r="Q9" i="16"/>
  <c r="P11" i="16"/>
  <c r="P3" i="39"/>
  <c r="O5" i="39"/>
  <c r="Q9" i="39"/>
  <c r="P11" i="39"/>
  <c r="P3" i="38"/>
  <c r="O5" i="38"/>
  <c r="Q9" i="38"/>
  <c r="P11" i="38"/>
  <c r="Q2" i="36"/>
  <c r="P11" i="36"/>
  <c r="O11" i="35"/>
  <c r="Q9" i="34"/>
  <c r="Q2" i="33"/>
  <c r="O11" i="33"/>
  <c r="Q9" i="18"/>
  <c r="Q2" i="32"/>
  <c r="O11" i="32"/>
  <c r="Q9" i="31"/>
  <c r="Q2" i="30"/>
  <c r="Q7" i="28"/>
  <c r="Q2" i="26"/>
  <c r="P8" i="35"/>
  <c r="O2" i="34"/>
  <c r="P8" i="34"/>
  <c r="O2" i="33"/>
  <c r="P8" i="33"/>
  <c r="O2" i="18"/>
  <c r="P8" i="18"/>
  <c r="O2" i="32"/>
  <c r="P8" i="32"/>
  <c r="O2" i="31"/>
  <c r="P8" i="31"/>
  <c r="O2" i="30"/>
  <c r="P8" i="30"/>
  <c r="O2" i="29"/>
  <c r="P8" i="29"/>
  <c r="O2" i="28"/>
  <c r="P8" i="28"/>
  <c r="O2" i="27"/>
  <c r="P8" i="27"/>
  <c r="O2" i="26"/>
  <c r="P8" i="26"/>
  <c r="O2" i="15"/>
  <c r="P8" i="15"/>
  <c r="O2" i="14"/>
  <c r="P8" i="14"/>
  <c r="O2" i="24"/>
  <c r="P8" i="24"/>
  <c r="O2" i="23"/>
  <c r="P8" i="23"/>
  <c r="O2" i="22"/>
  <c r="P8" i="22"/>
  <c r="O2" i="21"/>
  <c r="P8" i="21"/>
  <c r="O2" i="11"/>
  <c r="P8" i="11"/>
  <c r="O2" i="17"/>
  <c r="P8" i="17"/>
  <c r="P10" i="26"/>
  <c r="O4" i="15"/>
  <c r="P10" i="15"/>
  <c r="O4" i="14"/>
  <c r="P10" i="14"/>
  <c r="O4" i="24"/>
  <c r="P10" i="24"/>
  <c r="O4" i="23"/>
  <c r="P10" i="23"/>
  <c r="O4" i="22"/>
  <c r="P10" i="22"/>
  <c r="O4" i="21"/>
  <c r="P10" i="21"/>
  <c r="O4" i="11"/>
  <c r="P10" i="11"/>
  <c r="O4" i="17"/>
  <c r="P10" i="17"/>
  <c r="Q10" i="26"/>
  <c r="Q2" i="15"/>
  <c r="P4" i="15"/>
  <c r="O9" i="15"/>
  <c r="Q10" i="15"/>
  <c r="Q2" i="14"/>
  <c r="P4" i="14"/>
  <c r="O9" i="14"/>
  <c r="Q10" i="14"/>
  <c r="Q2" i="24"/>
  <c r="P4" i="24"/>
  <c r="O9" i="24"/>
  <c r="Q10" i="24"/>
  <c r="Q2" i="23"/>
  <c r="P4" i="23"/>
  <c r="O9" i="23"/>
  <c r="Q10" i="23"/>
  <c r="Q2" i="22"/>
  <c r="P4" i="22"/>
  <c r="O9" i="22"/>
  <c r="Q10" i="22"/>
  <c r="Q2" i="21"/>
  <c r="P4" i="21"/>
  <c r="O9" i="21"/>
  <c r="Q10" i="21"/>
  <c r="Q2" i="11"/>
  <c r="P4" i="11"/>
  <c r="O9" i="11"/>
  <c r="Q10" i="11"/>
  <c r="Q2" i="17"/>
  <c r="P4" i="17"/>
  <c r="O9" i="17"/>
  <c r="Q10" i="17"/>
  <c r="O11" i="28"/>
  <c r="O3" i="27"/>
  <c r="Q4" i="27"/>
  <c r="P9" i="27"/>
  <c r="O11" i="27"/>
  <c r="O3" i="26"/>
  <c r="Q4" i="26"/>
  <c r="P9" i="26"/>
  <c r="O11" i="26"/>
  <c r="O3" i="15"/>
  <c r="Q4" i="15"/>
  <c r="P9" i="15"/>
  <c r="O11" i="15"/>
  <c r="O3" i="14"/>
  <c r="Q4" i="14"/>
  <c r="P9" i="14"/>
  <c r="O11" i="14"/>
  <c r="O3" i="24"/>
  <c r="Q4" i="24"/>
  <c r="P9" i="24"/>
  <c r="O11" i="24"/>
  <c r="O3" i="23"/>
  <c r="Q4" i="23"/>
  <c r="P9" i="23"/>
  <c r="O11" i="23"/>
  <c r="O3" i="22"/>
  <c r="Q4" i="22"/>
  <c r="P9" i="22"/>
  <c r="O11" i="22"/>
  <c r="O3" i="21"/>
  <c r="Q4" i="21"/>
  <c r="P9" i="21"/>
  <c r="O11" i="21"/>
  <c r="O3" i="11"/>
  <c r="Q4" i="11"/>
  <c r="P9" i="11"/>
  <c r="O11" i="11"/>
  <c r="O3" i="17"/>
  <c r="Q4" i="17"/>
  <c r="P9" i="17"/>
  <c r="O11" i="17"/>
  <c r="Q7" i="26"/>
  <c r="Q7" i="15"/>
  <c r="Q7" i="14"/>
  <c r="Q7" i="24"/>
  <c r="Q7" i="23"/>
  <c r="Q7" i="22"/>
  <c r="Q7" i="21"/>
  <c r="Q7" i="11"/>
  <c r="Q7" i="17"/>
  <c r="Q9" i="30"/>
  <c r="P11" i="30"/>
  <c r="P3" i="29"/>
  <c r="O5" i="29"/>
  <c r="Q9" i="29"/>
  <c r="P11" i="29"/>
  <c r="P3" i="28"/>
  <c r="O5" i="28"/>
  <c r="Q9" i="28"/>
  <c r="P11" i="28"/>
  <c r="P3" i="27"/>
  <c r="O5" i="27"/>
  <c r="Q9" i="27"/>
  <c r="P11" i="27"/>
  <c r="P3" i="26"/>
  <c r="O5" i="26"/>
  <c r="Q9" i="26"/>
  <c r="P11" i="26"/>
  <c r="P3" i="15"/>
  <c r="O5" i="15"/>
  <c r="Q9" i="15"/>
  <c r="P11" i="15"/>
  <c r="P3" i="14"/>
  <c r="O5" i="14"/>
  <c r="Q9" i="14"/>
  <c r="P11" i="14"/>
  <c r="P3" i="24"/>
  <c r="O5" i="24"/>
  <c r="Q9" i="24"/>
  <c r="P11" i="24"/>
  <c r="P3" i="23"/>
  <c r="O5" i="23"/>
  <c r="Q9" i="23"/>
  <c r="P11" i="23"/>
  <c r="P3" i="22"/>
  <c r="O5" i="22"/>
  <c r="Q9" i="22"/>
  <c r="P11" i="22"/>
  <c r="P3" i="21"/>
  <c r="O5" i="21"/>
  <c r="Q9" i="21"/>
  <c r="P11" i="21"/>
  <c r="P3" i="11"/>
  <c r="O5" i="11"/>
  <c r="Q9" i="11"/>
  <c r="P11" i="11"/>
  <c r="P3" i="17"/>
  <c r="O5" i="17"/>
  <c r="Q9" i="17"/>
  <c r="P11" i="17"/>
  <c r="O8" i="29"/>
  <c r="O8" i="28"/>
  <c r="O8" i="27"/>
  <c r="O8" i="26"/>
  <c r="O8" i="15"/>
  <c r="O8" i="14"/>
  <c r="O8" i="24"/>
  <c r="O8" i="23"/>
  <c r="O8" i="22"/>
  <c r="O8" i="21"/>
  <c r="O8" i="11"/>
  <c r="O8" i="17"/>
  <c r="Q3" i="37"/>
  <c r="P5" i="37"/>
  <c r="O10" i="37"/>
  <c r="Q3" i="36"/>
  <c r="P5" i="36"/>
  <c r="O10" i="36"/>
  <c r="Q3" i="35"/>
  <c r="P5" i="35"/>
  <c r="O10" i="35"/>
  <c r="Q3" i="34"/>
  <c r="P5" i="34"/>
  <c r="O10" i="34"/>
  <c r="Q3" i="33"/>
  <c r="P5" i="33"/>
  <c r="O10" i="33"/>
  <c r="Q3" i="18"/>
  <c r="P5" i="18"/>
  <c r="O10" i="18"/>
  <c r="Q3" i="32"/>
  <c r="P5" i="32"/>
  <c r="O10" i="32"/>
  <c r="Q3" i="31"/>
  <c r="P5" i="31"/>
  <c r="O10" i="31"/>
  <c r="Q3" i="30"/>
  <c r="P5" i="30"/>
  <c r="O10" i="30"/>
  <c r="Q3" i="29"/>
  <c r="P5" i="29"/>
  <c r="O10" i="29"/>
  <c r="Q3" i="28"/>
  <c r="P5" i="28"/>
  <c r="O10" i="28"/>
  <c r="Q3" i="27"/>
  <c r="P5" i="27"/>
  <c r="O10" i="27"/>
  <c r="Q3" i="26"/>
  <c r="P5" i="26"/>
  <c r="O10" i="26"/>
  <c r="Q3" i="15"/>
  <c r="P5" i="15"/>
  <c r="O10" i="15"/>
  <c r="Q3" i="14"/>
  <c r="P5" i="14"/>
  <c r="O10" i="14"/>
  <c r="Q3" i="24"/>
  <c r="P5" i="24"/>
  <c r="O10" i="24"/>
  <c r="Q3" i="23"/>
  <c r="P5" i="23"/>
  <c r="O10" i="23"/>
  <c r="Q3" i="22"/>
  <c r="P5" i="22"/>
  <c r="O10" i="22"/>
  <c r="Q3" i="21"/>
  <c r="P5" i="21"/>
  <c r="O10" i="21"/>
  <c r="Q3" i="11"/>
  <c r="P5" i="11"/>
  <c r="O10" i="11"/>
  <c r="Q3" i="17"/>
  <c r="P5" i="17"/>
  <c r="O10" i="17"/>
  <c r="P11" i="19"/>
  <c r="O11" i="19"/>
  <c r="P10" i="19"/>
  <c r="O10" i="19"/>
  <c r="P9" i="19"/>
  <c r="O9" i="19"/>
  <c r="Q10" i="19"/>
  <c r="P8" i="19"/>
  <c r="O8" i="19"/>
  <c r="P5" i="19"/>
  <c r="O5" i="19"/>
  <c r="P4" i="19"/>
  <c r="O4" i="19"/>
  <c r="P3" i="19"/>
  <c r="O3" i="19"/>
  <c r="O2" i="19"/>
  <c r="Q9" i="19"/>
  <c r="Q7" i="19"/>
  <c r="Q4" i="19"/>
  <c r="Q3" i="19"/>
  <c r="Q2" i="19"/>
  <c r="F5" i="18" l="1"/>
  <c r="F3" i="18"/>
  <c r="G4" i="24"/>
  <c r="F5" i="24"/>
  <c r="F3" i="24" s="1"/>
  <c r="G3" i="24" s="1"/>
  <c r="F5" i="15"/>
  <c r="F5" i="34"/>
  <c r="F5" i="36"/>
  <c r="F3" i="39"/>
  <c r="G3" i="39" s="1"/>
  <c r="F5" i="26"/>
  <c r="F5" i="37"/>
  <c r="F5" i="40"/>
  <c r="F5" i="17"/>
  <c r="F5" i="28"/>
  <c r="F5" i="41"/>
  <c r="F5" i="42"/>
  <c r="F5" i="30"/>
  <c r="F5" i="43"/>
  <c r="F5" i="19"/>
  <c r="F5" i="22"/>
  <c r="F5" i="31"/>
  <c r="F5" i="35"/>
  <c r="F5" i="32"/>
  <c r="F5" i="23"/>
  <c r="F5" i="29"/>
  <c r="F5" i="33"/>
  <c r="F5" i="38"/>
  <c r="Q8" i="17"/>
  <c r="Q8" i="23"/>
  <c r="Q8" i="32"/>
  <c r="Q8" i="15"/>
  <c r="Q8" i="18"/>
  <c r="Q8" i="14"/>
  <c r="Q8" i="36"/>
  <c r="Q8" i="39"/>
  <c r="Q8" i="34"/>
  <c r="Q8" i="26"/>
  <c r="Q8" i="16"/>
  <c r="Q8" i="37"/>
  <c r="Q8" i="27"/>
  <c r="Q8" i="40"/>
  <c r="Q8" i="41"/>
  <c r="Q8" i="11"/>
  <c r="Q8" i="29"/>
  <c r="Q8" i="42"/>
  <c r="Q8" i="21"/>
  <c r="Q8" i="30"/>
  <c r="Q8" i="43"/>
  <c r="Q8" i="28"/>
  <c r="Q8" i="22"/>
  <c r="Q8" i="31"/>
  <c r="Q8" i="20"/>
  <c r="Q8" i="35"/>
  <c r="Q8" i="24"/>
  <c r="Q8" i="33"/>
  <c r="Q8" i="38"/>
  <c r="C2" i="35"/>
  <c r="G5" i="24" l="1"/>
  <c r="G5" i="39"/>
  <c r="I18" i="24"/>
  <c r="I18" i="14"/>
  <c r="J18" i="14" s="1"/>
  <c r="I18" i="41"/>
  <c r="J18" i="41" s="1"/>
  <c r="D2" i="35"/>
  <c r="L2" i="35" s="1"/>
  <c r="P2" i="35" s="1"/>
  <c r="N2" i="35" l="1"/>
  <c r="R2" i="35" s="1"/>
  <c r="F3" i="35" l="1"/>
  <c r="G3" i="35" s="1"/>
  <c r="H6" i="35"/>
  <c r="L6" i="35" s="1"/>
  <c r="N6" i="35" s="1"/>
  <c r="R6" i="35" l="1"/>
  <c r="H7" i="35" l="1"/>
  <c r="L7" i="35" s="1"/>
  <c r="L3" i="35" l="1"/>
  <c r="N7" i="35"/>
  <c r="R7" i="35" s="1"/>
  <c r="N3" i="35" l="1"/>
  <c r="R3" i="35" s="1"/>
  <c r="K9" i="35" l="1"/>
  <c r="L9" i="35" l="1"/>
  <c r="N9" i="35" s="1"/>
  <c r="R9" i="35" l="1"/>
  <c r="K10" i="35"/>
  <c r="L10" i="35" l="1"/>
  <c r="N10" i="35" s="1"/>
  <c r="R10" i="35" s="1"/>
  <c r="Q11" i="35"/>
  <c r="B16" i="35"/>
  <c r="L16" i="35" s="1"/>
  <c r="R16" i="35" s="1"/>
  <c r="C17" i="35"/>
  <c r="C12" i="35" s="1"/>
  <c r="C18" i="35" s="1"/>
  <c r="D17" i="35"/>
  <c r="D12" i="35" s="1"/>
  <c r="F17" i="35"/>
  <c r="F12" i="35" s="1"/>
  <c r="F18" i="35" s="1"/>
  <c r="H17" i="35"/>
  <c r="H12" i="35" s="1"/>
  <c r="H18" i="35" s="1"/>
  <c r="K17" i="35"/>
  <c r="I18" i="35"/>
  <c r="I8" i="35" s="1"/>
  <c r="D18" i="35" l="1"/>
  <c r="B17" i="35"/>
  <c r="B12" i="35" s="1"/>
  <c r="B18" i="35" s="1"/>
  <c r="J18" i="35"/>
  <c r="J8" i="35" s="1"/>
  <c r="J17" i="35" s="1"/>
  <c r="J13" i="35" s="1"/>
  <c r="K13" i="35"/>
  <c r="K18" i="35" s="1"/>
  <c r="Q16" i="35"/>
  <c r="M11" i="35"/>
  <c r="I17" i="35"/>
  <c r="I13" i="35" s="1"/>
  <c r="R11" i="35" l="1"/>
  <c r="L8" i="35"/>
  <c r="N8" i="35" s="1"/>
  <c r="R8" i="35" s="1"/>
  <c r="L13" i="35"/>
  <c r="E14" i="35"/>
  <c r="G5" i="35" l="1"/>
  <c r="G4" i="35" s="1"/>
  <c r="L14" i="35"/>
  <c r="R14" i="35" l="1"/>
  <c r="Q14" i="35"/>
  <c r="L5" i="35"/>
  <c r="Q5" i="35" l="1"/>
  <c r="E17" i="35" s="1"/>
  <c r="L4" i="35"/>
  <c r="G17" i="35"/>
  <c r="G12" i="35" s="1"/>
  <c r="G18" i="35" s="1"/>
  <c r="R5" i="35"/>
  <c r="E12" i="35" l="1"/>
  <c r="E18" i="35" s="1"/>
  <c r="E15" i="35"/>
  <c r="L17" i="35"/>
  <c r="N4" i="35"/>
  <c r="R4" i="35" s="1"/>
  <c r="M13" i="35" l="1"/>
  <c r="L15" i="35"/>
  <c r="L12" i="35"/>
  <c r="Q17" i="35"/>
  <c r="R17" i="35"/>
  <c r="Q12" i="35" l="1"/>
  <c r="R12" i="35"/>
  <c r="R15" i="35"/>
  <c r="Q15" i="35"/>
  <c r="Q13" i="35"/>
  <c r="R13" i="35"/>
  <c r="C2" i="20"/>
  <c r="D2" i="20" l="1"/>
  <c r="L2" i="20" s="1"/>
  <c r="P2" i="20" s="1"/>
  <c r="H6" i="20" l="1"/>
  <c r="L6" i="20" s="1"/>
  <c r="N6" i="20" s="1"/>
  <c r="R6" i="20" l="1"/>
  <c r="F3" i="20"/>
  <c r="G3" i="20" s="1"/>
  <c r="C17" i="20" l="1"/>
  <c r="C12" i="20" s="1"/>
  <c r="C18" i="20" s="1"/>
  <c r="D17" i="20"/>
  <c r="F17" i="20"/>
  <c r="F12" i="20" s="1"/>
  <c r="F18" i="20" s="1"/>
  <c r="D12" i="20" l="1"/>
  <c r="D18" i="20" l="1"/>
  <c r="K10" i="20" l="1"/>
  <c r="L10" i="20" s="1"/>
  <c r="N10" i="20" l="1"/>
  <c r="R10" i="20" s="1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D2" i="41"/>
  <c r="G4" i="41"/>
  <c r="L4" i="41" s="1"/>
  <c r="K10" i="41"/>
  <c r="L10" i="41" s="1"/>
  <c r="N10" i="41" s="1"/>
  <c r="C2" i="41"/>
  <c r="C17" i="41" s="1"/>
  <c r="G4" i="40"/>
  <c r="L4" i="40" s="1"/>
  <c r="D2" i="40"/>
  <c r="K10" i="40"/>
  <c r="L10" i="40" s="1"/>
  <c r="N10" i="40" s="1"/>
  <c r="C2" i="40"/>
  <c r="C17" i="40" s="1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D17" i="39" l="1"/>
  <c r="D12" i="39" s="1"/>
  <c r="D17" i="38"/>
  <c r="D12" i="38" s="1"/>
  <c r="D17" i="40"/>
  <c r="D17" i="41"/>
  <c r="D12" i="41" s="1"/>
  <c r="D17" i="36"/>
  <c r="D12" i="36" s="1"/>
  <c r="D17" i="42"/>
  <c r="D17" i="43"/>
  <c r="N4" i="41"/>
  <c r="R4" i="41" s="1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C12" i="41"/>
  <c r="C18" i="41" s="1"/>
  <c r="L2" i="41"/>
  <c r="P2" i="41" s="1"/>
  <c r="R10" i="4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D18" i="36" l="1"/>
  <c r="D18" i="38"/>
  <c r="D18" i="41"/>
  <c r="D18" i="39"/>
  <c r="D12" i="43"/>
  <c r="D12" i="42"/>
  <c r="D12" i="40"/>
  <c r="D18" i="42" l="1"/>
  <c r="D18" i="43"/>
  <c r="D18" i="40"/>
  <c r="C2" i="34" l="1"/>
  <c r="C17" i="34" s="1"/>
  <c r="D2" i="34" l="1"/>
  <c r="G4" i="34"/>
  <c r="L4" i="34" s="1"/>
  <c r="L2" i="34" l="1"/>
  <c r="P2" i="34" s="1"/>
  <c r="D17" i="34"/>
  <c r="N4" i="34"/>
  <c r="R4" i="34" s="1"/>
  <c r="K10" i="34" l="1"/>
  <c r="L10" i="34" l="1"/>
  <c r="N10" i="34" s="1"/>
  <c r="C12" i="34"/>
  <c r="C18" i="34" s="1"/>
  <c r="D12" i="34"/>
  <c r="D18" i="34" l="1"/>
  <c r="R10" i="34"/>
  <c r="D2" i="33" l="1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9"/>
  <c r="L10" i="29" s="1"/>
  <c r="N10" i="29" s="1"/>
  <c r="D2" i="29"/>
  <c r="C2" i="29"/>
  <c r="C17" i="29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L4" i="24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C2" i="19"/>
  <c r="C17" i="19" s="1"/>
  <c r="G4" i="19"/>
  <c r="L4" i="19" s="1"/>
  <c r="D2" i="19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9"/>
  <c r="D12" i="19" s="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29"/>
  <c r="D12" i="29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R10" i="29"/>
  <c r="C12" i="29"/>
  <c r="C18" i="29" s="1"/>
  <c r="L2" i="29"/>
  <c r="P2" i="29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N4" i="19"/>
  <c r="R4" i="19" s="1"/>
  <c r="C12" i="19"/>
  <c r="C18" i="19" s="1"/>
  <c r="L2" i="19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19"/>
  <c r="D18" i="29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D2" i="15"/>
  <c r="C2" i="15"/>
  <c r="C17" i="15" s="1"/>
  <c r="K9" i="37" l="1"/>
  <c r="K9" i="20"/>
  <c r="Q11" i="20" s="1"/>
  <c r="H7" i="20"/>
  <c r="I18" i="20"/>
  <c r="N2" i="20"/>
  <c r="R2" i="20" s="1"/>
  <c r="B16" i="20"/>
  <c r="K9" i="34"/>
  <c r="Q11" i="34" s="1"/>
  <c r="G4" i="29"/>
  <c r="L4" i="29" s="1"/>
  <c r="F3" i="16"/>
  <c r="F3" i="17"/>
  <c r="F3" i="22"/>
  <c r="F3" i="11"/>
  <c r="F3" i="15"/>
  <c r="G3" i="15" s="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4"/>
  <c r="G3" i="34" s="1"/>
  <c r="H6" i="34"/>
  <c r="L6" i="34" s="1"/>
  <c r="N6" i="34" s="1"/>
  <c r="R6" i="34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1"/>
  <c r="G3" i="41" s="1"/>
  <c r="H6" i="41"/>
  <c r="L6" i="41" s="1"/>
  <c r="N6" i="41" s="1"/>
  <c r="R6" i="41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H7" i="41"/>
  <c r="K9" i="30"/>
  <c r="Q11" i="30" s="1"/>
  <c r="B16" i="38"/>
  <c r="H7" i="30"/>
  <c r="H7" i="28"/>
  <c r="K9" i="41"/>
  <c r="Q11" i="41" s="1"/>
  <c r="K9" i="39"/>
  <c r="Q11" i="39" s="1"/>
  <c r="K9" i="40"/>
  <c r="Q11" i="40" s="1"/>
  <c r="K9" i="26"/>
  <c r="Q11" i="26" s="1"/>
  <c r="K9" i="23"/>
  <c r="Q11" i="23" s="1"/>
  <c r="B16" i="41"/>
  <c r="K9" i="29"/>
  <c r="Q11" i="29" s="1"/>
  <c r="H7" i="36"/>
  <c r="B16" i="28"/>
  <c r="H7" i="42"/>
  <c r="H7" i="26"/>
  <c r="K9" i="33"/>
  <c r="Q11" i="33" s="1"/>
  <c r="H7" i="23"/>
  <c r="H7" i="38"/>
  <c r="K9" i="42"/>
  <c r="Q11" i="42" s="1"/>
  <c r="B16" i="34"/>
  <c r="K9" i="38"/>
  <c r="Q11" i="38" s="1"/>
  <c r="K9" i="28"/>
  <c r="Q11" i="28" s="1"/>
  <c r="B16" i="30"/>
  <c r="H7" i="34"/>
  <c r="B16" i="26"/>
  <c r="B16" i="29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4"/>
  <c r="B16" i="16"/>
  <c r="B16" i="17"/>
  <c r="B16" i="19"/>
  <c r="D17" i="15"/>
  <c r="D12" i="15" s="1"/>
  <c r="K10" i="15"/>
  <c r="L10" i="15" s="1"/>
  <c r="N10" i="15" s="1"/>
  <c r="K9" i="15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K10" i="19"/>
  <c r="L10" i="19" s="1"/>
  <c r="N10" i="19" s="1"/>
  <c r="R10" i="19" s="1"/>
  <c r="H7" i="15"/>
  <c r="L7" i="15" s="1"/>
  <c r="N7" i="15" s="1"/>
  <c r="R7" i="15" s="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7" i="19"/>
  <c r="L7" i="19" s="1"/>
  <c r="N7" i="19" s="1"/>
  <c r="R7" i="19" s="1"/>
  <c r="H6" i="15"/>
  <c r="H6" i="17"/>
  <c r="H6" i="16"/>
  <c r="K9" i="18"/>
  <c r="H6" i="19"/>
  <c r="K9" i="21"/>
  <c r="H6" i="18"/>
  <c r="P2" i="19"/>
  <c r="K9" i="19"/>
  <c r="H6" i="11"/>
  <c r="H6" i="21"/>
  <c r="K9" i="22"/>
  <c r="H6" i="22"/>
  <c r="K9" i="17"/>
  <c r="H7" i="11"/>
  <c r="L7" i="11" s="1"/>
  <c r="N7" i="11" s="1"/>
  <c r="R7" i="11" s="1"/>
  <c r="H7" i="16"/>
  <c r="H7" i="17"/>
  <c r="L2" i="15"/>
  <c r="P2" i="15" s="1"/>
  <c r="C12" i="15"/>
  <c r="C18" i="15" s="1"/>
  <c r="G4" i="14"/>
  <c r="L4" i="14" s="1"/>
  <c r="D2" i="14"/>
  <c r="D17" i="14" s="1"/>
  <c r="H6" i="14"/>
  <c r="K10" i="14"/>
  <c r="L10" i="14" s="1"/>
  <c r="K9" i="14"/>
  <c r="H7" i="14"/>
  <c r="L7" i="14" s="1"/>
  <c r="C2" i="14"/>
  <c r="F17" i="17" l="1"/>
  <c r="G3" i="17"/>
  <c r="F17" i="16"/>
  <c r="F12" i="16" s="1"/>
  <c r="F18" i="16" s="1"/>
  <c r="G3" i="16"/>
  <c r="F17" i="11"/>
  <c r="F12" i="11" s="1"/>
  <c r="F18" i="11" s="1"/>
  <c r="G3" i="11"/>
  <c r="F17" i="22"/>
  <c r="F12" i="22" s="1"/>
  <c r="F18" i="22" s="1"/>
  <c r="G3" i="22"/>
  <c r="F17" i="18"/>
  <c r="F12" i="18" s="1"/>
  <c r="F18" i="18" s="1"/>
  <c r="F17" i="15"/>
  <c r="F12" i="15" s="1"/>
  <c r="F18" i="15" s="1"/>
  <c r="D18" i="15"/>
  <c r="Q11" i="15"/>
  <c r="Q11" i="11"/>
  <c r="Q11" i="17"/>
  <c r="Q11" i="18"/>
  <c r="Q11" i="22"/>
  <c r="Q11" i="16"/>
  <c r="Q11" i="21"/>
  <c r="Q11" i="14"/>
  <c r="Q11" i="37"/>
  <c r="L9" i="20"/>
  <c r="M11" i="20"/>
  <c r="K17" i="20"/>
  <c r="B17" i="20"/>
  <c r="L16" i="20"/>
  <c r="I8" i="20"/>
  <c r="J18" i="20"/>
  <c r="J8" i="20" s="1"/>
  <c r="J17" i="20" s="1"/>
  <c r="J13" i="20" s="1"/>
  <c r="L7" i="20"/>
  <c r="H17" i="20"/>
  <c r="H12" i="20" s="1"/>
  <c r="H18" i="20" s="1"/>
  <c r="Q11" i="19"/>
  <c r="K17" i="34"/>
  <c r="K13" i="34" s="1"/>
  <c r="K18" i="34" s="1"/>
  <c r="L9" i="34"/>
  <c r="N9" i="34" s="1"/>
  <c r="R9" i="34" s="1"/>
  <c r="N4" i="29"/>
  <c r="R4" i="29" s="1"/>
  <c r="M11" i="34"/>
  <c r="H6" i="29"/>
  <c r="L6" i="29" s="1"/>
  <c r="N6" i="29" s="1"/>
  <c r="R6" i="29" s="1"/>
  <c r="H7" i="29"/>
  <c r="L7" i="29" s="1"/>
  <c r="N7" i="29" s="1"/>
  <c r="R7" i="29" s="1"/>
  <c r="Q8" i="19"/>
  <c r="N2" i="33"/>
  <c r="R2" i="33" s="1"/>
  <c r="N2" i="28"/>
  <c r="R2" i="28" s="1"/>
  <c r="N2" i="40"/>
  <c r="R2" i="40" s="1"/>
  <c r="N2" i="39"/>
  <c r="R2" i="39" s="1"/>
  <c r="N2" i="31"/>
  <c r="R2" i="31" s="1"/>
  <c r="N2" i="34"/>
  <c r="R2" i="34" s="1"/>
  <c r="N2" i="26"/>
  <c r="R2" i="26" s="1"/>
  <c r="N2" i="38"/>
  <c r="R2" i="38" s="1"/>
  <c r="N2" i="27"/>
  <c r="R2" i="27" s="1"/>
  <c r="N2" i="42"/>
  <c r="N2" i="41"/>
  <c r="R2" i="41" s="1"/>
  <c r="N2" i="32"/>
  <c r="R2" i="32" s="1"/>
  <c r="N2" i="24"/>
  <c r="R2" i="24" s="1"/>
  <c r="N2" i="29"/>
  <c r="R2" i="29" s="1"/>
  <c r="N2" i="43"/>
  <c r="N2" i="30"/>
  <c r="R2" i="30" s="1"/>
  <c r="L16" i="37"/>
  <c r="R16" i="37" s="1"/>
  <c r="B17" i="39"/>
  <c r="B12" i="39" s="1"/>
  <c r="B18" i="39" s="1"/>
  <c r="B16" i="36"/>
  <c r="L16" i="36" s="1"/>
  <c r="F3" i="29"/>
  <c r="F17" i="34"/>
  <c r="F12" i="34" s="1"/>
  <c r="F18" i="34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41"/>
  <c r="F12" i="41" s="1"/>
  <c r="F18" i="4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B17" i="34"/>
  <c r="B12" i="34" s="1"/>
  <c r="B18" i="34" s="1"/>
  <c r="L16" i="34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L7" i="34"/>
  <c r="L9" i="29"/>
  <c r="N9" i="29" s="1"/>
  <c r="R9" i="29" s="1"/>
  <c r="K17" i="29"/>
  <c r="L7" i="41"/>
  <c r="N7" i="41" s="1"/>
  <c r="R7" i="41" s="1"/>
  <c r="K17" i="24"/>
  <c r="L9" i="24"/>
  <c r="N9" i="24" s="1"/>
  <c r="R9" i="24" s="1"/>
  <c r="L7" i="39"/>
  <c r="N7" i="39" s="1"/>
  <c r="R7" i="39" s="1"/>
  <c r="B17" i="29"/>
  <c r="B12" i="29" s="1"/>
  <c r="B18" i="29" s="1"/>
  <c r="L16" i="29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K17" i="41"/>
  <c r="L9" i="41"/>
  <c r="N9" i="41" s="1"/>
  <c r="R9" i="41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B17" i="41"/>
  <c r="B12" i="41" s="1"/>
  <c r="B18" i="41" s="1"/>
  <c r="L16" i="41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4"/>
  <c r="B12" i="14" s="1"/>
  <c r="B18" i="14" s="1"/>
  <c r="L16" i="14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9"/>
  <c r="B12" i="19" s="1"/>
  <c r="B18" i="19" s="1"/>
  <c r="L16" i="19"/>
  <c r="B17" i="17"/>
  <c r="B12" i="17" s="1"/>
  <c r="B18" i="17" s="1"/>
  <c r="L16" i="17"/>
  <c r="B16" i="15"/>
  <c r="K17" i="19"/>
  <c r="K17" i="18"/>
  <c r="K17" i="14"/>
  <c r="K17" i="21"/>
  <c r="K17" i="17"/>
  <c r="L9" i="16"/>
  <c r="N9" i="16" s="1"/>
  <c r="R9" i="16" s="1"/>
  <c r="K17" i="16"/>
  <c r="L9" i="15"/>
  <c r="N9" i="15" s="1"/>
  <c r="R9" i="15" s="1"/>
  <c r="K17" i="15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C17" i="14"/>
  <c r="R10" i="15"/>
  <c r="N2" i="16"/>
  <c r="N2" i="11"/>
  <c r="R2" i="11" s="1"/>
  <c r="N2" i="17"/>
  <c r="R2" i="17" s="1"/>
  <c r="N2" i="21"/>
  <c r="R2" i="21" s="1"/>
  <c r="N2" i="18"/>
  <c r="R2" i="18" s="1"/>
  <c r="N2" i="19"/>
  <c r="R2" i="19" s="1"/>
  <c r="L6" i="15"/>
  <c r="N6" i="15" s="1"/>
  <c r="R6" i="15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F12" i="17"/>
  <c r="F18" i="17" s="1"/>
  <c r="L9" i="19"/>
  <c r="N9" i="19" s="1"/>
  <c r="R9" i="19" s="1"/>
  <c r="L6" i="19"/>
  <c r="N6" i="19" s="1"/>
  <c r="R6" i="19" s="1"/>
  <c r="L9" i="17"/>
  <c r="N9" i="17" s="1"/>
  <c r="R9" i="17" s="1"/>
  <c r="L7" i="17"/>
  <c r="L7" i="16"/>
  <c r="N7" i="16" s="1"/>
  <c r="R7" i="16" s="1"/>
  <c r="D12" i="14"/>
  <c r="N10" i="14"/>
  <c r="R10" i="14" s="1"/>
  <c r="L6" i="14"/>
  <c r="N7" i="14"/>
  <c r="R7" i="14" s="1"/>
  <c r="F3" i="14"/>
  <c r="L9" i="14"/>
  <c r="N4" i="14"/>
  <c r="R4" i="14" s="1"/>
  <c r="F17" i="29" l="1"/>
  <c r="F12" i="29" s="1"/>
  <c r="F18" i="29" s="1"/>
  <c r="G3" i="29"/>
  <c r="L3" i="29" s="1"/>
  <c r="F17" i="21"/>
  <c r="F12" i="21" s="1"/>
  <c r="F18" i="21" s="1"/>
  <c r="G3" i="21"/>
  <c r="F17" i="14"/>
  <c r="F12" i="14" s="1"/>
  <c r="F18" i="14" s="1"/>
  <c r="G3" i="14"/>
  <c r="R11" i="34"/>
  <c r="R11" i="20"/>
  <c r="L3" i="15"/>
  <c r="K13" i="19"/>
  <c r="K18" i="19" s="1"/>
  <c r="D18" i="37"/>
  <c r="D18" i="14"/>
  <c r="K13" i="20"/>
  <c r="K18" i="20" s="1"/>
  <c r="N9" i="20"/>
  <c r="R9" i="20" s="1"/>
  <c r="N7" i="20"/>
  <c r="R7" i="20" s="1"/>
  <c r="I17" i="20"/>
  <c r="I13" i="20" s="1"/>
  <c r="L8" i="20"/>
  <c r="N8" i="20" s="1"/>
  <c r="R8" i="20" s="1"/>
  <c r="Q16" i="20"/>
  <c r="R16" i="20"/>
  <c r="B12" i="20"/>
  <c r="B18" i="20" s="1"/>
  <c r="J8" i="15"/>
  <c r="J17" i="15" s="1"/>
  <c r="J13" i="15" s="1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I8" i="19"/>
  <c r="I17" i="19" s="1"/>
  <c r="I13" i="19" s="1"/>
  <c r="I18" i="21"/>
  <c r="J18" i="21" s="1"/>
  <c r="J8" i="21" s="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H17" i="14"/>
  <c r="H12" i="14" s="1"/>
  <c r="H18" i="14" s="1"/>
  <c r="N4" i="37"/>
  <c r="R4" i="37" s="1"/>
  <c r="M11" i="36"/>
  <c r="M11" i="24"/>
  <c r="M11" i="38"/>
  <c r="M11" i="29"/>
  <c r="M11" i="11"/>
  <c r="M11" i="26"/>
  <c r="M11" i="30"/>
  <c r="M11" i="27"/>
  <c r="M11" i="37"/>
  <c r="M11" i="33"/>
  <c r="M11" i="23"/>
  <c r="M11" i="31"/>
  <c r="M11" i="42"/>
  <c r="M11" i="41"/>
  <c r="M11" i="39"/>
  <c r="M11" i="40"/>
  <c r="M11" i="32"/>
  <c r="M11" i="28"/>
  <c r="G5" i="11"/>
  <c r="G17" i="11" s="1"/>
  <c r="H17" i="17"/>
  <c r="H12" i="17" s="1"/>
  <c r="H18" i="17" s="1"/>
  <c r="I18" i="29"/>
  <c r="J18" i="29" s="1"/>
  <c r="J8" i="29" s="1"/>
  <c r="J17" i="29" s="1"/>
  <c r="J13" i="29" s="1"/>
  <c r="I18" i="39"/>
  <c r="I18" i="30"/>
  <c r="I18" i="38"/>
  <c r="I18" i="27"/>
  <c r="I18" i="36"/>
  <c r="I18" i="28"/>
  <c r="I18" i="32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H17" i="15"/>
  <c r="H12" i="15" s="1"/>
  <c r="H18" i="15" s="1"/>
  <c r="H17" i="34"/>
  <c r="H12" i="34" s="1"/>
  <c r="H18" i="34" s="1"/>
  <c r="G5" i="22"/>
  <c r="L5" i="22" s="1"/>
  <c r="H17" i="36"/>
  <c r="H12" i="36" s="1"/>
  <c r="H18" i="36" s="1"/>
  <c r="H17" i="24"/>
  <c r="H12" i="24" s="1"/>
  <c r="H18" i="24" s="1"/>
  <c r="H17" i="19"/>
  <c r="H12" i="19" s="1"/>
  <c r="H18" i="19" s="1"/>
  <c r="H17" i="28"/>
  <c r="H12" i="28" s="1"/>
  <c r="H18" i="28" s="1"/>
  <c r="H17" i="18"/>
  <c r="H12" i="18" s="1"/>
  <c r="H18" i="18" s="1"/>
  <c r="H17" i="32"/>
  <c r="H12" i="32" s="1"/>
  <c r="H18" i="32" s="1"/>
  <c r="H17" i="27"/>
  <c r="H12" i="27" s="1"/>
  <c r="H18" i="27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G5" i="30"/>
  <c r="L5" i="30" s="1"/>
  <c r="H17" i="38"/>
  <c r="H12" i="38" s="1"/>
  <c r="H18" i="38" s="1"/>
  <c r="K13" i="30"/>
  <c r="K18" i="30" s="1"/>
  <c r="G5" i="31"/>
  <c r="L5" i="31" s="1"/>
  <c r="H17" i="41"/>
  <c r="H12" i="41" s="1"/>
  <c r="H18" i="4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I8" i="34"/>
  <c r="L3" i="34"/>
  <c r="L3" i="42"/>
  <c r="H17" i="29"/>
  <c r="H12" i="29" s="1"/>
  <c r="H18" i="29" s="1"/>
  <c r="K13" i="29"/>
  <c r="K18" i="29" s="1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N7" i="34"/>
  <c r="R7" i="34" s="1"/>
  <c r="R16" i="29"/>
  <c r="Q16" i="29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41"/>
  <c r="Q16" i="41"/>
  <c r="R16" i="27"/>
  <c r="Q16" i="27"/>
  <c r="Q16" i="43"/>
  <c r="R16" i="43"/>
  <c r="K13" i="27"/>
  <c r="K18" i="27" s="1"/>
  <c r="K13" i="41"/>
  <c r="K18" i="41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R16" i="34"/>
  <c r="Q16" i="34"/>
  <c r="K13" i="37"/>
  <c r="K18" i="37" s="1"/>
  <c r="B16" i="23"/>
  <c r="J8" i="41"/>
  <c r="J17" i="41" s="1"/>
  <c r="J13" i="41" s="1"/>
  <c r="I8" i="41"/>
  <c r="R16" i="21"/>
  <c r="Q16" i="21"/>
  <c r="R16" i="17"/>
  <c r="Q16" i="17"/>
  <c r="R16" i="18"/>
  <c r="Q16" i="18"/>
  <c r="R16" i="19"/>
  <c r="Q16" i="19"/>
  <c r="R16" i="14"/>
  <c r="Q16" i="14"/>
  <c r="R16" i="11"/>
  <c r="Q16" i="11"/>
  <c r="R16" i="16"/>
  <c r="Q16" i="16"/>
  <c r="R16" i="22"/>
  <c r="Q16" i="22"/>
  <c r="B17" i="15"/>
  <c r="B12" i="15" s="1"/>
  <c r="B18" i="15" s="1"/>
  <c r="L16" i="15"/>
  <c r="C12" i="14"/>
  <c r="C18" i="14" s="1"/>
  <c r="R2" i="16"/>
  <c r="K13" i="15"/>
  <c r="K18" i="15" s="1"/>
  <c r="K13" i="11"/>
  <c r="K18" i="11" s="1"/>
  <c r="K13" i="16"/>
  <c r="K18" i="16" s="1"/>
  <c r="M11" i="17"/>
  <c r="M11" i="18"/>
  <c r="M11" i="16"/>
  <c r="M11" i="22"/>
  <c r="M11" i="15"/>
  <c r="M11" i="21"/>
  <c r="M11" i="14"/>
  <c r="M11" i="19"/>
  <c r="N2" i="15"/>
  <c r="N2" i="22"/>
  <c r="R2" i="22" s="1"/>
  <c r="K13" i="21"/>
  <c r="K18" i="21" s="1"/>
  <c r="K13" i="18"/>
  <c r="K18" i="18" s="1"/>
  <c r="K13" i="22"/>
  <c r="K18" i="22" s="1"/>
  <c r="K13" i="17"/>
  <c r="K18" i="17" s="1"/>
  <c r="N7" i="17"/>
  <c r="R7" i="17" s="1"/>
  <c r="K13" i="14"/>
  <c r="K18" i="14" s="1"/>
  <c r="N9" i="14"/>
  <c r="R9" i="14" s="1"/>
  <c r="N6" i="14"/>
  <c r="R6" i="14" s="1"/>
  <c r="R11" i="32" l="1"/>
  <c r="R11" i="30"/>
  <c r="R11" i="40"/>
  <c r="R11" i="26"/>
  <c r="R11" i="11"/>
  <c r="R11" i="41"/>
  <c r="R11" i="29"/>
  <c r="R11" i="21"/>
  <c r="R11" i="42"/>
  <c r="R11" i="38"/>
  <c r="R11" i="14"/>
  <c r="R11" i="39"/>
  <c r="R11" i="31"/>
  <c r="R11" i="24"/>
  <c r="R11" i="15"/>
  <c r="R11" i="22"/>
  <c r="R11" i="16"/>
  <c r="R11" i="18"/>
  <c r="R11" i="23"/>
  <c r="R11" i="36"/>
  <c r="R11" i="17"/>
  <c r="R11" i="33"/>
  <c r="R11" i="37"/>
  <c r="R11" i="28"/>
  <c r="R11" i="27"/>
  <c r="R11" i="19"/>
  <c r="Q5" i="28"/>
  <c r="E17" i="28" s="1"/>
  <c r="E12" i="28" s="1"/>
  <c r="E18" i="28" s="1"/>
  <c r="Q5" i="30"/>
  <c r="E17" i="30" s="1"/>
  <c r="E12" i="30" s="1"/>
  <c r="E18" i="30" s="1"/>
  <c r="Q5" i="22"/>
  <c r="Q5" i="40"/>
  <c r="Q5" i="31"/>
  <c r="G5" i="16"/>
  <c r="G17" i="16" s="1"/>
  <c r="L3" i="18"/>
  <c r="R5" i="23"/>
  <c r="Q5" i="23"/>
  <c r="E17" i="23" s="1"/>
  <c r="E12" i="23" s="1"/>
  <c r="E18" i="23" s="1"/>
  <c r="E14" i="20"/>
  <c r="L13" i="20"/>
  <c r="I8" i="15"/>
  <c r="L8" i="15" s="1"/>
  <c r="N8" i="15" s="1"/>
  <c r="R8" i="15" s="1"/>
  <c r="J18" i="17"/>
  <c r="J8" i="17" s="1"/>
  <c r="L8" i="17" s="1"/>
  <c r="N8" i="17" s="1"/>
  <c r="R8" i="17" s="1"/>
  <c r="J8" i="34"/>
  <c r="J17" i="34" s="1"/>
  <c r="J13" i="34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J8" i="19"/>
  <c r="J17" i="19" s="1"/>
  <c r="J13" i="19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N3" i="34"/>
  <c r="R3" i="34" s="1"/>
  <c r="R5" i="40"/>
  <c r="N3" i="29"/>
  <c r="R3" i="29" s="1"/>
  <c r="I8" i="29"/>
  <c r="I17" i="29" s="1"/>
  <c r="I13" i="29" s="1"/>
  <c r="E14" i="29" s="1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18" i="27"/>
  <c r="J8" i="27" s="1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30"/>
  <c r="L3" i="16"/>
  <c r="R5" i="28"/>
  <c r="H17" i="37"/>
  <c r="H12" i="37" s="1"/>
  <c r="H18" i="37" s="1"/>
  <c r="L3" i="40"/>
  <c r="L3" i="30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G5" i="41"/>
  <c r="L5" i="41" s="1"/>
  <c r="G5" i="42"/>
  <c r="L5" i="42" s="1"/>
  <c r="G5" i="34"/>
  <c r="L5" i="34" s="1"/>
  <c r="L3" i="41"/>
  <c r="G17" i="28"/>
  <c r="G12" i="28" s="1"/>
  <c r="G18" i="28" s="1"/>
  <c r="G5" i="32"/>
  <c r="L5" i="32" s="1"/>
  <c r="G5" i="27"/>
  <c r="L5" i="27" s="1"/>
  <c r="L3" i="27"/>
  <c r="L3" i="37"/>
  <c r="G5" i="29"/>
  <c r="L5" i="29" s="1"/>
  <c r="G5" i="38"/>
  <c r="L5" i="38" s="1"/>
  <c r="G5" i="36"/>
  <c r="L5" i="36" s="1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I17" i="41"/>
  <c r="L8" i="41"/>
  <c r="I17" i="34"/>
  <c r="I13" i="34" s="1"/>
  <c r="R16" i="15"/>
  <c r="Q16" i="15"/>
  <c r="J17" i="22"/>
  <c r="J13" i="22" s="1"/>
  <c r="J17" i="18"/>
  <c r="J13" i="18" s="1"/>
  <c r="L3" i="21"/>
  <c r="G17" i="22"/>
  <c r="G12" i="22" s="1"/>
  <c r="G18" i="22" s="1"/>
  <c r="G12" i="11"/>
  <c r="G18" i="11" s="1"/>
  <c r="R2" i="15"/>
  <c r="N3" i="17"/>
  <c r="R3" i="17" s="1"/>
  <c r="R5" i="22"/>
  <c r="G5" i="21"/>
  <c r="L5" i="21" s="1"/>
  <c r="I13" i="17"/>
  <c r="N3" i="15"/>
  <c r="R3" i="15" s="1"/>
  <c r="G5" i="14"/>
  <c r="L5" i="14" s="1"/>
  <c r="L3" i="14"/>
  <c r="G5" i="20" l="1"/>
  <c r="G4" i="20" s="1"/>
  <c r="L4" i="20" s="1"/>
  <c r="Q5" i="29"/>
  <c r="Q5" i="38"/>
  <c r="Q5" i="27"/>
  <c r="Q5" i="41"/>
  <c r="Q5" i="14"/>
  <c r="Q5" i="26"/>
  <c r="N3" i="18"/>
  <c r="R3" i="18" s="1"/>
  <c r="Q5" i="32"/>
  <c r="L5" i="16"/>
  <c r="Q5" i="43"/>
  <c r="N3" i="23"/>
  <c r="R3" i="23" s="1"/>
  <c r="Q5" i="21"/>
  <c r="Q5" i="17"/>
  <c r="E17" i="17" s="1"/>
  <c r="E12" i="17" s="1"/>
  <c r="E18" i="17" s="1"/>
  <c r="Q5" i="34"/>
  <c r="Q5" i="36"/>
  <c r="Q5" i="42"/>
  <c r="G12" i="16"/>
  <c r="G18" i="16" s="1"/>
  <c r="L5" i="33"/>
  <c r="H17" i="33"/>
  <c r="H12" i="33" s="1"/>
  <c r="H18" i="33" s="1"/>
  <c r="L14" i="20"/>
  <c r="I17" i="15"/>
  <c r="I13" i="15" s="1"/>
  <c r="E14" i="15" s="1"/>
  <c r="J17" i="17"/>
  <c r="J13" i="17" s="1"/>
  <c r="E14" i="17" s="1"/>
  <c r="L8" i="11"/>
  <c r="N8" i="11" s="1"/>
  <c r="R8" i="11" s="1"/>
  <c r="L8" i="34"/>
  <c r="N8" i="34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8" i="19"/>
  <c r="N8" i="19" s="1"/>
  <c r="R8" i="19" s="1"/>
  <c r="L13" i="26"/>
  <c r="L8" i="21"/>
  <c r="N8" i="21" s="1"/>
  <c r="R8" i="21" s="1"/>
  <c r="L8" i="26"/>
  <c r="N8" i="26" s="1"/>
  <c r="R8" i="26" s="1"/>
  <c r="L8" i="31"/>
  <c r="N8" i="31" s="1"/>
  <c r="R8" i="31" s="1"/>
  <c r="L14" i="29"/>
  <c r="R14" i="29" s="1"/>
  <c r="N3" i="27"/>
  <c r="R3" i="27" s="1"/>
  <c r="N3" i="28"/>
  <c r="R3" i="28" s="1"/>
  <c r="N3" i="31"/>
  <c r="R3" i="31" s="1"/>
  <c r="N3" i="16"/>
  <c r="R3" i="16" s="1"/>
  <c r="N3" i="41"/>
  <c r="R3" i="41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L8" i="29"/>
  <c r="N8" i="29" s="1"/>
  <c r="R8" i="29" s="1"/>
  <c r="L13" i="29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41"/>
  <c r="G12" i="41" s="1"/>
  <c r="G18" i="41" s="1"/>
  <c r="G17" i="34"/>
  <c r="G12" i="34" s="1"/>
  <c r="G18" i="34" s="1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G17" i="29"/>
  <c r="G12" i="29" s="1"/>
  <c r="G18" i="29" s="1"/>
  <c r="R5" i="26"/>
  <c r="R5" i="34"/>
  <c r="G17" i="36"/>
  <c r="G12" i="36" s="1"/>
  <c r="G18" i="36" s="1"/>
  <c r="R5" i="42"/>
  <c r="E14" i="33"/>
  <c r="R5" i="32"/>
  <c r="R5" i="41"/>
  <c r="R5" i="38"/>
  <c r="L8" i="43"/>
  <c r="N8" i="43" s="1"/>
  <c r="R8" i="43" s="1"/>
  <c r="R5" i="29"/>
  <c r="G5" i="37"/>
  <c r="L5" i="37" s="1"/>
  <c r="R5" i="36"/>
  <c r="E14" i="26"/>
  <c r="R5" i="27"/>
  <c r="R5" i="43"/>
  <c r="E14" i="31"/>
  <c r="L12" i="28"/>
  <c r="K13" i="43"/>
  <c r="K18" i="43" s="1"/>
  <c r="L12" i="30"/>
  <c r="R16" i="23"/>
  <c r="Q16" i="23"/>
  <c r="B12" i="23"/>
  <c r="B18" i="23" s="1"/>
  <c r="E14" i="34"/>
  <c r="L13" i="34"/>
  <c r="N8" i="41"/>
  <c r="I13" i="41"/>
  <c r="E14" i="16"/>
  <c r="L13" i="16"/>
  <c r="L13" i="21"/>
  <c r="E14" i="21"/>
  <c r="G17" i="21"/>
  <c r="G12" i="21" s="1"/>
  <c r="G18" i="21" s="1"/>
  <c r="G17" i="14"/>
  <c r="E14" i="11"/>
  <c r="E17" i="22"/>
  <c r="L17" i="22" s="1"/>
  <c r="L13" i="19"/>
  <c r="E14" i="19"/>
  <c r="E14" i="22"/>
  <c r="L13" i="22"/>
  <c r="L13" i="18"/>
  <c r="E14" i="18"/>
  <c r="G5" i="18" s="1"/>
  <c r="G4" i="18" s="1"/>
  <c r="R5" i="21"/>
  <c r="N3" i="14"/>
  <c r="R3" i="14" s="1"/>
  <c r="R5" i="14"/>
  <c r="R5" i="16" l="1"/>
  <c r="G5" i="15"/>
  <c r="G4" i="15" s="1"/>
  <c r="R11" i="43"/>
  <c r="Q5" i="16"/>
  <c r="E17" i="16" s="1"/>
  <c r="L17" i="16" s="1"/>
  <c r="Q5" i="37"/>
  <c r="N4" i="20"/>
  <c r="R4" i="20" s="1"/>
  <c r="Q5" i="33"/>
  <c r="E17" i="33" s="1"/>
  <c r="E12" i="33" s="1"/>
  <c r="E18" i="33" s="1"/>
  <c r="G12" i="14"/>
  <c r="G18" i="14" s="1"/>
  <c r="R5" i="33"/>
  <c r="L12" i="40"/>
  <c r="Q12" i="40" s="1"/>
  <c r="E18" i="40"/>
  <c r="L5" i="20"/>
  <c r="Q14" i="20"/>
  <c r="R14" i="20"/>
  <c r="L13" i="15"/>
  <c r="L13" i="17"/>
  <c r="Q14" i="29"/>
  <c r="L14" i="11"/>
  <c r="Q14" i="11" s="1"/>
  <c r="L14" i="33"/>
  <c r="R14" i="33" s="1"/>
  <c r="L14" i="21"/>
  <c r="R14" i="21" s="1"/>
  <c r="L14" i="15"/>
  <c r="R14" i="15" s="1"/>
  <c r="L14" i="26"/>
  <c r="R14" i="26" s="1"/>
  <c r="L14" i="16"/>
  <c r="Q14" i="16" s="1"/>
  <c r="L14" i="31"/>
  <c r="R14" i="31" s="1"/>
  <c r="L17" i="28"/>
  <c r="Q17" i="28" s="1"/>
  <c r="R8" i="41"/>
  <c r="R8" i="34"/>
  <c r="L12" i="31"/>
  <c r="Q12" i="31" s="1"/>
  <c r="L17" i="31"/>
  <c r="R17" i="31" s="1"/>
  <c r="L12" i="17"/>
  <c r="Q12" i="17" s="1"/>
  <c r="L17" i="23"/>
  <c r="R17" i="23" s="1"/>
  <c r="L17" i="17"/>
  <c r="R17" i="17" s="1"/>
  <c r="L17" i="40"/>
  <c r="R17" i="40" s="1"/>
  <c r="E17" i="36"/>
  <c r="E12" i="36" s="1"/>
  <c r="E18" i="36" s="1"/>
  <c r="E17" i="41"/>
  <c r="E12" i="41" s="1"/>
  <c r="E18" i="41" s="1"/>
  <c r="L17" i="30"/>
  <c r="Q17" i="30" s="1"/>
  <c r="E14" i="42"/>
  <c r="L13" i="42"/>
  <c r="E14" i="23"/>
  <c r="L13" i="23"/>
  <c r="E14" i="39"/>
  <c r="L13" i="39"/>
  <c r="E17" i="32"/>
  <c r="E12" i="32" s="1"/>
  <c r="E18" i="32" s="1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29"/>
  <c r="E15" i="29" s="1"/>
  <c r="E17" i="27"/>
  <c r="L13" i="27"/>
  <c r="E14" i="27"/>
  <c r="L13" i="32"/>
  <c r="E14" i="32"/>
  <c r="E17" i="38"/>
  <c r="E12" i="38" s="1"/>
  <c r="E18" i="38" s="1"/>
  <c r="E17" i="42"/>
  <c r="E12" i="42" s="1"/>
  <c r="E18" i="42" s="1"/>
  <c r="L13" i="38"/>
  <c r="E14" i="38"/>
  <c r="E17" i="34"/>
  <c r="E12" i="34" s="1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L12" i="23"/>
  <c r="L14" i="34"/>
  <c r="Q14" i="34" s="1"/>
  <c r="E14" i="41"/>
  <c r="L13" i="41"/>
  <c r="R17" i="22"/>
  <c r="Q17" i="22"/>
  <c r="E12" i="22"/>
  <c r="E18" i="22" s="1"/>
  <c r="E17" i="21"/>
  <c r="L17" i="21" s="1"/>
  <c r="L14" i="18"/>
  <c r="L14" i="22"/>
  <c r="L14" i="19"/>
  <c r="E15" i="22"/>
  <c r="L14" i="17"/>
  <c r="E15" i="17"/>
  <c r="E17" i="14"/>
  <c r="L5" i="18" l="1"/>
  <c r="Q5" i="20"/>
  <c r="E17" i="20" s="1"/>
  <c r="L5" i="39"/>
  <c r="L4" i="18"/>
  <c r="G17" i="18"/>
  <c r="G12" i="18" s="1"/>
  <c r="G18" i="18" s="1"/>
  <c r="R12" i="40"/>
  <c r="L12" i="41"/>
  <c r="R12" i="41" s="1"/>
  <c r="L12" i="34"/>
  <c r="Q12" i="34" s="1"/>
  <c r="E18" i="34"/>
  <c r="L3" i="20"/>
  <c r="G17" i="20"/>
  <c r="G12" i="20" s="1"/>
  <c r="G18" i="20" s="1"/>
  <c r="R5" i="20"/>
  <c r="Q14" i="15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E12" i="29"/>
  <c r="E18" i="29" s="1"/>
  <c r="E15" i="26"/>
  <c r="L17" i="43"/>
  <c r="R17" i="43" s="1"/>
  <c r="L17" i="32"/>
  <c r="R17" i="32" s="1"/>
  <c r="E15" i="27"/>
  <c r="L17" i="29"/>
  <c r="R17" i="29" s="1"/>
  <c r="L12" i="43"/>
  <c r="R12" i="43" s="1"/>
  <c r="E15" i="36"/>
  <c r="L17" i="41"/>
  <c r="R17" i="41" s="1"/>
  <c r="L17" i="36"/>
  <c r="Q17" i="36" s="1"/>
  <c r="L17" i="38"/>
  <c r="R17" i="38" s="1"/>
  <c r="L17" i="33"/>
  <c r="Q17" i="33" s="1"/>
  <c r="E15" i="34"/>
  <c r="Q17" i="40"/>
  <c r="E15" i="42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42"/>
  <c r="Q17" i="42" s="1"/>
  <c r="L17" i="34"/>
  <c r="Q17" i="34" s="1"/>
  <c r="L17" i="26"/>
  <c r="Q17" i="26" s="1"/>
  <c r="L14" i="24"/>
  <c r="E15" i="40"/>
  <c r="L14" i="23"/>
  <c r="E15" i="23"/>
  <c r="L15" i="31"/>
  <c r="R15" i="31" s="1"/>
  <c r="L14" i="43"/>
  <c r="Q14" i="43" s="1"/>
  <c r="L12" i="42"/>
  <c r="L12" i="32"/>
  <c r="L12" i="36"/>
  <c r="L15" i="29"/>
  <c r="M13" i="29"/>
  <c r="L12" i="38"/>
  <c r="R12" i="23"/>
  <c r="Q12" i="23"/>
  <c r="R14" i="34"/>
  <c r="L14" i="41"/>
  <c r="E15" i="41"/>
  <c r="R17" i="16"/>
  <c r="Q17" i="16"/>
  <c r="R17" i="21"/>
  <c r="Q17" i="21"/>
  <c r="R14" i="19"/>
  <c r="Q14" i="19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2" i="14"/>
  <c r="Q13" i="31" l="1"/>
  <c r="N4" i="18"/>
  <c r="R4" i="18" s="1"/>
  <c r="N3" i="20"/>
  <c r="R3" i="20" s="1"/>
  <c r="Q5" i="39"/>
  <c r="E17" i="39" s="1"/>
  <c r="R5" i="39"/>
  <c r="L4" i="39"/>
  <c r="G17" i="39"/>
  <c r="G12" i="39" s="1"/>
  <c r="G18" i="39" s="1"/>
  <c r="L5" i="24"/>
  <c r="N5" i="24" s="1"/>
  <c r="G17" i="24"/>
  <c r="G12" i="24" s="1"/>
  <c r="G18" i="24" s="1"/>
  <c r="L3" i="24"/>
  <c r="Q12" i="41"/>
  <c r="R12" i="34"/>
  <c r="L12" i="27"/>
  <c r="Q12" i="27" s="1"/>
  <c r="E18" i="27"/>
  <c r="L12" i="14"/>
  <c r="R12" i="14" s="1"/>
  <c r="E18" i="14"/>
  <c r="E15" i="20"/>
  <c r="E12" i="20"/>
  <c r="E18" i="20" s="1"/>
  <c r="L17" i="20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5" i="34"/>
  <c r="Q15" i="34" s="1"/>
  <c r="L14" i="37"/>
  <c r="Q14" i="37" s="1"/>
  <c r="L15" i="43"/>
  <c r="Q15" i="43" s="1"/>
  <c r="L15" i="26"/>
  <c r="R15" i="26" s="1"/>
  <c r="R17" i="36"/>
  <c r="Q17" i="32"/>
  <c r="Q17" i="41"/>
  <c r="Q17" i="29"/>
  <c r="M13" i="34"/>
  <c r="M13" i="36"/>
  <c r="R17" i="33"/>
  <c r="L12" i="29"/>
  <c r="R12" i="29" s="1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R17" i="42"/>
  <c r="M13" i="33"/>
  <c r="R17" i="34"/>
  <c r="L15" i="42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Q14" i="30"/>
  <c r="R14" i="30"/>
  <c r="R14" i="24"/>
  <c r="Q14" i="24"/>
  <c r="Q15" i="31"/>
  <c r="R14" i="43"/>
  <c r="R12" i="32"/>
  <c r="Q12" i="32"/>
  <c r="R12" i="42"/>
  <c r="Q12" i="42"/>
  <c r="R13" i="29"/>
  <c r="Q13" i="29"/>
  <c r="L12" i="37"/>
  <c r="R15" i="29"/>
  <c r="Q15" i="29"/>
  <c r="Q12" i="36"/>
  <c r="R12" i="36"/>
  <c r="R12" i="38"/>
  <c r="Q12" i="38"/>
  <c r="L15" i="41"/>
  <c r="M13" i="41"/>
  <c r="Q14" i="41"/>
  <c r="R14" i="41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Q13" i="16" l="1"/>
  <c r="R13" i="33"/>
  <c r="R13" i="32"/>
  <c r="Q13" i="27"/>
  <c r="Q13" i="26"/>
  <c r="R13" i="36"/>
  <c r="Q13" i="21"/>
  <c r="R13" i="34"/>
  <c r="R13" i="43"/>
  <c r="N3" i="24"/>
  <c r="R3" i="24" s="1"/>
  <c r="R5" i="24"/>
  <c r="N4" i="39"/>
  <c r="R4" i="39" s="1"/>
  <c r="L17" i="39"/>
  <c r="E12" i="39"/>
  <c r="E15" i="39"/>
  <c r="Q5" i="24"/>
  <c r="E17" i="24" s="1"/>
  <c r="E12" i="24" s="1"/>
  <c r="R12" i="27"/>
  <c r="Q12" i="14"/>
  <c r="R17" i="20"/>
  <c r="Q17" i="20"/>
  <c r="L12" i="20"/>
  <c r="M13" i="20"/>
  <c r="L15" i="20"/>
  <c r="Q13" i="32"/>
  <c r="R15" i="21"/>
  <c r="R15" i="33"/>
  <c r="R13" i="26"/>
  <c r="Q15" i="36"/>
  <c r="R14" i="37"/>
  <c r="Q13" i="43"/>
  <c r="R13" i="27"/>
  <c r="Q15" i="16"/>
  <c r="R15" i="34"/>
  <c r="M13" i="37"/>
  <c r="Q15" i="26"/>
  <c r="R15" i="43"/>
  <c r="R15" i="32"/>
  <c r="Q13" i="34"/>
  <c r="Q12" i="29"/>
  <c r="Q13" i="36"/>
  <c r="R15" i="27"/>
  <c r="R17" i="37"/>
  <c r="L15" i="37"/>
  <c r="R15" i="37" s="1"/>
  <c r="Q13" i="33"/>
  <c r="Q13" i="42"/>
  <c r="R13" i="42"/>
  <c r="R15" i="42"/>
  <c r="Q15" i="42"/>
  <c r="R13" i="23"/>
  <c r="Q13" i="23"/>
  <c r="R15" i="23"/>
  <c r="Q15" i="23"/>
  <c r="R13" i="40"/>
  <c r="Q13" i="40"/>
  <c r="Q13" i="38"/>
  <c r="R13" i="38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3" i="41"/>
  <c r="Q13" i="41"/>
  <c r="R15" i="41"/>
  <c r="Q15" i="41"/>
  <c r="R12" i="21"/>
  <c r="Q12" i="21"/>
  <c r="R12" i="16"/>
  <c r="Q12" i="16"/>
  <c r="R13" i="21"/>
  <c r="R13" i="16"/>
  <c r="Q13" i="37" l="1"/>
  <c r="M13" i="39"/>
  <c r="L15" i="39"/>
  <c r="L12" i="39"/>
  <c r="E18" i="39"/>
  <c r="Q17" i="39"/>
  <c r="R17" i="39"/>
  <c r="E15" i="24"/>
  <c r="L17" i="24"/>
  <c r="Q17" i="24" s="1"/>
  <c r="E18" i="24"/>
  <c r="L12" i="24"/>
  <c r="R15" i="20"/>
  <c r="Q15" i="20"/>
  <c r="Q13" i="20"/>
  <c r="R13" i="20"/>
  <c r="Q12" i="20"/>
  <c r="R12" i="20"/>
  <c r="R13" i="37"/>
  <c r="Q15" i="37"/>
  <c r="L2" i="14"/>
  <c r="P2" i="14" s="1"/>
  <c r="L15" i="24" l="1"/>
  <c r="Q15" i="24" s="1"/>
  <c r="R12" i="39"/>
  <c r="Q12" i="39"/>
  <c r="Q15" i="39"/>
  <c r="R15" i="39"/>
  <c r="Q13" i="39"/>
  <c r="R13" i="39"/>
  <c r="M13" i="24"/>
  <c r="R17" i="24"/>
  <c r="R12" i="24"/>
  <c r="Q12" i="24"/>
  <c r="N2" i="14"/>
  <c r="L3" i="11"/>
  <c r="C12" i="11"/>
  <c r="C18" i="11" s="1"/>
  <c r="Q13" i="24" l="1"/>
  <c r="R15" i="24"/>
  <c r="R13" i="24"/>
  <c r="R2" i="14"/>
  <c r="N3" i="11"/>
  <c r="R3" i="11" s="1"/>
  <c r="L5" i="15" l="1"/>
  <c r="Q5" i="15" l="1"/>
  <c r="L4" i="15"/>
  <c r="G17" i="15"/>
  <c r="R5" i="15"/>
  <c r="N4" i="15" l="1"/>
  <c r="E17" i="15"/>
  <c r="L17" i="15" s="1"/>
  <c r="G12" i="15"/>
  <c r="G18" i="15" s="1"/>
  <c r="R4" i="15" l="1"/>
  <c r="R17" i="15"/>
  <c r="Q17" i="15"/>
  <c r="E15" i="15"/>
  <c r="E12" i="15"/>
  <c r="E18" i="15" s="1"/>
  <c r="L15" i="15" l="1"/>
  <c r="R15" i="15" s="1"/>
  <c r="M13" i="15"/>
  <c r="L12" i="15"/>
  <c r="H12" i="11"/>
  <c r="H18" i="11" s="1"/>
  <c r="L5" i="11"/>
  <c r="R13" i="15" l="1"/>
  <c r="Q5" i="11"/>
  <c r="Q15" i="15"/>
  <c r="Q13" i="15"/>
  <c r="R12" i="15"/>
  <c r="Q12" i="15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J8" i="14"/>
  <c r="J17" i="14" s="1"/>
  <c r="I8" i="14"/>
  <c r="I17" i="14" s="1"/>
  <c r="Q13" i="11" l="1"/>
  <c r="R13" i="11"/>
  <c r="R15" i="11"/>
  <c r="Q15" i="11"/>
  <c r="R12" i="11"/>
  <c r="Q12" i="11"/>
  <c r="L17" i="14"/>
  <c r="I13" i="14"/>
  <c r="J13" i="14"/>
  <c r="L8" i="14"/>
  <c r="N8" i="14" s="1"/>
  <c r="R17" i="14" l="1"/>
  <c r="Q17" i="14"/>
  <c r="R8" i="14"/>
  <c r="E14" i="14"/>
  <c r="L13" i="14"/>
  <c r="L14" i="14" l="1"/>
  <c r="E15" i="14"/>
  <c r="R14" i="14" l="1"/>
  <c r="Q14" i="14"/>
  <c r="M13" i="14"/>
  <c r="L15" i="14"/>
  <c r="R15" i="14" l="1"/>
  <c r="Q15" i="14"/>
  <c r="R13" i="14"/>
  <c r="Q13" i="14"/>
  <c r="F3" i="19" l="1"/>
  <c r="G3" i="19" s="1"/>
  <c r="G5" i="19" l="1"/>
  <c r="L5" i="19" s="1"/>
  <c r="F17" i="19"/>
  <c r="F12" i="19" s="1"/>
  <c r="F18" i="19" s="1"/>
  <c r="L3" i="19" l="1"/>
  <c r="Q5" i="19"/>
  <c r="R5" i="19"/>
  <c r="G17" i="19"/>
  <c r="G12" i="19" s="1"/>
  <c r="G18" i="19" s="1"/>
  <c r="N3" i="19" l="1"/>
  <c r="R3" i="19" s="1"/>
  <c r="E17" i="19"/>
  <c r="E12" i="19" l="1"/>
  <c r="E15" i="19"/>
  <c r="L17" i="19"/>
  <c r="Q17" i="19" s="1"/>
  <c r="L12" i="19" l="1"/>
  <c r="Q12" i="19" s="1"/>
  <c r="E18" i="19"/>
  <c r="L15" i="19"/>
  <c r="R15" i="19" s="1"/>
  <c r="R17" i="19"/>
  <c r="M13" i="19"/>
  <c r="Q13" i="19" l="1"/>
  <c r="R12" i="19"/>
  <c r="Q15" i="19"/>
  <c r="R13" i="19"/>
  <c r="Q5" i="18" l="1"/>
  <c r="E17" i="18" s="1"/>
  <c r="R5" i="18"/>
  <c r="E15" i="18" l="1"/>
  <c r="E12" i="18"/>
  <c r="L17" i="18"/>
  <c r="R17" i="18" l="1"/>
  <c r="Q17" i="18"/>
  <c r="E18" i="18"/>
  <c r="L12" i="18"/>
  <c r="L15" i="18"/>
  <c r="M13" i="18"/>
  <c r="Q13" i="18" l="1"/>
  <c r="R13" i="18"/>
  <c r="Q15" i="18"/>
  <c r="R15" i="18"/>
  <c r="Q12" i="18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<sst xmlns="http://schemas.openxmlformats.org/spreadsheetml/2006/main" count="1164" uniqueCount="109">
  <si>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</si>
  <si>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</si>
  <si>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</si>
  <si>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</si>
  <si>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</si>
  <si>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</si>
  <si>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</si>
  <si>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</si>
  <si>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</si>
  <si>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</si>
  <si>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</si>
  <si>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</si>
  <si>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</si>
  <si>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</si>
  <si>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</si>
  <si>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</si>
  <si>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</si>
  <si>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</si>
  <si>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</si>
  <si>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</si>
  <si>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</si>
  <si>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</si>
  <si>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</si>
  <si>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</si>
  <si>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</si>
  <si>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</si>
  <si>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</si>
  <si>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</si>
  <si>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</si>
  <si>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</si>
  <si>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</si>
  <si>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</si>
  <si>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</si>
  <si>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</si>
  <si>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</si>
  <si>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</si>
  <si>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</si>
  <si>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</si>
  <si>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</si>
  <si>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</si>
  <si>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</si>
  <si>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</si>
  <si>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</si>
  <si>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</si>
  <si>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</si>
  <si>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</si>
  <si>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</si>
  <si>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</si>
  <si>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</si>
  <si>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</si>
  <si>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</si>
  <si>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</si>
  <si>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</si>
  <si>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</si>
  <si>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</si>
  <si>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</si>
  <si>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</si>
  <si>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</si>
  <si>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</si>
  <si>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</si>
  <si>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</si>
  <si>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</si>
  <si>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</si>
  <si>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</si>
  <si>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</si>
  <si>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</si>
  <si>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</si>
  <si>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</si>
  <si>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</si>
  <si>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</si>
  <si>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</si>
  <si>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</si>
  <si>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</si>
  <si>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</si>
  <si>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</si>
  <si>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</si>
  <si>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</si>
  <si>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</si>
  <si>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</si>
  <si>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</si>
  <si>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</si>
  <si>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</si>
  <si>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</si>
  <si>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</si>
  <si>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</si>
  <si>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</si>
  <si>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</si>
  <si>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</si>
  <si>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</si>
  <si>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</si>
  <si>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</si>
  <si>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</si>
  <si>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</si>
  <si>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</si>
  <si>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</si>
  <si>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</si>
  <si>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</si>
  <si>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</si>
  <si>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</si>
  <si>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</si>
  <si>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</si>
  <si>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</si>
  <si>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</si>
  <si>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</si>
  <si>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</si>
  <si>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</si>
  <si>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</si>
  <si>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collection and processing yield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</si>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</sst>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168" fontId="0" fillId="3" borderId="0" xfId="1" applyNumberFormat="1" applyFont="1" applyFill="1" applyBorder="1"/>
    <xf numFmtId="168" fontId="0" fillId="2" borderId="0" xfId="1" applyNumberFormat="1" applyFont="1" applyFill="1" applyBorder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107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12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353821.08777491335</v>
      </c>
      <c r="D3" s="1">
        <f>VLOOKUP($B3, '[1]Pro of iron ore'!$B$2:$X$31, $A$1, FALSE)*(1-VLOOKUP($B3, '[1]Foundry share'!$B$2:$X$31, $A$1, FALSE))</f>
        <v>219213.50907717855</v>
      </c>
      <c r="E3" s="47">
        <f>VLOOKUP($B3, '[1]Iron content'!$B$2:$X$31, $A$1, FALSE)</f>
        <v>0.61956032766660107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567668.63139076787</v>
      </c>
      <c r="H3" s="1">
        <f>VLOOKUP($B3, '[1]Exp of pig iron'!$B$2:$X$31, $A$1, FALSE)</f>
        <v>707</v>
      </c>
      <c r="I3" s="1">
        <f>VLOOKUP($B3, '[1]Imp of pig iron'!$B$2:$X$31, $A$1, FALSE)</f>
        <v>873</v>
      </c>
      <c r="J3" s="1">
        <f>VLOOKUP($B3, '[1]Pro of DRI'!$B$2:$X$31, $A$1, FALSE)</f>
        <v>0</v>
      </c>
      <c r="K3" s="1">
        <f>VLOOKUP($B3, '[1]Exp of DRI'!$B$2:$X$31, $A$1, FALSE)</f>
        <v>213</v>
      </c>
      <c r="L3" s="1">
        <f>VLOOKUP($B3, '[1]Imp of DRI'!$B$2:$X$31, $A$1, FALSE)</f>
        <v>1379</v>
      </c>
      <c r="M3" s="1">
        <f>VLOOKUP($B3, '[1]Exp of scrap'!$B$2:$X$31, $A$1, FALSE)</f>
        <v>373</v>
      </c>
      <c r="N3" s="1">
        <f>VLOOKUP($B3, '[1]Imp of scrap'!$B$2:$X$31, $A$1, FALSE)</f>
        <v>5848</v>
      </c>
      <c r="O3" s="1">
        <f>VLOOKUP($B3, '[1]Pro of BOF steel'!$B$2:$X$31, $A$1, FALSE)</f>
        <v>572376</v>
      </c>
      <c r="P3" s="1">
        <f>VLOOKUP($B3, '[1]Pro of OHF steel'!$B$2:$X$31, $A$1, FALSE)</f>
        <v>0</v>
      </c>
      <c r="Q3" s="1">
        <f>VLOOKUP($B3, '[1]Pro of EAF steel'!$B$2:$X$31, $A$1, FALSE)</f>
        <v>66315</v>
      </c>
      <c r="R3" s="1">
        <f>VLOOKUP($B3, '[1]Exp of ingots and semis'!$B$2:$X$31, $A$1, FALSE)</f>
        <v>145</v>
      </c>
      <c r="S3" s="1">
        <f>VLOOKUP($B3, '[1]Imp of ingots and semis'!$B$2:$X$31, $A$1, FALSE)</f>
        <v>680</v>
      </c>
      <c r="T3" s="1">
        <f>VLOOKUP($B3, '[1]Pro of hr long'!$B$2:$X$31, $A$1, FALSE)+VLOOKUP($B3, '[1]Pro of seamless tubes'!$B$2:$X$31, $A$1, FALSE)</f>
        <v>392539</v>
      </c>
      <c r="U3" s="1">
        <f>VLOOKUP($B3, '[1]Exp of long'!$B$2:$X$31, $A$1, FALSE)</f>
        <v>9153</v>
      </c>
      <c r="V3" s="1">
        <f>VLOOKUP($B3, '[1]Imp of long'!$B$2:$X$31, $A$1, FALSE)</f>
        <v>1965</v>
      </c>
      <c r="W3" s="1">
        <f>VLOOKUP($B3, '[1]Pro of hr flat'!$B$2:$X$31, $A$1, FALSE)*parameters!$B$8</f>
        <v>255149.56330014224</v>
      </c>
      <c r="X3" s="1">
        <f>VLOOKUP($B3, '[1]Exp of flat'!$B$2:$X$31, $A$1, FALSE)</f>
        <v>24812</v>
      </c>
      <c r="Y3" s="1">
        <f>VLOOKUP($B3, '[1]Imp of flat'!$B$2:$X$31, $A$1, FALSE)</f>
        <v>13921</v>
      </c>
      <c r="Z3" s="1">
        <f>VLOOKUP($B3, '[1]Indirect exp'!$B$2:$X$31, $A$1, FALSE)</f>
        <v>62010</v>
      </c>
      <c r="AA3" s="1">
        <f>VLOOKUP($B3, '[1]Indirect imp'!$B$2:$X$31, $A$1, FALSE)</f>
        <v>11874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179757.52887224645</v>
      </c>
      <c r="D4" s="1">
        <f>VLOOKUP($B4, '[1]Pro of iron ore'!$B$2:$X$31, $A$1, FALSE)*(1-VLOOKUP($B4, '[1]Foundry share'!$B$2:$X$31, $A$1, FALSE))</f>
        <v>111070.17236032356</v>
      </c>
      <c r="E4" s="47">
        <f>VLOOKUP($B4, '[1]Iron content'!$B$2:$X$31, $A$1, FALSE)</f>
        <v>0.61788884758902674</v>
      </c>
      <c r="F4" s="1">
        <f>VLOOKUP($B4, '[1]Exp of usable iron ore'!$B$2:$X$31, $A$1, FALSE)*parameters!$B$12</f>
        <v>62355.15</v>
      </c>
      <c r="G4" s="1">
        <f>VLOOKUP($B4, '[1]Pro of pig iron'!$B$2:$X$31, $A$1, FALSE)*(1-VLOOKUP($B4, '[1]Foundry share'!$B$2:$X$31, $A$1, FALSE))</f>
        <v>34327.625145112499</v>
      </c>
      <c r="H4" s="1">
        <f>VLOOKUP($B4, '[1]Exp of pig iron'!$B$2:$X$31, $A$1, FALSE)</f>
        <v>752</v>
      </c>
      <c r="I4" s="1">
        <f>VLOOKUP($B4, '[1]Imp of pig iron'!$B$2:$X$31, $A$1, FALSE)</f>
        <v>256</v>
      </c>
      <c r="J4" s="1">
        <f>VLOOKUP($B4, '[1]Pro of DRI'!$B$2:$X$31, $A$1, FALSE)</f>
        <v>24931</v>
      </c>
      <c r="K4" s="1">
        <f>VLOOKUP($B4, '[1]Exp of DRI'!$B$2:$X$31, $A$1, FALSE)</f>
        <v>69</v>
      </c>
      <c r="L4" s="1">
        <f>VLOOKUP($B4, '[1]Imp of DRI'!$B$2:$X$31, $A$1, FALSE)</f>
        <v>39</v>
      </c>
      <c r="M4" s="1">
        <f>VLOOKUP($B4, '[1]Exp of scrap'!$B$2:$X$31, $A$1, FALSE)</f>
        <v>0</v>
      </c>
      <c r="N4" s="1">
        <f>VLOOKUP($B4, '[1]Imp of scrap'!$B$2:$X$31, $A$1, FALSE)</f>
        <v>4643</v>
      </c>
      <c r="O4" s="1">
        <f>VLOOKUP($B4, '[1]Pro of BOF steel'!$B$2:$X$31, $A$1, FALSE)</f>
        <v>23500</v>
      </c>
      <c r="P4" s="1">
        <f>VLOOKUP($B4, '[1]Pro of OHF steel'!$B$2:$X$31, $A$1, FALSE)</f>
        <v>416</v>
      </c>
      <c r="Q4" s="1">
        <f>VLOOKUP($B4, '[1]Pro of EAF steel'!$B$2:$X$31, $A$1, FALSE)</f>
        <v>45060</v>
      </c>
      <c r="R4" s="1">
        <f>VLOOKUP($B4, '[1]Exp of ingots and semis'!$B$2:$X$31, $A$1, FALSE)</f>
        <v>222</v>
      </c>
      <c r="S4" s="1">
        <f>VLOOKUP($B4, '[1]Imp of ingots and semis'!$B$2:$X$31, $A$1, FALSE)</f>
        <v>559</v>
      </c>
      <c r="T4" s="1">
        <f>VLOOKUP($B4, '[1]Pro of hr long'!$B$2:$X$31, $A$1, FALSE)+VLOOKUP($B4, '[1]Pro of seamless tubes'!$B$2:$X$31, $A$1, FALSE)</f>
        <v>31708</v>
      </c>
      <c r="U4" s="1">
        <f>VLOOKUP($B4, '[1]Exp of long'!$B$2:$X$31, $A$1, FALSE)</f>
        <v>621</v>
      </c>
      <c r="V4" s="1">
        <f>VLOOKUP($B4, '[1]Imp of long'!$B$2:$X$31, $A$1, FALSE)</f>
        <v>1008</v>
      </c>
      <c r="W4" s="1">
        <f>VLOOKUP($B4, '[1]Pro of hr flat'!$B$2:$X$31, $A$1, FALSE)*parameters!$B$8</f>
        <v>29171.775248933143</v>
      </c>
      <c r="X4" s="1">
        <f>VLOOKUP($B4, '[1]Exp of flat'!$B$2:$X$31, $A$1, FALSE)</f>
        <v>3097</v>
      </c>
      <c r="Y4" s="1">
        <f>VLOOKUP($B4, '[1]Imp of flat'!$B$2:$X$31, $A$1, FALSE)</f>
        <v>7289</v>
      </c>
      <c r="Z4" s="1">
        <f>VLOOKUP($B4, '[1]Indirect exp'!$B$2:$X$31, $A$1, FALSE)</f>
        <v>2539</v>
      </c>
      <c r="AA4" s="1">
        <f>VLOOKUP($B4, '[1]Indirect imp'!$B$2:$X$31, $A$1, FALSE)</f>
        <v>3471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82283</v>
      </c>
      <c r="H5" s="1">
        <f>VLOOKUP($B5, '[1]Exp of pig iron'!$B$2:$X$31, $A$1, FALSE)</f>
        <v>33</v>
      </c>
      <c r="I5" s="1">
        <f>VLOOKUP($B5, '[1]Imp of pig iron'!$B$2:$X$31, $A$1, FALSE)</f>
        <v>354</v>
      </c>
      <c r="J5" s="1">
        <f>VLOOKUP($B5, '[1]Pro of DRI'!$B$2:$X$31, $A$1, FALSE)</f>
        <v>0</v>
      </c>
      <c r="K5" s="1">
        <f>VLOOKUP($B5, '[1]Exp of DRI'!$B$2:$X$31, $A$1, FALSE)</f>
        <v>1</v>
      </c>
      <c r="L5" s="1">
        <f>VLOOKUP($B5, '[1]Imp of DRI'!$B$2:$X$31, $A$1, FALSE)</f>
        <v>226</v>
      </c>
      <c r="M5" s="1">
        <f>VLOOKUP($B5, '[1]Exp of scrap'!$B$2:$X$31, $A$1, FALSE)</f>
        <v>6472</v>
      </c>
      <c r="N5" s="1">
        <f>VLOOKUP($B5, '[1]Imp of scrap'!$B$2:$X$31, $A$1, FALSE)</f>
        <v>491</v>
      </c>
      <c r="O5" s="1">
        <f>VLOOKUP($B5, '[1]Pro of BOF steel'!$B$2:$X$31, $A$1, FALSE)</f>
        <v>85756</v>
      </c>
      <c r="P5" s="1">
        <f>VLOOKUP($B5, '[1]Pro of OHF steel'!$B$2:$X$31, $A$1, FALSE)</f>
        <v>0</v>
      </c>
      <c r="Q5" s="1">
        <f>VLOOKUP($B5, '[1]Pro of EAF steel'!$B$2:$X$31, $A$1, FALSE)</f>
        <v>23843</v>
      </c>
      <c r="R5" s="1">
        <f>VLOOKUP($B5, '[1]Exp of ingots and semis'!$B$2:$X$31, $A$1, FALSE)</f>
        <v>5229</v>
      </c>
      <c r="S5" s="1">
        <f>VLOOKUP($B5, '[1]Imp of ingots and semis'!$B$2:$X$31, $A$1, FALSE)</f>
        <v>98</v>
      </c>
      <c r="T5" s="1">
        <f>VLOOKUP($B5, '[1]Pro of hr long'!$B$2:$X$31, $A$1, FALSE)+VLOOKUP($B5, '[1]Pro of seamless tubes'!$B$2:$X$31, $A$1, FALSE)</f>
        <v>30550</v>
      </c>
      <c r="U5" s="1">
        <f>VLOOKUP($B5, '[1]Exp of long'!$B$2:$X$31, $A$1, FALSE)</f>
        <v>5182</v>
      </c>
      <c r="V5" s="1">
        <f>VLOOKUP($B5, '[1]Imp of long'!$B$2:$X$31, $A$1, FALSE)</f>
        <v>742</v>
      </c>
      <c r="W5" s="1">
        <f>VLOOKUP($B5, '[1]Pro of hr flat'!$B$2:$X$31, $A$1, FALSE)*parameters!$B$8</f>
        <v>65431.98293029872</v>
      </c>
      <c r="X5" s="1">
        <f>VLOOKUP($B5, '[1]Exp of flat'!$B$2:$X$31, $A$1, FALSE)</f>
        <v>29423</v>
      </c>
      <c r="Y5" s="1">
        <f>VLOOKUP($B5, '[1]Imp of flat'!$B$2:$X$31, $A$1, FALSE)</f>
        <v>3339</v>
      </c>
      <c r="Z5" s="1">
        <f>VLOOKUP($B5, '[1]Indirect exp'!$B$2:$X$31, $A$1, FALSE)</f>
        <v>26532</v>
      </c>
      <c r="AA5" s="1">
        <f>VLOOKUP($B5, '[1]Indirect imp'!$B$2:$X$31, $A$1, FALSE)</f>
        <v>5932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49900</v>
      </c>
      <c r="D6" s="1">
        <f>VLOOKUP($B6, '[1]Pro of iron ore'!$B$2:$X$31, $A$1, FALSE)*(1-VLOOKUP($B6, '[1]Foundry share'!$B$2:$X$31, $A$1, FALSE))</f>
        <v>31300</v>
      </c>
      <c r="E6" s="47">
        <f>VLOOKUP($B6, '[1]Iron content'!$B$2:$X$31, $A$1, FALSE)</f>
        <v>0.62725450901803603</v>
      </c>
      <c r="F6" s="1">
        <f>VLOOKUP($B6, '[1]Exp of usable iron ore'!$B$2:$X$31, $A$1, FALSE)*parameters!$B$12</f>
        <v>6468.1500000000005</v>
      </c>
      <c r="G6" s="1">
        <f>VLOOKUP($B6, '[1]Pro of pig iron'!$B$2:$X$31, $A$1, FALSE)*(1-VLOOKUP($B6, '[1]Foundry share'!$B$2:$X$31, $A$1, FALSE))</f>
        <v>26843</v>
      </c>
      <c r="H6" s="1">
        <f>VLOOKUP($B6, '[1]Exp of pig iron'!$B$2:$X$31, $A$1, FALSE)</f>
        <v>81</v>
      </c>
      <c r="I6" s="1">
        <f>VLOOKUP($B6, '[1]Imp of pig iron'!$B$2:$X$31, $A$1, FALSE)</f>
        <v>3471</v>
      </c>
      <c r="J6" s="1">
        <f>VLOOKUP($B6, '[1]Pro of DRI'!$B$2:$X$31, $A$1, FALSE)</f>
        <v>0</v>
      </c>
      <c r="K6" s="1">
        <f>VLOOKUP($B6, '[1]Exp of DRI'!$B$2:$X$31, $A$1, FALSE)</f>
        <v>9</v>
      </c>
      <c r="L6" s="1">
        <f>VLOOKUP($B6, '[1]Imp of DRI'!$B$2:$X$31, $A$1, FALSE)</f>
        <v>1643</v>
      </c>
      <c r="M6" s="1">
        <f>VLOOKUP($B6, '[1]Exp of scrap'!$B$2:$X$31, $A$1, FALSE)</f>
        <v>20557</v>
      </c>
      <c r="N6" s="1">
        <f>VLOOKUP($B6, '[1]Imp of scrap'!$B$2:$X$31, $A$1, FALSE)</f>
        <v>3773</v>
      </c>
      <c r="O6" s="1">
        <f>VLOOKUP($B6, '[1]Pro of BOF steel'!$B$2:$X$31, $A$1, FALSE)</f>
        <v>31157</v>
      </c>
      <c r="P6" s="1">
        <f>VLOOKUP($B6, '[1]Pro of OHF steel'!$B$2:$X$31, $A$1, FALSE)</f>
        <v>0</v>
      </c>
      <c r="Q6" s="1">
        <f>VLOOKUP($B6, '[1]Pro of EAF steel'!$B$2:$X$31, $A$1, FALSE)</f>
        <v>49338</v>
      </c>
      <c r="R6" s="1">
        <f>VLOOKUP($B6, '[1]Exp of ingots and semis'!$B$2:$X$31, $A$1, FALSE)</f>
        <v>616</v>
      </c>
      <c r="S6" s="1">
        <f>VLOOKUP($B6, '[1]Imp of ingots and semis'!$B$2:$X$31, $A$1, FALSE)</f>
        <v>4596</v>
      </c>
      <c r="T6" s="1">
        <f>VLOOKUP($B6, '[1]Pro of hr long'!$B$2:$X$31, $A$1, FALSE)+VLOOKUP($B6, '[1]Pro of seamless tubes'!$B$2:$X$31, $A$1, FALSE)</f>
        <v>22087</v>
      </c>
      <c r="U6" s="1">
        <f>VLOOKUP($B6, '[1]Exp of long'!$B$2:$X$31, $A$1, FALSE)</f>
        <v>2910</v>
      </c>
      <c r="V6" s="1">
        <f>VLOOKUP($B6, '[1]Imp of long'!$B$2:$X$31, $A$1, FALSE)</f>
        <v>4569</v>
      </c>
      <c r="W6" s="1">
        <f>VLOOKUP($B6, '[1]Pro of hr flat'!$B$2:$X$31, $A$1, FALSE)*parameters!$B$8</f>
        <v>52877.607396870553</v>
      </c>
      <c r="X6" s="1">
        <f>VLOOKUP($B6, '[1]Exp of flat'!$B$2:$X$31, $A$1, FALSE)</f>
        <v>6490</v>
      </c>
      <c r="Y6" s="1">
        <f>VLOOKUP($B6, '[1]Imp of flat'!$B$2:$X$31, $A$1, FALSE)</f>
        <v>7561</v>
      </c>
      <c r="Z6" s="1">
        <f>VLOOKUP($B6, '[1]Indirect exp'!$B$2:$X$31, $A$1, FALSE)</f>
        <v>18682</v>
      </c>
      <c r="AA6" s="1">
        <f>VLOOKUP($B6, '[1]Indirect imp'!$B$2:$X$31, $A$1, FALSE)</f>
        <v>30005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95272</v>
      </c>
      <c r="D7" s="1">
        <f>VLOOKUP($B7, '[1]Pro of iron ore'!$B$2:$X$31, $A$1, FALSE)*(1-VLOOKUP($B7, '[1]Foundry share'!$B$2:$X$31, $A$1, FALSE))</f>
        <v>57600</v>
      </c>
      <c r="E7" s="47">
        <f>VLOOKUP($B7, '[1]Iron content'!$B$2:$X$31, $A$1, FALSE)</f>
        <v>0.60458476782265513</v>
      </c>
      <c r="F7" s="1">
        <f>VLOOKUP($B7, '[1]Exp of usable iron ore'!$B$2:$X$31, $A$1, FALSE)*parameters!$B$12</f>
        <v>12964.9</v>
      </c>
      <c r="G7" s="1">
        <f>VLOOKUP($B7, '[1]Pro of pig iron'!$B$2:$X$31, $A$1, FALSE)*(1-VLOOKUP($B7, '[1]Foundry share'!$B$2:$X$31, $A$1, FALSE))</f>
        <v>47934</v>
      </c>
      <c r="H7" s="1">
        <f>VLOOKUP($B7, '[1]Exp of pig iron'!$B$2:$X$31, $A$1, FALSE)</f>
        <v>3479</v>
      </c>
      <c r="I7" s="1">
        <f>VLOOKUP($B7, '[1]Imp of pig iron'!$B$2:$X$31, $A$1, FALSE)</f>
        <v>0</v>
      </c>
      <c r="J7" s="1">
        <f>VLOOKUP($B7, '[1]Pro of DRI'!$B$2:$X$31, $A$1, FALSE)</f>
        <v>4700</v>
      </c>
      <c r="K7" s="1">
        <f>VLOOKUP($B7, '[1]Exp of DRI'!$B$2:$X$31, $A$1, FALSE)</f>
        <v>1915</v>
      </c>
      <c r="L7" s="1">
        <f>VLOOKUP($B7, '[1]Imp of DRI'!$B$2:$X$31, $A$1, FALSE)</f>
        <v>0</v>
      </c>
      <c r="M7" s="1">
        <f>VLOOKUP($B7, '[1]Exp of scrap'!$B$2:$X$31, $A$1, FALSE)</f>
        <v>2390</v>
      </c>
      <c r="N7" s="1">
        <f>VLOOKUP($B7, '[1]Imp of scrap'!$B$2:$X$31, $A$1, FALSE)</f>
        <v>27</v>
      </c>
      <c r="O7" s="1">
        <f>VLOOKUP($B7, '[1]Pro of BOF steel'!$B$2:$X$31, $A$1, FALSE)</f>
        <v>42430</v>
      </c>
      <c r="P7" s="1">
        <f>VLOOKUP($B7, '[1]Pro of OHF steel'!$B$2:$X$31, $A$1, FALSE)</f>
        <v>6530</v>
      </c>
      <c r="Q7" s="1">
        <f>VLOOKUP($B7, '[1]Pro of EAF steel'!$B$2:$X$31, $A$1, FALSE)</f>
        <v>17980</v>
      </c>
      <c r="R7" s="1">
        <f>VLOOKUP($B7, '[1]Exp of ingots and semis'!$B$2:$X$31, $A$1, FALSE)</f>
        <v>15309</v>
      </c>
      <c r="S7" s="1">
        <f>VLOOKUP($B7, '[1]Imp of ingots and semis'!$B$2:$X$31, $A$1, FALSE)</f>
        <v>12</v>
      </c>
      <c r="T7" s="1">
        <f>VLOOKUP($B7, '[1]Pro of hr long'!$B$2:$X$31, $A$1, FALSE)+VLOOKUP($B7, '[1]Pro of seamless tubes'!$B$2:$X$31, $A$1, FALSE)</f>
        <v>17984</v>
      </c>
      <c r="U7" s="1">
        <f>VLOOKUP($B7, '[1]Exp of long'!$B$2:$X$31, $A$1, FALSE)</f>
        <v>3127</v>
      </c>
      <c r="V7" s="1">
        <f>VLOOKUP($B7, '[1]Imp of long'!$B$2:$X$31, $A$1, FALSE)</f>
        <v>1365</v>
      </c>
      <c r="W7" s="1">
        <f>VLOOKUP($B7, '[1]Pro of hr flat'!$B$2:$X$31, $A$1, FALSE)*parameters!$B$8</f>
        <v>24264.473684210527</v>
      </c>
      <c r="X7" s="1">
        <f>VLOOKUP($B7, '[1]Exp of flat'!$B$2:$X$31, $A$1, FALSE)</f>
        <v>8170</v>
      </c>
      <c r="Y7" s="1">
        <f>VLOOKUP($B7, '[1]Imp of flat'!$B$2:$X$31, $A$1, FALSE)</f>
        <v>2594</v>
      </c>
      <c r="Z7" s="1">
        <f>VLOOKUP($B7, '[1]Indirect exp'!$B$2:$X$31, $A$1, FALSE)</f>
        <v>1302</v>
      </c>
      <c r="AA7" s="1">
        <f>VLOOKUP($B7, '[1]Indirect imp'!$B$2:$X$31, $A$1, FALSE)</f>
        <v>7334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35065</v>
      </c>
      <c r="H8" s="1">
        <f>VLOOKUP($B8, '[1]Exp of pig iron'!$B$2:$X$31, $A$1, FALSE)</f>
        <v>53</v>
      </c>
      <c r="I8" s="1">
        <f>VLOOKUP($B8, '[1]Imp of pig iron'!$B$2:$X$31, $A$1, FALSE)</f>
        <v>1031</v>
      </c>
      <c r="J8" s="1">
        <f>VLOOKUP($B8, '[1]Pro of DRI'!$B$2:$X$31, $A$1, FALSE)</f>
        <v>0</v>
      </c>
      <c r="K8" s="1">
        <f>VLOOKUP($B8, '[1]Exp of DRI'!$B$2:$X$31, $A$1, FALSE)</f>
        <v>2</v>
      </c>
      <c r="L8" s="1">
        <f>VLOOKUP($B8, '[1]Imp of DRI'!$B$2:$X$31, $A$1, FALSE)</f>
        <v>676</v>
      </c>
      <c r="M8" s="1">
        <f>VLOOKUP($B8, '[1]Exp of scrap'!$B$2:$X$31, $A$1, FALSE)</f>
        <v>459</v>
      </c>
      <c r="N8" s="1">
        <f>VLOOKUP($B8, '[1]Imp of scrap'!$B$2:$X$31, $A$1, FALSE)</f>
        <v>8091</v>
      </c>
      <c r="O8" s="1">
        <f>VLOOKUP($B8, '[1]Pro of BOF steel'!$B$2:$X$31, $A$1, FALSE)</f>
        <v>34113</v>
      </c>
      <c r="P8" s="1">
        <f>VLOOKUP($B8, '[1]Pro of OHF steel'!$B$2:$X$31, $A$1, FALSE)</f>
        <v>0</v>
      </c>
      <c r="Q8" s="1">
        <f>VLOOKUP($B8, '[1]Pro of EAF steel'!$B$2:$X$31, $A$1, FALSE)</f>
        <v>24801</v>
      </c>
      <c r="R8" s="1">
        <f>VLOOKUP($B8, '[1]Exp of ingots and semis'!$B$2:$X$31, $A$1, FALSE)</f>
        <v>1189</v>
      </c>
      <c r="S8" s="1">
        <f>VLOOKUP($B8, '[1]Imp of ingots and semis'!$B$2:$X$31, $A$1, FALSE)</f>
        <v>6184</v>
      </c>
      <c r="T8" s="1">
        <f>VLOOKUP($B8, '[1]Pro of hr long'!$B$2:$X$31, $A$1, FALSE)+VLOOKUP($B8, '[1]Pro of seamless tubes'!$B$2:$X$31, $A$1, FALSE)</f>
        <v>18432</v>
      </c>
      <c r="U8" s="1">
        <f>VLOOKUP($B8, '[1]Exp of long'!$B$2:$X$31, $A$1, FALSE)</f>
        <v>3658</v>
      </c>
      <c r="V8" s="1">
        <f>VLOOKUP($B8, '[1]Imp of long'!$B$2:$X$31, $A$1, FALSE)</f>
        <v>4310</v>
      </c>
      <c r="W8" s="1">
        <f>VLOOKUP($B8, '[1]Pro of hr flat'!$B$2:$X$31, $A$1, FALSE)*parameters!$B$8</f>
        <v>39459.52347083926</v>
      </c>
      <c r="X8" s="1">
        <f>VLOOKUP($B8, '[1]Exp of flat'!$B$2:$X$31, $A$1, FALSE)</f>
        <v>17547</v>
      </c>
      <c r="Y8" s="1">
        <f>VLOOKUP($B8, '[1]Imp of flat'!$B$2:$X$31, $A$1, FALSE)</f>
        <v>13476</v>
      </c>
      <c r="Z8" s="1">
        <f>VLOOKUP($B8, '[1]Indirect exp'!$B$2:$X$31, $A$1, FALSE)</f>
        <v>24599</v>
      </c>
      <c r="AA8" s="1">
        <f>VLOOKUP($B8, '[1]Indirect imp'!$B$2:$X$31, $A$1, FALSE)</f>
        <v>5977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390.35300000000001</v>
      </c>
      <c r="D9" s="1">
        <f>VLOOKUP($B9, '[1]Pro of iron ore'!$B$2:$X$31, $A$1, FALSE)*(1-VLOOKUP($B9, '[1]Foundry share'!$B$2:$X$31, $A$1, FALSE))</f>
        <v>40.987000000000002</v>
      </c>
      <c r="E9" s="47">
        <f>VLOOKUP($B9, '[1]Iron content'!$B$2:$X$31, $A$1, FALSE)</f>
        <v>0.10499983348405162</v>
      </c>
      <c r="F9" s="1">
        <f>VLOOKUP($B9, '[1]Exp of usable iron ore'!$B$2:$X$31, $A$1, FALSE)*parameters!$B$12</f>
        <v>14.3</v>
      </c>
      <c r="G9" s="1">
        <f>VLOOKUP($B9, '[1]Pro of pig iron'!$B$2:$X$31, $A$1, FALSE)*(1-VLOOKUP($B9, '[1]Foundry share'!$B$2:$X$31, $A$1, FALSE))</f>
        <v>28112</v>
      </c>
      <c r="H9" s="1">
        <f>VLOOKUP($B9, '[1]Exp of pig iron'!$B$2:$X$31, $A$1, FALSE)</f>
        <v>181</v>
      </c>
      <c r="I9" s="1">
        <f>VLOOKUP($B9, '[1]Imp of pig iron'!$B$2:$X$31, $A$1, FALSE)</f>
        <v>421</v>
      </c>
      <c r="J9" s="1">
        <f>VLOOKUP($B9, '[1]Pro of DRI'!$B$2:$X$31, $A$1, FALSE)</f>
        <v>448</v>
      </c>
      <c r="K9" s="1">
        <f>VLOOKUP($B9, '[1]Exp of DRI'!$B$2:$X$31, $A$1, FALSE)</f>
        <v>15</v>
      </c>
      <c r="L9" s="1">
        <f>VLOOKUP($B9, '[1]Imp of DRI'!$B$2:$X$31, $A$1, FALSE)</f>
        <v>425</v>
      </c>
      <c r="M9" s="1">
        <f>VLOOKUP($B9, '[1]Exp of scrap'!$B$2:$X$31, $A$1, FALSE)</f>
        <v>9176</v>
      </c>
      <c r="N9" s="1">
        <f>VLOOKUP($B9, '[1]Imp of scrap'!$B$2:$X$31, $A$1, FALSE)</f>
        <v>5305</v>
      </c>
      <c r="O9" s="1">
        <f>VLOOKUP($B9, '[1]Pro of BOF steel'!$B$2:$X$31, $A$1, FALSE)</f>
        <v>30615</v>
      </c>
      <c r="P9" s="1">
        <f>VLOOKUP($B9, '[1]Pro of OHF steel'!$B$2:$X$31, $A$1, FALSE)</f>
        <v>0</v>
      </c>
      <c r="Q9" s="1">
        <f>VLOOKUP($B9, '[1]Pro of EAF steel'!$B$2:$X$31, $A$1, FALSE)</f>
        <v>13215</v>
      </c>
      <c r="R9" s="1">
        <f>VLOOKUP($B9, '[1]Exp of ingots and semis'!$B$2:$X$31, $A$1, FALSE)</f>
        <v>2150</v>
      </c>
      <c r="S9" s="1">
        <f>VLOOKUP($B9, '[1]Imp of ingots and semis'!$B$2:$X$31, $A$1, FALSE)</f>
        <v>1611</v>
      </c>
      <c r="T9" s="1">
        <f>VLOOKUP($B9, '[1]Pro of hr long'!$B$2:$X$31, $A$1, FALSE)+VLOOKUP($B9, '[1]Pro of seamless tubes'!$B$2:$X$31, $A$1, FALSE)</f>
        <v>13194</v>
      </c>
      <c r="U9" s="1">
        <f>VLOOKUP($B9, '[1]Exp of long'!$B$2:$X$31, $A$1, FALSE)</f>
        <v>6921</v>
      </c>
      <c r="V9" s="1">
        <f>VLOOKUP($B9, '[1]Imp of long'!$B$2:$X$31, $A$1, FALSE)</f>
        <v>6467</v>
      </c>
      <c r="W9" s="1">
        <f>VLOOKUP($B9, '[1]Pro of hr flat'!$B$2:$X$31, $A$1, FALSE)*parameters!$B$8</f>
        <v>24200.35135135135</v>
      </c>
      <c r="X9" s="1">
        <f>VLOOKUP($B9, '[1]Exp of flat'!$B$2:$X$31, $A$1, FALSE)</f>
        <v>12880</v>
      </c>
      <c r="Y9" s="1">
        <f>VLOOKUP($B9, '[1]Imp of flat'!$B$2:$X$31, $A$1, FALSE)</f>
        <v>12398</v>
      </c>
      <c r="Z9" s="1">
        <f>VLOOKUP($B9, '[1]Indirect exp'!$B$2:$X$31, $A$1, FALSE)</f>
        <v>26839</v>
      </c>
      <c r="AA9" s="1">
        <f>VLOOKUP($B9, '[1]Indirect imp'!$B$2:$X$31, $A$1, FALSE)</f>
        <v>20477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5378</v>
      </c>
      <c r="D10" s="1">
        <f>VLOOKUP($B10, '[1]Pro of iron ore'!$B$2:$X$31, $A$1, FALSE)*(1-VLOOKUP($B10, '[1]Foundry share'!$B$2:$X$31, $A$1, FALSE))</f>
        <v>3250</v>
      </c>
      <c r="E10" s="47">
        <f>VLOOKUP($B10, '[1]Iron content'!$B$2:$X$31, $A$1, FALSE)</f>
        <v>0.60431387132763104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7679</v>
      </c>
      <c r="H10" s="1">
        <f>VLOOKUP($B10, '[1]Exp of pig iron'!$B$2:$X$31, $A$1, FALSE)</f>
        <v>8</v>
      </c>
      <c r="I10" s="1">
        <f>VLOOKUP($B10, '[1]Imp of pig iron'!$B$2:$X$31, $A$1, FALSE)</f>
        <v>565</v>
      </c>
      <c r="J10" s="1">
        <f>VLOOKUP($B10, '[1]Pro of DRI'!$B$2:$X$31, $A$1, FALSE)</f>
        <v>0</v>
      </c>
      <c r="K10" s="1">
        <f>VLOOKUP($B10, '[1]Exp of DRI'!$B$2:$X$31, $A$1, FALSE)</f>
        <v>0</v>
      </c>
      <c r="L10" s="1">
        <f>VLOOKUP($B10, '[1]Imp of DRI'!$B$2:$X$31, $A$1, FALSE)</f>
        <v>14</v>
      </c>
      <c r="M10" s="1">
        <f>VLOOKUP($B10, '[1]Exp of scrap'!$B$2:$X$31, $A$1, FALSE)</f>
        <v>94</v>
      </c>
      <c r="N10" s="1">
        <f>VLOOKUP($B10, '[1]Imp of scrap'!$B$2:$X$31, $A$1, FALSE)</f>
        <v>19200</v>
      </c>
      <c r="O10" s="1">
        <f>VLOOKUP($B10, '[1]Pro of BOF steel'!$B$2:$X$31, $A$1, FALSE)</f>
        <v>8238</v>
      </c>
      <c r="P10" s="1">
        <f>VLOOKUP($B10, '[1]Pro of OHF steel'!$B$2:$X$31, $A$1, FALSE)</f>
        <v>0</v>
      </c>
      <c r="Q10" s="1">
        <f>VLOOKUP($B10, '[1]Pro of EAF steel'!$B$2:$X$31, $A$1, FALSE)</f>
        <v>20905</v>
      </c>
      <c r="R10" s="1">
        <f>VLOOKUP($B10, '[1]Exp of ingots and semis'!$B$2:$X$31, $A$1, FALSE)</f>
        <v>3737</v>
      </c>
      <c r="S10" s="1">
        <f>VLOOKUP($B10, '[1]Imp of ingots and semis'!$B$2:$X$31, $A$1, FALSE)</f>
        <v>2401</v>
      </c>
      <c r="T10" s="1">
        <f>VLOOKUP($B10, '[1]Pro of hr long'!$B$2:$X$31, $A$1, FALSE)+VLOOKUP($B10, '[1]Pro of seamless tubes'!$B$2:$X$31, $A$1, FALSE)</f>
        <v>19671</v>
      </c>
      <c r="U10" s="1">
        <f>VLOOKUP($B10, '[1]Exp of long'!$B$2:$X$31, $A$1, FALSE)</f>
        <v>9254</v>
      </c>
      <c r="V10" s="1">
        <f>VLOOKUP($B10, '[1]Imp of long'!$B$2:$X$31, $A$1, FALSE)</f>
        <v>1184</v>
      </c>
      <c r="W10" s="1">
        <f>VLOOKUP($B10, '[1]Pro of hr flat'!$B$2:$X$31, $A$1, FALSE)*parameters!$B$8</f>
        <v>6433.0803466004709</v>
      </c>
      <c r="X10" s="1">
        <f>VLOOKUP($B10, '[1]Exp of flat'!$B$2:$X$31, $A$1, FALSE)</f>
        <v>1520</v>
      </c>
      <c r="Y10" s="1">
        <f>VLOOKUP($B10, '[1]Imp of flat'!$B$2:$X$31, $A$1, FALSE)</f>
        <v>6833</v>
      </c>
      <c r="Z10" s="1">
        <f>VLOOKUP($B10, '[1]Indirect exp'!$B$2:$X$31, $A$1, FALSE)</f>
        <v>4729</v>
      </c>
      <c r="AA10" s="1">
        <f>VLOOKUP($B10, '[1]Indirect imp'!$B$2:$X$31, $A$1, FALSE)</f>
        <v>3483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372120</v>
      </c>
      <c r="D11" s="1">
        <f>VLOOKUP($B11, '[1]Pro of iron ore'!$B$2:$X$31, $A$1, FALSE)*(1-VLOOKUP($B11, '[1]Foundry share'!$B$2:$X$31, $A$1, FALSE))</f>
        <v>248000</v>
      </c>
      <c r="E11" s="47">
        <f>VLOOKUP($B11, '[1]Iron content'!$B$2:$X$31, $A$1, FALSE)</f>
        <v>0.66645168225303664</v>
      </c>
      <c r="F11" s="1">
        <f>VLOOKUP($B11, '[1]Exp of usable iron ore'!$B$2:$X$31, $A$1, FALSE)*parameters!$B$12</f>
        <v>202105.15</v>
      </c>
      <c r="G11" s="1">
        <f>VLOOKUP($B11, '[1]Pro of pig iron'!$B$2:$X$31, $A$1, FALSE)*(1-VLOOKUP($B11, '[1]Foundry share'!$B$2:$X$31, $A$1, FALSE))</f>
        <v>30955</v>
      </c>
      <c r="H11" s="1">
        <f>VLOOKUP($B11, '[1]Exp of pig iron'!$B$2:$X$31, $A$1, FALSE)</f>
        <v>2309</v>
      </c>
      <c r="I11" s="1">
        <f>VLOOKUP($B11, '[1]Imp of pig iron'!$B$2:$X$31, $A$1, FALSE)</f>
        <v>0</v>
      </c>
      <c r="J11" s="1">
        <f>VLOOKUP($B11, '[1]Pro of DRI'!$B$2:$X$31, $A$1, FALSE)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80</v>
      </c>
      <c r="N11" s="1">
        <f>VLOOKUP($B11, '[1]Imp of scrap'!$B$2:$X$31, $A$1, FALSE)</f>
        <v>134</v>
      </c>
      <c r="O11" s="1">
        <f>VLOOKUP($B11, '[1]Pro of BOF steel'!$B$2:$X$31, $A$1, FALSE)</f>
        <v>24627</v>
      </c>
      <c r="P11" s="1">
        <f>VLOOKUP($B11, '[1]Pro of OHF steel'!$B$2:$X$31, $A$1, FALSE)</f>
        <v>0</v>
      </c>
      <c r="Q11" s="1">
        <f>VLOOKUP($B11, '[1]Pro of EAF steel'!$B$2:$X$31, $A$1, FALSE)</f>
        <v>7812</v>
      </c>
      <c r="R11" s="1">
        <f>VLOOKUP($B11, '[1]Exp of ingots and semis'!$B$2:$X$31, $A$1, FALSE)</f>
        <v>5257</v>
      </c>
      <c r="S11" s="1">
        <f>VLOOKUP($B11, '[1]Imp of ingots and semis'!$B$2:$X$31, $A$1, FALSE)</f>
        <v>53</v>
      </c>
      <c r="T11" s="1">
        <f>VLOOKUP($B11, '[1]Pro of hr long'!$B$2:$X$31, $A$1, FALSE)+VLOOKUP($B11, '[1]Pro of seamless tubes'!$B$2:$X$31, $A$1, FALSE)</f>
        <v>10239</v>
      </c>
      <c r="U11" s="1">
        <f>VLOOKUP($B11, '[1]Exp of long'!$B$2:$X$31, $A$1, FALSE)</f>
        <v>1129</v>
      </c>
      <c r="V11" s="1">
        <f>VLOOKUP($B11, '[1]Imp of long'!$B$2:$X$31, $A$1, FALSE)</f>
        <v>1440</v>
      </c>
      <c r="W11" s="1">
        <f>VLOOKUP($B11, '[1]Pro of hr flat'!$B$2:$X$31, $A$1, FALSE)*parameters!$B$8</f>
        <v>14731.620199146515</v>
      </c>
      <c r="X11" s="1">
        <f>VLOOKUP($B11, '[1]Exp of flat'!$B$2:$X$31, $A$1, FALSE)</f>
        <v>2353</v>
      </c>
      <c r="Y11" s="1">
        <f>VLOOKUP($B11, '[1]Imp of flat'!$B$2:$X$31, $A$1, FALSE)</f>
        <v>4134</v>
      </c>
      <c r="Z11" s="1">
        <f>VLOOKUP($B11, '[1]Indirect exp'!$B$2:$X$31, $A$1, FALSE)</f>
        <v>2648</v>
      </c>
      <c r="AA11" s="1">
        <f>VLOOKUP($B11, '[1]Indirect imp'!$B$2:$X$31, $A$1, FALSE)</f>
        <v>4055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30881.44864332637</v>
      </c>
      <c r="D12" s="1">
        <f>VLOOKUP($B12, '[1]Pro of iron ore'!$B$2:$X$31, $A$1, FALSE)*(1-VLOOKUP($B12, '[1]Foundry share'!$B$2:$X$31, $A$1, FALSE))</f>
        <v>14558.397217568145</v>
      </c>
      <c r="E12" s="47">
        <f>VLOOKUP($B12, '[1]Iron content'!$B$2:$X$31, $A$1, FALSE)</f>
        <v>0.47142857142857142</v>
      </c>
      <c r="F12" s="1">
        <f>VLOOKUP($B12, '[1]Exp of usable iron ore'!$B$2:$X$31, $A$1, FALSE)*parameters!$B$12</f>
        <v>9641.4500000000007</v>
      </c>
      <c r="G12" s="1">
        <f>VLOOKUP($B12, '[1]Pro of pig iron'!$B$2:$X$31, $A$1, FALSE)*(1-VLOOKUP($B12, '[1]Foundry share'!$B$2:$X$31, $A$1, FALSE))</f>
        <v>2241.1108444013994</v>
      </c>
      <c r="H12" s="1">
        <f>VLOOKUP($B12, '[1]Exp of pig iron'!$B$2:$X$31, $A$1, FALSE)</f>
        <v>14</v>
      </c>
      <c r="I12" s="1">
        <f>VLOOKUP($B12, '[1]Imp of pig iron'!$B$2:$X$31, $A$1, FALSE)</f>
        <v>1</v>
      </c>
      <c r="J12" s="1">
        <f>VLOOKUP($B12, '[1]Pro of DRI'!$B$2:$X$31, $A$1, FALSE)</f>
        <v>9350</v>
      </c>
      <c r="K12" s="1">
        <f>VLOOKUP($B12, '[1]Exp of DRI'!$B$2:$X$31, $A$1, FALSE)</f>
        <v>0</v>
      </c>
      <c r="L12" s="1">
        <f>VLOOKUP($B12, '[1]Imp of DRI'!$B$2:$X$31, $A$1, FALSE)</f>
        <v>0</v>
      </c>
      <c r="M12" s="1">
        <f>VLOOKUP($B12, '[1]Exp of scrap'!$B$2:$X$31, $A$1, FALSE)</f>
        <v>69</v>
      </c>
      <c r="N12" s="1">
        <f>VLOOKUP($B12, '[1]Imp of scrap'!$B$2:$X$31, $A$1, FALSE)</f>
        <v>3</v>
      </c>
      <c r="O12" s="1">
        <f>VLOOKUP($B12, '[1]Pro of BOF steel'!$B$2:$X$31, $A$1, FALSE)</f>
        <v>2150</v>
      </c>
      <c r="P12" s="1">
        <f>VLOOKUP($B12, '[1]Pro of OHF steel'!$B$2:$X$31, $A$1, FALSE)</f>
        <v>0</v>
      </c>
      <c r="Q12" s="1">
        <f>VLOOKUP($B12, '[1]Pro of EAF steel'!$B$2:$X$31, $A$1, FALSE)</f>
        <v>9845</v>
      </c>
      <c r="R12" s="1">
        <f>VLOOKUP($B12, '[1]Exp of ingots and semis'!$B$2:$X$31, $A$1, FALSE)</f>
        <v>66</v>
      </c>
      <c r="S12" s="1">
        <f>VLOOKUP($B12, '[1]Imp of ingots and semis'!$B$2:$X$31, $A$1, FALSE)</f>
        <v>3151</v>
      </c>
      <c r="T12" s="1">
        <f>VLOOKUP($B12, '[1]Pro of hr long'!$B$2:$X$31, $A$1, FALSE)+VLOOKUP($B12, '[1]Pro of seamless tubes'!$B$2:$X$31, $A$1, FALSE)</f>
        <v>8460</v>
      </c>
      <c r="U12" s="1">
        <f>VLOOKUP($B12, '[1]Exp of long'!$B$2:$X$31, $A$1, FALSE)</f>
        <v>0</v>
      </c>
      <c r="V12" s="1">
        <f>VLOOKUP($B12, '[1]Imp of long'!$B$2:$X$31, $A$1, FALSE)</f>
        <v>1875</v>
      </c>
      <c r="W12" s="1">
        <f>VLOOKUP($B12, '[1]Pro of hr flat'!$B$2:$X$31, $A$1, FALSE)*parameters!$B$8</f>
        <v>6737.7027027027025</v>
      </c>
      <c r="X12" s="1">
        <f>VLOOKUP($B12, '[1]Exp of flat'!$B$2:$X$31, $A$1, FALSE)</f>
        <v>0</v>
      </c>
      <c r="Y12" s="1">
        <f>VLOOKUP($B12, '[1]Imp of flat'!$B$2:$X$31, $A$1, FALSE)</f>
        <v>3709</v>
      </c>
      <c r="Z12" s="1">
        <f>VLOOKUP($B12, '[1]Indirect exp'!$B$2:$X$31, $A$1, FALSE)</f>
        <v>40</v>
      </c>
      <c r="AA12" s="1">
        <f>VLOOKUP($B12, '[1]Indirect imp'!$B$2:$X$31, $A$1, FALSE)</f>
        <v>1793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8555</v>
      </c>
      <c r="H13" s="1">
        <f>VLOOKUP($B13, '[1]Exp of pig iron'!$B$2:$X$31, $A$1, FALSE)</f>
        <v>38</v>
      </c>
      <c r="I13" s="1">
        <f>VLOOKUP($B13, '[1]Imp of pig iron'!$B$2:$X$31, $A$1, FALSE)</f>
        <v>992</v>
      </c>
      <c r="J13" s="1">
        <f>VLOOKUP($B13, '[1]Pro of DRI'!$B$2:$X$31, $A$1, FALSE)</f>
        <v>0</v>
      </c>
      <c r="K13" s="1">
        <f>VLOOKUP($B13, '[1]Exp of DRI'!$B$2:$X$31, $A$1, FALSE)</f>
        <v>0</v>
      </c>
      <c r="L13" s="1">
        <f>VLOOKUP($B13, '[1]Imp of DRI'!$B$2:$X$31, $A$1, FALSE)</f>
        <v>241</v>
      </c>
      <c r="M13" s="1">
        <f>VLOOKUP($B13, '[1]Exp of scrap'!$B$2:$X$31, $A$1, FALSE)</f>
        <v>422</v>
      </c>
      <c r="N13" s="1">
        <f>VLOOKUP($B13, '[1]Imp of scrap'!$B$2:$X$31, $A$1, FALSE)</f>
        <v>4591</v>
      </c>
      <c r="O13" s="1">
        <f>VLOOKUP($B13, '[1]Pro of BOF steel'!$B$2:$X$31, $A$1, FALSE)</f>
        <v>8587</v>
      </c>
      <c r="P13" s="1">
        <f>VLOOKUP($B13, '[1]Pro of OHF steel'!$B$2:$X$31, $A$1, FALSE)</f>
        <v>0</v>
      </c>
      <c r="Q13" s="1">
        <f>VLOOKUP($B13, '[1]Pro of EAF steel'!$B$2:$X$31, $A$1, FALSE)</f>
        <v>17163</v>
      </c>
      <c r="R13" s="1">
        <f>VLOOKUP($B13, '[1]Exp of ingots and semis'!$B$2:$X$31, $A$1, FALSE)</f>
        <v>908</v>
      </c>
      <c r="S13" s="1">
        <f>VLOOKUP($B13, '[1]Imp of ingots and semis'!$B$2:$X$31, $A$1, FALSE)</f>
        <v>3567</v>
      </c>
      <c r="T13" s="1">
        <f>VLOOKUP($B13, '[1]Pro of hr long'!$B$2:$X$31, $A$1, FALSE)+VLOOKUP($B13, '[1]Pro of seamless tubes'!$B$2:$X$31, $A$1, FALSE)</f>
        <v>12749</v>
      </c>
      <c r="U13" s="1">
        <f>VLOOKUP($B13, '[1]Exp of long'!$B$2:$X$31, $A$1, FALSE)</f>
        <v>4275</v>
      </c>
      <c r="V13" s="1">
        <f>VLOOKUP($B13, '[1]Imp of long'!$B$2:$X$31, $A$1, FALSE)</f>
        <v>2540</v>
      </c>
      <c r="W13" s="1">
        <f>VLOOKUP($B13, '[1]Pro of hr flat'!$B$2:$X$31, $A$1, FALSE)*parameters!$B$8</f>
        <v>12251.251778093883</v>
      </c>
      <c r="X13" s="1">
        <f>VLOOKUP($B13, '[1]Exp of flat'!$B$2:$X$31, $A$1, FALSE)</f>
        <v>6744</v>
      </c>
      <c r="Y13" s="1">
        <f>VLOOKUP($B13, '[1]Imp of flat'!$B$2:$X$31, $A$1, FALSE)</f>
        <v>9402</v>
      </c>
      <c r="Z13" s="1">
        <f>VLOOKUP($B13, '[1]Indirect exp'!$B$2:$X$31, $A$1, FALSE)</f>
        <v>12047</v>
      </c>
      <c r="AA13" s="1">
        <f>VLOOKUP($B13, '[1]Indirect imp'!$B$2:$X$31, $A$1, FALSE)</f>
        <v>9003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63773</v>
      </c>
      <c r="D14" s="1">
        <f>VLOOKUP($B14, '[1]Pro of iron ore'!$B$2:$X$31, $A$1, FALSE)*(1-VLOOKUP($B14, '[1]Foundry share'!$B$2:$X$31, $A$1, FALSE))</f>
        <v>38600</v>
      </c>
      <c r="E14" s="47">
        <f>VLOOKUP($B14, '[1]Iron content'!$B$2:$X$31, $A$1, FALSE)</f>
        <v>0.60527182349897291</v>
      </c>
      <c r="F14" s="1">
        <f>VLOOKUP($B14, '[1]Exp of usable iron ore'!$B$2:$X$31, $A$1, FALSE)*parameters!$B$12</f>
        <v>21282.3</v>
      </c>
      <c r="G14" s="1">
        <f>VLOOKUP($B14, '[1]Pro of pig iron'!$B$2:$X$31, $A$1, FALSE)*(1-VLOOKUP($B14, '[1]Foundry share'!$B$2:$X$31, $A$1, FALSE))</f>
        <v>27349</v>
      </c>
      <c r="H14" s="1">
        <f>VLOOKUP($B14, '[1]Exp of pig iron'!$B$2:$X$31, $A$1, FALSE)</f>
        <v>1481</v>
      </c>
      <c r="I14" s="1">
        <f>VLOOKUP($B14, '[1]Imp of pig iron'!$B$2:$X$31, $A$1, FALSE)</f>
        <v>65</v>
      </c>
      <c r="J14" s="1">
        <f>VLOOKUP($B14, '[1]Pro of DRI'!$B$2:$X$31, $A$1, FALSE)</f>
        <v>0</v>
      </c>
      <c r="K14" s="1">
        <f>VLOOKUP($B14, '[1]Exp of DRI'!$B$2:$X$31, $A$1, FALSE)</f>
        <v>0</v>
      </c>
      <c r="L14" s="1">
        <f>VLOOKUP($B14, '[1]Imp of DRI'!$B$2:$X$31, $A$1, FALSE)</f>
        <v>346</v>
      </c>
      <c r="M14" s="1">
        <f>VLOOKUP($B14, '[1]Exp of scrap'!$B$2:$X$31, $A$1, FALSE)</f>
        <v>665</v>
      </c>
      <c r="N14" s="1">
        <f>VLOOKUP($B14, '[1]Imp of scrap'!$B$2:$X$31, $A$1, FALSE)</f>
        <v>10</v>
      </c>
      <c r="O14" s="1">
        <f>VLOOKUP($B14, '[1]Pro of BOF steel'!$B$2:$X$31, $A$1, FALSE)</f>
        <v>23200</v>
      </c>
      <c r="P14" s="1">
        <f>VLOOKUP($B14, '[1]Pro of OHF steel'!$B$2:$X$31, $A$1, FALSE)</f>
        <v>8730</v>
      </c>
      <c r="Q14" s="1">
        <f>VLOOKUP($B14, '[1]Pro of EAF steel'!$B$2:$X$31, $A$1, FALSE)</f>
        <v>1500</v>
      </c>
      <c r="R14" s="1">
        <f>VLOOKUP($B14, '[1]Exp of ingots and semis'!$B$2:$X$31, $A$1, FALSE)</f>
        <v>11430</v>
      </c>
      <c r="S14" s="1">
        <f>VLOOKUP($B14, '[1]Imp of ingots and semis'!$B$2:$X$31, $A$1, FALSE)</f>
        <v>493</v>
      </c>
      <c r="T14" s="1">
        <f>VLOOKUP($B14, '[1]Pro of hr long'!$B$2:$X$31, $A$1, FALSE)+VLOOKUP($B14, '[1]Pro of seamless tubes'!$B$2:$X$31, $A$1, FALSE)</f>
        <v>8607</v>
      </c>
      <c r="U14" s="1">
        <f>VLOOKUP($B14, '[1]Exp of long'!$B$2:$X$31, $A$1, FALSE)</f>
        <v>5909</v>
      </c>
      <c r="V14" s="1">
        <f>VLOOKUP($B14, '[1]Imp of long'!$B$2:$X$31, $A$1, FALSE)</f>
        <v>402</v>
      </c>
      <c r="W14" s="1">
        <f>VLOOKUP($B14, '[1]Pro of hr flat'!$B$2:$X$31, $A$1, FALSE)*parameters!$B$8</f>
        <v>8931.46372688478</v>
      </c>
      <c r="X14" s="1">
        <f>VLOOKUP($B14, '[1]Exp of flat'!$B$2:$X$31, $A$1, FALSE)</f>
        <v>6565</v>
      </c>
      <c r="Y14" s="1">
        <f>VLOOKUP($B14, '[1]Imp of flat'!$B$2:$X$31, $A$1, FALSE)</f>
        <v>830</v>
      </c>
      <c r="Z14" s="1">
        <f>VLOOKUP($B14, '[1]Indirect exp'!$B$2:$X$31, $A$1, FALSE)</f>
        <v>1945</v>
      </c>
      <c r="AA14" s="1">
        <f>VLOOKUP($B14, '[1]Indirect imp'!$B$2:$X$31, $A$1, FALSE)</f>
        <v>1406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13998</v>
      </c>
      <c r="D15" s="1">
        <f>VLOOKUP($B15, '[1]Pro of iron ore'!$B$2:$X$31, $A$1, FALSE)*(1-VLOOKUP($B15, '[1]Foundry share'!$B$2:$X$31, $A$1, FALSE))</f>
        <v>8750</v>
      </c>
      <c r="E15" s="47">
        <f>VLOOKUP($B15, '[1]Iron content'!$B$2:$X$31, $A$1, FALSE)</f>
        <v>0.6250892984712102</v>
      </c>
      <c r="F15" s="1">
        <f>VLOOKUP($B15, '[1]Exp of usable iron ore'!$B$2:$X$31, $A$1, FALSE)*parameters!$B$12</f>
        <v>2479.75</v>
      </c>
      <c r="G15" s="1">
        <f>VLOOKUP($B15, '[1]Pro of pig iron'!$B$2:$X$31, $A$1, FALSE)*(1-VLOOKUP($B15, '[1]Foundry share'!$B$2:$X$31, $A$1, FALSE))</f>
        <v>4707</v>
      </c>
      <c r="H15" s="1">
        <f>VLOOKUP($B15, '[1]Exp of pig iron'!$B$2:$X$31, $A$1, FALSE)</f>
        <v>0</v>
      </c>
      <c r="I15" s="1">
        <f>VLOOKUP($B15, '[1]Imp of pig iron'!$B$2:$X$31, $A$1, FALSE)</f>
        <v>168</v>
      </c>
      <c r="J15" s="1">
        <f>VLOOKUP($B15, '[1]Pro of DRI'!$B$2:$X$31, $A$1, FALSE)</f>
        <v>5368</v>
      </c>
      <c r="K15" s="1">
        <f>VLOOKUP($B15, '[1]Exp of DRI'!$B$2:$X$31, $A$1, FALSE)</f>
        <v>0</v>
      </c>
      <c r="L15" s="1">
        <f>VLOOKUP($B15, '[1]Imp of DRI'!$B$2:$X$31, $A$1, FALSE)</f>
        <v>0</v>
      </c>
      <c r="M15" s="1">
        <f>VLOOKUP($B15, '[1]Exp of scrap'!$B$2:$X$31, $A$1, FALSE)</f>
        <v>1014</v>
      </c>
      <c r="N15" s="1">
        <f>VLOOKUP($B15, '[1]Imp of scrap'!$B$2:$X$31, $A$1, FALSE)</f>
        <v>934</v>
      </c>
      <c r="O15" s="1">
        <f>VLOOKUP($B15, '[1]Pro of BOF steel'!$B$2:$X$31, $A$1, FALSE)</f>
        <v>5155</v>
      </c>
      <c r="P15" s="1">
        <f>VLOOKUP($B15, '[1]Pro of OHF steel'!$B$2:$X$31, $A$1, FALSE)</f>
        <v>0</v>
      </c>
      <c r="Q15" s="1">
        <f>VLOOKUP($B15, '[1]Pro of EAF steel'!$B$2:$X$31, $A$1, FALSE)</f>
        <v>11715</v>
      </c>
      <c r="R15" s="1">
        <f>VLOOKUP($B15, '[1]Exp of ingots and semis'!$B$2:$X$31, $A$1, FALSE)</f>
        <v>1749</v>
      </c>
      <c r="S15" s="1">
        <f>VLOOKUP($B15, '[1]Imp of ingots and semis'!$B$2:$X$31, $A$1, FALSE)</f>
        <v>319</v>
      </c>
      <c r="T15" s="1">
        <f>VLOOKUP($B15, '[1]Pro of hr long'!$B$2:$X$31, $A$1, FALSE)+VLOOKUP($B15, '[1]Pro of seamless tubes'!$B$2:$X$31, $A$1, FALSE)</f>
        <v>7441</v>
      </c>
      <c r="U15" s="1">
        <f>VLOOKUP($B15, '[1]Exp of long'!$B$2:$X$31, $A$1, FALSE)</f>
        <v>1237</v>
      </c>
      <c r="V15" s="1">
        <f>VLOOKUP($B15, '[1]Imp of long'!$B$2:$X$31, $A$1, FALSE)</f>
        <v>1152</v>
      </c>
      <c r="W15" s="1">
        <f>VLOOKUP($B15, '[1]Pro of hr flat'!$B$2:$X$31, $A$1, FALSE)*parameters!$B$8</f>
        <v>7158.384068278805</v>
      </c>
      <c r="X15" s="1">
        <f>VLOOKUP($B15, '[1]Exp of flat'!$B$2:$X$31, $A$1, FALSE)</f>
        <v>1358</v>
      </c>
      <c r="Y15" s="1">
        <f>VLOOKUP($B15, '[1]Imp of flat'!$B$2:$X$31, $A$1, FALSE)</f>
        <v>4714</v>
      </c>
      <c r="Z15" s="1">
        <f>VLOOKUP($B15, '[1]Indirect exp'!$B$2:$X$31, $A$1, FALSE)</f>
        <v>8523</v>
      </c>
      <c r="AA15" s="1">
        <f>VLOOKUP($B15, '[1]Indirect imp'!$B$2:$X$31, $A$1, FALSE)</f>
        <v>7336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3721</v>
      </c>
      <c r="D16" s="1">
        <f>VLOOKUP($B16, '[1]Pro of iron ore'!$B$2:$X$31, $A$1, FALSE)*(1-VLOOKUP($B16, '[1]Foundry share'!$B$2:$X$31, $A$1, FALSE))</f>
        <v>1970</v>
      </c>
      <c r="E16" s="47">
        <f>VLOOKUP($B16, '[1]Iron content'!$B$2:$X$31, $A$1, FALSE)</f>
        <v>0.52942757323300194</v>
      </c>
      <c r="F16" s="1">
        <f>VLOOKUP($B16, '[1]Exp of usable iron ore'!$B$2:$X$31, $A$1, FALSE)*parameters!$B$12</f>
        <v>1235</v>
      </c>
      <c r="G16" s="1">
        <f>VLOOKUP($B16, '[1]Pro of pig iron'!$B$2:$X$31, $A$1, FALSE)*(1-VLOOKUP($B16, '[1]Foundry share'!$B$2:$X$31, $A$1, FALSE))</f>
        <v>500</v>
      </c>
      <c r="H16" s="1">
        <f>VLOOKUP($B16, '[1]Exp of pig iron'!$B$2:$X$31, $A$1, FALSE)</f>
        <v>58</v>
      </c>
      <c r="I16" s="1">
        <f>VLOOKUP($B16, '[1]Imp of pig iron'!$B$2:$X$31, $A$1, FALSE)</f>
        <v>35</v>
      </c>
      <c r="J16" s="1">
        <f>VLOOKUP($B16, '[1]Pro of DRI'!$B$2:$X$31, $A$1, FALSE)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1889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4314</v>
      </c>
      <c r="R16" s="1">
        <f>VLOOKUP($B16, '[1]Exp of ingots and semis'!$B$2:$X$31, $A$1, FALSE)</f>
        <v>1</v>
      </c>
      <c r="S16" s="1">
        <f>VLOOKUP($B16, '[1]Imp of ingots and semis'!$B$2:$X$31, $A$1, FALSE)</f>
        <v>1942</v>
      </c>
      <c r="T16" s="1">
        <f>VLOOKUP($B16, '[1]Pro of hr long'!$B$2:$X$31, $A$1, FALSE)+VLOOKUP($B16, '[1]Pro of seamless tubes'!$B$2:$X$31, $A$1, FALSE)</f>
        <v>5659</v>
      </c>
      <c r="U16" s="1">
        <f>VLOOKUP($B16, '[1]Exp of long'!$B$2:$X$31, $A$1, FALSE)</f>
        <v>0</v>
      </c>
      <c r="V16" s="1">
        <f>VLOOKUP($B16, '[1]Imp of long'!$B$2:$X$31, $A$1, FALSE)</f>
        <v>1248</v>
      </c>
      <c r="W16" s="1">
        <f>VLOOKUP($B16, '[1]Pro of hr flat'!$B$2:$X$31, $A$1, FALSE)*parameters!$B$8</f>
        <v>0</v>
      </c>
      <c r="X16" s="1">
        <f>VLOOKUP($B16, '[1]Exp of flat'!$B$2:$X$31, $A$1, FALSE)</f>
        <v>0</v>
      </c>
      <c r="Y16" s="1">
        <f>VLOOKUP($B16, '[1]Imp of flat'!$B$2:$X$31, $A$1, FALSE)</f>
        <v>5668</v>
      </c>
      <c r="Z16" s="1">
        <f>VLOOKUP($B16, '[1]Indirect exp'!$B$2:$X$31, $A$1, FALSE)</f>
        <v>468</v>
      </c>
      <c r="AA16" s="1">
        <f>VLOOKUP($B16, '[1]Indirect imp'!$B$2:$X$31, $A$1, FALSE)</f>
        <v>1141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12.35</v>
      </c>
      <c r="G17" s="1">
        <f>VLOOKUP($B17, '[1]Pro of pig iron'!$B$2:$X$31, $A$1, FALSE)*(1-VLOOKUP($B17, '[1]Foundry share'!$B$2:$X$31, $A$1, FALSE))</f>
        <v>10137</v>
      </c>
      <c r="H17" s="1">
        <f>VLOOKUP($B17, '[1]Exp of pig iron'!$B$2:$X$31, $A$1, FALSE)</f>
        <v>52</v>
      </c>
      <c r="I17" s="1">
        <f>VLOOKUP($B17, '[1]Imp of pig iron'!$B$2:$X$31, $A$1, FALSE)</f>
        <v>133</v>
      </c>
      <c r="J17" s="1">
        <f>VLOOKUP($B17, '[1]Pro of DRI'!$B$2:$X$31, $A$1, FALSE)</f>
        <v>0</v>
      </c>
      <c r="K17" s="1">
        <f>VLOOKUP($B17, '[1]Exp of DRI'!$B$2:$X$31, $A$1, FALSE)</f>
        <v>15</v>
      </c>
      <c r="L17" s="1">
        <f>VLOOKUP($B17, '[1]Imp of DRI'!$B$2:$X$31, $A$1, FALSE)</f>
        <v>47</v>
      </c>
      <c r="M17" s="1">
        <f>VLOOKUP($B17, '[1]Exp of scrap'!$B$2:$X$31, $A$1, FALSE)</f>
        <v>6683</v>
      </c>
      <c r="N17" s="1">
        <f>VLOOKUP($B17, '[1]Imp of scrap'!$B$2:$X$31, $A$1, FALSE)</f>
        <v>2416</v>
      </c>
      <c r="O17" s="1">
        <f>VLOOKUP($B17, '[1]Pro of BOF steel'!$B$2:$X$31, $A$1, FALSE)</f>
        <v>9813</v>
      </c>
      <c r="P17" s="1">
        <f>VLOOKUP($B17, '[1]Pro of OHF steel'!$B$2:$X$31, $A$1, FALSE)</f>
        <v>0</v>
      </c>
      <c r="Q17" s="1">
        <f>VLOOKUP($B17, '[1]Pro of EAF steel'!$B$2:$X$31, $A$1, FALSE)</f>
        <v>5601</v>
      </c>
      <c r="R17" s="1">
        <f>VLOOKUP($B17, '[1]Exp of ingots and semis'!$B$2:$X$31, $A$1, FALSE)</f>
        <v>1794</v>
      </c>
      <c r="S17" s="1">
        <f>VLOOKUP($B17, '[1]Imp of ingots and semis'!$B$2:$X$31, $A$1, FALSE)</f>
        <v>1792</v>
      </c>
      <c r="T17" s="1">
        <f>VLOOKUP($B17, '[1]Pro of hr long'!$B$2:$X$31, $A$1, FALSE)+VLOOKUP($B17, '[1]Pro of seamless tubes'!$B$2:$X$31, $A$1, FALSE)</f>
        <v>4042</v>
      </c>
      <c r="U17" s="1">
        <f>VLOOKUP($B17, '[1]Exp of long'!$B$2:$X$31, $A$1, FALSE)</f>
        <v>2346</v>
      </c>
      <c r="V17" s="1">
        <f>VLOOKUP($B17, '[1]Imp of long'!$B$2:$X$31, $A$1, FALSE)</f>
        <v>3193</v>
      </c>
      <c r="W17" s="1">
        <f>VLOOKUP($B17, '[1]Pro of hr flat'!$B$2:$X$31, $A$1, FALSE)*parameters!$B$8</f>
        <v>9416.2674253200566</v>
      </c>
      <c r="X17" s="1">
        <f>VLOOKUP($B17, '[1]Exp of flat'!$B$2:$X$31, $A$1, FALSE)</f>
        <v>8937</v>
      </c>
      <c r="Y17" s="1">
        <f>VLOOKUP($B17, '[1]Imp of flat'!$B$2:$X$31, $A$1, FALSE)</f>
        <v>7900</v>
      </c>
      <c r="Z17" s="1">
        <f>VLOOKUP($B17, '[1]Indirect exp'!$B$2:$X$31, $A$1, FALSE)</f>
        <v>8609</v>
      </c>
      <c r="AA17" s="1">
        <f>VLOOKUP($B17, '[1]Indirect imp'!$B$2:$X$31, $A$1, FALSE)</f>
        <v>11513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3572</v>
      </c>
      <c r="H18" s="1">
        <f>VLOOKUP($B18, '[1]Exp of pig iron'!$B$2:$X$31, $A$1, FALSE)</f>
        <v>3</v>
      </c>
      <c r="I18" s="1">
        <f>VLOOKUP($B18, '[1]Imp of pig iron'!$B$2:$X$31, $A$1, FALSE)</f>
        <v>443</v>
      </c>
      <c r="J18" s="1">
        <f>VLOOKUP($B18, '[1]Pro of DRI'!$B$2:$X$31, $A$1, FALSE)</f>
        <v>0</v>
      </c>
      <c r="K18" s="1">
        <f>VLOOKUP($B18, '[1]Exp of DRI'!$B$2:$X$31, $A$1, FALSE)</f>
        <v>2</v>
      </c>
      <c r="L18" s="1">
        <f>VLOOKUP($B18, '[1]Imp of DRI'!$B$2:$X$31, $A$1, FALSE)</f>
        <v>578</v>
      </c>
      <c r="M18" s="1">
        <f>VLOOKUP($B18, '[1]Exp of scrap'!$B$2:$X$31, $A$1, FALSE)</f>
        <v>277</v>
      </c>
      <c r="N18" s="1">
        <f>VLOOKUP($B18, '[1]Imp of scrap'!$B$2:$X$31, $A$1, FALSE)</f>
        <v>5712</v>
      </c>
      <c r="O18" s="1">
        <f>VLOOKUP($B18, '[1]Pro of BOF steel'!$B$2:$X$31, $A$1, FALSE)</f>
        <v>3840</v>
      </c>
      <c r="P18" s="1">
        <f>VLOOKUP($B18, '[1]Pro of OHF steel'!$B$2:$X$31, $A$1, FALSE)</f>
        <v>0</v>
      </c>
      <c r="Q18" s="1">
        <f>VLOOKUP($B18, '[1]Pro of EAF steel'!$B$2:$X$31, $A$1, FALSE)</f>
        <v>12503</v>
      </c>
      <c r="R18" s="1">
        <f>VLOOKUP($B18, '[1]Exp of ingots and semis'!$B$2:$X$31, $A$1, FALSE)</f>
        <v>338</v>
      </c>
      <c r="S18" s="1">
        <f>VLOOKUP($B18, '[1]Imp of ingots and semis'!$B$2:$X$31, $A$1, FALSE)</f>
        <v>940</v>
      </c>
      <c r="T18" s="1">
        <f>VLOOKUP($B18, '[1]Pro of hr long'!$B$2:$X$31, $A$1, FALSE)+VLOOKUP($B18, '[1]Pro of seamless tubes'!$B$2:$X$31, $A$1, FALSE)</f>
        <v>10403</v>
      </c>
      <c r="U18" s="1">
        <f>VLOOKUP($B18, '[1]Exp of long'!$B$2:$X$31, $A$1, FALSE)</f>
        <v>5959</v>
      </c>
      <c r="V18" s="1">
        <f>VLOOKUP($B18, '[1]Imp of long'!$B$2:$X$31, $A$1, FALSE)</f>
        <v>1212</v>
      </c>
      <c r="W18" s="1">
        <f>VLOOKUP($B18, '[1]Pro of hr flat'!$B$2:$X$31, $A$1, FALSE)*parameters!$B$8</f>
        <v>4962.6799431009958</v>
      </c>
      <c r="X18" s="1">
        <f>VLOOKUP($B18, '[1]Exp of flat'!$B$2:$X$31, $A$1, FALSE)</f>
        <v>2767</v>
      </c>
      <c r="Y18" s="1">
        <f>VLOOKUP($B18, '[1]Imp of flat'!$B$2:$X$31, $A$1, FALSE)</f>
        <v>5949</v>
      </c>
      <c r="Z18" s="1">
        <f>VLOOKUP($B18, '[1]Indirect exp'!$B$2:$X$31, $A$1, FALSE)</f>
        <v>8068</v>
      </c>
      <c r="AA18" s="1">
        <f>VLOOKUP($B18, '[1]Indirect imp'!$B$2:$X$31, $A$1, FALSE)</f>
        <v>6929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36178</v>
      </c>
      <c r="D19" s="1">
        <f>VLOOKUP($B19, '[1]Pro of iron ore'!$B$2:$X$31, $A$1, FALSE)*(1-VLOOKUP($B19, '[1]Foundry share'!$B$2:$X$31, $A$1, FALSE))</f>
        <v>23300</v>
      </c>
      <c r="E19" s="47">
        <f>VLOOKUP($B19, '[1]Iron content'!$B$2:$X$31, $A$1, FALSE)</f>
        <v>0.64403781303554641</v>
      </c>
      <c r="F19" s="1">
        <f>VLOOKUP($B19, '[1]Exp of usable iron ore'!$B$2:$X$31, $A$1, FALSE)*parameters!$B$12</f>
        <v>21113.95</v>
      </c>
      <c r="G19" s="1">
        <f>VLOOKUP($B19, '[1]Pro of pig iron'!$B$2:$X$31, $A$1, FALSE)*(1-VLOOKUP($B19, '[1]Foundry share'!$B$2:$X$31, $A$1, FALSE))</f>
        <v>7666</v>
      </c>
      <c r="H19" s="1">
        <f>VLOOKUP($B19, '[1]Exp of pig iron'!$B$2:$X$31, $A$1, FALSE)</f>
        <v>142</v>
      </c>
      <c r="I19" s="1">
        <f>VLOOKUP($B19, '[1]Imp of pig iron'!$B$2:$X$31, $A$1, FALSE)</f>
        <v>23</v>
      </c>
      <c r="J19" s="1">
        <f>VLOOKUP($B19, '[1]Pro of DRI'!$B$2:$X$31, $A$1, FALSE)</f>
        <v>600</v>
      </c>
      <c r="K19" s="1">
        <f>VLOOKUP($B19, '[1]Exp of DRI'!$B$2:$X$31, $A$1, FALSE)</f>
        <v>0</v>
      </c>
      <c r="L19" s="1">
        <f>VLOOKUP($B19, '[1]Imp of DRI'!$B$2:$X$31, $A$1, FALSE)</f>
        <v>417</v>
      </c>
      <c r="M19" s="1">
        <f>VLOOKUP($B19, '[1]Exp of scrap'!$B$2:$X$31, $A$1, FALSE)</f>
        <v>5191</v>
      </c>
      <c r="N19" s="1">
        <f>VLOOKUP($B19, '[1]Imp of scrap'!$B$2:$X$31, $A$1, FALSE)</f>
        <v>3049</v>
      </c>
      <c r="O19" s="1">
        <f>VLOOKUP($B19, '[1]Pro of BOF steel'!$B$2:$X$31, $A$1, FALSE)</f>
        <v>7655</v>
      </c>
      <c r="P19" s="1">
        <f>VLOOKUP($B19, '[1]Pro of OHF steel'!$B$2:$X$31, $A$1, FALSE)</f>
        <v>0</v>
      </c>
      <c r="Q19" s="1">
        <f>VLOOKUP($B19, '[1]Pro of EAF steel'!$B$2:$X$31, $A$1, FALSE)</f>
        <v>5355</v>
      </c>
      <c r="R19" s="1">
        <f>VLOOKUP($B19, '[1]Exp of ingots and semis'!$B$2:$X$31, $A$1, FALSE)</f>
        <v>1795</v>
      </c>
      <c r="S19" s="1">
        <f>VLOOKUP($B19, '[1]Imp of ingots and semis'!$B$2:$X$31, $A$1, FALSE)</f>
        <v>657</v>
      </c>
      <c r="T19" s="1">
        <f>VLOOKUP($B19, '[1]Pro of hr long'!$B$2:$X$31, $A$1, FALSE)+VLOOKUP($B19, '[1]Pro of seamless tubes'!$B$2:$X$31, $A$1, FALSE)</f>
        <v>2524</v>
      </c>
      <c r="U19" s="1">
        <f>VLOOKUP($B19, '[1]Exp of long'!$B$2:$X$31, $A$1, FALSE)</f>
        <v>1383</v>
      </c>
      <c r="V19" s="1">
        <f>VLOOKUP($B19, '[1]Imp of long'!$B$2:$X$31, $A$1, FALSE)</f>
        <v>2605</v>
      </c>
      <c r="W19" s="1">
        <f>VLOOKUP($B19, '[1]Pro of hr flat'!$B$2:$X$31, $A$1, FALSE)*parameters!$B$8</f>
        <v>8120.2190611664291</v>
      </c>
      <c r="X19" s="1">
        <f>VLOOKUP($B19, '[1]Exp of flat'!$B$2:$X$31, $A$1, FALSE)</f>
        <v>2855</v>
      </c>
      <c r="Y19" s="1">
        <f>VLOOKUP($B19, '[1]Imp of flat'!$B$2:$X$31, $A$1, FALSE)</f>
        <v>4258</v>
      </c>
      <c r="Z19" s="1">
        <f>VLOOKUP($B19, '[1]Indirect exp'!$B$2:$X$31, $A$1, FALSE)</f>
        <v>4836</v>
      </c>
      <c r="AA19" s="1">
        <f>VLOOKUP($B19, '[1]Indirect imp'!$B$2:$X$31, $A$1, FALSE)</f>
        <v>10712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4600</v>
      </c>
      <c r="D20" s="1">
        <f>VLOOKUP($B20, '[1]Pro of iron ore'!$B$2:$X$31, $A$1, FALSE)*(1-VLOOKUP($B20, '[1]Foundry share'!$B$2:$X$31, $A$1, FALSE))</f>
        <v>2830</v>
      </c>
      <c r="E20" s="47">
        <f>VLOOKUP($B20, '[1]Iron content'!$B$2:$X$31, $A$1, FALSE)</f>
        <v>0.61521739130434783</v>
      </c>
      <c r="F20" s="1">
        <f>VLOOKUP($B20, '[1]Exp of usable iron ore'!$B$2:$X$31, $A$1, FALSE)*parameters!$B$12</f>
        <v>5626.4000000000005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117</v>
      </c>
      <c r="I20" s="1">
        <f>VLOOKUP($B20, '[1]Imp of pig iron'!$B$2:$X$31, $A$1, FALSE)</f>
        <v>47</v>
      </c>
      <c r="J20" s="1">
        <f>VLOOKUP($B20, '[1]Pro of DRI'!$B$2:$X$31, $A$1, FALSE)</f>
        <v>1274</v>
      </c>
      <c r="K20" s="1">
        <f>VLOOKUP($B20, '[1]Exp of DRI'!$B$2:$X$31, $A$1, FALSE)</f>
        <v>1</v>
      </c>
      <c r="L20" s="1">
        <f>VLOOKUP($B20, '[1]Imp of DRI'!$B$2:$X$31, $A$1, FALSE)</f>
        <v>156</v>
      </c>
      <c r="M20" s="1">
        <f>VLOOKUP($B20, '[1]Exp of scrap'!$B$2:$X$31, $A$1, FALSE)</f>
        <v>40</v>
      </c>
      <c r="N20" s="1">
        <f>VLOOKUP($B20, '[1]Imp of scrap'!$B$2:$X$31, $A$1, FALSE)</f>
        <v>1644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3664</v>
      </c>
      <c r="R20" s="1">
        <f>VLOOKUP($B20, '[1]Exp of ingots and semis'!$B$2:$X$31, $A$1, FALSE)</f>
        <v>13</v>
      </c>
      <c r="S20" s="1">
        <f>VLOOKUP($B20, '[1]Imp of ingots and semis'!$B$2:$X$31, $A$1, FALSE)</f>
        <v>2414</v>
      </c>
      <c r="T20" s="1">
        <f>VLOOKUP($B20, '[1]Pro of hr long'!$B$2:$X$31, $A$1, FALSE)+VLOOKUP($B20, '[1]Pro of seamless tubes'!$B$2:$X$31, $A$1, FALSE)</f>
        <v>2804</v>
      </c>
      <c r="U20" s="1">
        <f>VLOOKUP($B20, '[1]Exp of long'!$B$2:$X$31, $A$1, FALSE)</f>
        <v>188</v>
      </c>
      <c r="V20" s="1">
        <f>VLOOKUP($B20, '[1]Imp of long'!$B$2:$X$31, $A$1, FALSE)</f>
        <v>1128</v>
      </c>
      <c r="W20" s="1">
        <f>VLOOKUP($B20, '[1]Pro of hr flat'!$B$2:$X$31, $A$1, FALSE)*parameters!$B$8</f>
        <v>2338.5220483641538</v>
      </c>
      <c r="X20" s="1">
        <f>VLOOKUP($B20, '[1]Exp of flat'!$B$2:$X$31, $A$1, FALSE)</f>
        <v>539</v>
      </c>
      <c r="Y20" s="1">
        <f>VLOOKUP($B20, '[1]Imp of flat'!$B$2:$X$31, $A$1, FALSE)</f>
        <v>3261</v>
      </c>
      <c r="Z20" s="1">
        <f>VLOOKUP($B20, '[1]Indirect exp'!$B$2:$X$31, $A$1, FALSE)</f>
        <v>1467</v>
      </c>
      <c r="AA20" s="1">
        <f>VLOOKUP($B20, '[1]Indirect imp'!$B$2:$X$31, $A$1, FALSE)</f>
        <v>4102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3638</v>
      </c>
      <c r="H21" s="1">
        <f>VLOOKUP($B21, '[1]Exp of pig iron'!$B$2:$X$31, $A$1, FALSE)</f>
        <v>0</v>
      </c>
      <c r="I21" s="1">
        <f>VLOOKUP($B21, '[1]Imp of pig iron'!$B$2:$X$31, $A$1, FALSE)</f>
        <v>167</v>
      </c>
      <c r="J21" s="1">
        <f>VLOOKUP($B21, '[1]Pro of DRI'!$B$2:$X$31, $A$1, FALSE)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1283</v>
      </c>
      <c r="N21" s="1">
        <f>VLOOKUP($B21, '[1]Imp of scrap'!$B$2:$X$31, $A$1, FALSE)</f>
        <v>372</v>
      </c>
      <c r="O21" s="1">
        <f>VLOOKUP($B21, '[1]Pro of BOF steel'!$B$2:$X$31, $A$1, FALSE)</f>
        <v>3995</v>
      </c>
      <c r="P21" s="1">
        <f>VLOOKUP($B21, '[1]Pro of OHF steel'!$B$2:$X$31, $A$1, FALSE)</f>
        <v>0</v>
      </c>
      <c r="Q21" s="1">
        <f>VLOOKUP($B21, '[1]Pro of EAF steel'!$B$2:$X$31, $A$1, FALSE)</f>
        <v>3998</v>
      </c>
      <c r="R21" s="1">
        <f>VLOOKUP($B21, '[1]Exp of ingots and semis'!$B$2:$X$31, $A$1, FALSE)</f>
        <v>483</v>
      </c>
      <c r="S21" s="1">
        <f>VLOOKUP($B21, '[1]Imp of ingots and semis'!$B$2:$X$31, $A$1, FALSE)</f>
        <v>119</v>
      </c>
      <c r="T21" s="1">
        <f>VLOOKUP($B21, '[1]Pro of hr long'!$B$2:$X$31, $A$1, FALSE)+VLOOKUP($B21, '[1]Pro of seamless tubes'!$B$2:$X$31, $A$1, FALSE)</f>
        <v>4700</v>
      </c>
      <c r="U21" s="1">
        <f>VLOOKUP($B21, '[1]Exp of long'!$B$2:$X$31, $A$1, FALSE)</f>
        <v>2476</v>
      </c>
      <c r="V21" s="1">
        <f>VLOOKUP($B21, '[1]Imp of long'!$B$2:$X$31, $A$1, FALSE)</f>
        <v>1311</v>
      </c>
      <c r="W21" s="1">
        <f>VLOOKUP($B21, '[1]Pro of hr flat'!$B$2:$X$31, $A$1, FALSE)*parameters!$B$8</f>
        <v>2282.1721194879087</v>
      </c>
      <c r="X21" s="1">
        <f>VLOOKUP($B21, '[1]Exp of flat'!$B$2:$X$31, $A$1, FALSE)</f>
        <v>883</v>
      </c>
      <c r="Y21" s="1">
        <f>VLOOKUP($B21, '[1]Imp of flat'!$B$2:$X$31, $A$1, FALSE)</f>
        <v>4446</v>
      </c>
      <c r="Z21" s="1">
        <f>VLOOKUP($B21, '[1]Indirect exp'!$B$2:$X$31, $A$1, FALSE)</f>
        <v>6799</v>
      </c>
      <c r="AA21" s="1">
        <f>VLOOKUP($B21, '[1]Indirect imp'!$B$2:$X$31, $A$1, FALSE)</f>
        <v>5332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2314</v>
      </c>
      <c r="D22" s="1">
        <f>VLOOKUP($B22, '[1]Pro of iron ore'!$B$2:$X$31, $A$1, FALSE)*(1-VLOOKUP($B22, '[1]Foundry share'!$B$2:$X$31, $A$1, FALSE))</f>
        <v>1660</v>
      </c>
      <c r="E22" s="47">
        <f>VLOOKUP($B22, '[1]Iron content'!$B$2:$X$31, $A$1, FALSE)</f>
        <v>0.71737251512532407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600</v>
      </c>
      <c r="H22" s="1">
        <f>VLOOKUP($B22, '[1]Exp of pig iron'!$B$2:$X$31, $A$1, FALSE)</f>
        <v>0</v>
      </c>
      <c r="I22" s="1">
        <f>VLOOKUP($B22, '[1]Imp of pig iron'!$B$2:$X$31, $A$1, FALSE)</f>
        <v>35</v>
      </c>
      <c r="J22" s="1">
        <f>VLOOKUP($B22, '[1]Pro of DRI'!$B$2:$X$31, $A$1, FALSE)</f>
        <v>2965</v>
      </c>
      <c r="K22" s="1">
        <f>VLOOKUP($B22, '[1]Exp of DRI'!$B$2:$X$31, $A$1, FALSE)</f>
        <v>0</v>
      </c>
      <c r="L22" s="1">
        <f>VLOOKUP($B22, '[1]Imp of DRI'!$B$2:$X$31, $A$1, FALSE)</f>
        <v>158</v>
      </c>
      <c r="M22" s="1">
        <f>VLOOKUP($B22, '[1]Exp of scrap'!$B$2:$X$31, $A$1, FALSE)</f>
        <v>786</v>
      </c>
      <c r="N22" s="1">
        <f>VLOOKUP($B22, '[1]Imp of scrap'!$B$2:$X$31, $A$1, FALSE)</f>
        <v>2736</v>
      </c>
      <c r="O22" s="1">
        <f>VLOOKUP($B22, '[1]Pro of BOF steel'!$B$2:$X$31, $A$1, FALSE)</f>
        <v>600</v>
      </c>
      <c r="P22" s="1">
        <f>VLOOKUP($B22, '[1]Pro of OHF steel'!$B$2:$X$31, $A$1, FALSE)</f>
        <v>0</v>
      </c>
      <c r="Q22" s="1">
        <f>VLOOKUP($B22, '[1]Pro of EAF steel'!$B$2:$X$31, $A$1, FALSE)</f>
        <v>6075</v>
      </c>
      <c r="R22" s="1">
        <f>VLOOKUP($B22, '[1]Exp of ingots and semis'!$B$2:$X$31, $A$1, FALSE)</f>
        <v>16</v>
      </c>
      <c r="S22" s="1">
        <f>VLOOKUP($B22, '[1]Imp of ingots and semis'!$B$2:$X$31, $A$1, FALSE)</f>
        <v>1176</v>
      </c>
      <c r="T22" s="1">
        <f>VLOOKUP($B22, '[1]Pro of hr long'!$B$2:$X$31, $A$1, FALSE)+VLOOKUP($B22, '[1]Pro of seamless tubes'!$B$2:$X$31, $A$1, FALSE)</f>
        <v>6302</v>
      </c>
      <c r="U22" s="1">
        <f>VLOOKUP($B22, '[1]Exp of long'!$B$2:$X$31, $A$1, FALSE)</f>
        <v>379</v>
      </c>
      <c r="V22" s="1">
        <f>VLOOKUP($B22, '[1]Imp of long'!$B$2:$X$31, $A$1, FALSE)</f>
        <v>1015</v>
      </c>
      <c r="W22" s="1">
        <f>VLOOKUP($B22, '[1]Pro of hr flat'!$B$2:$X$31, $A$1, FALSE)*parameters!$B$8</f>
        <v>1590.4281650071123</v>
      </c>
      <c r="X22" s="1">
        <f>VLOOKUP($B22, '[1]Exp of flat'!$B$2:$X$31, $A$1, FALSE)</f>
        <v>776</v>
      </c>
      <c r="Y22" s="1">
        <f>VLOOKUP($B22, '[1]Imp of flat'!$B$2:$X$31, $A$1, FALSE)</f>
        <v>813</v>
      </c>
      <c r="Z22" s="1">
        <f>VLOOKUP($B22, '[1]Indirect exp'!$B$2:$X$31, $A$1, FALSE)</f>
        <v>320</v>
      </c>
      <c r="AA22" s="1">
        <f>VLOOKUP($B22, '[1]Indirect imp'!$B$2:$X$31, $A$1, FALSE)</f>
        <v>1927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9</v>
      </c>
      <c r="J23" s="1">
        <f>VLOOKUP($B23, '[1]Pro of DRI'!$B$2:$X$31, $A$1, FALSE)</f>
        <v>4937</v>
      </c>
      <c r="K23" s="1">
        <f>VLOOKUP($B23, '[1]Exp of DRI'!$B$2:$X$31, $A$1, FALSE)</f>
        <v>42</v>
      </c>
      <c r="L23" s="1">
        <f>VLOOKUP($B23, '[1]Imp of DRI'!$B$2:$X$31, $A$1, FALSE)</f>
        <v>91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5015</v>
      </c>
      <c r="R23" s="1">
        <f>VLOOKUP($B23, '[1]Exp of ingots and semis'!$B$2:$X$31, $A$1, FALSE)</f>
        <v>0</v>
      </c>
      <c r="S23" s="1">
        <f>VLOOKUP($B23, '[1]Imp of ingots and semis'!$B$2:$X$31, $A$1, FALSE)</f>
        <v>1308</v>
      </c>
      <c r="T23" s="1">
        <f>VLOOKUP($B23, '[1]Pro of hr long'!$B$2:$X$31, $A$1, FALSE)+VLOOKUP($B23, '[1]Pro of seamless tubes'!$B$2:$X$31, $A$1, FALSE)</f>
        <v>2630</v>
      </c>
      <c r="U23" s="1">
        <f>VLOOKUP($B23, '[1]Exp of long'!$B$2:$X$31, $A$1, FALSE)</f>
        <v>0</v>
      </c>
      <c r="V23" s="1">
        <f>VLOOKUP($B23, '[1]Imp of long'!$B$2:$X$31, $A$1, FALSE)</f>
        <v>1376</v>
      </c>
      <c r="W23" s="1">
        <f>VLOOKUP($B23, '[1]Pro of hr flat'!$B$2:$X$31, $A$1, FALSE)*parameters!$B$8</f>
        <v>1739.0753911806544</v>
      </c>
      <c r="X23" s="1">
        <f>VLOOKUP($B23, '[1]Exp of flat'!$B$2:$X$31, $A$1, FALSE)</f>
        <v>0</v>
      </c>
      <c r="Y23" s="1">
        <f>VLOOKUP($B23, '[1]Imp of flat'!$B$2:$X$31, $A$1, FALSE)</f>
        <v>1696</v>
      </c>
      <c r="Z23" s="1">
        <f>VLOOKUP($B23, '[1]Indirect exp'!$B$2:$X$31, $A$1, FALSE)</f>
        <v>277</v>
      </c>
      <c r="AA23" s="1">
        <f>VLOOKUP($B23, '[1]Indirect imp'!$B$2:$X$31, $A$1, FALSE)</f>
        <v>2501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2070</v>
      </c>
      <c r="D24" s="1">
        <f>VLOOKUP($B24, '[1]Pro of iron ore'!$B$2:$X$31, $A$1, FALSE)*(1-VLOOKUP($B24, '[1]Foundry share'!$B$2:$X$31, $A$1, FALSE))</f>
        <v>1293</v>
      </c>
      <c r="E24" s="47">
        <f>VLOOKUP($B24, '[1]Iron content'!$B$2:$X$31, $A$1, FALSE)</f>
        <v>0.62463768115942031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5621</v>
      </c>
      <c r="H24" s="1">
        <f>VLOOKUP($B24, '[1]Exp of pig iron'!$B$2:$X$31, $A$1, FALSE)</f>
        <v>4</v>
      </c>
      <c r="I24" s="1">
        <f>VLOOKUP($B24, '[1]Imp of pig iron'!$B$2:$X$31, $A$1, FALSE)</f>
        <v>25</v>
      </c>
      <c r="J24" s="1">
        <f>VLOOKUP($B24, '[1]Pro of DRI'!$B$2:$X$31, $A$1, FALSE)</f>
        <v>0</v>
      </c>
      <c r="K24" s="1">
        <f>VLOOKUP($B24, '[1]Exp of DRI'!$B$2:$X$31, $A$1, FALSE)</f>
        <v>0</v>
      </c>
      <c r="L24" s="1">
        <f>VLOOKUP($B24, '[1]Imp of DRI'!$B$2:$X$31, $A$1, FALSE)</f>
        <v>0</v>
      </c>
      <c r="M24" s="1">
        <f>VLOOKUP($B24, '[1]Exp of scrap'!$B$2:$X$31, $A$1, FALSE)</f>
        <v>969</v>
      </c>
      <c r="N24" s="1">
        <f>VLOOKUP($B24, '[1]Imp of scrap'!$B$2:$X$31, $A$1, FALSE)</f>
        <v>967</v>
      </c>
      <c r="O24" s="1">
        <f>VLOOKUP($B24, '[1]Pro of BOF steel'!$B$2:$X$31, $A$1, FALSE)</f>
        <v>6569</v>
      </c>
      <c r="P24" s="1">
        <f>VLOOKUP($B24, '[1]Pro of OHF steel'!$B$2:$X$31, $A$1, FALSE)</f>
        <v>0</v>
      </c>
      <c r="Q24" s="1">
        <f>VLOOKUP($B24, '[1]Pro of EAF steel'!$B$2:$X$31, $A$1, FALSE)</f>
        <v>637</v>
      </c>
      <c r="R24" s="1">
        <f>VLOOKUP($B24, '[1]Exp of ingots and semis'!$B$2:$X$31, $A$1, FALSE)</f>
        <v>189</v>
      </c>
      <c r="S24" s="1">
        <f>VLOOKUP($B24, '[1]Imp of ingots and semis'!$B$2:$X$31, $A$1, FALSE)</f>
        <v>162</v>
      </c>
      <c r="T24" s="1">
        <f>VLOOKUP($B24, '[1]Pro of hr long'!$B$2:$X$31, $A$1, FALSE)+VLOOKUP($B24, '[1]Pro of seamless tubes'!$B$2:$X$31, $A$1, FALSE)</f>
        <v>1777</v>
      </c>
      <c r="U24" s="1">
        <f>VLOOKUP($B24, '[1]Exp of long'!$B$2:$X$31, $A$1, FALSE)</f>
        <v>1332</v>
      </c>
      <c r="V24" s="1">
        <f>VLOOKUP($B24, '[1]Imp of long'!$B$2:$X$31, $A$1, FALSE)</f>
        <v>993</v>
      </c>
      <c r="W24" s="1">
        <f>VLOOKUP($B24, '[1]Pro of hr flat'!$B$2:$X$31, $A$1, FALSE)*parameters!$B$8</f>
        <v>4704.2475106685633</v>
      </c>
      <c r="X24" s="1">
        <f>VLOOKUP($B24, '[1]Exp of flat'!$B$2:$X$31, $A$1, FALSE)</f>
        <v>4089</v>
      </c>
      <c r="Y24" s="1">
        <f>VLOOKUP($B24, '[1]Imp of flat'!$B$2:$X$31, $A$1, FALSE)</f>
        <v>1687</v>
      </c>
      <c r="Z24" s="1">
        <f>VLOOKUP($B24, '[1]Indirect exp'!$B$2:$X$31, $A$1, FALSE)</f>
        <v>3189</v>
      </c>
      <c r="AA24" s="1">
        <f>VLOOKUP($B24, '[1]Indirect imp'!$B$2:$X$31, $A$1, FALSE)</f>
        <v>3269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237.9</v>
      </c>
      <c r="G25" s="1">
        <f>VLOOKUP($B25, '[1]Pro of pig iron'!$B$2:$X$31, $A$1, FALSE)*(1-VLOOKUP($B25, '[1]Foundry share'!$B$2:$X$31, $A$1, FALSE))</f>
        <v>4688</v>
      </c>
      <c r="H25" s="1">
        <f>VLOOKUP($B25, '[1]Exp of pig iron'!$B$2:$X$31, $A$1, FALSE)</f>
        <v>254</v>
      </c>
      <c r="I25" s="1">
        <f>VLOOKUP($B25, '[1]Imp of pig iron'!$B$2:$X$31, $A$1, FALSE)</f>
        <v>357</v>
      </c>
      <c r="J25" s="1">
        <f>VLOOKUP($B25, '[1]Pro of DRI'!$B$2:$X$31, $A$1, FALSE)</f>
        <v>0</v>
      </c>
      <c r="K25" s="1">
        <f>VLOOKUP($B25, '[1]Exp of DRI'!$B$2:$X$31, $A$1, FALSE)</f>
        <v>11</v>
      </c>
      <c r="L25" s="1">
        <f>VLOOKUP($B25, '[1]Imp of DRI'!$B$2:$X$31, $A$1, FALSE)</f>
        <v>23</v>
      </c>
      <c r="M25" s="1">
        <f>VLOOKUP($B25, '[1]Exp of scrap'!$B$2:$X$31, $A$1, FALSE)</f>
        <v>3701</v>
      </c>
      <c r="N25" s="1">
        <f>VLOOKUP($B25, '[1]Imp of scrap'!$B$2:$X$31, $A$1, FALSE)</f>
        <v>5294</v>
      </c>
      <c r="O25" s="1">
        <f>VLOOKUP($B25, '[1]Pro of BOF steel'!$B$2:$X$31, $A$1, FALSE)</f>
        <v>5177</v>
      </c>
      <c r="P25" s="1">
        <f>VLOOKUP($B25, '[1]Pro of OHF steel'!$B$2:$X$31, $A$1, FALSE)</f>
        <v>0</v>
      </c>
      <c r="Q25" s="1">
        <f>VLOOKUP($B25, '[1]Pro of EAF steel'!$B$2:$X$31, $A$1, FALSE)</f>
        <v>2796</v>
      </c>
      <c r="R25" s="1">
        <f>VLOOKUP($B25, '[1]Exp of ingots and semis'!$B$2:$X$31, $A$1, FALSE)</f>
        <v>475</v>
      </c>
      <c r="S25" s="1">
        <f>VLOOKUP($B25, '[1]Imp of ingots and semis'!$B$2:$X$31, $A$1, FALSE)</f>
        <v>2568</v>
      </c>
      <c r="T25" s="1">
        <f>VLOOKUP($B25, '[1]Pro of hr long'!$B$2:$X$31, $A$1, FALSE)+VLOOKUP($B25, '[1]Pro of seamless tubes'!$B$2:$X$31, $A$1, FALSE)</f>
        <v>845</v>
      </c>
      <c r="U25" s="1">
        <f>VLOOKUP($B25, '[1]Exp of long'!$B$2:$X$31, $A$1, FALSE)</f>
        <v>1479</v>
      </c>
      <c r="V25" s="1">
        <f>VLOOKUP($B25, '[1]Imp of long'!$B$2:$X$31, $A$1, FALSE)</f>
        <v>1792</v>
      </c>
      <c r="W25" s="1">
        <f>VLOOKUP($B25, '[1]Pro of hr flat'!$B$2:$X$31, $A$1, FALSE)*parameters!$B$8</f>
        <v>8553.5305832147933</v>
      </c>
      <c r="X25" s="1">
        <f>VLOOKUP($B25, '[1]Exp of flat'!$B$2:$X$31, $A$1, FALSE)</f>
        <v>12777</v>
      </c>
      <c r="Y25" s="1">
        <f>VLOOKUP($B25, '[1]Imp of flat'!$B$2:$X$31, $A$1, FALSE)</f>
        <v>6472</v>
      </c>
      <c r="Z25" s="1">
        <f>VLOOKUP($B25, '[1]Indirect exp'!$B$2:$X$31, $A$1, FALSE)</f>
        <v>5471</v>
      </c>
      <c r="AA25" s="1">
        <f>VLOOKUP($B25, '[1]Indirect imp'!$B$2:$X$31, $A$1, FALSE)</f>
        <v>5760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7233</v>
      </c>
      <c r="H26" s="1">
        <f>VLOOKUP($B26, '[1]Exp of pig iron'!$B$2:$X$31, $A$1, FALSE)</f>
        <v>5</v>
      </c>
      <c r="I26" s="1">
        <f>VLOOKUP($B26, '[1]Imp of pig iron'!$B$2:$X$31, $A$1, FALSE)</f>
        <v>41</v>
      </c>
      <c r="J26" s="1">
        <f>VLOOKUP($B26, '[1]Pro of DRI'!$B$2:$X$31, $A$1, FALSE)</f>
        <v>0</v>
      </c>
      <c r="K26" s="1">
        <f>VLOOKUP($B26, '[1]Exp of DRI'!$B$2:$X$31, $A$1, FALSE)</f>
        <v>0</v>
      </c>
      <c r="L26" s="1">
        <f>VLOOKUP($B26, '[1]Imp of DRI'!$B$2:$X$31, $A$1, FALSE)</f>
        <v>79</v>
      </c>
      <c r="M26" s="1">
        <f>VLOOKUP($B26, '[1]Exp of scrap'!$B$2:$X$31, $A$1, FALSE)</f>
        <v>7519</v>
      </c>
      <c r="N26" s="1">
        <f>VLOOKUP($B26, '[1]Imp of scrap'!$B$2:$X$31, $A$1, FALSE)</f>
        <v>277</v>
      </c>
      <c r="O26" s="1">
        <f>VLOOKUP($B26, '[1]Pro of BOF steel'!$B$2:$X$31, $A$1, FALSE)</f>
        <v>7323</v>
      </c>
      <c r="P26" s="1">
        <f>VLOOKUP($B26, '[1]Pro of OHF steel'!$B$2:$X$31, $A$1, FALSE)</f>
        <v>0</v>
      </c>
      <c r="Q26" s="1">
        <f>VLOOKUP($B26, '[1]Pro of EAF steel'!$B$2:$X$31, $A$1, FALSE)</f>
        <v>2385</v>
      </c>
      <c r="R26" s="1">
        <f>VLOOKUP($B26, '[1]Exp of ingots and semis'!$B$2:$X$31, $A$1, FALSE)</f>
        <v>1137</v>
      </c>
      <c r="S26" s="1">
        <f>VLOOKUP($B26, '[1]Imp of ingots and semis'!$B$2:$X$31, $A$1, FALSE)</f>
        <v>740</v>
      </c>
      <c r="T26" s="1">
        <f>VLOOKUP($B26, '[1]Pro of hr long'!$B$2:$X$31, $A$1, FALSE)+VLOOKUP($B26, '[1]Pro of seamless tubes'!$B$2:$X$31, $A$1, FALSE)</f>
        <v>3611</v>
      </c>
      <c r="U26" s="1">
        <f>VLOOKUP($B26, '[1]Exp of long'!$B$2:$X$31, $A$1, FALSE)</f>
        <v>2134</v>
      </c>
      <c r="V26" s="1">
        <f>VLOOKUP($B26, '[1]Imp of long'!$B$2:$X$31, $A$1, FALSE)</f>
        <v>1527</v>
      </c>
      <c r="W26" s="1">
        <f>VLOOKUP($B26, '[1]Pro of hr flat'!$B$2:$X$31, $A$1, FALSE)*parameters!$B$8</f>
        <v>4666.3570412517784</v>
      </c>
      <c r="X26" s="1">
        <f>VLOOKUP($B26, '[1]Exp of flat'!$B$2:$X$31, $A$1, FALSE)</f>
        <v>2162</v>
      </c>
      <c r="Y26" s="1">
        <f>VLOOKUP($B26, '[1]Imp of flat'!$B$2:$X$31, $A$1, FALSE)</f>
        <v>3161</v>
      </c>
      <c r="Z26" s="1">
        <f>VLOOKUP($B26, '[1]Indirect exp'!$B$2:$X$31, $A$1, FALSE)</f>
        <v>5647</v>
      </c>
      <c r="AA26" s="1">
        <f>VLOOKUP($B26, '[1]Indirect imp'!$B$2:$X$31, $A$1, FALSE)</f>
        <v>9453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16245.45</v>
      </c>
      <c r="G27" s="1">
        <f>VLOOKUP($B27, '[1]Pro of pig iron'!$B$2:$X$31, $A$1, FALSE)*(1-VLOOKUP($B27, '[1]Foundry share'!$B$2:$X$31, $A$1, FALSE))</f>
        <v>5339.7090934065045</v>
      </c>
      <c r="H27" s="1">
        <f>VLOOKUP($B27, '[1]Exp of pig iron'!$B$2:$X$31, $A$1, FALSE)</f>
        <v>156</v>
      </c>
      <c r="I27" s="1">
        <f>VLOOKUP($B27, '[1]Imp of pig iron'!$B$2:$X$31, $A$1, FALSE)</f>
        <v>223</v>
      </c>
      <c r="J27" s="1">
        <f>VLOOKUP($B27, '[1]Pro of DRI'!$B$2:$X$31, $A$1, FALSE)</f>
        <v>0</v>
      </c>
      <c r="K27" s="1">
        <f>VLOOKUP($B27, '[1]Exp of DRI'!$B$2:$X$31, $A$1, FALSE)</f>
        <v>0</v>
      </c>
      <c r="L27" s="1">
        <f>VLOOKUP($B27, '[1]Imp of DRI'!$B$2:$X$31, $A$1, FALSE)</f>
        <v>370</v>
      </c>
      <c r="M27" s="1">
        <f>VLOOKUP($B27, '[1]Exp of scrap'!$B$2:$X$31, $A$1, FALSE)</f>
        <v>5080</v>
      </c>
      <c r="N27" s="1">
        <f>VLOOKUP($B27, '[1]Imp of scrap'!$B$2:$X$31, $A$1, FALSE)</f>
        <v>1803</v>
      </c>
      <c r="O27" s="1">
        <f>VLOOKUP($B27, '[1]Pro of BOF steel'!$B$2:$X$31, $A$1, FALSE)</f>
        <v>6523</v>
      </c>
      <c r="P27" s="1">
        <f>VLOOKUP($B27, '[1]Pro of OHF steel'!$B$2:$X$31, $A$1, FALSE)</f>
        <v>0</v>
      </c>
      <c r="Q27" s="1">
        <f>VLOOKUP($B27, '[1]Pro of EAF steel'!$B$2:$X$31, $A$1, FALSE)</f>
        <v>128</v>
      </c>
      <c r="R27" s="1">
        <f>VLOOKUP($B27, '[1]Exp of ingots and semis'!$B$2:$X$31, $A$1, FALSE)</f>
        <v>798</v>
      </c>
      <c r="S27" s="1">
        <f>VLOOKUP($B27, '[1]Imp of ingots and semis'!$B$2:$X$31, $A$1, FALSE)</f>
        <v>465</v>
      </c>
      <c r="T27" s="1">
        <f>VLOOKUP($B27, '[1]Pro of hr long'!$B$2:$X$31, $A$1, FALSE)+VLOOKUP($B27, '[1]Pro of seamless tubes'!$B$2:$X$31, $A$1, FALSE)</f>
        <v>216</v>
      </c>
      <c r="U27" s="1">
        <f>VLOOKUP($B27, '[1]Exp of long'!$B$2:$X$31, $A$1, FALSE)</f>
        <v>804</v>
      </c>
      <c r="V27" s="1">
        <f>VLOOKUP($B27, '[1]Imp of long'!$B$2:$X$31, $A$1, FALSE)</f>
        <v>2505</v>
      </c>
      <c r="W27" s="1">
        <f>VLOOKUP($B27, '[1]Pro of hr flat'!$B$2:$X$31, $A$1, FALSE)*parameters!$B$8</f>
        <v>5885.6529160739683</v>
      </c>
      <c r="X27" s="1">
        <f>VLOOKUP($B27, '[1]Exp of flat'!$B$2:$X$31, $A$1, FALSE)</f>
        <v>7090</v>
      </c>
      <c r="Y27" s="1">
        <f>VLOOKUP($B27, '[1]Imp of flat'!$B$2:$X$31, $A$1, FALSE)</f>
        <v>3213</v>
      </c>
      <c r="Z27" s="1">
        <f>VLOOKUP($B27, '[1]Indirect exp'!$B$2:$X$31, $A$1, FALSE)</f>
        <v>5137</v>
      </c>
      <c r="AA27" s="1">
        <f>VLOOKUP($B27, '[1]Indirect imp'!$B$2:$X$31, $A$1, FALSE)</f>
        <v>5655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433000</v>
      </c>
      <c r="D28" s="1">
        <f>VLOOKUP($B28, '[1]Pro of iron ore'!$B$2:$X$31, $A$1, FALSE)*(1-VLOOKUP($B28, '[1]Foundry share'!$B$2:$X$31, $A$1, FALSE))</f>
        <v>271000</v>
      </c>
      <c r="E28" s="47">
        <f>VLOOKUP($B28, '[1]Iron content'!$B$2:$X$31, $A$1, FALSE)</f>
        <v>0.62586605080831403</v>
      </c>
      <c r="F28" s="1">
        <f>VLOOKUP($B28, '[1]Exp of usable iron ore'!$B$2:$X$31, $A$1, FALSE)*parameters!$B$12</f>
        <v>277802.85000000003</v>
      </c>
      <c r="G28" s="1">
        <f>VLOOKUP($B28, '[1]Pro of pig iron'!$B$2:$X$31, $A$1, FALSE)*(1-VLOOKUP($B28, '[1]Foundry share'!$B$2:$X$31, $A$1, FALSE))</f>
        <v>6005</v>
      </c>
      <c r="H28" s="1">
        <f>VLOOKUP($B28, '[1]Exp of pig iron'!$B$2:$X$31, $A$1, FALSE)</f>
        <v>3</v>
      </c>
      <c r="I28" s="1">
        <f>VLOOKUP($B28, '[1]Imp of pig iron'!$B$2:$X$31, $A$1, FALSE)</f>
        <v>12</v>
      </c>
      <c r="J28" s="1">
        <f>VLOOKUP($B28, '[1]Pro of DRI'!$B$2:$X$31, $A$1, FALSE)</f>
        <v>0</v>
      </c>
      <c r="K28" s="1">
        <f>VLOOKUP($B28, '[1]Exp of DRI'!$B$2:$X$31, $A$1, FALSE)</f>
        <v>0</v>
      </c>
      <c r="L28" s="1">
        <f>VLOOKUP($B28, '[1]Imp of DRI'!$B$2:$X$31, $A$1, FALSE)</f>
        <v>51</v>
      </c>
      <c r="M28" s="1">
        <f>VLOOKUP($B28, '[1]Exp of scrap'!$B$2:$X$31, $A$1, FALSE)</f>
        <v>1636</v>
      </c>
      <c r="N28" s="1">
        <f>VLOOKUP($B28, '[1]Imp of scrap'!$B$2:$X$31, $A$1, FALSE)</f>
        <v>3</v>
      </c>
      <c r="O28" s="1">
        <f>VLOOKUP($B28, '[1]Pro of BOF steel'!$B$2:$X$31, $A$1, FALSE)</f>
        <v>6067</v>
      </c>
      <c r="P28" s="1">
        <f>VLOOKUP($B28, '[1]Pro of OHF steel'!$B$2:$X$31, $A$1, FALSE)</f>
        <v>0</v>
      </c>
      <c r="Q28" s="1">
        <f>VLOOKUP($B28, '[1]Pro of EAF steel'!$B$2:$X$31, $A$1, FALSE)</f>
        <v>1229</v>
      </c>
      <c r="R28" s="1">
        <f>VLOOKUP($B28, '[1]Exp of ingots and semis'!$B$2:$X$31, $A$1, FALSE)</f>
        <v>18</v>
      </c>
      <c r="S28" s="1">
        <f>VLOOKUP($B28, '[1]Imp of ingots and semis'!$B$2:$X$31, $A$1, FALSE)</f>
        <v>53</v>
      </c>
      <c r="T28" s="1">
        <f>VLOOKUP($B28, '[1]Pro of hr long'!$B$2:$X$31, $A$1, FALSE)+VLOOKUP($B28, '[1]Pro of seamless tubes'!$B$2:$X$31, $A$1, FALSE)</f>
        <v>1927</v>
      </c>
      <c r="U28" s="1">
        <f>VLOOKUP($B28, '[1]Exp of long'!$B$2:$X$31, $A$1, FALSE)</f>
        <v>82</v>
      </c>
      <c r="V28" s="1">
        <f>VLOOKUP($B28, '[1]Imp of long'!$B$2:$X$31, $A$1, FALSE)</f>
        <v>856</v>
      </c>
      <c r="W28" s="1">
        <f>VLOOKUP($B28, '[1]Pro of hr flat'!$B$2:$X$31, $A$1, FALSE)*parameters!$B$8</f>
        <v>4273.8506401137984</v>
      </c>
      <c r="X28" s="1">
        <f>VLOOKUP($B28, '[1]Exp of flat'!$B$2:$X$31, $A$1, FALSE)</f>
        <v>1491</v>
      </c>
      <c r="Y28" s="1">
        <f>VLOOKUP($B28, '[1]Imp of flat'!$B$2:$X$31, $A$1, FALSE)</f>
        <v>993</v>
      </c>
      <c r="Z28" s="1">
        <f>VLOOKUP($B28, '[1]Indirect exp'!$B$2:$X$31, $A$1, FALSE)</f>
        <v>667</v>
      </c>
      <c r="AA28" s="1">
        <f>VLOOKUP($B28, '[1]Indirect imp'!$B$2:$X$31, $A$1, FALSE)</f>
        <v>4223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58709</v>
      </c>
      <c r="D29" s="1">
        <f>VLOOKUP($B29, '[1]Pro of iron ore'!$B$2:$X$31, $A$1, FALSE)*(1-VLOOKUP($B29, '[1]Foundry share'!$B$2:$X$31, $A$1, FALSE))</f>
        <v>36900</v>
      </c>
      <c r="E29" s="47">
        <f>VLOOKUP($B29, '[1]Iron content'!$B$2:$X$31, $A$1, FALSE)</f>
        <v>0.62852373571343401</v>
      </c>
      <c r="F29" s="1">
        <f>VLOOKUP($B29, '[1]Exp of usable iron ore'!$B$2:$X$31, $A$1, FALSE)*parameters!$B$12</f>
        <v>31181.15</v>
      </c>
      <c r="G29" s="1">
        <f>VLOOKUP($B29, '[1]Pro of pig iron'!$B$2:$X$31, $A$1, FALSE)*(1-VLOOKUP($B29, '[1]Foundry share'!$B$2:$X$31, $A$1, FALSE))</f>
        <v>5429</v>
      </c>
      <c r="H29" s="1">
        <f>VLOOKUP($B29, '[1]Exp of pig iron'!$B$2:$X$31, $A$1, FALSE)</f>
        <v>624</v>
      </c>
      <c r="I29" s="1">
        <f>VLOOKUP($B29, '[1]Imp of pig iron'!$B$2:$X$31, $A$1, FALSE)</f>
        <v>0</v>
      </c>
      <c r="J29" s="1">
        <f>VLOOKUP($B29, '[1]Pro of DRI'!$B$2:$X$31, $A$1, FALSE)</f>
        <v>1120</v>
      </c>
      <c r="K29" s="1">
        <f>VLOOKUP($B29, '[1]Exp of DRI'!$B$2:$X$31, $A$1, FALSE)</f>
        <v>0</v>
      </c>
      <c r="L29" s="1">
        <f>VLOOKUP($B29, '[1]Imp of DRI'!$B$2:$X$31, $A$1, FALSE)</f>
        <v>0</v>
      </c>
      <c r="M29" s="1">
        <f>VLOOKUP($B29, '[1]Exp of scrap'!$B$2:$X$31, $A$1, FALSE)</f>
        <v>1224</v>
      </c>
      <c r="N29" s="1">
        <f>VLOOKUP($B29, '[1]Imp of scrap'!$B$2:$X$31, $A$1, FALSE)</f>
        <v>54</v>
      </c>
      <c r="O29" s="1">
        <f>VLOOKUP($B29, '[1]Pro of BOF steel'!$B$2:$X$31, $A$1, FALSE)</f>
        <v>4367</v>
      </c>
      <c r="P29" s="1">
        <f>VLOOKUP($B29, '[1]Pro of OHF steel'!$B$2:$X$31, $A$1, FALSE)</f>
        <v>0</v>
      </c>
      <c r="Q29" s="1">
        <f>VLOOKUP($B29, '[1]Pro of EAF steel'!$B$2:$X$31, $A$1, FALSE)</f>
        <v>3250</v>
      </c>
      <c r="R29" s="1">
        <f>VLOOKUP($B29, '[1]Exp of ingots and semis'!$B$2:$X$31, $A$1, FALSE)</f>
        <v>228</v>
      </c>
      <c r="S29" s="1">
        <f>VLOOKUP($B29, '[1]Imp of ingots and semis'!$B$2:$X$31, $A$1, FALSE)</f>
        <v>6</v>
      </c>
      <c r="T29" s="1">
        <f>VLOOKUP($B29, '[1]Pro of hr long'!$B$2:$X$31, $A$1, FALSE)+VLOOKUP($B29, '[1]Pro of seamless tubes'!$B$2:$X$31, $A$1, FALSE)</f>
        <v>2350</v>
      </c>
      <c r="U29" s="1">
        <f>VLOOKUP($B29, '[1]Exp of long'!$B$2:$X$31, $A$1, FALSE)</f>
        <v>810</v>
      </c>
      <c r="V29" s="1">
        <f>VLOOKUP($B29, '[1]Imp of long'!$B$2:$X$31, $A$1, FALSE)</f>
        <v>190</v>
      </c>
      <c r="W29" s="1">
        <f>VLOOKUP($B29, '[1]Pro of hr flat'!$B$2:$X$31, $A$1, FALSE)*parameters!$B$8</f>
        <v>3371.2802275960171</v>
      </c>
      <c r="X29" s="1">
        <f>VLOOKUP($B29, '[1]Exp of flat'!$B$2:$X$31, $A$1, FALSE)</f>
        <v>1830</v>
      </c>
      <c r="Y29" s="1">
        <f>VLOOKUP($B29, '[1]Imp of flat'!$B$2:$X$31, $A$1, FALSE)</f>
        <v>524</v>
      </c>
      <c r="Z29" s="1">
        <f>VLOOKUP($B29, '[1]Indirect exp'!$B$2:$X$31, $A$1, FALSE)</f>
        <v>1237</v>
      </c>
      <c r="AA29" s="1">
        <f>VLOOKUP($B29, '[1]Indirect imp'!$B$2:$X$31, $A$1, FALSE)</f>
        <v>1542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3558</v>
      </c>
      <c r="D30" s="1">
        <f>VLOOKUP($B30, '[1]Pro of iron ore'!$B$2:$X$31, $A$1, FALSE)*(1-VLOOKUP($B30, '[1]Foundry share'!$B$2:$X$31, $A$1, FALSE))</f>
        <v>2220</v>
      </c>
      <c r="E30" s="47">
        <f>VLOOKUP($B30, '[1]Iron content'!$B$2:$X$31, $A$1, FALSE)</f>
        <v>0.62394603709949414</v>
      </c>
      <c r="F30" s="1">
        <f>VLOOKUP($B30, '[1]Exp of usable iron ore'!$B$2:$X$31, $A$1, FALSE)*parameters!$B$12</f>
        <v>1829.75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4</v>
      </c>
      <c r="J30" s="1">
        <f>VLOOKUP($B30, '[1]Pro of DRI'!$B$2:$X$31, $A$1, FALSE)</f>
        <v>2390</v>
      </c>
      <c r="K30" s="1">
        <f>VLOOKUP($B30, '[1]Exp of DRI'!$B$2:$X$31, $A$1, FALSE)</f>
        <v>473</v>
      </c>
      <c r="L30" s="1">
        <f>VLOOKUP($B30, '[1]Imp of DRI'!$B$2:$X$31, $A$1, FALSE)</f>
        <v>185</v>
      </c>
      <c r="M30" s="1">
        <f>VLOOKUP($B30, '[1]Exp of scrap'!$B$2:$X$31, $A$1, FALSE)</f>
        <v>101</v>
      </c>
      <c r="N30" s="1">
        <f>VLOOKUP($B30, '[1]Imp of scrap'!$B$2:$X$31, $A$1, FALSE)</f>
        <v>2308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5694</v>
      </c>
      <c r="R30" s="1">
        <f>VLOOKUP($B30, '[1]Exp of ingots and semis'!$B$2:$X$31, $A$1, FALSE)</f>
        <v>565</v>
      </c>
      <c r="S30" s="1">
        <f>VLOOKUP($B30, '[1]Imp of ingots and semis'!$B$2:$X$31, $A$1, FALSE)</f>
        <v>162</v>
      </c>
      <c r="T30" s="1">
        <f>VLOOKUP($B30, '[1]Pro of hr long'!$B$2:$X$31, $A$1, FALSE)+VLOOKUP($B30, '[1]Pro of seamless tubes'!$B$2:$X$31, $A$1, FALSE)</f>
        <v>3601</v>
      </c>
      <c r="U30" s="1">
        <f>VLOOKUP($B30, '[1]Exp of long'!$B$2:$X$31, $A$1, FALSE)</f>
        <v>717</v>
      </c>
      <c r="V30" s="1">
        <f>VLOOKUP($B30, '[1]Imp of long'!$B$2:$X$31, $A$1, FALSE)</f>
        <v>1154</v>
      </c>
      <c r="W30" s="1">
        <f>VLOOKUP($B30, '[1]Pro of hr flat'!$B$2:$X$31, $A$1, FALSE)*parameters!$B$8</f>
        <v>1327.1379800853485</v>
      </c>
      <c r="X30" s="1">
        <f>VLOOKUP($B30, '[1]Exp of flat'!$B$2:$X$31, $A$1, FALSE)</f>
        <v>524</v>
      </c>
      <c r="Y30" s="1">
        <f>VLOOKUP($B30, '[1]Imp of flat'!$B$2:$X$31, $A$1, FALSE)</f>
        <v>3120</v>
      </c>
      <c r="Z30" s="1">
        <f>VLOOKUP($B30, '[1]Indirect exp'!$B$2:$X$31, $A$1, FALSE)</f>
        <v>2008</v>
      </c>
      <c r="AA30" s="1">
        <f>VLOOKUP($B30, '[1]Indirect imp'!$B$2:$X$31, $A$1, FALSE)</f>
        <v>2924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904</v>
      </c>
      <c r="D31" s="1">
        <f>VLOOKUP($B31, '[1]Pro of iron ore'!$B$2:$X$31, $A$1, FALSE)*(1-VLOOKUP($B31, '[1]Foundry share'!$B$2:$X$31, $A$1, FALSE))</f>
        <v>547</v>
      </c>
      <c r="E31" s="47">
        <f>VLOOKUP($B31, '[1]Iron content'!$B$2:$X$31, $A$1, FALSE)</f>
        <v>0.60508849557522126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0</v>
      </c>
      <c r="I31" s="1">
        <f>VLOOKUP($B31, '[1]Imp of pig iron'!$B$2:$X$31, $A$1, FALSE)</f>
        <v>303</v>
      </c>
      <c r="J31" s="1">
        <f>VLOOKUP($B31, '[1]Pro of DRI'!$B$2:$X$31, $A$1, FALSE)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547</v>
      </c>
      <c r="N31" s="1">
        <f>VLOOKUP($B31, '[1]Imp of scrap'!$B$2:$X$31, $A$1, FALSE)</f>
        <v>1483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4145</v>
      </c>
      <c r="R31" s="1">
        <f>VLOOKUP($B31, '[1]Exp of ingots and semis'!$B$2:$X$31, $A$1, FALSE)</f>
        <v>220</v>
      </c>
      <c r="S31" s="1">
        <f>VLOOKUP($B31, '[1]Imp of ingots and semis'!$B$2:$X$31, $A$1, FALSE)</f>
        <v>4010</v>
      </c>
      <c r="T31" s="1">
        <f>VLOOKUP($B31, '[1]Pro of hr long'!$B$2:$X$31, $A$1, FALSE)+VLOOKUP($B31, '[1]Pro of seamless tubes'!$B$2:$X$31, $A$1, FALSE)</f>
        <v>3663</v>
      </c>
      <c r="U31" s="1">
        <f>VLOOKUP($B31, '[1]Exp of long'!$B$2:$X$31, $A$1, FALSE)</f>
        <v>770</v>
      </c>
      <c r="V31" s="1">
        <f>VLOOKUP($B31, '[1]Imp of long'!$B$2:$X$31, $A$1, FALSE)</f>
        <v>1532</v>
      </c>
      <c r="W31" s="1">
        <f>VLOOKUP($B31, '[1]Pro of hr flat'!$B$2:$X$31, $A$1, FALSE)*parameters!$B$8</f>
        <v>3711.3229018492175</v>
      </c>
      <c r="X31" s="1">
        <f>VLOOKUP($B31, '[1]Exp of flat'!$B$2:$X$31, $A$1, FALSE)</f>
        <v>482</v>
      </c>
      <c r="Y31" s="1">
        <f>VLOOKUP($B31, '[1]Imp of flat'!$B$2:$X$31, $A$1, FALSE)</f>
        <v>6307</v>
      </c>
      <c r="Z31" s="1">
        <f>VLOOKUP($B31, '[1]Indirect exp'!$B$2:$X$31, $A$1, FALSE)</f>
        <v>3687</v>
      </c>
      <c r="AA31" s="1">
        <f>VLOOKUP($B31, '[1]Indirect imp'!$B$2:$X$31, $A$1, FALSE)</f>
        <v>2486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28797</v>
      </c>
      <c r="D32" s="1">
        <f>VLOOKUP($B32, '[1]Pro of iron ore'!$B$2:$X$31, $A$1, FALSE)*(1-VLOOKUP($B32, '[1]Foundry share'!$B$2:$X$31, $A$1, FALSE))</f>
        <v>17400</v>
      </c>
      <c r="E32" s="47">
        <f>VLOOKUP($B32, '[1]Iron content'!$B$2:$X$31, $A$1, FALSE)</f>
        <v>0.60422960725075525</v>
      </c>
      <c r="F32" s="1">
        <f>VLOOKUP($B32, '[1]Exp of usable iron ore'!$B$2:$X$31, $A$1, FALSE)*parameters!$B$12</f>
        <v>13437.45</v>
      </c>
      <c r="G32" s="1">
        <f>VLOOKUP($B32, '[1]Pro of pig iron'!$B$2:$X$31, $A$1, FALSE)*(1-VLOOKUP($B32, '[1]Foundry share'!$B$2:$X$31, $A$1, FALSE))</f>
        <v>3447</v>
      </c>
      <c r="H32" s="1">
        <f>VLOOKUP($B32, '[1]Exp of pig iron'!$B$2:$X$31, $A$1, FALSE)</f>
        <v>146</v>
      </c>
      <c r="I32" s="1">
        <f>VLOOKUP($B32, '[1]Imp of pig iron'!$B$2:$X$31, $A$1, FALSE)</f>
        <v>59</v>
      </c>
      <c r="J32" s="1">
        <f>VLOOKUP($B32, '[1]Pro of DRI'!$B$2:$X$31, $A$1, FALSE)</f>
        <v>123</v>
      </c>
      <c r="K32" s="1">
        <f>VLOOKUP($B32, '[1]Exp of DRI'!$B$2:$X$31, $A$1, FALSE)</f>
        <v>13</v>
      </c>
      <c r="L32" s="1">
        <f>VLOOKUP($B32, '[1]Imp of DRI'!$B$2:$X$31, $A$1, FALSE)</f>
        <v>0</v>
      </c>
      <c r="M32" s="1">
        <f>VLOOKUP($B32, '[1]Exp of scrap'!$B$2:$X$31, $A$1, FALSE)</f>
        <v>1313</v>
      </c>
      <c r="N32" s="1">
        <f>VLOOKUP($B32, '[1]Imp of scrap'!$B$2:$X$31, $A$1, FALSE)</f>
        <v>225</v>
      </c>
      <c r="O32" s="1">
        <f>VLOOKUP($B32, '[1]Pro of BOF steel'!$B$2:$X$31, $A$1, FALSE)</f>
        <v>3329</v>
      </c>
      <c r="P32" s="1">
        <f>VLOOKUP($B32, '[1]Pro of OHF steel'!$B$2:$X$31, $A$1, FALSE)</f>
        <v>0</v>
      </c>
      <c r="Q32" s="1">
        <f>VLOOKUP($B32, '[1]Pro of EAF steel'!$B$2:$X$31, $A$1, FALSE)</f>
        <v>1517</v>
      </c>
      <c r="R32" s="1">
        <f>VLOOKUP($B32, '[1]Exp of ingots and semis'!$B$2:$X$31, $A$1, FALSE)</f>
        <v>233</v>
      </c>
      <c r="S32" s="1">
        <f>VLOOKUP($B32, '[1]Imp of ingots and semis'!$B$2:$X$31, $A$1, FALSE)</f>
        <v>173</v>
      </c>
      <c r="T32" s="1">
        <f>VLOOKUP($B32, '[1]Pro of hr long'!$B$2:$X$31, $A$1, FALSE)+VLOOKUP($B32, '[1]Pro of seamless tubes'!$B$2:$X$31, $A$1, FALSE)</f>
        <v>883</v>
      </c>
      <c r="U32" s="1">
        <f>VLOOKUP($B32, '[1]Exp of long'!$B$2:$X$31, $A$1, FALSE)</f>
        <v>577</v>
      </c>
      <c r="V32" s="1">
        <f>VLOOKUP($B32, '[1]Imp of long'!$B$2:$X$31, $A$1, FALSE)</f>
        <v>836</v>
      </c>
      <c r="W32" s="1">
        <f>VLOOKUP($B32, '[1]Pro of hr flat'!$B$2:$X$31, $A$1, FALSE)*parameters!$B$8</f>
        <v>3128.3926031294454</v>
      </c>
      <c r="X32" s="1">
        <f>VLOOKUP($B32, '[1]Exp of flat'!$B$2:$X$31, $A$1, FALSE)</f>
        <v>2612</v>
      </c>
      <c r="Y32" s="1">
        <f>VLOOKUP($B32, '[1]Imp of flat'!$B$2:$X$31, $A$1, FALSE)</f>
        <v>2038</v>
      </c>
      <c r="Z32" s="1">
        <f>VLOOKUP($B32, '[1]Indirect exp'!$B$2:$X$31, $A$1, FALSE)</f>
        <v>2575</v>
      </c>
      <c r="AA32" s="1">
        <f>VLOOKUP($B32, '[1]Indirect imp'!$B$2:$X$31, $A$1, FALSE)</f>
        <v>2869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539847.89842434903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539847.89842434903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-320634.38934717048</v>
      </c>
      <c r="Q2" s="17" cm="1">
        <f t="array" aca="1" ref="Q2" ca="1">INDIRECT("'data'!$D$" &amp; $A$1)</f>
        <v>219213.50907717855</v>
      </c>
      <c r="R2" s="17">
        <f ca="1">SUM(L2:P2)</f>
        <v>219213.50907717855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508304.05970149254</v>
      </c>
      <c r="G3" s="14">
        <f ca="1">Q3-O3-P3-F3</f>
        <v>28299.666962783085</v>
      </c>
      <c r="H3" s="14"/>
      <c r="I3" s="14"/>
      <c r="J3" s="14"/>
      <c r="K3" s="13"/>
      <c r="L3" s="16">
        <f t="shared" ca="1" si="0"/>
        <v>536603.72666427563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668.11500000000001</v>
      </c>
      <c r="P3" s="13" cm="1">
        <f t="array" aca="1" ref="P3" ca="1">-INDIRECT("'data'!$I$" &amp; $A$1)*parameters!$B$13</f>
        <v>-824.98500000000001</v>
      </c>
      <c r="Q3" s="16" cm="1">
        <f t="array" aca="1" ref="Q3" ca="1">INDIRECT("'data'!$G$" &amp; $A$1)*parameters!$B$13</f>
        <v>536446.85666427563</v>
      </c>
      <c r="R3" s="16">
        <f t="shared" ref="R3:R10" ca="1" si="2">SUM(L3:P3)</f>
        <v>536446.85666427563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1072.72</v>
      </c>
      <c r="H4" s="14"/>
      <c r="I4" s="14"/>
      <c r="J4" s="14"/>
      <c r="K4" s="13"/>
      <c r="L4" s="16">
        <f t="shared" ca="1" si="0"/>
        <v>1072.72</v>
      </c>
      <c r="M4" s="16"/>
      <c r="N4" s="16">
        <f t="shared" ca="1" si="1"/>
        <v>0</v>
      </c>
      <c r="O4" s="11" cm="1">
        <f t="array" aca="1" ref="O4" ca="1">INDIRECT("'data'!$K$" &amp; $A$1)*parameters!$B$14</f>
        <v>195.96</v>
      </c>
      <c r="P4" s="13" cm="1">
        <f t="array" aca="1" ref="P4" ca="1">-INDIRECT("'data'!$L$" &amp; $A$1)*parameters!$B$14</f>
        <v>-1268.68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Q6/parameters!$B$5*15%</f>
        <v>89700.716417910444</v>
      </c>
      <c r="G5" s="14">
        <f ca="1">Q7/parameters!$B$7-(G3+G4)</f>
        <v>38536.390466683995</v>
      </c>
      <c r="H5" s="14"/>
      <c r="I5" s="14"/>
      <c r="J5" s="14"/>
      <c r="K5" s="13"/>
      <c r="L5" s="16">
        <f t="shared" ca="1" si="0"/>
        <v>128237.10688459444</v>
      </c>
      <c r="M5" s="16"/>
      <c r="N5" s="16"/>
      <c r="O5" s="11" cm="1">
        <f t="array" aca="1" ref="O5" ca="1">INDIRECT("'data'!$M$" &amp; $A$1)*parameters!$B$15</f>
        <v>365.54</v>
      </c>
      <c r="P5" s="13" cm="1">
        <f t="array" aca="1" ref="P5" ca="1">-INDIRECT("'data'!$N$" &amp; $A$1)*parameters!$B$15</f>
        <v>-5731.04</v>
      </c>
      <c r="Q5" s="16">
        <f ca="1">SUM(L5:P5)</f>
        <v>122871.60688459444</v>
      </c>
      <c r="R5" s="16">
        <f t="shared" ca="1" si="2"/>
        <v>122871.60688459444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560928.48</v>
      </c>
      <c r="I6" s="14"/>
      <c r="J6" s="14"/>
      <c r="K6" s="13"/>
      <c r="L6" s="16">
        <f t="shared" ca="1" si="0"/>
        <v>560928.48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560928.48</v>
      </c>
      <c r="R6" s="16">
        <f t="shared" ca="1" si="2"/>
        <v>560928.48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64988.7</v>
      </c>
      <c r="I7" s="14"/>
      <c r="J7" s="14"/>
      <c r="K7" s="13"/>
      <c r="L7" s="16">
        <f t="shared" ca="1" si="0"/>
        <v>64988.7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64988.7</v>
      </c>
      <c r="R7" s="16">
        <f t="shared" ca="1" si="2"/>
        <v>64988.7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392539</v>
      </c>
      <c r="J8" s="14">
        <f ca="1">Q10/J18</f>
        <v>255149.56330014224</v>
      </c>
      <c r="K8" s="13"/>
      <c r="L8" s="16">
        <f t="shared" ca="1" si="0"/>
        <v>647688.5633001423</v>
      </c>
      <c r="M8" s="16"/>
      <c r="N8" s="16">
        <f t="shared" ca="1" si="3"/>
        <v>-21247.083300142316</v>
      </c>
      <c r="O8" s="11" cm="1">
        <f t="array" aca="1" ref="O8" ca="1">INDIRECT("'data'!$R$" &amp; $A$1)*parameters!$B$15</f>
        <v>142.1</v>
      </c>
      <c r="P8" s="13" cm="1">
        <f t="array" aca="1" ref="P8" ca="1">-INDIRECT("'data'!$S$" &amp; $A$1)*parameters!$B$15</f>
        <v>-666.4</v>
      </c>
      <c r="Q8" s="16">
        <f ca="1">SUM(Q6:Q7)</f>
        <v>625917.17999999993</v>
      </c>
      <c r="R8" s="16">
        <f t="shared" ca="1" si="2"/>
        <v>625917.17999999993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377643.98</v>
      </c>
      <c r="L9" s="16">
        <f t="shared" ca="1" si="0"/>
        <v>377643.98</v>
      </c>
      <c r="M9" s="16"/>
      <c r="N9" s="16">
        <f t="shared" ca="1" si="3"/>
        <v>0</v>
      </c>
      <c r="O9" s="11" cm="1">
        <f t="array" aca="1" ref="O9" ca="1">INDIRECT("'data'!$U$" &amp; $A$1)*parameters!$B$15</f>
        <v>8969.94</v>
      </c>
      <c r="P9" s="13" cm="1">
        <f t="array" aca="1" ref="P9" ca="1">-INDIRECT("'data'!$V$" &amp; $A$1)*parameters!$B$15</f>
        <v>-1925.7</v>
      </c>
      <c r="Q9" s="16" cm="1">
        <f t="array" aca="1" ref="Q9" ca="1">INDIRECT("'data'!$T$" &amp; $A$1)*parameters!$B$15</f>
        <v>384688.22</v>
      </c>
      <c r="R9" s="16">
        <f t="shared" ca="1" si="2"/>
        <v>384688.22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239373.39203413937</v>
      </c>
      <c r="L10" s="16">
        <f t="shared" ca="1" si="0"/>
        <v>239373.39203413937</v>
      </c>
      <c r="M10" s="16"/>
      <c r="N10" s="16">
        <f t="shared" ca="1" si="3"/>
        <v>0</v>
      </c>
      <c r="O10" s="11" cm="1">
        <f t="array" aca="1" ref="O10" ca="1">INDIRECT("'data'!$X$" &amp; $A$1)*parameters!$B$15</f>
        <v>24315.759999999998</v>
      </c>
      <c r="P10" s="13" cm="1">
        <f t="array" aca="1" ref="P10" ca="1">-INDIRECT("'data'!$Y$" &amp; $A$1)*parameters!$B$15</f>
        <v>-13642.58</v>
      </c>
      <c r="Q10" s="16" cm="1">
        <f t="array" aca="1" ref="Q10" ca="1">INDIRECT("'data'!$W$" &amp; $A$1)*parameters!$B$15</f>
        <v>250046.57203413939</v>
      </c>
      <c r="R10" s="16">
        <f t="shared" ca="1" si="2"/>
        <v>250046.57203413939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511713.17834935983</v>
      </c>
      <c r="N11" s="19"/>
      <c r="O11" s="21" cm="1">
        <f t="array" aca="1" ref="O11" ca="1">INDIRECT("'data'!$Z$" &amp; $A$1)*parameters!$B$15</f>
        <v>60769.799999999996</v>
      </c>
      <c r="P11" s="27" cm="1">
        <f t="array" aca="1" ref="P11" ca="1">-INDIRECT("'data'!$AA$" &amp; $A$1)*parameters!$B$15</f>
        <v>-11636.52</v>
      </c>
      <c r="Q11" s="16">
        <f ca="1">K9*parameters!$B$10+K10*parameters!$B$11</f>
        <v>560846.4583493598</v>
      </c>
      <c r="R11" s="16">
        <f t="shared" ref="R11:R17" ca="1" si="4">SUM(L11:P11)</f>
        <v>560846.4583493598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-3401.0417600733927</v>
      </c>
      <c r="D12" s="9">
        <f ca="1">-(D17-Q4)</f>
        <v>0</v>
      </c>
      <c r="E12" s="9">
        <f ca="1">-(E17-Q5)</f>
        <v>-15186.378378994807</v>
      </c>
      <c r="F12" s="9">
        <f ca="1">-(F17-Q6)</f>
        <v>-37076.296119402978</v>
      </c>
      <c r="G12" s="9">
        <f ca="1">-(G17-Q7)</f>
        <v>-2920.0774294670846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-58583.793687938261</v>
      </c>
      <c r="M12" s="17"/>
      <c r="N12" s="17"/>
      <c r="O12" s="10"/>
      <c r="P12" s="12"/>
      <c r="Q12" s="9">
        <f t="shared" ref="Q12:Q17" ca="1" si="6">SUM(L12:P12)</f>
        <v>-58583.793687938261</v>
      </c>
      <c r="R12" s="17">
        <f t="shared" ca="1" si="4"/>
        <v>-58583.793687938261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-7850.7800000000279</v>
      </c>
      <c r="J13" s="14">
        <f ca="1">-(J17-Q10)</f>
        <v>-5102.9912660028494</v>
      </c>
      <c r="K13" s="13">
        <f ca="1">-(K17-Q11)</f>
        <v>-56170.913684779545</v>
      </c>
      <c r="L13" s="14">
        <f t="shared" ca="1" si="5"/>
        <v>-69124.684950782423</v>
      </c>
      <c r="M13" s="16">
        <f ca="1">-E15</f>
        <v>-68933.300312806823</v>
      </c>
      <c r="N13" s="16"/>
      <c r="O13" s="11"/>
      <c r="P13" s="13"/>
      <c r="Q13" s="14">
        <f t="shared" ca="1" si="6"/>
        <v>-138057.98526358925</v>
      </c>
      <c r="R13" s="16">
        <f t="shared" ca="1" si="4"/>
        <v>-138057.98526358925</v>
      </c>
    </row>
    <row r="14" spans="1:20">
      <c r="A14" s="18" t="s">
        <v>78</v>
      </c>
      <c r="B14" s="11"/>
      <c r="C14" s="14"/>
      <c r="D14" s="14"/>
      <c r="E14" s="14">
        <f ca="1">-(I13+J13)-K13</f>
        <v>69124.684950782423</v>
      </c>
      <c r="F14" s="14"/>
      <c r="G14" s="14"/>
      <c r="H14" s="14"/>
      <c r="I14" s="14"/>
      <c r="J14" s="14"/>
      <c r="K14" s="13"/>
      <c r="L14" s="14">
        <f t="shared" ca="1" si="5"/>
        <v>69124.684950782423</v>
      </c>
      <c r="M14" s="16"/>
      <c r="N14" s="16"/>
      <c r="O14" s="11"/>
      <c r="P14" s="13"/>
      <c r="Q14" s="14">
        <f t="shared" ca="1" si="6"/>
        <v>69124.684950782423</v>
      </c>
      <c r="R14" s="16">
        <f t="shared" ca="1" si="4"/>
        <v>69124.684950782423</v>
      </c>
    </row>
    <row r="15" spans="1:20">
      <c r="A15" s="18" t="s">
        <v>79</v>
      </c>
      <c r="B15" s="11"/>
      <c r="C15" s="14"/>
      <c r="D15" s="14"/>
      <c r="E15" s="14">
        <f ca="1">E17-E14</f>
        <v>68933.300312806823</v>
      </c>
      <c r="F15" s="14"/>
      <c r="G15" s="14"/>
      <c r="H15" s="14"/>
      <c r="I15" s="14"/>
      <c r="J15" s="14"/>
      <c r="K15" s="13"/>
      <c r="L15" s="14">
        <f t="shared" ca="1" si="5"/>
        <v>68933.300312806823</v>
      </c>
      <c r="M15" s="16"/>
      <c r="N15" s="16"/>
      <c r="O15" s="11"/>
      <c r="P15" s="13"/>
      <c r="Q15" s="14">
        <f t="shared" ca="1" si="6"/>
        <v>68933.300312806823</v>
      </c>
      <c r="R15" s="16">
        <f t="shared" ca="1" si="4"/>
        <v>68933.300312806823</v>
      </c>
    </row>
    <row r="16" spans="1:20">
      <c r="A16" s="30" t="s">
        <v>89</v>
      </c>
      <c r="B16" s="21">
        <f ca="1">Q2</f>
        <v>219213.50907717855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219213.50907717855</v>
      </c>
      <c r="M16" s="19"/>
      <c r="N16" s="19"/>
      <c r="O16" s="21"/>
      <c r="P16" s="27"/>
      <c r="Q16" s="22">
        <f t="shared" ca="1" si="6"/>
        <v>219213.50907717855</v>
      </c>
      <c r="R16" s="19">
        <f t="shared" ca="1" si="4"/>
        <v>219213.50907717855</v>
      </c>
    </row>
    <row r="17" spans="1:18">
      <c r="A17" s="29" t="s">
        <v>88</v>
      </c>
      <c r="B17" s="9">
        <f ca="1">B16</f>
        <v>219213.50907717855</v>
      </c>
      <c r="C17" s="9">
        <f ca="1">SUM(C$2:C$11)</f>
        <v>539847.89842434903</v>
      </c>
      <c r="D17" s="9">
        <f ca="1">SUM(D$2:D$11)</f>
        <v>0</v>
      </c>
      <c r="E17" s="9">
        <f ca="1">$Q$5/parameters!$B$4</f>
        <v>138057.98526358925</v>
      </c>
      <c r="F17" s="9">
        <f t="shared" ref="F17:K17" ca="1" si="7">SUM(F$2:F$11)</f>
        <v>598004.77611940296</v>
      </c>
      <c r="G17" s="9">
        <f t="shared" ca="1" si="7"/>
        <v>67908.777429467082</v>
      </c>
      <c r="H17" s="9">
        <f t="shared" ca="1" si="7"/>
        <v>625917.17999999993</v>
      </c>
      <c r="I17" s="9">
        <f t="shared" ca="1" si="7"/>
        <v>392539</v>
      </c>
      <c r="J17" s="9">
        <f t="shared" ca="1" si="7"/>
        <v>255149.56330014224</v>
      </c>
      <c r="K17" s="9">
        <f t="shared" ca="1" si="7"/>
        <v>617017.37203413935</v>
      </c>
      <c r="L17" s="17">
        <f t="shared" ca="1" si="5"/>
        <v>3453656.0616482687</v>
      </c>
      <c r="M17" s="17"/>
      <c r="N17" s="17"/>
      <c r="O17" s="9"/>
      <c r="P17" s="14"/>
      <c r="Q17" s="11">
        <f t="shared" ca="1" si="6"/>
        <v>3453656.0616482687</v>
      </c>
      <c r="R17" s="17">
        <f t="shared" ca="1" si="4"/>
        <v>3453656.0616482687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0.90896380518493469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32645.270969237503</v>
      </c>
      <c r="D2" s="9">
        <f ca="1">Q4/parameters!$B$3</f>
        <v>23081.936198047701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55727.207167285203</v>
      </c>
      <c r="M2" s="17"/>
      <c r="N2" s="17">
        <f ca="1">Q2-(L2+O2+P2)</f>
        <v>0</v>
      </c>
      <c r="O2" s="11" cm="1">
        <f t="array" aca="1" ref="O2" ca="1">INDIRECT("'data'!$F$" &amp; $A$1)</f>
        <v>62355.15</v>
      </c>
      <c r="P2" s="13">
        <f ca="1">IF(-(L2-Q2+O2)&lt;0, -(L2-Q2+O2), 0)</f>
        <v>-7012.1848069616462</v>
      </c>
      <c r="Q2" s="17" cm="1">
        <f t="array" aca="1" ref="Q2" ca="1">INDIRECT("'data'!$D$" &amp; $A$1)</f>
        <v>111070.17236032356</v>
      </c>
      <c r="R2" s="17">
        <f ca="1">SUM(L2:P2)</f>
        <v>111070.17236032354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19989.492537313436</v>
      </c>
      <c r="G3" s="14">
        <f ca="1">Q3-O3-P3-F3</f>
        <v>11981.393224817872</v>
      </c>
      <c r="H3" s="14"/>
      <c r="I3" s="14"/>
      <c r="J3" s="14"/>
      <c r="K3" s="13"/>
      <c r="L3" s="16">
        <f t="shared" ca="1" si="0"/>
        <v>31970.885762131307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710.64</v>
      </c>
      <c r="P3" s="13" cm="1">
        <f t="array" aca="1" ref="P3" ca="1">-INDIRECT("'data'!$I$" &amp; $A$1)*parameters!$B$13</f>
        <v>-241.92</v>
      </c>
      <c r="Q3" s="16" cm="1">
        <f t="array" aca="1" ref="Q3" ca="1">INDIRECT("'data'!$G$" &amp; $A$1)*parameters!$B$13</f>
        <v>32439.605762131308</v>
      </c>
      <c r="R3" s="16">
        <f t="shared" ref="R3:R10" ca="1" si="2">SUM(L3:P3)</f>
        <v>32439.605762131308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21499.748581997184</v>
      </c>
      <c r="H4" s="14"/>
      <c r="I4" s="14"/>
      <c r="J4" s="14"/>
      <c r="K4" s="13"/>
      <c r="L4" s="16">
        <f t="shared" ca="1" si="0"/>
        <v>21499.748581997184</v>
      </c>
      <c r="M4" s="16"/>
      <c r="N4" s="16">
        <f t="shared" ca="1" si="1"/>
        <v>1409.1714180028175</v>
      </c>
      <c r="O4" s="11" cm="1">
        <f t="array" aca="1" ref="O4" ca="1">INDIRECT("'data'!$K$" &amp; $A$1)*parameters!$B$14</f>
        <v>63.480000000000004</v>
      </c>
      <c r="P4" s="13" cm="1">
        <f t="array" aca="1" ref="P4" ca="1">-INDIRECT("'data'!$L$" &amp; $A$1)*parameters!$B$14</f>
        <v>-35.880000000000003</v>
      </c>
      <c r="Q4" s="16" cm="1">
        <f t="array" aca="1" ref="Q4" ca="1">INDIRECT("'data'!$J$" &amp; $A$1)*parameters!$B$14</f>
        <v>22936.52</v>
      </c>
      <c r="R4" s="16">
        <f t="shared" ca="1" si="2"/>
        <v>22936.52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4997.3731343283589</v>
      </c>
      <c r="G5" s="38">
        <f ca="1">E14*parameters!$B$4-O5-P5-F5</f>
        <v>12661.804901648888</v>
      </c>
      <c r="H5" s="14"/>
      <c r="I5" s="14"/>
      <c r="J5" s="14"/>
      <c r="K5" s="13"/>
      <c r="L5" s="16">
        <f t="shared" ca="1" si="0"/>
        <v>17659.178035977246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-4550.1400000000003</v>
      </c>
      <c r="Q5" s="16">
        <f ca="1">SUM(L5:P5)</f>
        <v>13109.038035977246</v>
      </c>
      <c r="R5" s="16">
        <f t="shared" ca="1" si="2"/>
        <v>13109.038035977246</v>
      </c>
      <c r="S5" s="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23437.68</v>
      </c>
      <c r="I6" s="14"/>
      <c r="J6" s="14"/>
      <c r="K6" s="13"/>
      <c r="L6" s="16">
        <f t="shared" ca="1" si="0"/>
        <v>23437.68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23437.68</v>
      </c>
      <c r="R6" s="16">
        <f t="shared" ca="1" si="2"/>
        <v>23437.68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44158.799999999996</v>
      </c>
      <c r="I7" s="14"/>
      <c r="J7" s="14"/>
      <c r="K7" s="13"/>
      <c r="L7" s="16">
        <f t="shared" ca="1" si="0"/>
        <v>44158.799999999996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44158.799999999996</v>
      </c>
      <c r="R7" s="16">
        <f t="shared" ca="1" si="2"/>
        <v>44158.799999999996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35378.269106828608</v>
      </c>
      <c r="J8" s="14">
        <f ca="1">Q10/J18</f>
        <v>32548.470893171401</v>
      </c>
      <c r="K8" s="13"/>
      <c r="L8" s="16">
        <f t="shared" ca="1" si="0"/>
        <v>67926.740000000005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217.56</v>
      </c>
      <c r="P8" s="13" cm="1">
        <f t="array" aca="1" ref="P8" ca="1">-INDIRECT("'data'!$S$" &amp; $A$1)*parameters!$B$15</f>
        <v>-547.81999999999994</v>
      </c>
      <c r="Q8" s="16">
        <f ca="1">SUM(Q6:Q7)</f>
        <v>67596.479999999996</v>
      </c>
      <c r="R8" s="16">
        <f t="shared" ca="1" si="2"/>
        <v>67596.479999999996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31453.1</v>
      </c>
      <c r="L9" s="16">
        <f t="shared" ca="1" si="0"/>
        <v>31453.1</v>
      </c>
      <c r="M9" s="16"/>
      <c r="N9" s="16">
        <f t="shared" ca="1" si="3"/>
        <v>0</v>
      </c>
      <c r="O9" s="11" cm="1">
        <f t="array" aca="1" ref="O9" ca="1">INDIRECT("'data'!$U$" &amp; $A$1)*parameters!$B$15</f>
        <v>608.58000000000004</v>
      </c>
      <c r="P9" s="13" cm="1">
        <f t="array" aca="1" ref="P9" ca="1">-INDIRECT("'data'!$V$" &amp; $A$1)*parameters!$B$15</f>
        <v>-987.84</v>
      </c>
      <c r="Q9" s="16" cm="1">
        <f t="array" aca="1" ref="Q9" ca="1">INDIRECT("'data'!$T$" &amp; $A$1)*parameters!$B$15</f>
        <v>31073.84</v>
      </c>
      <c r="R9" s="16">
        <f t="shared" ca="1" si="2"/>
        <v>31073.84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32696.499743954479</v>
      </c>
      <c r="L10" s="16">
        <f t="shared" ca="1" si="0"/>
        <v>32696.499743954479</v>
      </c>
      <c r="M10" s="16"/>
      <c r="N10" s="16">
        <f t="shared" ca="1" si="3"/>
        <v>0</v>
      </c>
      <c r="O10" s="11" cm="1">
        <f t="array" aca="1" ref="O10" ca="1">INDIRECT("'data'!$X$" &amp; $A$1)*parameters!$B$15</f>
        <v>3035.06</v>
      </c>
      <c r="P10" s="13" cm="1">
        <f t="array" aca="1" ref="P10" ca="1">-INDIRECT("'data'!$Y$" &amp; $A$1)*parameters!$B$15</f>
        <v>-7143.22</v>
      </c>
      <c r="Q10" s="16" cm="1">
        <f t="array" aca="1" ref="Q10" ca="1">INDIRECT("'data'!$W$" &amp; $A$1)*parameters!$B$15</f>
        <v>28588.339743954479</v>
      </c>
      <c r="R10" s="16">
        <f t="shared" ca="1" si="2"/>
        <v>28588.339743954479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58598.263779800851</v>
      </c>
      <c r="N11" s="19"/>
      <c r="O11" s="21" cm="1">
        <f t="array" aca="1" ref="O11" ca="1">INDIRECT("'data'!$Z$" &amp; $A$1)*parameters!$B$15</f>
        <v>2488.2199999999998</v>
      </c>
      <c r="P11" s="27" cm="1">
        <f t="array" aca="1" ref="P11" ca="1">-INDIRECT("'data'!$AA$" &amp; $A$1)*parameters!$B$15</f>
        <v>-3401.58</v>
      </c>
      <c r="Q11" s="16">
        <f ca="1">K9*parameters!$B$10+K10*parameters!$B$11</f>
        <v>57684.90377980085</v>
      </c>
      <c r="R11" s="16">
        <f t="shared" ref="R11:R17" ca="1" si="4">SUM(L11:P11)</f>
        <v>57684.90377980085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-205.66520710619443</v>
      </c>
      <c r="D12" s="9">
        <f ca="1">-(D17-Q4)</f>
        <v>-145.41619804770016</v>
      </c>
      <c r="E12" s="9">
        <f ca="1">-(E17-Q5)</f>
        <v>-1620.218184221907</v>
      </c>
      <c r="F12" s="9">
        <f ca="1">-(F17-Q6)</f>
        <v>-1549.1856716417933</v>
      </c>
      <c r="G12" s="9">
        <f ca="1">-(G17-Q7)</f>
        <v>-1984.1467084639444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-5504.6319694815393</v>
      </c>
      <c r="M12" s="17"/>
      <c r="N12" s="17"/>
      <c r="O12" s="10"/>
      <c r="P12" s="12"/>
      <c r="Q12" s="9">
        <f t="shared" ref="Q12:Q17" ca="1" si="6">SUM(L12:P12)</f>
        <v>-5504.6319694815393</v>
      </c>
      <c r="R12" s="17">
        <f t="shared" ca="1" si="4"/>
        <v>-5504.6319694815393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-4304.4291068286075</v>
      </c>
      <c r="J13" s="14">
        <f ca="1">-(J17-Q10)</f>
        <v>-3960.1311492169225</v>
      </c>
      <c r="K13" s="13">
        <f ca="1">-(K17-Q11)</f>
        <v>-6464.6959641536232</v>
      </c>
      <c r="L13" s="14">
        <f t="shared" ca="1" si="5"/>
        <v>-14729.256220199153</v>
      </c>
      <c r="M13" s="16">
        <f ca="1">-E15</f>
        <v>0</v>
      </c>
      <c r="N13" s="16"/>
      <c r="O13" s="11"/>
      <c r="P13" s="13"/>
      <c r="Q13" s="14">
        <f t="shared" ca="1" si="6"/>
        <v>-14729.256220199153</v>
      </c>
      <c r="R13" s="16">
        <f t="shared" ca="1" si="4"/>
        <v>-14729.256220199153</v>
      </c>
    </row>
    <row r="14" spans="1:22">
      <c r="A14" s="18" t="s">
        <v>78</v>
      </c>
      <c r="B14" s="11"/>
      <c r="C14" s="14"/>
      <c r="D14" s="14"/>
      <c r="E14" s="14">
        <f ca="1">-(I13+J13)-K13</f>
        <v>14729.256220199153</v>
      </c>
      <c r="F14" s="14"/>
      <c r="G14" s="14"/>
      <c r="H14" s="14"/>
      <c r="I14" s="14"/>
      <c r="J14" s="14"/>
      <c r="K14" s="13"/>
      <c r="L14" s="14">
        <f t="shared" ca="1" si="5"/>
        <v>14729.256220199153</v>
      </c>
      <c r="M14" s="16"/>
      <c r="N14" s="16"/>
      <c r="O14" s="11"/>
      <c r="P14" s="13"/>
      <c r="Q14" s="14">
        <f t="shared" ca="1" si="6"/>
        <v>14729.256220199153</v>
      </c>
      <c r="R14" s="16">
        <f t="shared" ca="1" si="4"/>
        <v>14729.256220199153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111070.17236032356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111070.17236032356</v>
      </c>
      <c r="M16" s="19"/>
      <c r="N16" s="19"/>
      <c r="O16" s="21"/>
      <c r="P16" s="27"/>
      <c r="Q16" s="22">
        <f t="shared" ca="1" si="6"/>
        <v>111070.17236032356</v>
      </c>
      <c r="R16" s="19">
        <f t="shared" ca="1" si="4"/>
        <v>111070.17236032356</v>
      </c>
    </row>
    <row r="17" spans="1:18">
      <c r="A17" s="29" t="s">
        <v>88</v>
      </c>
      <c r="B17" s="9">
        <f ca="1">B16</f>
        <v>111070.17236032356</v>
      </c>
      <c r="C17" s="9">
        <f ca="1">SUM(C$2:C$11)</f>
        <v>32645.270969237503</v>
      </c>
      <c r="D17" s="9">
        <f ca="1">SUM(D$2:D$11)</f>
        <v>23081.936198047701</v>
      </c>
      <c r="E17" s="9">
        <f ca="1">$Q$5/parameters!$B$4</f>
        <v>14729.256220199153</v>
      </c>
      <c r="F17" s="9">
        <f t="shared" ref="F17:K17" ca="1" si="7">SUM(F$2:F$11)</f>
        <v>24986.865671641794</v>
      </c>
      <c r="G17" s="9">
        <f t="shared" ca="1" si="7"/>
        <v>46142.94670846394</v>
      </c>
      <c r="H17" s="9">
        <f t="shared" ca="1" si="7"/>
        <v>67596.479999999996</v>
      </c>
      <c r="I17" s="9">
        <f t="shared" ca="1" si="7"/>
        <v>35378.269106828608</v>
      </c>
      <c r="J17" s="9">
        <f t="shared" ca="1" si="7"/>
        <v>32548.470893171401</v>
      </c>
      <c r="K17" s="9">
        <f t="shared" ca="1" si="7"/>
        <v>64149.599743954474</v>
      </c>
      <c r="L17" s="17">
        <f t="shared" ca="1" si="5"/>
        <v>452329.26787186816</v>
      </c>
      <c r="M17" s="17"/>
      <c r="N17" s="17"/>
      <c r="O17" s="9"/>
      <c r="P17" s="14"/>
      <c r="Q17" s="11">
        <f t="shared" ca="1" si="6"/>
        <v>452329.26787186816</v>
      </c>
      <c r="R17" s="17">
        <f t="shared" ca="1" si="4"/>
        <v>452329.26787186816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0.87833126901062042</v>
      </c>
      <c r="J18" s="39">
        <f ca="1">I18</f>
        <v>0.87833126901062042</v>
      </c>
      <c r="K18" s="40">
        <f ca="1">1-(-K13)/K17</f>
        <v>0.89922468745001227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78250.412599376068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78250.412599376068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-78250.412599376068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77948.364179104479</v>
      </c>
      <c r="G3" s="14">
        <f ca="1">Q3-O3-P3-F3</f>
        <v>112.41582089551957</v>
      </c>
      <c r="H3" s="14"/>
      <c r="I3" s="14"/>
      <c r="J3" s="14"/>
      <c r="K3" s="13"/>
      <c r="L3" s="16">
        <f t="shared" ca="1" si="0"/>
        <v>78060.78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31.184999999999999</v>
      </c>
      <c r="P3" s="13" cm="1">
        <f t="array" aca="1" ref="P3" ca="1">-INDIRECT("'data'!$I$" &amp; $A$1)*parameters!$B$13</f>
        <v>-334.53</v>
      </c>
      <c r="Q3" s="16" cm="1">
        <f t="array" aca="1" ref="Q3" ca="1">INDIRECT("'data'!$G$" &amp; $A$1)*parameters!$B$13</f>
        <v>77757.434999999998</v>
      </c>
      <c r="R3" s="16">
        <f t="shared" ref="R3:R10" ca="1" si="2">SUM(L3:P3)</f>
        <v>77757.434999999998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207.00000000000003</v>
      </c>
      <c r="H4" s="14"/>
      <c r="I4" s="14"/>
      <c r="J4" s="14"/>
      <c r="K4" s="13"/>
      <c r="L4" s="16">
        <f t="shared" ca="1" si="0"/>
        <v>207.00000000000003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-207.92000000000002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Q6/parameters!$B$5*13%</f>
        <v>11647.456716417912</v>
      </c>
      <c r="G5" s="14">
        <f ca="1">Q7/parameters!$B$7-(G3+G4)</f>
        <v>24096.613437202705</v>
      </c>
      <c r="H5" s="14"/>
      <c r="I5" s="14"/>
      <c r="J5" s="14"/>
      <c r="K5" s="13"/>
      <c r="L5" s="16">
        <f t="shared" ca="1" si="0"/>
        <v>35744.070153620618</v>
      </c>
      <c r="M5" s="16"/>
      <c r="N5" s="16"/>
      <c r="O5" s="11" cm="1">
        <f t="array" aca="1" ref="O5" ca="1">INDIRECT("'data'!$M$" &amp; $A$1)*parameters!$B$15</f>
        <v>6342.5599999999995</v>
      </c>
      <c r="P5" s="13" cm="1">
        <f t="array" aca="1" ref="P5" ca="1">-INDIRECT("'data'!$N$" &amp; $A$1)*parameters!$B$15</f>
        <v>-481.18</v>
      </c>
      <c r="Q5" s="16">
        <f ca="1">SUM(L5:P5)</f>
        <v>41605.450153620615</v>
      </c>
      <c r="R5" s="16">
        <f t="shared" ca="1" si="2"/>
        <v>41605.450153620615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84040.88</v>
      </c>
      <c r="I6" s="14"/>
      <c r="J6" s="14"/>
      <c r="K6" s="13"/>
      <c r="L6" s="16">
        <f t="shared" ca="1" si="0"/>
        <v>84040.88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84040.88</v>
      </c>
      <c r="R6" s="16">
        <f t="shared" ca="1" si="2"/>
        <v>84040.88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23366.14</v>
      </c>
      <c r="I7" s="14"/>
      <c r="J7" s="14"/>
      <c r="K7" s="13"/>
      <c r="L7" s="16">
        <f t="shared" ca="1" si="0"/>
        <v>23366.14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23366.14</v>
      </c>
      <c r="R7" s="16">
        <f t="shared" ca="1" si="2"/>
        <v>23366.14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32585.984957940331</v>
      </c>
      <c r="J8" s="14">
        <f ca="1">Q10/J18</f>
        <v>69792.655042059661</v>
      </c>
      <c r="K8" s="13"/>
      <c r="L8" s="16">
        <f t="shared" ca="1" si="0"/>
        <v>102378.63999999998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5124.42</v>
      </c>
      <c r="P8" s="13" cm="1">
        <f t="array" aca="1" ref="P8" ca="1">-INDIRECT("'data'!$S$" &amp; $A$1)*parameters!$B$15</f>
        <v>-96.039999999999992</v>
      </c>
      <c r="Q8" s="16">
        <f ca="1">SUM(Q6:Q7)</f>
        <v>107407.02</v>
      </c>
      <c r="R8" s="16">
        <f t="shared" ca="1" si="2"/>
        <v>107407.01999999999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25587.8</v>
      </c>
      <c r="L9" s="16">
        <f t="shared" ca="1" si="0"/>
        <v>25587.8</v>
      </c>
      <c r="M9" s="16"/>
      <c r="N9" s="16">
        <f t="shared" ca="1" si="3"/>
        <v>0</v>
      </c>
      <c r="O9" s="11" cm="1">
        <f t="array" aca="1" ref="O9" ca="1">INDIRECT("'data'!$U$" &amp; $A$1)*parameters!$B$15</f>
        <v>5078.3599999999997</v>
      </c>
      <c r="P9" s="13" cm="1">
        <f t="array" aca="1" ref="P9" ca="1">-INDIRECT("'data'!$V$" &amp; $A$1)*parameters!$B$15</f>
        <v>-727.16</v>
      </c>
      <c r="Q9" s="16" cm="1">
        <f t="array" aca="1" ref="Q9" ca="1">INDIRECT("'data'!$T$" &amp; $A$1)*parameters!$B$15</f>
        <v>29939</v>
      </c>
      <c r="R9" s="16">
        <f t="shared" ca="1" si="2"/>
        <v>29939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38561.023271692742</v>
      </c>
      <c r="L10" s="16">
        <f t="shared" ca="1" si="0"/>
        <v>38561.023271692742</v>
      </c>
      <c r="M10" s="16"/>
      <c r="N10" s="16">
        <f t="shared" ca="1" si="3"/>
        <v>0</v>
      </c>
      <c r="O10" s="11" cm="1">
        <f t="array" aca="1" ref="O10" ca="1">INDIRECT("'data'!$X$" &amp; $A$1)*parameters!$B$15</f>
        <v>28834.54</v>
      </c>
      <c r="P10" s="13" cm="1">
        <f t="array" aca="1" ref="P10" ca="1">-INDIRECT("'data'!$Y$" &amp; $A$1)*parameters!$B$15</f>
        <v>-3272.22</v>
      </c>
      <c r="Q10" s="16" cm="1">
        <f t="array" aca="1" ref="Q10" ca="1">INDIRECT("'data'!$W$" &amp; $A$1)*parameters!$B$15</f>
        <v>64123.343271692742</v>
      </c>
      <c r="R10" s="16">
        <f t="shared" ca="1" si="2"/>
        <v>64123.343271692749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37027.01201365576</v>
      </c>
      <c r="N11" s="19"/>
      <c r="O11" s="21" cm="1">
        <f t="array" aca="1" ref="O11" ca="1">INDIRECT("'data'!$Z$" &amp; $A$1)*parameters!$B$15</f>
        <v>26001.360000000001</v>
      </c>
      <c r="P11" s="27" cm="1">
        <f t="array" aca="1" ref="P11" ca="1">-INDIRECT("'data'!$AA$" &amp; $A$1)*parameters!$B$15</f>
        <v>-5813.36</v>
      </c>
      <c r="Q11" s="16">
        <f ca="1">K9*parameters!$B$10+K10*parameters!$B$11</f>
        <v>57215.01201365576</v>
      </c>
      <c r="R11" s="16">
        <f t="shared" ref="R11:R17" ca="1" si="4">SUM(L11:P11)</f>
        <v>57215.01201365576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-492.97759937607043</v>
      </c>
      <c r="D12" s="9">
        <f ca="1">-(D17-Q4)</f>
        <v>0</v>
      </c>
      <c r="E12" s="9">
        <f ca="1">-(E17-Q5)</f>
        <v>-5142.2466482003001</v>
      </c>
      <c r="F12" s="9">
        <f ca="1">-(F17-Q6)</f>
        <v>-5554.9408955223917</v>
      </c>
      <c r="G12" s="9">
        <f ca="1">-(G17-Q7)</f>
        <v>-1049.8892580982247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-12240.054401196987</v>
      </c>
      <c r="M12" s="17"/>
      <c r="N12" s="17"/>
      <c r="O12" s="10"/>
      <c r="P12" s="12"/>
      <c r="Q12" s="9">
        <f t="shared" ref="Q12:Q17" ca="1" si="6">SUM(L12:P12)</f>
        <v>-12240.054401196987</v>
      </c>
      <c r="R12" s="17">
        <f t="shared" ca="1" si="4"/>
        <v>-12240.054401196987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-2646.9849579403308</v>
      </c>
      <c r="J13" s="14">
        <f ca="1">-(J17-Q10)</f>
        <v>-5669.3117703669195</v>
      </c>
      <c r="K13" s="13">
        <f ca="1">-(K17-Q11)</f>
        <v>-6933.8112580369852</v>
      </c>
      <c r="L13" s="14">
        <f t="shared" ca="1" si="5"/>
        <v>-15250.107986344236</v>
      </c>
      <c r="M13" s="16">
        <f ca="1">-E15</f>
        <v>-31497.58881547668</v>
      </c>
      <c r="N13" s="16"/>
      <c r="O13" s="11"/>
      <c r="P13" s="13"/>
      <c r="Q13" s="14">
        <f t="shared" ca="1" si="6"/>
        <v>-46747.696801820915</v>
      </c>
      <c r="R13" s="16">
        <f t="shared" ca="1" si="4"/>
        <v>-46747.696801820915</v>
      </c>
    </row>
    <row r="14" spans="1:20">
      <c r="A14" s="18" t="s">
        <v>78</v>
      </c>
      <c r="B14" s="11"/>
      <c r="C14" s="14"/>
      <c r="D14" s="14"/>
      <c r="E14" s="14">
        <f ca="1">-(I13+J13)-K13</f>
        <v>15250.107986344236</v>
      </c>
      <c r="F14" s="14"/>
      <c r="G14" s="14"/>
      <c r="H14" s="14"/>
      <c r="I14" s="14"/>
      <c r="J14" s="14"/>
      <c r="K14" s="13"/>
      <c r="L14" s="14">
        <f t="shared" ca="1" si="5"/>
        <v>15250.107986344236</v>
      </c>
      <c r="M14" s="16"/>
      <c r="N14" s="16"/>
      <c r="O14" s="11"/>
      <c r="P14" s="13"/>
      <c r="Q14" s="14">
        <f t="shared" ca="1" si="6"/>
        <v>15250.107986344236</v>
      </c>
      <c r="R14" s="16">
        <f t="shared" ca="1" si="4"/>
        <v>15250.107986344236</v>
      </c>
    </row>
    <row r="15" spans="1:20">
      <c r="A15" s="18" t="s">
        <v>79</v>
      </c>
      <c r="B15" s="11"/>
      <c r="C15" s="14"/>
      <c r="D15" s="14"/>
      <c r="E15" s="14">
        <f ca="1">E17-E14</f>
        <v>31497.58881547668</v>
      </c>
      <c r="F15" s="14"/>
      <c r="G15" s="14"/>
      <c r="H15" s="14"/>
      <c r="I15" s="14"/>
      <c r="J15" s="14"/>
      <c r="K15" s="13"/>
      <c r="L15" s="14">
        <f t="shared" ca="1" si="5"/>
        <v>31497.58881547668</v>
      </c>
      <c r="M15" s="16"/>
      <c r="N15" s="16"/>
      <c r="O15" s="11"/>
      <c r="P15" s="13"/>
      <c r="Q15" s="14">
        <f t="shared" ca="1" si="6"/>
        <v>31497.58881547668</v>
      </c>
      <c r="R15" s="16">
        <f t="shared" ca="1" si="4"/>
        <v>31497.58881547668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78250.412599376068</v>
      </c>
      <c r="D17" s="9">
        <f ca="1">SUM(D$2:D$11)</f>
        <v>0</v>
      </c>
      <c r="E17" s="9">
        <f ca="1">$Q$5/parameters!$B$4</f>
        <v>46747.696801820915</v>
      </c>
      <c r="F17" s="9">
        <f t="shared" ref="F17:K17" ca="1" si="7">SUM(F$2:F$11)</f>
        <v>89595.820895522396</v>
      </c>
      <c r="G17" s="9">
        <f t="shared" ca="1" si="7"/>
        <v>24416.029258098224</v>
      </c>
      <c r="H17" s="9">
        <f t="shared" ca="1" si="7"/>
        <v>107407.02</v>
      </c>
      <c r="I17" s="9">
        <f t="shared" ca="1" si="7"/>
        <v>32585.984957940331</v>
      </c>
      <c r="J17" s="9">
        <f t="shared" ca="1" si="7"/>
        <v>69792.655042059661</v>
      </c>
      <c r="K17" s="9">
        <f t="shared" ca="1" si="7"/>
        <v>64148.823271692745</v>
      </c>
      <c r="L17" s="17">
        <f t="shared" ca="1" si="5"/>
        <v>512944.44282651035</v>
      </c>
      <c r="M17" s="17"/>
      <c r="N17" s="17"/>
      <c r="O17" s="9"/>
      <c r="P17" s="14"/>
      <c r="Q17" s="11">
        <f t="shared" ca="1" si="6"/>
        <v>512944.44282651035</v>
      </c>
      <c r="R17" s="17">
        <f t="shared" ca="1" si="4"/>
        <v>512944.44282651035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0.91876922052971943</v>
      </c>
      <c r="J18" s="39">
        <f ca="1">I18</f>
        <v>0.91876922052971943</v>
      </c>
      <c r="K18" s="40">
        <f ca="1">1-(-K13)/K17</f>
        <v>0.8919105463763557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25527.457985307436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25527.457985307436</v>
      </c>
      <c r="M2" s="17"/>
      <c r="N2" s="17">
        <f ca="1">Q2-(L2+O2+P2)</f>
        <v>0</v>
      </c>
      <c r="O2" s="11" cm="1">
        <f t="array" aca="1" ref="O2" ca="1">INDIRECT("'data'!$F$" &amp; $A$1)</f>
        <v>6468.1500000000005</v>
      </c>
      <c r="P2" s="13">
        <f ca="1">IF(-(L2-Q2+O2)&lt;0, -(L2-Q2+O2), 0)</f>
        <v>-695.60798530743614</v>
      </c>
      <c r="Q2" s="17" cm="1">
        <f t="array" aca="1" ref="Q2" ca="1">INDIRECT("'data'!$D$" &amp; $A$1)</f>
        <v>31300</v>
      </c>
      <c r="R2" s="17">
        <f ca="1">SUM(L2:P2)</f>
        <v>31300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26692.713432835822</v>
      </c>
      <c r="G3" s="14">
        <f ca="1">Q3-O3-P3-F3</f>
        <v>1877.4715671641789</v>
      </c>
      <c r="H3" s="14"/>
      <c r="I3" s="14"/>
      <c r="J3" s="14"/>
      <c r="K3" s="13"/>
      <c r="L3" s="16">
        <f t="shared" ca="1" si="0"/>
        <v>28570.185000000001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76.545000000000002</v>
      </c>
      <c r="P3" s="13" cm="1">
        <f t="array" aca="1" ref="P3" ca="1">-INDIRECT("'data'!$I$" &amp; $A$1)*parameters!$B$13</f>
        <v>-3280.0949999999998</v>
      </c>
      <c r="Q3" s="16" cm="1">
        <f t="array" aca="1" ref="Q3" ca="1">INDIRECT("'data'!$G$" &amp; $A$1)*parameters!$B$13</f>
        <v>25366.634999999998</v>
      </c>
      <c r="R3" s="16">
        <f t="shared" ref="R3:R10" ca="1" si="2">SUM(L3:P3)</f>
        <v>25366.634999999998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1503.2800000000002</v>
      </c>
      <c r="H4" s="14"/>
      <c r="I4" s="14"/>
      <c r="J4" s="14"/>
      <c r="K4" s="13"/>
      <c r="L4" s="16">
        <f t="shared" ca="1" si="0"/>
        <v>1503.2800000000002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8.2800000000000011</v>
      </c>
      <c r="P4" s="13" cm="1">
        <f t="array" aca="1" ref="P4" ca="1">-INDIRECT("'data'!$L$" &amp; $A$1)*parameters!$B$14</f>
        <v>-1511.5600000000002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Q6/parameters!$B$5*18%</f>
        <v>5859.3761194029858</v>
      </c>
      <c r="G5" s="14">
        <f ca="1">Q7/parameters!$B$7-(G3+G4)</f>
        <v>47143.010188321714</v>
      </c>
      <c r="H5" s="14"/>
      <c r="I5" s="14"/>
      <c r="J5" s="14"/>
      <c r="K5" s="13"/>
      <c r="L5" s="16">
        <f t="shared" ca="1" si="0"/>
        <v>53002.386307724701</v>
      </c>
      <c r="M5" s="16"/>
      <c r="N5" s="16"/>
      <c r="O5" s="11" cm="1">
        <f t="array" aca="1" ref="O5" ca="1">INDIRECT("'data'!$M$" &amp; $A$1)*parameters!$B$15</f>
        <v>20145.86</v>
      </c>
      <c r="P5" s="13" cm="1">
        <f t="array" aca="1" ref="P5" ca="1">-INDIRECT("'data'!$N$" &amp; $A$1)*parameters!$B$15</f>
        <v>-3697.54</v>
      </c>
      <c r="Q5" s="16">
        <f ca="1">SUM(L5:P5)</f>
        <v>69450.706307724715</v>
      </c>
      <c r="R5" s="16">
        <f t="shared" ca="1" si="2"/>
        <v>69450.706307724715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30533.86</v>
      </c>
      <c r="I6" s="14"/>
      <c r="J6" s="14"/>
      <c r="K6" s="13"/>
      <c r="L6" s="16">
        <f t="shared" ca="1" si="0"/>
        <v>30533.86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30533.86</v>
      </c>
      <c r="R6" s="16">
        <f t="shared" ca="1" si="2"/>
        <v>30533.86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48351.24</v>
      </c>
      <c r="I7" s="14"/>
      <c r="J7" s="14"/>
      <c r="K7" s="13"/>
      <c r="L7" s="16">
        <f t="shared" ca="1" si="0"/>
        <v>48351.24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48351.24</v>
      </c>
      <c r="R7" s="16">
        <f t="shared" ca="1" si="2"/>
        <v>48351.24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24391.288129074248</v>
      </c>
      <c r="J8" s="14">
        <f ca="1">Q10/J18</f>
        <v>58394.211870925763</v>
      </c>
      <c r="K8" s="13"/>
      <c r="L8" s="16">
        <f t="shared" ca="1" si="0"/>
        <v>82785.500000000015</v>
      </c>
      <c r="M8" s="16"/>
      <c r="N8" s="16">
        <f t="shared" ca="1" si="3"/>
        <v>0</v>
      </c>
      <c r="O8" s="11" cm="1">
        <f t="array" aca="1" ref="O8" ca="1">INDIRECT("'data'!$R$" &amp; $A$1)*parameters!$B$15</f>
        <v>603.67999999999995</v>
      </c>
      <c r="P8" s="13" cm="1">
        <f t="array" aca="1" ref="P8" ca="1">-INDIRECT("'data'!$S$" &amp; $A$1)*parameters!$B$15</f>
        <v>-4504.08</v>
      </c>
      <c r="Q8" s="16">
        <f ca="1">SUM(Q6:Q7)</f>
        <v>78885.100000000006</v>
      </c>
      <c r="R8" s="16">
        <f t="shared" ca="1" si="2"/>
        <v>78885.100000000006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23271.079999999998</v>
      </c>
      <c r="L9" s="16">
        <f t="shared" ca="1" si="0"/>
        <v>23271.079999999998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2851.7999999999997</v>
      </c>
      <c r="P9" s="13" cm="1">
        <f t="array" aca="1" ref="P9" ca="1">-INDIRECT("'data'!$V$" &amp; $A$1)*parameters!$B$15</f>
        <v>-4477.62</v>
      </c>
      <c r="Q9" s="16" cm="1">
        <f t="array" aca="1" ref="Q9" ca="1">INDIRECT("'data'!$T$" &amp; $A$1)*parameters!$B$15</f>
        <v>21645.26</v>
      </c>
      <c r="R9" s="16">
        <f t="shared" ca="1" si="2"/>
        <v>21645.26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52869.63524893314</v>
      </c>
      <c r="L10" s="16">
        <f t="shared" ca="1" si="0"/>
        <v>52869.63524893314</v>
      </c>
      <c r="M10" s="16"/>
      <c r="N10" s="16">
        <f t="shared" ca="1" si="3"/>
        <v>0</v>
      </c>
      <c r="O10" s="11" cm="1">
        <f t="array" aca="1" ref="O10" ca="1">INDIRECT("'data'!$X$" &amp; $A$1)*parameters!$B$15</f>
        <v>6360.2</v>
      </c>
      <c r="P10" s="13" cm="1">
        <f t="array" aca="1" ref="P10" ca="1">-INDIRECT("'data'!$Y$" &amp; $A$1)*parameters!$B$15</f>
        <v>-7409.78</v>
      </c>
      <c r="Q10" s="16" cm="1">
        <f t="array" aca="1" ref="Q10" ca="1">INDIRECT("'data'!$W$" &amp; $A$1)*parameters!$B$15</f>
        <v>51820.055248933139</v>
      </c>
      <c r="R10" s="16">
        <f t="shared" ca="1" si="2"/>
        <v>51820.055248933139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78439.241514082489</v>
      </c>
      <c r="N11" s="19"/>
      <c r="O11" s="21" cm="1">
        <f t="array" aca="1" ref="O11" ca="1">INDIRECT("'data'!$Z$" &amp; $A$1)*parameters!$B$15</f>
        <v>18308.36</v>
      </c>
      <c r="P11" s="27" cm="1">
        <f t="array" aca="1" ref="P11" ca="1">-INDIRECT("'data'!$AA$" &amp; $A$1)*parameters!$B$15</f>
        <v>-29404.899999999998</v>
      </c>
      <c r="Q11" s="16">
        <f ca="1">K9*parameters!$B$10+K10*parameters!$B$11</f>
        <v>67342.701514082495</v>
      </c>
      <c r="R11" s="16">
        <f t="shared" ref="R11:R17" ca="1" si="4">SUM(L11:P11)</f>
        <v>67342.701514082495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-160.82298530743719</v>
      </c>
      <c r="D12" s="9">
        <f ca="1">-(D17-Q4)</f>
        <v>0</v>
      </c>
      <c r="E12" s="9">
        <f ca="1">-(E17-Q5)</f>
        <v>-8583.7951616288919</v>
      </c>
      <c r="F12" s="9">
        <f ca="1">-(F17-Q6)</f>
        <v>-2018.2295522388085</v>
      </c>
      <c r="G12" s="9">
        <f ca="1">-(G17-Q7)</f>
        <v>-2172.5217554858973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-12935.369454661035</v>
      </c>
      <c r="M12" s="17"/>
      <c r="N12" s="17"/>
      <c r="O12" s="10"/>
      <c r="P12" s="12"/>
      <c r="Q12" s="9">
        <f t="shared" ref="Q12:Q17" ca="1" si="6">SUM(L12:P12)</f>
        <v>-12935.369454661035</v>
      </c>
      <c r="R12" s="17">
        <f t="shared" ca="1" si="4"/>
        <v>-12935.369454661035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-2746.0281290742496</v>
      </c>
      <c r="J13" s="14">
        <f ca="1">-(J17-Q10)</f>
        <v>-6574.1566219926244</v>
      </c>
      <c r="K13" s="13">
        <f ca="1">-(K17-Q11)</f>
        <v>-8798.0137348506396</v>
      </c>
      <c r="L13" s="14">
        <f t="shared" ca="1" si="5"/>
        <v>-18118.198485917514</v>
      </c>
      <c r="M13" s="16">
        <f ca="1">-E15</f>
        <v>-59916.302983436093</v>
      </c>
      <c r="N13" s="16"/>
      <c r="O13" s="11"/>
      <c r="P13" s="13"/>
      <c r="Q13" s="14">
        <f t="shared" ca="1" si="6"/>
        <v>-78034.501469353607</v>
      </c>
      <c r="R13" s="16">
        <f t="shared" ca="1" si="4"/>
        <v>-78034.501469353607</v>
      </c>
    </row>
    <row r="14" spans="1:20">
      <c r="A14" s="18" t="s">
        <v>78</v>
      </c>
      <c r="B14" s="11"/>
      <c r="C14" s="14"/>
      <c r="D14" s="14"/>
      <c r="E14" s="14">
        <f ca="1">-(I13+J13)-K13</f>
        <v>18118.198485917514</v>
      </c>
      <c r="F14" s="14"/>
      <c r="G14" s="14"/>
      <c r="H14" s="14"/>
      <c r="I14" s="14"/>
      <c r="J14" s="14"/>
      <c r="K14" s="13"/>
      <c r="L14" s="14">
        <f t="shared" ca="1" si="5"/>
        <v>18118.198485917514</v>
      </c>
      <c r="M14" s="16"/>
      <c r="N14" s="16"/>
      <c r="O14" s="11"/>
      <c r="P14" s="13"/>
      <c r="Q14" s="14">
        <f t="shared" ca="1" si="6"/>
        <v>18118.198485917514</v>
      </c>
      <c r="R14" s="16">
        <f t="shared" ca="1" si="4"/>
        <v>18118.198485917514</v>
      </c>
    </row>
    <row r="15" spans="1:20">
      <c r="A15" s="18" t="s">
        <v>79</v>
      </c>
      <c r="B15" s="11"/>
      <c r="C15" s="14"/>
      <c r="D15" s="14"/>
      <c r="E15" s="14">
        <f ca="1">E17-E14</f>
        <v>59916.302983436093</v>
      </c>
      <c r="F15" s="14"/>
      <c r="G15" s="14"/>
      <c r="H15" s="14"/>
      <c r="I15" s="14"/>
      <c r="J15" s="14"/>
      <c r="K15" s="13"/>
      <c r="L15" s="14">
        <f t="shared" ca="1" si="5"/>
        <v>59916.302983436093</v>
      </c>
      <c r="M15" s="16"/>
      <c r="N15" s="16"/>
      <c r="O15" s="11"/>
      <c r="P15" s="13"/>
      <c r="Q15" s="14">
        <f t="shared" ca="1" si="6"/>
        <v>59916.302983436093</v>
      </c>
      <c r="R15" s="16">
        <f t="shared" ca="1" si="4"/>
        <v>59916.302983436093</v>
      </c>
    </row>
    <row r="16" spans="1:20">
      <c r="A16" s="30" t="s">
        <v>89</v>
      </c>
      <c r="B16" s="21">
        <f ca="1">Q2</f>
        <v>31300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31300</v>
      </c>
      <c r="M16" s="19"/>
      <c r="N16" s="19"/>
      <c r="O16" s="21"/>
      <c r="P16" s="27"/>
      <c r="Q16" s="22">
        <f t="shared" ca="1" si="6"/>
        <v>31300</v>
      </c>
      <c r="R16" s="19">
        <f t="shared" ca="1" si="4"/>
        <v>31300</v>
      </c>
    </row>
    <row r="17" spans="1:18">
      <c r="A17" s="29" t="s">
        <v>88</v>
      </c>
      <c r="B17" s="9">
        <f ca="1">B16</f>
        <v>31300</v>
      </c>
      <c r="C17" s="9">
        <f ca="1">SUM(C$2:C$11)</f>
        <v>25527.457985307436</v>
      </c>
      <c r="D17" s="9">
        <f ca="1">SUM(D$2:D$11)</f>
        <v>0</v>
      </c>
      <c r="E17" s="9">
        <f ca="1">$Q$5/parameters!$B$4</f>
        <v>78034.501469353607</v>
      </c>
      <c r="F17" s="9">
        <f t="shared" ref="F17:K17" ca="1" si="7">SUM(F$2:F$11)</f>
        <v>32552.089552238809</v>
      </c>
      <c r="G17" s="9">
        <f t="shared" ca="1" si="7"/>
        <v>50523.761755485895</v>
      </c>
      <c r="H17" s="9">
        <f t="shared" ca="1" si="7"/>
        <v>78885.100000000006</v>
      </c>
      <c r="I17" s="9">
        <f t="shared" ca="1" si="7"/>
        <v>24391.288129074248</v>
      </c>
      <c r="J17" s="9">
        <f t="shared" ca="1" si="7"/>
        <v>58394.211870925763</v>
      </c>
      <c r="K17" s="9">
        <f t="shared" ca="1" si="7"/>
        <v>76140.715248933135</v>
      </c>
      <c r="L17" s="17">
        <f t="shared" ca="1" si="5"/>
        <v>455749.12601131893</v>
      </c>
      <c r="M17" s="17"/>
      <c r="N17" s="17"/>
      <c r="O17" s="9"/>
      <c r="P17" s="14"/>
      <c r="Q17" s="11">
        <f t="shared" ca="1" si="6"/>
        <v>455749.12601131893</v>
      </c>
      <c r="R17" s="17">
        <f t="shared" ca="1" si="4"/>
        <v>455749.12601131893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0.88741766672826916</v>
      </c>
      <c r="J18" s="39">
        <f ca="1">I18</f>
        <v>0.88741766672826916</v>
      </c>
      <c r="K18" s="40">
        <f ca="1">1-(-K13)/K17</f>
        <v>0.88445060299096789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45584.814330280766</v>
      </c>
      <c r="D2" s="9">
        <f ca="1">Q4/parameters!$B$3</f>
        <v>4351.4139076179936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49936.228237898758</v>
      </c>
      <c r="M2" s="17"/>
      <c r="N2" s="17">
        <f ca="1">Q2-(L2+O2+P2)</f>
        <v>0</v>
      </c>
      <c r="O2" s="11" cm="1">
        <f t="array" aca="1" ref="O2" ca="1">INDIRECT("'data'!$F$" &amp; $A$1)</f>
        <v>12964.9</v>
      </c>
      <c r="P2" s="13">
        <f ca="1">IF(-(L2-Q2+O2)&lt;0, -(L2-Q2+O2), 0)</f>
        <v>-5301.128237898758</v>
      </c>
      <c r="Q2" s="17" cm="1">
        <f t="array" aca="1" ref="Q2" ca="1">INDIRECT("'data'!$D$" &amp; $A$1)</f>
        <v>57600</v>
      </c>
      <c r="R2" s="17">
        <f ca="1">SUM(L2:P2)</f>
        <v>57600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40921.791044776117</v>
      </c>
      <c r="G3" s="14">
        <f ca="1">Q3-O3-P3-F3</f>
        <v>1088.1839552238816</v>
      </c>
      <c r="H3" s="14"/>
      <c r="I3" s="14"/>
      <c r="J3" s="14"/>
      <c r="K3" s="13"/>
      <c r="L3" s="16">
        <f t="shared" ca="1" si="0"/>
        <v>42009.974999999999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3287.6549999999997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45297.63</v>
      </c>
      <c r="R3" s="16">
        <f t="shared" ref="R3:R10" ca="1" si="2">SUM(L3:P3)</f>
        <v>45297.63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2562.1999999999998</v>
      </c>
      <c r="H4" s="14"/>
      <c r="I4" s="14"/>
      <c r="J4" s="14"/>
      <c r="K4" s="13"/>
      <c r="L4" s="16">
        <f t="shared" ca="1" si="0"/>
        <v>2562.1999999999998</v>
      </c>
      <c r="M4" s="16"/>
      <c r="N4" s="16">
        <f t="shared" ca="1" si="1"/>
        <v>0</v>
      </c>
      <c r="O4" s="11" cm="1">
        <f t="array" aca="1" ref="O4" ca="1">INDIRECT("'data'!$K$" &amp; $A$1)*parameters!$B$14</f>
        <v>1761.8000000000002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4324</v>
      </c>
      <c r="R4" s="16">
        <f t="shared" ca="1" si="2"/>
        <v>4324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10230.447761194031</v>
      </c>
      <c r="G5" s="14">
        <f ca="1">Q7/parameters!$B$7-(G3+G4)</f>
        <v>14761.737256897333</v>
      </c>
      <c r="H5" s="14"/>
      <c r="I5" s="14"/>
      <c r="J5" s="14"/>
      <c r="K5" s="13"/>
      <c r="L5" s="16">
        <f t="shared" ca="1" si="0"/>
        <v>24992.185018091364</v>
      </c>
      <c r="M5" s="16"/>
      <c r="N5" s="16"/>
      <c r="O5" s="11" cm="1">
        <f t="array" aca="1" ref="O5" ca="1">INDIRECT("'data'!$M$" &amp; $A$1)*parameters!$B$15</f>
        <v>2342.1999999999998</v>
      </c>
      <c r="P5" s="13" cm="1">
        <f t="array" aca="1" ref="P5" ca="1">-INDIRECT("'data'!$N$" &amp; $A$1)*parameters!$B$15</f>
        <v>-26.46</v>
      </c>
      <c r="Q5" s="16">
        <f ca="1">SUM(L5:P5)</f>
        <v>27307.925018091366</v>
      </c>
      <c r="R5" s="16">
        <f t="shared" ca="1" si="2"/>
        <v>27307.925018091366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47980.799999999996</v>
      </c>
      <c r="I6" s="14"/>
      <c r="J6" s="14"/>
      <c r="K6" s="13"/>
      <c r="L6" s="16">
        <f t="shared" ca="1" si="0"/>
        <v>47980.799999999996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47980.799999999996</v>
      </c>
      <c r="R6" s="16">
        <f t="shared" ca="1" si="2"/>
        <v>47980.799999999996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17620.400000000001</v>
      </c>
      <c r="I7" s="14"/>
      <c r="J7" s="14"/>
      <c r="K7" s="13"/>
      <c r="L7" s="16">
        <f t="shared" ca="1" si="0"/>
        <v>17620.400000000001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17620.400000000001</v>
      </c>
      <c r="R7" s="16">
        <f t="shared" ca="1" si="2"/>
        <v>17620.400000000001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21543.328749889439</v>
      </c>
      <c r="J8" s="14">
        <f ca="1">Q10/J18</f>
        <v>29066.811250110564</v>
      </c>
      <c r="K8" s="13"/>
      <c r="L8" s="16">
        <f t="shared" ca="1" si="0"/>
        <v>50610.14</v>
      </c>
      <c r="M8" s="16"/>
      <c r="N8" s="16">
        <f t="shared" ca="1" si="3"/>
        <v>0</v>
      </c>
      <c r="O8" s="11" cm="1">
        <f t="array" aca="1" ref="O8" ca="1">INDIRECT("'data'!$R$" &amp; $A$1)*parameters!$B$15</f>
        <v>15002.82</v>
      </c>
      <c r="P8" s="13" cm="1">
        <f t="array" aca="1" ref="P8" ca="1">-INDIRECT("'data'!$S$" &amp; $A$1)*parameters!$B$15</f>
        <v>-11.76</v>
      </c>
      <c r="Q8" s="16">
        <f ca="1">SUM(Q6:Q7)</f>
        <v>65601.2</v>
      </c>
      <c r="R8" s="16">
        <f t="shared" ca="1" si="2"/>
        <v>65601.2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15897.560000000001</v>
      </c>
      <c r="L9" s="16">
        <f t="shared" ca="1" si="0"/>
        <v>15897.560000000001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3064.46</v>
      </c>
      <c r="P9" s="13" cm="1">
        <f t="array" aca="1" ref="P9" ca="1">-INDIRECT("'data'!$V$" &amp; $A$1)*parameters!$B$15</f>
        <v>-1337.7</v>
      </c>
      <c r="Q9" s="16" cm="1">
        <f t="array" aca="1" ref="Q9" ca="1">INDIRECT("'data'!$T$" &amp; $A$1)*parameters!$B$15</f>
        <v>17624.32</v>
      </c>
      <c r="R9" s="16">
        <f t="shared" ca="1" si="2"/>
        <v>17624.32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18314.704210526317</v>
      </c>
      <c r="L10" s="16">
        <f t="shared" ca="1" si="0"/>
        <v>18314.704210526317</v>
      </c>
      <c r="M10" s="16"/>
      <c r="N10" s="16">
        <f t="shared" ca="1" si="3"/>
        <v>0</v>
      </c>
      <c r="O10" s="11" cm="1">
        <f t="array" aca="1" ref="O10" ca="1">INDIRECT("'data'!$X$" &amp; $A$1)*parameters!$B$15</f>
        <v>8006.5999999999995</v>
      </c>
      <c r="P10" s="13" cm="1">
        <f t="array" aca="1" ref="P10" ca="1">-INDIRECT("'data'!$Y$" &amp; $A$1)*parameters!$B$15</f>
        <v>-2542.12</v>
      </c>
      <c r="Q10" s="16" cm="1">
        <f t="array" aca="1" ref="Q10" ca="1">INDIRECT("'data'!$W$" &amp; $A$1)*parameters!$B$15</f>
        <v>23779.184210526317</v>
      </c>
      <c r="R10" s="16">
        <f t="shared" ca="1" si="2"/>
        <v>23779.184210526317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36605.712021052634</v>
      </c>
      <c r="N11" s="19"/>
      <c r="O11" s="21" cm="1">
        <f t="array" aca="1" ref="O11" ca="1">INDIRECT("'data'!$Z$" &amp; $A$1)*parameters!$B$15</f>
        <v>1275.96</v>
      </c>
      <c r="P11" s="27" cm="1">
        <f t="array" aca="1" ref="P11" ca="1">-INDIRECT("'data'!$AA$" &amp; $A$1)*parameters!$B$15</f>
        <v>-7187.32</v>
      </c>
      <c r="Q11" s="16">
        <f ca="1">K9*parameters!$B$10+K10*parameters!$B$11</f>
        <v>30694.352021052633</v>
      </c>
      <c r="R11" s="16">
        <f t="shared" ref="R11:R17" ca="1" si="4">SUM(L11:P11)</f>
        <v>30694.352021052633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-287.18433028076834</v>
      </c>
      <c r="D12" s="9">
        <f ca="1">-(D17-Q4)</f>
        <v>-27.413907617993573</v>
      </c>
      <c r="E12" s="9">
        <f ca="1">-(E17-Q5)</f>
        <v>-3375.1367999888207</v>
      </c>
      <c r="F12" s="9">
        <f ca="1">-(F17-Q6)</f>
        <v>-3171.4388059701523</v>
      </c>
      <c r="G12" s="9">
        <f ca="1">-(G17-Q7)</f>
        <v>-791.72121212121419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-7652.8950559789491</v>
      </c>
      <c r="M12" s="17"/>
      <c r="N12" s="17"/>
      <c r="O12" s="10"/>
      <c r="P12" s="12"/>
      <c r="Q12" s="9">
        <f t="shared" ref="Q12:Q17" ca="1" si="6">SUM(L12:P12)</f>
        <v>-7652.8950559789491</v>
      </c>
      <c r="R12" s="17">
        <f t="shared" ca="1" si="4"/>
        <v>-7652.8950559789491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-3919.0087498894391</v>
      </c>
      <c r="J13" s="14">
        <f ca="1">-(J17-Q10)</f>
        <v>-5287.6270395842475</v>
      </c>
      <c r="K13" s="13">
        <f ca="1">-(K17-Q11)</f>
        <v>-3517.9121894736891</v>
      </c>
      <c r="L13" s="14">
        <f t="shared" ca="1" si="5"/>
        <v>-12724.547978947376</v>
      </c>
      <c r="M13" s="16">
        <f ca="1">-E15</f>
        <v>-17958.513839132811</v>
      </c>
      <c r="N13" s="16"/>
      <c r="O13" s="11"/>
      <c r="P13" s="13"/>
      <c r="Q13" s="14">
        <f t="shared" ca="1" si="6"/>
        <v>-30683.061818080187</v>
      </c>
      <c r="R13" s="16">
        <f t="shared" ca="1" si="4"/>
        <v>-30683.061818080187</v>
      </c>
    </row>
    <row r="14" spans="1:20">
      <c r="A14" s="18" t="s">
        <v>78</v>
      </c>
      <c r="B14" s="11"/>
      <c r="C14" s="14"/>
      <c r="D14" s="14"/>
      <c r="E14" s="14">
        <f ca="1">-(I13+J13)-K13</f>
        <v>12724.547978947376</v>
      </c>
      <c r="F14" s="14"/>
      <c r="G14" s="14"/>
      <c r="H14" s="14"/>
      <c r="I14" s="14"/>
      <c r="J14" s="14"/>
      <c r="K14" s="13"/>
      <c r="L14" s="14">
        <f t="shared" ca="1" si="5"/>
        <v>12724.547978947376</v>
      </c>
      <c r="M14" s="16"/>
      <c r="N14" s="16"/>
      <c r="O14" s="11"/>
      <c r="P14" s="13"/>
      <c r="Q14" s="14">
        <f t="shared" ca="1" si="6"/>
        <v>12724.547978947376</v>
      </c>
      <c r="R14" s="16">
        <f t="shared" ca="1" si="4"/>
        <v>12724.547978947376</v>
      </c>
    </row>
    <row r="15" spans="1:20">
      <c r="A15" s="18" t="s">
        <v>79</v>
      </c>
      <c r="B15" s="11"/>
      <c r="C15" s="14"/>
      <c r="D15" s="14"/>
      <c r="E15" s="14">
        <f ca="1">E17-E14</f>
        <v>17958.513839132811</v>
      </c>
      <c r="F15" s="14"/>
      <c r="G15" s="14"/>
      <c r="H15" s="14"/>
      <c r="I15" s="14"/>
      <c r="J15" s="14"/>
      <c r="K15" s="13"/>
      <c r="L15" s="14">
        <f t="shared" ca="1" si="5"/>
        <v>17958.513839132811</v>
      </c>
      <c r="M15" s="16"/>
      <c r="N15" s="16"/>
      <c r="O15" s="11"/>
      <c r="P15" s="13"/>
      <c r="Q15" s="14">
        <f t="shared" ca="1" si="6"/>
        <v>17958.513839132811</v>
      </c>
      <c r="R15" s="16">
        <f t="shared" ca="1" si="4"/>
        <v>17958.513839132811</v>
      </c>
    </row>
    <row r="16" spans="1:20">
      <c r="A16" s="30" t="s">
        <v>89</v>
      </c>
      <c r="B16" s="21">
        <f ca="1">Q2</f>
        <v>57600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57600</v>
      </c>
      <c r="M16" s="19"/>
      <c r="N16" s="19"/>
      <c r="O16" s="21"/>
      <c r="P16" s="27"/>
      <c r="Q16" s="22">
        <f t="shared" ca="1" si="6"/>
        <v>57600</v>
      </c>
      <c r="R16" s="19">
        <f t="shared" ca="1" si="4"/>
        <v>57600</v>
      </c>
    </row>
    <row r="17" spans="1:18">
      <c r="A17" s="29" t="s">
        <v>88</v>
      </c>
      <c r="B17" s="9">
        <f ca="1">B16</f>
        <v>57600</v>
      </c>
      <c r="C17" s="9">
        <f ca="1">SUM(C$2:C$11)</f>
        <v>45584.814330280766</v>
      </c>
      <c r="D17" s="9">
        <f ca="1">SUM(D$2:D$11)</f>
        <v>4351.4139076179936</v>
      </c>
      <c r="E17" s="9">
        <f ca="1">$Q$5/parameters!$B$4</f>
        <v>30683.061818080187</v>
      </c>
      <c r="F17" s="9">
        <f t="shared" ref="F17:K17" ca="1" si="7">SUM(F$2:F$11)</f>
        <v>51152.238805970148</v>
      </c>
      <c r="G17" s="9">
        <f t="shared" ca="1" si="7"/>
        <v>18412.121212121216</v>
      </c>
      <c r="H17" s="9">
        <f t="shared" ca="1" si="7"/>
        <v>65601.2</v>
      </c>
      <c r="I17" s="9">
        <f t="shared" ca="1" si="7"/>
        <v>21543.328749889439</v>
      </c>
      <c r="J17" s="9">
        <f t="shared" ca="1" si="7"/>
        <v>29066.811250110564</v>
      </c>
      <c r="K17" s="9">
        <f t="shared" ca="1" si="7"/>
        <v>34212.264210526322</v>
      </c>
      <c r="L17" s="17">
        <f t="shared" ca="1" si="5"/>
        <v>358207.25428459665</v>
      </c>
      <c r="M17" s="17"/>
      <c r="N17" s="17"/>
      <c r="O17" s="9"/>
      <c r="P17" s="14"/>
      <c r="Q17" s="11">
        <f t="shared" ca="1" si="6"/>
        <v>358207.25428459665</v>
      </c>
      <c r="R17" s="17">
        <f t="shared" ca="1" si="4"/>
        <v>358207.25428459665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0.81808713057356319</v>
      </c>
      <c r="J18" s="39">
        <f ca="1">I18</f>
        <v>0.81808713057356319</v>
      </c>
      <c r="K18" s="40">
        <f ca="1">1-(-K13)/K17</f>
        <v>0.89717394417902019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33346.508000402529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33346.508000402529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-33346.508000402529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28512.358208955226</v>
      </c>
      <c r="G3" s="14">
        <f ca="1">Q3-O3-P3-F3</f>
        <v>5548.2767910447692</v>
      </c>
      <c r="H3" s="14"/>
      <c r="I3" s="14"/>
      <c r="J3" s="14"/>
      <c r="K3" s="13"/>
      <c r="L3" s="16">
        <f t="shared" ca="1" si="0"/>
        <v>34060.634999999995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50.085000000000001</v>
      </c>
      <c r="P3" s="13" cm="1">
        <f t="array" aca="1" ref="P3" ca="1">-INDIRECT("'data'!$I$" &amp; $A$1)*parameters!$B$13</f>
        <v>-974.29499999999996</v>
      </c>
      <c r="Q3" s="16" cm="1">
        <f t="array" aca="1" ref="Q3" ca="1">INDIRECT("'data'!$G$" &amp; $A$1)*parameters!$B$13</f>
        <v>33136.424999999996</v>
      </c>
      <c r="R3" s="16">
        <f t="shared" ref="R3:R10" ca="1" si="2">SUM(L3:P3)</f>
        <v>33136.424999999996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620.08000000000004</v>
      </c>
      <c r="H4" s="14"/>
      <c r="I4" s="14"/>
      <c r="J4" s="14"/>
      <c r="K4" s="13"/>
      <c r="L4" s="16">
        <f t="shared" ca="1" si="0"/>
        <v>620.08000000000004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-621.92000000000007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7128.0895522388064</v>
      </c>
      <c r="G5" s="14">
        <f ca="1">Q7/parameters!$B$7-(G3+G4)</f>
        <v>19228.696500491278</v>
      </c>
      <c r="H5" s="14"/>
      <c r="I5" s="14"/>
      <c r="J5" s="14"/>
      <c r="K5" s="13"/>
      <c r="L5" s="16">
        <f t="shared" ca="1" si="0"/>
        <v>26356.786052730084</v>
      </c>
      <c r="M5" s="16"/>
      <c r="N5" s="16"/>
      <c r="O5" s="11" cm="1">
        <f t="array" aca="1" ref="O5" ca="1">INDIRECT("'data'!$M$" &amp; $A$1)*parameters!$B$15</f>
        <v>449.82</v>
      </c>
      <c r="P5" s="13" cm="1">
        <f t="array" aca="1" ref="P5" ca="1">-INDIRECT("'data'!$N$" &amp; $A$1)*parameters!$B$15</f>
        <v>-7929.18</v>
      </c>
      <c r="Q5" s="16">
        <f ca="1">SUM(L5:P5)</f>
        <v>18877.426052730083</v>
      </c>
      <c r="R5" s="16">
        <f t="shared" ca="1" si="2"/>
        <v>18877.426052730083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33430.74</v>
      </c>
      <c r="I6" s="14"/>
      <c r="J6" s="14"/>
      <c r="K6" s="13"/>
      <c r="L6" s="16">
        <f t="shared" ca="1" si="0"/>
        <v>33430.74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33430.74</v>
      </c>
      <c r="R6" s="16">
        <f t="shared" ca="1" si="2"/>
        <v>33430.74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24304.98</v>
      </c>
      <c r="I7" s="14"/>
      <c r="J7" s="14"/>
      <c r="K7" s="13"/>
      <c r="L7" s="16">
        <f t="shared" ca="1" si="0"/>
        <v>24304.98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24304.98</v>
      </c>
      <c r="R7" s="16">
        <f t="shared" ca="1" si="2"/>
        <v>24304.98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19940.937896054722</v>
      </c>
      <c r="J8" s="14">
        <f ca="1">Q10/J18</f>
        <v>42689.882103945274</v>
      </c>
      <c r="K8" s="13"/>
      <c r="L8" s="16">
        <f t="shared" ca="1" si="0"/>
        <v>62630.819999999992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1165.22</v>
      </c>
      <c r="P8" s="13" cm="1">
        <f t="array" aca="1" ref="P8" ca="1">-INDIRECT("'data'!$S$" &amp; $A$1)*parameters!$B$15</f>
        <v>-6060.32</v>
      </c>
      <c r="Q8" s="16">
        <f ca="1">SUM(Q6:Q7)</f>
        <v>57735.72</v>
      </c>
      <c r="R8" s="16">
        <f t="shared" ca="1" si="2"/>
        <v>57735.719999999994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18702.32</v>
      </c>
      <c r="L9" s="16">
        <f t="shared" ca="1" si="0"/>
        <v>18702.32</v>
      </c>
      <c r="M9" s="16"/>
      <c r="N9" s="16">
        <f t="shared" ca="1" si="3"/>
        <v>0</v>
      </c>
      <c r="O9" s="11" cm="1">
        <f t="array" aca="1" ref="O9" ca="1">INDIRECT("'data'!$U$" &amp; $A$1)*parameters!$B$15</f>
        <v>3584.84</v>
      </c>
      <c r="P9" s="13" cm="1">
        <f t="array" aca="1" ref="P9" ca="1">-INDIRECT("'data'!$V$" &amp; $A$1)*parameters!$B$15</f>
        <v>-4223.8</v>
      </c>
      <c r="Q9" s="16" cm="1">
        <f t="array" aca="1" ref="Q9" ca="1">INDIRECT("'data'!$T$" &amp; $A$1)*parameters!$B$15</f>
        <v>18063.36</v>
      </c>
      <c r="R9" s="16">
        <f t="shared" ca="1" si="2"/>
        <v>18063.36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34680.753001422476</v>
      </c>
      <c r="L10" s="16">
        <f t="shared" ca="1" si="0"/>
        <v>34680.753001422476</v>
      </c>
      <c r="M10" s="16"/>
      <c r="N10" s="16">
        <f t="shared" ca="1" si="3"/>
        <v>0</v>
      </c>
      <c r="O10" s="11" cm="1">
        <f t="array" aca="1" ref="O10" ca="1">INDIRECT("'data'!$X$" &amp; $A$1)*parameters!$B$15</f>
        <v>17196.060000000001</v>
      </c>
      <c r="P10" s="13" cm="1">
        <f t="array" aca="1" ref="P10" ca="1">-INDIRECT("'data'!$Y$" &amp; $A$1)*parameters!$B$15</f>
        <v>-13206.48</v>
      </c>
      <c r="Q10" s="16" cm="1">
        <f t="array" aca="1" ref="Q10" ca="1">INDIRECT("'data'!$W$" &amp; $A$1)*parameters!$B$15</f>
        <v>38670.333001422478</v>
      </c>
      <c r="R10" s="16">
        <f t="shared" ca="1" si="2"/>
        <v>38670.333001422478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29156.068381223329</v>
      </c>
      <c r="N11" s="19"/>
      <c r="O11" s="21" cm="1">
        <f t="array" aca="1" ref="O11" ca="1">INDIRECT("'data'!$Z$" &amp; $A$1)*parameters!$B$15</f>
        <v>24107.02</v>
      </c>
      <c r="P11" s="27" cm="1">
        <f t="array" aca="1" ref="P11" ca="1">-INDIRECT("'data'!$AA$" &amp; $A$1)*parameters!$B$15</f>
        <v>-5857.46</v>
      </c>
      <c r="Q11" s="16">
        <f ca="1">K9*parameters!$B$10+K10*parameters!$B$11</f>
        <v>47405.628381223331</v>
      </c>
      <c r="R11" s="16">
        <f t="shared" ref="R11:R17" ca="1" si="4">SUM(L11:P11)</f>
        <v>47405.628381223331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-210.0830004025338</v>
      </c>
      <c r="D12" s="9">
        <f ca="1">-(D17-Q4)</f>
        <v>0</v>
      </c>
      <c r="E12" s="9">
        <f ca="1">-(E17-Q5)</f>
        <v>-2333.1650177531556</v>
      </c>
      <c r="F12" s="9">
        <f ca="1">-(F17-Q6)</f>
        <v>-2209.7077611940331</v>
      </c>
      <c r="G12" s="9">
        <f ca="1">-(G17-Q7)</f>
        <v>-1092.0732915360459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-5845.0290708857683</v>
      </c>
      <c r="M12" s="17"/>
      <c r="N12" s="17"/>
      <c r="O12" s="10"/>
      <c r="P12" s="12"/>
      <c r="Q12" s="9">
        <f t="shared" ref="Q12:Q17" ca="1" si="6">SUM(L12:P12)</f>
        <v>-5845.0290708857683</v>
      </c>
      <c r="R12" s="17">
        <f t="shared" ca="1" si="4"/>
        <v>-5845.0290708857683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-1877.5778960547214</v>
      </c>
      <c r="J13" s="14">
        <f ca="1">-(J17-Q10)</f>
        <v>-4019.5491025227966</v>
      </c>
      <c r="K13" s="13">
        <f ca="1">-(K17-Q11)</f>
        <v>-5977.444620199145</v>
      </c>
      <c r="L13" s="14">
        <f t="shared" ca="1" si="5"/>
        <v>-11874.571618776663</v>
      </c>
      <c r="M13" s="16">
        <f ca="1">-E15</f>
        <v>-9336.0194517065756</v>
      </c>
      <c r="N13" s="16"/>
      <c r="O13" s="11"/>
      <c r="P13" s="13"/>
      <c r="Q13" s="14">
        <f t="shared" ca="1" si="6"/>
        <v>-21210.591070483239</v>
      </c>
      <c r="R13" s="16">
        <f t="shared" ca="1" si="4"/>
        <v>-21210.591070483239</v>
      </c>
    </row>
    <row r="14" spans="1:20">
      <c r="A14" s="18" t="s">
        <v>78</v>
      </c>
      <c r="B14" s="11"/>
      <c r="C14" s="14"/>
      <c r="D14" s="14"/>
      <c r="E14" s="14">
        <f ca="1">-(I13+J13)-K13</f>
        <v>11874.571618776663</v>
      </c>
      <c r="F14" s="14"/>
      <c r="G14" s="14"/>
      <c r="H14" s="14"/>
      <c r="I14" s="14"/>
      <c r="J14" s="14"/>
      <c r="K14" s="13"/>
      <c r="L14" s="14">
        <f t="shared" ca="1" si="5"/>
        <v>11874.571618776663</v>
      </c>
      <c r="M14" s="16"/>
      <c r="N14" s="16"/>
      <c r="O14" s="11"/>
      <c r="P14" s="13"/>
      <c r="Q14" s="14">
        <f t="shared" ca="1" si="6"/>
        <v>11874.571618776663</v>
      </c>
      <c r="R14" s="16">
        <f t="shared" ca="1" si="4"/>
        <v>11874.571618776663</v>
      </c>
    </row>
    <row r="15" spans="1:20">
      <c r="A15" s="18" t="s">
        <v>79</v>
      </c>
      <c r="B15" s="11"/>
      <c r="C15" s="14"/>
      <c r="D15" s="14"/>
      <c r="E15" s="14">
        <f ca="1">E17-E14</f>
        <v>9336.0194517065756</v>
      </c>
      <c r="F15" s="14"/>
      <c r="G15" s="14"/>
      <c r="H15" s="14"/>
      <c r="I15" s="14"/>
      <c r="J15" s="14"/>
      <c r="K15" s="13"/>
      <c r="L15" s="14">
        <f t="shared" ca="1" si="5"/>
        <v>9336.0194517065756</v>
      </c>
      <c r="M15" s="16"/>
      <c r="N15" s="16"/>
      <c r="O15" s="11"/>
      <c r="P15" s="13"/>
      <c r="Q15" s="14">
        <f t="shared" ca="1" si="6"/>
        <v>9336.0194517065756</v>
      </c>
      <c r="R15" s="16">
        <f t="shared" ca="1" si="4"/>
        <v>9336.0194517065756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33346.508000402529</v>
      </c>
      <c r="D17" s="9">
        <f ca="1">SUM(D$2:D$11)</f>
        <v>0</v>
      </c>
      <c r="E17" s="9">
        <f ca="1">$Q$5/parameters!$B$4</f>
        <v>21210.591070483239</v>
      </c>
      <c r="F17" s="9">
        <f t="shared" ref="F17:K17" ca="1" si="7">SUM(F$2:F$11)</f>
        <v>35640.447761194031</v>
      </c>
      <c r="G17" s="9">
        <f t="shared" ca="1" si="7"/>
        <v>25397.053291536045</v>
      </c>
      <c r="H17" s="9">
        <f t="shared" ca="1" si="7"/>
        <v>57735.72</v>
      </c>
      <c r="I17" s="9">
        <f t="shared" ca="1" si="7"/>
        <v>19940.937896054722</v>
      </c>
      <c r="J17" s="9">
        <f t="shared" ca="1" si="7"/>
        <v>42689.882103945274</v>
      </c>
      <c r="K17" s="9">
        <f t="shared" ca="1" si="7"/>
        <v>53383.073001422475</v>
      </c>
      <c r="L17" s="17">
        <f t="shared" ca="1" si="5"/>
        <v>289344.21312503831</v>
      </c>
      <c r="M17" s="17"/>
      <c r="N17" s="17"/>
      <c r="O17" s="9"/>
      <c r="P17" s="14"/>
      <c r="Q17" s="11">
        <f t="shared" ca="1" si="6"/>
        <v>289344.21312503831</v>
      </c>
      <c r="R17" s="17">
        <f t="shared" ca="1" si="4"/>
        <v>289344.21312503831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0.95700000000000018</v>
      </c>
      <c r="H18" s="39">
        <f t="shared" ref="H18" ca="1" si="9">1-(-H12)/H17</f>
        <v>1</v>
      </c>
      <c r="I18" s="39">
        <f ca="1">(Q9+Q10)/(Q8-O8-P8)</f>
        <v>0.90584304981832398</v>
      </c>
      <c r="J18" s="39">
        <f ca="1">I18</f>
        <v>0.90584304981832398</v>
      </c>
      <c r="K18" s="40">
        <f ca="1">1-(-K13)/K17</f>
        <v>0.88802734117535975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26734.265875012577</v>
      </c>
      <c r="D2" s="9">
        <f ca="1">Q4/parameters!$B$3</f>
        <v>414.77307034316192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27149.03894535574</v>
      </c>
      <c r="M2" s="17"/>
      <c r="N2" s="16">
        <v>0</v>
      </c>
      <c r="O2" s="11" cm="1">
        <f t="array" aca="1" ref="O2" ca="1">INDIRECT("'data'!$F$" &amp; $A$1)</f>
        <v>14.3</v>
      </c>
      <c r="P2" s="13">
        <f ca="1">IF(-(L2-Q2+O2)&lt;0, -(L2-Q2+O2), 0)</f>
        <v>-27122.351945355738</v>
      </c>
      <c r="Q2" s="17" cm="1">
        <f t="array" aca="1" ref="Q2" ca="1">INDIRECT("'data'!$D$" &amp; $A$1)</f>
        <v>40.987000000000002</v>
      </c>
      <c r="R2" s="17">
        <f ca="1">SUM(L2:P2)</f>
        <v>40.98700000000099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25588.656716417911</v>
      </c>
      <c r="G3" s="14">
        <f ca="1">Q3-O3-P3-F3</f>
        <v>1203.9832835820926</v>
      </c>
      <c r="H3" s="14"/>
      <c r="I3" s="14"/>
      <c r="J3" s="14"/>
      <c r="K3" s="13"/>
      <c r="L3" s="16">
        <f t="shared" ca="1" si="0"/>
        <v>26792.640000000003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171.04499999999999</v>
      </c>
      <c r="P3" s="13" cm="1">
        <f t="array" aca="1" ref="P3" ca="1">-INDIRECT("'data'!$I$" &amp; $A$1)*parameters!$B$13</f>
        <v>-397.84499999999997</v>
      </c>
      <c r="Q3" s="16" cm="1">
        <f t="array" aca="1" ref="Q3" ca="1">INDIRECT("'data'!$G$" &amp; $A$1)*parameters!$B$13</f>
        <v>26565.84</v>
      </c>
      <c r="R3" s="16">
        <f t="shared" ref="R3:R10" ca="1" si="2">SUM(L3:P3)</f>
        <v>26565.84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789.36</v>
      </c>
      <c r="H4" s="14"/>
      <c r="I4" s="14"/>
      <c r="J4" s="14"/>
      <c r="K4" s="13"/>
      <c r="L4" s="16">
        <f t="shared" ca="1" si="0"/>
        <v>789.36</v>
      </c>
      <c r="M4" s="16"/>
      <c r="N4" s="16">
        <f t="shared" ca="1" si="1"/>
        <v>0</v>
      </c>
      <c r="O4" s="11" cm="1">
        <f t="array" aca="1" ref="O4" ca="1">INDIRECT("'data'!$K$" &amp; $A$1)*parameters!$B$14</f>
        <v>13.8</v>
      </c>
      <c r="P4" s="13" cm="1">
        <f t="array" aca="1" ref="P4" ca="1">-INDIRECT("'data'!$L$" &amp; $A$1)*parameters!$B$14</f>
        <v>-391</v>
      </c>
      <c r="Q4" s="16" cm="1">
        <f t="array" aca="1" ref="Q4" ca="1">INDIRECT("'data'!$J$" &amp; $A$1)*parameters!$B$14</f>
        <v>412.16</v>
      </c>
      <c r="R4" s="16">
        <f t="shared" ca="1" si="2"/>
        <v>412.15999999999997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6397.1641791044785</v>
      </c>
      <c r="G5" s="14">
        <f ca="1">Q7/parameters!$B$7-(G3+G4)</f>
        <v>11539.258597295649</v>
      </c>
      <c r="H5" s="14"/>
      <c r="I5" s="14"/>
      <c r="J5" s="14"/>
      <c r="K5" s="13"/>
      <c r="L5" s="16">
        <f t="shared" ca="1" si="0"/>
        <v>17936.422776400126</v>
      </c>
      <c r="M5" s="16"/>
      <c r="N5" s="16"/>
      <c r="O5" s="11" cm="1">
        <f t="array" aca="1" ref="O5" ca="1">INDIRECT("'data'!$M$" &amp; $A$1)*parameters!$B$15</f>
        <v>8992.48</v>
      </c>
      <c r="P5" s="13" cm="1">
        <f t="array" aca="1" ref="P5" ca="1">-INDIRECT("'data'!$N$" &amp; $A$1)*parameters!$B$15</f>
        <v>-5198.8999999999996</v>
      </c>
      <c r="Q5" s="16">
        <f ca="1">SUM(L5:P5)</f>
        <v>21730.002776400128</v>
      </c>
      <c r="R5" s="16">
        <f t="shared" ca="1" si="2"/>
        <v>21730.002776400128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30002.7</v>
      </c>
      <c r="I6" s="14"/>
      <c r="J6" s="14"/>
      <c r="K6" s="13"/>
      <c r="L6" s="16">
        <f t="shared" ca="1" si="0"/>
        <v>30002.7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30002.7</v>
      </c>
      <c r="R6" s="16">
        <f t="shared" ca="1" si="2"/>
        <v>30002.7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12950.699999999999</v>
      </c>
      <c r="I7" s="14"/>
      <c r="J7" s="14"/>
      <c r="K7" s="13"/>
      <c r="L7" s="16">
        <f t="shared" ca="1" si="0"/>
        <v>12950.699999999999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12950.699999999999</v>
      </c>
      <c r="R7" s="16">
        <f t="shared" ca="1" si="2"/>
        <v>12950.699999999999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14969.047588514237</v>
      </c>
      <c r="J8" s="14">
        <f ca="1">Q10/J18</f>
        <v>27456.132411485767</v>
      </c>
      <c r="K8" s="13"/>
      <c r="L8" s="16">
        <f t="shared" ca="1" si="0"/>
        <v>42425.180000000008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2107</v>
      </c>
      <c r="P8" s="13" cm="1">
        <f t="array" aca="1" ref="P8" ca="1">-INDIRECT("'data'!$S$" &amp; $A$1)*parameters!$B$15</f>
        <v>-1578.78</v>
      </c>
      <c r="Q8" s="16">
        <f ca="1">SUM(Q6:Q7)</f>
        <v>42953.4</v>
      </c>
      <c r="R8" s="16">
        <f t="shared" ca="1" si="2"/>
        <v>42953.400000000009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12485.199999999999</v>
      </c>
      <c r="L9" s="16">
        <f t="shared" ca="1" si="0"/>
        <v>12485.199999999999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6782.58</v>
      </c>
      <c r="P9" s="13" cm="1">
        <f t="array" aca="1" ref="P9" ca="1">-INDIRECT("'data'!$V$" &amp; $A$1)*parameters!$B$15</f>
        <v>-6337.66</v>
      </c>
      <c r="Q9" s="16" cm="1">
        <f t="array" aca="1" ref="Q9" ca="1">INDIRECT("'data'!$T$" &amp; $A$1)*parameters!$B$15</f>
        <v>12930.119999999999</v>
      </c>
      <c r="R9" s="16">
        <f t="shared" ca="1" si="2"/>
        <v>12930.119999999999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23243.984324324323</v>
      </c>
      <c r="L10" s="16">
        <f t="shared" ca="1" si="0"/>
        <v>23243.984324324323</v>
      </c>
      <c r="M10" s="16"/>
      <c r="N10" s="16">
        <f t="shared" ca="1" si="3"/>
        <v>0</v>
      </c>
      <c r="O10" s="11" cm="1">
        <f t="array" aca="1" ref="O10" ca="1">INDIRECT("'data'!$X$" &amp; $A$1)*parameters!$B$15</f>
        <v>12622.4</v>
      </c>
      <c r="P10" s="13" cm="1">
        <f t="array" aca="1" ref="P10" ca="1">-INDIRECT("'data'!$Y$" &amp; $A$1)*parameters!$B$15</f>
        <v>-12150.039999999999</v>
      </c>
      <c r="Q10" s="16" cm="1">
        <f t="array" aca="1" ref="Q10" ca="1">INDIRECT("'data'!$W$" &amp; $A$1)*parameters!$B$15</f>
        <v>23716.344324324324</v>
      </c>
      <c r="R10" s="16">
        <f t="shared" ca="1" si="2"/>
        <v>23716.344324324324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25491.154518918913</v>
      </c>
      <c r="N11" s="19"/>
      <c r="O11" s="21" cm="1">
        <f t="array" aca="1" ref="O11" ca="1">INDIRECT("'data'!$Z$" &amp; $A$1)*parameters!$B$15</f>
        <v>26302.22</v>
      </c>
      <c r="P11" s="27" cm="1">
        <f t="array" aca="1" ref="P11" ca="1">-INDIRECT("'data'!$AA$" &amp; $A$1)*parameters!$B$15</f>
        <v>-20067.46</v>
      </c>
      <c r="Q11" s="16">
        <f ca="1">K9*parameters!$B$10+K10*parameters!$B$11</f>
        <v>31725.914518918915</v>
      </c>
      <c r="R11" s="16">
        <f t="shared" ref="R11:R17" ca="1" si="4">SUM(L11:P11)</f>
        <v>31725.914518918915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-168.42587501257731</v>
      </c>
      <c r="D12" s="9">
        <f ca="1">-(D17-Q4)</f>
        <v>-2.613070343161894</v>
      </c>
      <c r="E12" s="9">
        <f ca="1">-(E17-Q5)</f>
        <v>-2685.7306802292296</v>
      </c>
      <c r="F12" s="9">
        <f ca="1">-(F17-Q6)</f>
        <v>-1983.1208955223883</v>
      </c>
      <c r="G12" s="9">
        <f ca="1">-(G17-Q7)</f>
        <v>-581.90188087774368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-5421.7924019851007</v>
      </c>
      <c r="M12" s="17"/>
      <c r="N12" s="17"/>
      <c r="O12" s="10"/>
      <c r="P12" s="12"/>
      <c r="Q12" s="9">
        <f t="shared" ref="Q12:Q17" ca="1" si="6">SUM(L12:P12)</f>
        <v>-5421.7924019851007</v>
      </c>
      <c r="R12" s="17">
        <f t="shared" ca="1" si="4"/>
        <v>-5421.7924019851007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-2038.9275885142379</v>
      </c>
      <c r="J13" s="14">
        <f ca="1">-(J17-Q10)</f>
        <v>-3739.7880871614434</v>
      </c>
      <c r="K13" s="13">
        <f ca="1">-(K17-Q11)</f>
        <v>-4003.2698054054054</v>
      </c>
      <c r="L13" s="14">
        <f t="shared" ca="1" si="5"/>
        <v>-9781.9854810810866</v>
      </c>
      <c r="M13" s="16">
        <f ca="1">-E15</f>
        <v>-14633.747975548271</v>
      </c>
      <c r="N13" s="16"/>
      <c r="O13" s="11"/>
      <c r="P13" s="13"/>
      <c r="Q13" s="14">
        <f t="shared" ca="1" si="6"/>
        <v>-24415.733456629358</v>
      </c>
      <c r="R13" s="16">
        <f t="shared" ca="1" si="4"/>
        <v>-24415.733456629358</v>
      </c>
    </row>
    <row r="14" spans="1:20">
      <c r="A14" s="18" t="s">
        <v>78</v>
      </c>
      <c r="B14" s="11"/>
      <c r="C14" s="14"/>
      <c r="D14" s="14"/>
      <c r="E14" s="14">
        <f ca="1">-(I13+J13)-K13</f>
        <v>9781.9854810810866</v>
      </c>
      <c r="F14" s="14"/>
      <c r="G14" s="14"/>
      <c r="H14" s="14"/>
      <c r="I14" s="14"/>
      <c r="J14" s="14"/>
      <c r="K14" s="13"/>
      <c r="L14" s="14">
        <f t="shared" ca="1" si="5"/>
        <v>9781.9854810810866</v>
      </c>
      <c r="M14" s="16"/>
      <c r="N14" s="16"/>
      <c r="O14" s="11"/>
      <c r="P14" s="13"/>
      <c r="Q14" s="14">
        <f t="shared" ca="1" si="6"/>
        <v>9781.9854810810866</v>
      </c>
      <c r="R14" s="16">
        <f t="shared" ca="1" si="4"/>
        <v>9781.9854810810866</v>
      </c>
    </row>
    <row r="15" spans="1:20">
      <c r="A15" s="18" t="s">
        <v>79</v>
      </c>
      <c r="B15" s="11"/>
      <c r="C15" s="14"/>
      <c r="D15" s="14"/>
      <c r="E15" s="14">
        <f ca="1">E17-E14</f>
        <v>14633.747975548271</v>
      </c>
      <c r="F15" s="14"/>
      <c r="G15" s="14"/>
      <c r="H15" s="14"/>
      <c r="I15" s="14"/>
      <c r="J15" s="14"/>
      <c r="K15" s="13"/>
      <c r="L15" s="14">
        <f t="shared" ca="1" si="5"/>
        <v>14633.747975548271</v>
      </c>
      <c r="M15" s="16"/>
      <c r="N15" s="16"/>
      <c r="O15" s="11"/>
      <c r="P15" s="13"/>
      <c r="Q15" s="14">
        <f t="shared" ca="1" si="6"/>
        <v>14633.747975548271</v>
      </c>
      <c r="R15" s="16">
        <f t="shared" ca="1" si="4"/>
        <v>14633.747975548271</v>
      </c>
    </row>
    <row r="16" spans="1:20">
      <c r="A16" s="30" t="s">
        <v>89</v>
      </c>
      <c r="B16" s="21">
        <f ca="1">Q2</f>
        <v>40.987000000000002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40.987000000000002</v>
      </c>
      <c r="M16" s="19"/>
      <c r="N16" s="19"/>
      <c r="O16" s="21"/>
      <c r="P16" s="27"/>
      <c r="Q16" s="22">
        <f t="shared" ca="1" si="6"/>
        <v>40.987000000000002</v>
      </c>
      <c r="R16" s="19">
        <f t="shared" ca="1" si="4"/>
        <v>40.987000000000002</v>
      </c>
    </row>
    <row r="17" spans="1:18">
      <c r="A17" s="29" t="s">
        <v>88</v>
      </c>
      <c r="B17" s="9">
        <f ca="1">B16</f>
        <v>40.987000000000002</v>
      </c>
      <c r="C17" s="9">
        <f ca="1">SUM(C$2:C$11)</f>
        <v>26734.265875012577</v>
      </c>
      <c r="D17" s="9">
        <f ca="1">SUM(D$2:D$11)</f>
        <v>414.77307034316192</v>
      </c>
      <c r="E17" s="9">
        <f ca="1">$Q$5/parameters!$B$4</f>
        <v>24415.733456629358</v>
      </c>
      <c r="F17" s="9">
        <f t="shared" ref="F17:K17" ca="1" si="7">SUM(F$2:F$11)</f>
        <v>31985.820895522389</v>
      </c>
      <c r="G17" s="9">
        <f t="shared" ca="1" si="7"/>
        <v>13532.601880877743</v>
      </c>
      <c r="H17" s="9">
        <f t="shared" ca="1" si="7"/>
        <v>42953.4</v>
      </c>
      <c r="I17" s="9">
        <f t="shared" ca="1" si="7"/>
        <v>14969.047588514237</v>
      </c>
      <c r="J17" s="9">
        <f t="shared" ca="1" si="7"/>
        <v>27456.132411485767</v>
      </c>
      <c r="K17" s="9">
        <f t="shared" ca="1" si="7"/>
        <v>35729.18432432432</v>
      </c>
      <c r="L17" s="17">
        <f t="shared" ca="1" si="5"/>
        <v>218231.94650270953</v>
      </c>
      <c r="M17" s="17"/>
      <c r="N17" s="17"/>
      <c r="O17" s="9"/>
      <c r="P17" s="14"/>
      <c r="Q17" s="11">
        <f t="shared" ca="1" si="6"/>
        <v>218231.94650270953</v>
      </c>
      <c r="R17" s="17">
        <f t="shared" ca="1" si="4"/>
        <v>218231.94650270953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0.86379042644779158</v>
      </c>
      <c r="J18" s="39">
        <f ca="1">I18</f>
        <v>0.86379042644779158</v>
      </c>
      <c r="K18" s="40">
        <f ca="1">1-(-K13)/K17</f>
        <v>0.88795518618430958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7302.6617691456167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7302.6617691456167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-4052.6617691456167</v>
      </c>
      <c r="Q2" s="17" cm="1">
        <f t="array" aca="1" ref="Q2" ca="1">INDIRECT("'data'!$D$" &amp; $A$1)</f>
        <v>3250</v>
      </c>
      <c r="R2" s="17">
        <f ca="1">SUM(L2:P2)</f>
        <v>3250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6885.4925373134338</v>
      </c>
      <c r="G3" s="14">
        <f ca="1">Q3-O3-P3-F3</f>
        <v>897.52746268656574</v>
      </c>
      <c r="H3" s="14"/>
      <c r="I3" s="14"/>
      <c r="J3" s="14"/>
      <c r="K3" s="13"/>
      <c r="L3" s="16">
        <f t="shared" ca="1" si="0"/>
        <v>7783.0199999999995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7.56</v>
      </c>
      <c r="P3" s="13" cm="1">
        <f t="array" aca="1" ref="P3" ca="1">-INDIRECT("'data'!$I$" &amp; $A$1)*parameters!$B$13</f>
        <v>-533.92499999999995</v>
      </c>
      <c r="Q3" s="16" cm="1">
        <f t="array" aca="1" ref="Q3" ca="1">INDIRECT("'data'!$G$" &amp; $A$1)*parameters!$B$13</f>
        <v>7256.6549999999997</v>
      </c>
      <c r="R3" s="16">
        <f t="shared" ref="R3:R10" ca="1" si="2">SUM(L3:P3)</f>
        <v>7256.6549999999997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12.88</v>
      </c>
      <c r="H4" s="14"/>
      <c r="I4" s="14"/>
      <c r="J4" s="14"/>
      <c r="K4" s="13"/>
      <c r="L4" s="16">
        <f t="shared" ca="1" si="0"/>
        <v>12.88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-12.88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1721.3731343283584</v>
      </c>
      <c r="G5" s="14">
        <f ca="1">Q7/parameters!$B$7-(G3+G4)</f>
        <v>20497.011555077279</v>
      </c>
      <c r="H5" s="14"/>
      <c r="I5" s="14"/>
      <c r="J5" s="14"/>
      <c r="K5" s="13"/>
      <c r="L5" s="16">
        <f t="shared" ca="1" si="0"/>
        <v>22218.384689405637</v>
      </c>
      <c r="M5" s="16"/>
      <c r="N5" s="50">
        <f ca="1">$E$14*parameters!$B$4-$P$5-$L$5-$O$5</f>
        <v>32.175743252125244</v>
      </c>
      <c r="O5" s="11" cm="1">
        <f t="array" aca="1" ref="O5" ca="1">INDIRECT("'data'!$M$" &amp; $A$1)*parameters!$B$15</f>
        <v>92.12</v>
      </c>
      <c r="P5" s="13" cm="1">
        <f t="array" aca="1" ref="P5" ca="1">-INDIRECT("'data'!$N$" &amp; $A$1)*parameters!$B$15</f>
        <v>-18816</v>
      </c>
      <c r="Q5" s="16">
        <f ca="1">SUM(L5:P5)</f>
        <v>3526.6804326577621</v>
      </c>
      <c r="R5" s="16">
        <f t="shared" ca="1" si="2"/>
        <v>3526.6804326577621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8073.24</v>
      </c>
      <c r="I6" s="14"/>
      <c r="J6" s="14"/>
      <c r="K6" s="13"/>
      <c r="L6" s="16">
        <f t="shared" ca="1" si="0"/>
        <v>8073.24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8073.24</v>
      </c>
      <c r="R6" s="16">
        <f t="shared" ca="1" si="2"/>
        <v>8073.24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20486.899999999998</v>
      </c>
      <c r="I7" s="14"/>
      <c r="J7" s="14"/>
      <c r="K7" s="13"/>
      <c r="L7" s="16">
        <f t="shared" ca="1" si="0"/>
        <v>20486.899999999998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20486.899999999998</v>
      </c>
      <c r="R7" s="16">
        <f t="shared" ca="1" si="2"/>
        <v>20486.899999999998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20535.167680397135</v>
      </c>
      <c r="J8" s="14">
        <f ca="1">Q10/J18</f>
        <v>6715.6923196028665</v>
      </c>
      <c r="K8" s="13"/>
      <c r="L8" s="16">
        <f t="shared" ca="1" si="0"/>
        <v>27250.86</v>
      </c>
      <c r="M8" s="16"/>
      <c r="N8" s="16">
        <f t="shared" ca="1" si="3"/>
        <v>0</v>
      </c>
      <c r="O8" s="11" cm="1">
        <f t="array" aca="1" ref="O8" ca="1">INDIRECT("'data'!$R$" &amp; $A$1)*parameters!$B$15</f>
        <v>3662.2599999999998</v>
      </c>
      <c r="P8" s="13" cm="1">
        <f t="array" aca="1" ref="P8" ca="1">-INDIRECT("'data'!$S$" &amp; $A$1)*parameters!$B$15</f>
        <v>-2352.98</v>
      </c>
      <c r="Q8" s="16">
        <f ca="1">SUM(Q6:Q7)</f>
        <v>28560.14</v>
      </c>
      <c r="R8" s="16">
        <f t="shared" ca="1" si="2"/>
        <v>28560.14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11368.979999999998</v>
      </c>
      <c r="L9" s="16">
        <f t="shared" ca="1" si="0"/>
        <v>11368.979999999998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9068.92</v>
      </c>
      <c r="P9" s="13" cm="1">
        <f t="array" aca="1" ref="P9" ca="1">-INDIRECT("'data'!$V$" &amp; $A$1)*parameters!$B$15</f>
        <v>-1160.32</v>
      </c>
      <c r="Q9" s="16" cm="1">
        <f t="array" aca="1" ref="Q9" ca="1">INDIRECT("'data'!$T$" &amp; $A$1)*parameters!$B$15</f>
        <v>19277.579999999998</v>
      </c>
      <c r="R9" s="16">
        <f t="shared" ca="1" si="2"/>
        <v>19277.579999999998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11511.158739668461</v>
      </c>
      <c r="L10" s="16">
        <f t="shared" ca="1" si="0"/>
        <v>11511.158739668461</v>
      </c>
      <c r="M10" s="16"/>
      <c r="N10" s="16">
        <f t="shared" ca="1" si="3"/>
        <v>0</v>
      </c>
      <c r="O10" s="11" cm="1">
        <f t="array" aca="1" ref="O10" ca="1">INDIRECT("'data'!$X$" &amp; $A$1)*parameters!$B$15</f>
        <v>1489.6</v>
      </c>
      <c r="P10" s="13" cm="1">
        <f t="array" aca="1" ref="P10" ca="1">-INDIRECT("'data'!$Y$" &amp; $A$1)*parameters!$B$15</f>
        <v>-6696.34</v>
      </c>
      <c r="Q10" s="16" cm="1">
        <f t="array" aca="1" ref="Q10" ca="1">INDIRECT("'data'!$W$" &amp; $A$1)*parameters!$B$15</f>
        <v>6304.4187396684611</v>
      </c>
      <c r="R10" s="16">
        <f t="shared" ca="1" si="2"/>
        <v>6304.4187396684611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19365.357716114871</v>
      </c>
      <c r="N11" s="19"/>
      <c r="O11" s="21" cm="1">
        <f t="array" aca="1" ref="O11" ca="1">INDIRECT("'data'!$Z$" &amp; $A$1)*parameters!$B$15</f>
        <v>4634.42</v>
      </c>
      <c r="P11" s="27" cm="1">
        <f t="array" aca="1" ref="P11" ca="1">-INDIRECT("'data'!$AA$" &amp; $A$1)*parameters!$B$15</f>
        <v>-3413.34</v>
      </c>
      <c r="Q11" s="16">
        <f ca="1">K9*parameters!$B$10+K10*parameters!$B$11</f>
        <v>20586.437716114873</v>
      </c>
      <c r="R11" s="16">
        <f t="shared" ref="R11:R17" ca="1" si="4">SUM(L11:P11)</f>
        <v>20586.43771611487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-46.006769145617</v>
      </c>
      <c r="D12" s="9">
        <f ca="1">-(D17-Q4)</f>
        <v>0</v>
      </c>
      <c r="E12" s="9">
        <f ca="1">-(E17-Q5)</f>
        <v>-435.88185122736377</v>
      </c>
      <c r="F12" s="9">
        <f ca="1">-(F17-Q6)</f>
        <v>-533.625671641792</v>
      </c>
      <c r="G12" s="9">
        <f ca="1">-(G17-Q7)</f>
        <v>-920.51901776384693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-1936.0333097786197</v>
      </c>
      <c r="M12" s="17"/>
      <c r="N12" s="17"/>
      <c r="O12" s="10"/>
      <c r="P12" s="12"/>
      <c r="Q12" s="9">
        <f t="shared" ref="Q12:Q17" ca="1" si="6">SUM(L12:P12)</f>
        <v>-1936.0333097786197</v>
      </c>
      <c r="R12" s="17">
        <f t="shared" ca="1" si="4"/>
        <v>-1936.0333097786197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-1257.5876803971369</v>
      </c>
      <c r="J13" s="14">
        <f ca="1">-(J17-Q10)</f>
        <v>-411.27357993440546</v>
      </c>
      <c r="K13" s="13">
        <f ca="1">-(K17-Q11)</f>
        <v>-2293.7010235535854</v>
      </c>
      <c r="L13" s="14">
        <f t="shared" ca="1" si="5"/>
        <v>-3962.5622838851277</v>
      </c>
      <c r="M13" s="16">
        <f ca="1">-E15</f>
        <v>0</v>
      </c>
      <c r="N13" s="16"/>
      <c r="O13" s="11"/>
      <c r="P13" s="13"/>
      <c r="Q13" s="14">
        <f t="shared" ca="1" si="6"/>
        <v>-3962.5622838851277</v>
      </c>
      <c r="R13" s="16">
        <f t="shared" ca="1" si="4"/>
        <v>-3962.5622838851277</v>
      </c>
    </row>
    <row r="14" spans="1:20">
      <c r="A14" s="18" t="s">
        <v>78</v>
      </c>
      <c r="B14" s="11"/>
      <c r="C14" s="14"/>
      <c r="D14" s="14"/>
      <c r="E14" s="14">
        <f ca="1">-(I13+J13)-K13</f>
        <v>3962.5622838851277</v>
      </c>
      <c r="F14" s="14"/>
      <c r="G14" s="14"/>
      <c r="H14" s="14"/>
      <c r="I14" s="14"/>
      <c r="J14" s="14"/>
      <c r="K14" s="13"/>
      <c r="L14" s="14">
        <f t="shared" ca="1" si="5"/>
        <v>3962.5622838851277</v>
      </c>
      <c r="M14" s="16"/>
      <c r="N14" s="16"/>
      <c r="O14" s="11"/>
      <c r="P14" s="13"/>
      <c r="Q14" s="14">
        <f t="shared" ca="1" si="6"/>
        <v>3962.5622838851277</v>
      </c>
      <c r="R14" s="16">
        <f t="shared" ca="1" si="4"/>
        <v>3962.5622838851277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3250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3250</v>
      </c>
      <c r="M16" s="19"/>
      <c r="N16" s="19"/>
      <c r="O16" s="21"/>
      <c r="P16" s="27"/>
      <c r="Q16" s="22">
        <f t="shared" ca="1" si="6"/>
        <v>3250</v>
      </c>
      <c r="R16" s="19">
        <f t="shared" ca="1" si="4"/>
        <v>3250</v>
      </c>
    </row>
    <row r="17" spans="1:18">
      <c r="A17" s="29" t="s">
        <v>88</v>
      </c>
      <c r="B17" s="9">
        <f ca="1">B16</f>
        <v>3250</v>
      </c>
      <c r="C17" s="9">
        <f ca="1">SUM(C$2:C$11)</f>
        <v>7302.6617691456167</v>
      </c>
      <c r="D17" s="9">
        <f ca="1">SUM(D$2:D$11)</f>
        <v>0</v>
      </c>
      <c r="E17" s="9">
        <f ca="1">$Q$5/parameters!$B$4</f>
        <v>3962.5622838851259</v>
      </c>
      <c r="F17" s="9">
        <f t="shared" ref="F17:K17" ca="1" si="7">SUM(F$2:F$11)</f>
        <v>8606.8656716417918</v>
      </c>
      <c r="G17" s="9">
        <f t="shared" ca="1" si="7"/>
        <v>21407.419017763845</v>
      </c>
      <c r="H17" s="9">
        <f t="shared" ca="1" si="7"/>
        <v>28560.14</v>
      </c>
      <c r="I17" s="9">
        <f t="shared" ca="1" si="7"/>
        <v>20535.167680397135</v>
      </c>
      <c r="J17" s="9">
        <f t="shared" ca="1" si="7"/>
        <v>6715.6923196028665</v>
      </c>
      <c r="K17" s="9">
        <f t="shared" ca="1" si="7"/>
        <v>22880.138739668459</v>
      </c>
      <c r="L17" s="17">
        <f t="shared" ca="1" si="5"/>
        <v>123220.64748210483</v>
      </c>
      <c r="M17" s="17"/>
      <c r="N17" s="17"/>
      <c r="O17" s="9"/>
      <c r="P17" s="14"/>
      <c r="Q17" s="11">
        <f t="shared" ca="1" si="6"/>
        <v>123220.64748210483</v>
      </c>
      <c r="R17" s="17">
        <f t="shared" ca="1" si="4"/>
        <v>123220.64748210483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0.93875931767542231</v>
      </c>
      <c r="J18" s="39">
        <f ca="1">I18</f>
        <v>0.93875931767542231</v>
      </c>
      <c r="K18" s="40">
        <f ca="1">1-(-K13)/K17</f>
        <v>0.8997514372770441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29437.933984099825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29437.933984099825</v>
      </c>
      <c r="M2" s="17"/>
      <c r="N2" s="17">
        <f ca="1">Q2-(L2+O2+P2)</f>
        <v>16456.916015900177</v>
      </c>
      <c r="O2" s="11" cm="1">
        <f t="array" aca="1" ref="O2" ca="1">INDIRECT("'data'!$F$" &amp; $A$1)</f>
        <v>202105.15</v>
      </c>
      <c r="P2" s="13">
        <f ca="1">IF(-(L2-Q2+O2)&lt;0, -(L2-Q2+O2), 0)</f>
        <v>0</v>
      </c>
      <c r="Q2" s="17" cm="1">
        <f t="array" aca="1" ref="Q2" ca="1">INDIRECT("'data'!$D$" &amp; $A$1)</f>
        <v>248000</v>
      </c>
      <c r="R2" s="17">
        <f ca="1">SUM(L2:P2)</f>
        <v>248000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20583.761194029852</v>
      </c>
      <c r="G3" s="14">
        <f ca="1">Q3-O3-P3-F3</f>
        <v>6486.7088059701455</v>
      </c>
      <c r="H3" s="14"/>
      <c r="I3" s="14"/>
      <c r="J3" s="14"/>
      <c r="K3" s="13"/>
      <c r="L3" s="16">
        <f t="shared" ca="1" si="0"/>
        <v>27070.469999999998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2182.0050000000001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29252.474999999999</v>
      </c>
      <c r="R3" s="16">
        <f t="shared" ref="R3:R10" ca="1" si="2">SUM(L3:P3)</f>
        <v>29252.474999999999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5145.940298507463</v>
      </c>
      <c r="G5" s="14">
        <f ca="1">Q7/parameters!$B$7-(G3+G4)</f>
        <v>1513.0404103307956</v>
      </c>
      <c r="H5" s="14"/>
      <c r="I5" s="14"/>
      <c r="J5" s="14"/>
      <c r="K5" s="13"/>
      <c r="L5" s="16">
        <f t="shared" ca="1" si="0"/>
        <v>6658.9807088382586</v>
      </c>
      <c r="M5" s="16"/>
      <c r="N5" s="16"/>
      <c r="O5" s="11" cm="1">
        <f t="array" aca="1" ref="O5" ca="1">INDIRECT("'data'!$M$" &amp; $A$1)*parameters!$B$15</f>
        <v>78.400000000000006</v>
      </c>
      <c r="P5" s="13" cm="1">
        <f t="array" aca="1" ref="P5" ca="1">-INDIRECT("'data'!$N$" &amp; $A$1)*parameters!$B$15</f>
        <v>-131.32</v>
      </c>
      <c r="Q5" s="16">
        <f ca="1">SUM(L5:P5)</f>
        <v>6606.0607088382585</v>
      </c>
      <c r="R5" s="16">
        <f t="shared" ca="1" si="2"/>
        <v>6606.0607088382585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24134.46</v>
      </c>
      <c r="I6" s="14"/>
      <c r="J6" s="14"/>
      <c r="K6" s="13"/>
      <c r="L6" s="16">
        <f t="shared" ca="1" si="0"/>
        <v>24134.46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24134.46</v>
      </c>
      <c r="R6" s="16">
        <f t="shared" ca="1" si="2"/>
        <v>24134.46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7655.76</v>
      </c>
      <c r="I7" s="14"/>
      <c r="J7" s="14"/>
      <c r="K7" s="13"/>
      <c r="L7" s="16">
        <f t="shared" ca="1" si="0"/>
        <v>7655.76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7655.76</v>
      </c>
      <c r="R7" s="16">
        <f t="shared" ca="1" si="2"/>
        <v>7655.76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10944.140735012286</v>
      </c>
      <c r="J8" s="14">
        <f ca="1">Q10/J18</f>
        <v>15746.159264987713</v>
      </c>
      <c r="K8" s="13"/>
      <c r="L8" s="16">
        <f t="shared" ca="1" si="0"/>
        <v>26690.3</v>
      </c>
      <c r="M8" s="16"/>
      <c r="N8" s="16">
        <f t="shared" ca="1" si="3"/>
        <v>0</v>
      </c>
      <c r="O8" s="11" cm="1">
        <f t="array" aca="1" ref="O8" ca="1">INDIRECT("'data'!$R$" &amp; $A$1)*parameters!$B$15</f>
        <v>5151.8599999999997</v>
      </c>
      <c r="P8" s="13" cm="1">
        <f t="array" aca="1" ref="P8" ca="1">-INDIRECT("'data'!$S$" &amp; $A$1)*parameters!$B$15</f>
        <v>-51.94</v>
      </c>
      <c r="Q8" s="16">
        <f ca="1">SUM(Q6:Q7)</f>
        <v>31790.22</v>
      </c>
      <c r="R8" s="16">
        <f t="shared" ca="1" si="2"/>
        <v>31790.22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10339</v>
      </c>
      <c r="L9" s="16">
        <f t="shared" ca="1" si="0"/>
        <v>10339</v>
      </c>
      <c r="M9" s="16"/>
      <c r="N9" s="16">
        <f t="shared" ca="1" si="3"/>
        <v>0</v>
      </c>
      <c r="O9" s="11" cm="1">
        <f t="array" aca="1" ref="O9" ca="1">INDIRECT("'data'!$U$" &amp; $A$1)*parameters!$B$15</f>
        <v>1106.42</v>
      </c>
      <c r="P9" s="13" cm="1">
        <f t="array" aca="1" ref="P9" ca="1">-INDIRECT("'data'!$V$" &amp; $A$1)*parameters!$B$15</f>
        <v>-1411.2</v>
      </c>
      <c r="Q9" s="16" cm="1">
        <f t="array" aca="1" ref="Q9" ca="1">INDIRECT("'data'!$T$" &amp; $A$1)*parameters!$B$15</f>
        <v>10034.219999999999</v>
      </c>
      <c r="R9" s="16">
        <f t="shared" ca="1" si="2"/>
        <v>10034.219999999999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16182.367795163584</v>
      </c>
      <c r="L10" s="16">
        <f t="shared" ca="1" si="0"/>
        <v>16182.367795163584</v>
      </c>
      <c r="M10" s="16"/>
      <c r="N10" s="16">
        <f t="shared" ca="1" si="3"/>
        <v>0</v>
      </c>
      <c r="O10" s="11" cm="1">
        <f t="array" aca="1" ref="O10" ca="1">INDIRECT("'data'!$X$" &amp; $A$1)*parameters!$B$15</f>
        <v>2305.94</v>
      </c>
      <c r="P10" s="13" cm="1">
        <f t="array" aca="1" ref="P10" ca="1">-INDIRECT("'data'!$Y$" &amp; $A$1)*parameters!$B$15</f>
        <v>-4051.3199999999997</v>
      </c>
      <c r="Q10" s="16" cm="1">
        <f t="array" aca="1" ref="Q10" ca="1">INDIRECT("'data'!$W$" &amp; $A$1)*parameters!$B$15</f>
        <v>14436.987795163584</v>
      </c>
      <c r="R10" s="16">
        <f t="shared" ca="1" si="2"/>
        <v>14436.987795163583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25014.356303840683</v>
      </c>
      <c r="N11" s="19"/>
      <c r="O11" s="21" cm="1">
        <f t="array" aca="1" ref="O11" ca="1">INDIRECT("'data'!$Z$" &amp; $A$1)*parameters!$B$15</f>
        <v>2595.04</v>
      </c>
      <c r="P11" s="27" cm="1">
        <f t="array" aca="1" ref="P11" ca="1">-INDIRECT("'data'!$AA$" &amp; $A$1)*parameters!$B$15</f>
        <v>-3973.9</v>
      </c>
      <c r="Q11" s="16">
        <f ca="1">K9*parameters!$B$10+K10*parameters!$B$11</f>
        <v>23635.496303840682</v>
      </c>
      <c r="R11" s="16">
        <f t="shared" ref="R11:R17" ca="1" si="4">SUM(L11:P11)</f>
        <v>23635.496303840682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-185.45898409982692</v>
      </c>
      <c r="D12" s="9">
        <f ca="1">-(D17-Q4)</f>
        <v>0</v>
      </c>
      <c r="E12" s="9">
        <f ca="1">-(E17-Q5)</f>
        <v>-816.47941345191975</v>
      </c>
      <c r="F12" s="9">
        <f ca="1">-(F17-Q6)</f>
        <v>-1595.2414925373159</v>
      </c>
      <c r="G12" s="9">
        <f ca="1">-(G17-Q7)</f>
        <v>-343.98921630094083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-2941.1691063900034</v>
      </c>
      <c r="M12" s="17"/>
      <c r="N12" s="17"/>
      <c r="O12" s="10"/>
      <c r="P12" s="12"/>
      <c r="Q12" s="9">
        <f t="shared" ref="Q12:Q17" ca="1" si="6">SUM(L12:P12)</f>
        <v>-2941.1691063900034</v>
      </c>
      <c r="R12" s="17">
        <f t="shared" ca="1" si="4"/>
        <v>-2941.1691063900034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-909.92073501228697</v>
      </c>
      <c r="J13" s="14">
        <f ca="1">-(J17-Q10)</f>
        <v>-1309.1714698241285</v>
      </c>
      <c r="K13" s="13">
        <f ca="1">-(K17-Q11)</f>
        <v>-2885.8714913229014</v>
      </c>
      <c r="L13" s="14">
        <f t="shared" ca="1" si="5"/>
        <v>-5104.9636961593169</v>
      </c>
      <c r="M13" s="16">
        <f ca="1">-E15</f>
        <v>-2317.5764261308614</v>
      </c>
      <c r="N13" s="16"/>
      <c r="O13" s="11"/>
      <c r="P13" s="13"/>
      <c r="Q13" s="14">
        <f t="shared" ca="1" si="6"/>
        <v>-7422.5401222901783</v>
      </c>
      <c r="R13" s="16">
        <f t="shared" ca="1" si="4"/>
        <v>-7422.5401222901783</v>
      </c>
    </row>
    <row r="14" spans="1:19">
      <c r="A14" s="18" t="s">
        <v>78</v>
      </c>
      <c r="B14" s="11"/>
      <c r="C14" s="14"/>
      <c r="D14" s="14"/>
      <c r="E14" s="14">
        <f ca="1">-(I13+J13)-K13</f>
        <v>5104.9636961593169</v>
      </c>
      <c r="F14" s="14"/>
      <c r="G14" s="14"/>
      <c r="H14" s="14"/>
      <c r="I14" s="14"/>
      <c r="J14" s="14"/>
      <c r="K14" s="13"/>
      <c r="L14" s="14">
        <f t="shared" ca="1" si="5"/>
        <v>5104.9636961593169</v>
      </c>
      <c r="M14" s="16"/>
      <c r="N14" s="16"/>
      <c r="O14" s="11"/>
      <c r="P14" s="13"/>
      <c r="Q14" s="14">
        <f t="shared" ca="1" si="6"/>
        <v>5104.9636961593169</v>
      </c>
      <c r="R14" s="16">
        <f t="shared" ca="1" si="4"/>
        <v>5104.9636961593169</v>
      </c>
    </row>
    <row r="15" spans="1:19">
      <c r="A15" s="18" t="s">
        <v>79</v>
      </c>
      <c r="B15" s="11"/>
      <c r="C15" s="14"/>
      <c r="D15" s="14"/>
      <c r="E15" s="14">
        <f ca="1">E17-E14</f>
        <v>2317.5764261308614</v>
      </c>
      <c r="F15" s="14"/>
      <c r="G15" s="14"/>
      <c r="H15" s="14"/>
      <c r="I15" s="14"/>
      <c r="J15" s="14"/>
      <c r="K15" s="13"/>
      <c r="L15" s="14">
        <f t="shared" ca="1" si="5"/>
        <v>2317.5764261308614</v>
      </c>
      <c r="M15" s="16"/>
      <c r="N15" s="16"/>
      <c r="O15" s="11"/>
      <c r="P15" s="13"/>
      <c r="Q15" s="14">
        <f t="shared" ca="1" si="6"/>
        <v>2317.5764261308614</v>
      </c>
      <c r="R15" s="16">
        <f t="shared" ca="1" si="4"/>
        <v>2317.5764261308614</v>
      </c>
    </row>
    <row r="16" spans="1:19">
      <c r="A16" s="30" t="s">
        <v>89</v>
      </c>
      <c r="B16" s="21">
        <f ca="1">Q2</f>
        <v>248000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248000</v>
      </c>
      <c r="M16" s="19"/>
      <c r="N16" s="19"/>
      <c r="O16" s="21"/>
      <c r="P16" s="27"/>
      <c r="Q16" s="22">
        <f t="shared" ca="1" si="6"/>
        <v>248000</v>
      </c>
      <c r="R16" s="19">
        <f t="shared" ca="1" si="4"/>
        <v>248000</v>
      </c>
    </row>
    <row r="17" spans="1:18">
      <c r="A17" s="29" t="s">
        <v>88</v>
      </c>
      <c r="B17" s="9">
        <f ca="1">B16</f>
        <v>248000</v>
      </c>
      <c r="C17" s="9">
        <f ca="1">SUM(C$2:C$11)</f>
        <v>29437.933984099825</v>
      </c>
      <c r="D17" s="9">
        <f ca="1">SUM(D$2:D$11)</f>
        <v>0</v>
      </c>
      <c r="E17" s="9">
        <f ca="1">$Q$5/parameters!$B$4</f>
        <v>7422.5401222901783</v>
      </c>
      <c r="F17" s="9">
        <f t="shared" ref="F17:K17" ca="1" si="7">SUM(F$2:F$11)</f>
        <v>25729.701492537315</v>
      </c>
      <c r="G17" s="9">
        <f t="shared" ca="1" si="7"/>
        <v>7999.749216300941</v>
      </c>
      <c r="H17" s="9">
        <f t="shared" ca="1" si="7"/>
        <v>31790.22</v>
      </c>
      <c r="I17" s="9">
        <f t="shared" ca="1" si="7"/>
        <v>10944.140735012286</v>
      </c>
      <c r="J17" s="9">
        <f t="shared" ca="1" si="7"/>
        <v>15746.159264987713</v>
      </c>
      <c r="K17" s="9">
        <f t="shared" ca="1" si="7"/>
        <v>26521.367795163584</v>
      </c>
      <c r="L17" s="17">
        <f t="shared" ca="1" si="5"/>
        <v>403591.81261039193</v>
      </c>
      <c r="M17" s="17"/>
      <c r="N17" s="17"/>
      <c r="O17" s="9"/>
      <c r="P17" s="14"/>
      <c r="Q17" s="11">
        <f t="shared" ca="1" si="6"/>
        <v>403591.81261039193</v>
      </c>
      <c r="R17" s="17">
        <f t="shared" ca="1" si="4"/>
        <v>403591.81261039193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0.91685772715794067</v>
      </c>
      <c r="J18" s="39">
        <f ca="1">I18</f>
        <v>0.91685772715794067</v>
      </c>
      <c r="K18" s="40">
        <f ca="1">1-(-K13)/K17</f>
        <v>0.89118692845663994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2131.2767917473307</v>
      </c>
      <c r="D2" s="9">
        <f ca="1">Q4/parameters!$B$3</f>
        <v>8656.5361779209015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10787.812969668232</v>
      </c>
      <c r="M2" s="17"/>
      <c r="N2" s="17">
        <f ca="1">Q2-(L2+O2+P2)</f>
        <v>0</v>
      </c>
      <c r="O2" s="11" cm="1">
        <f t="array" aca="1" ref="O2" ca="1">INDIRECT("'data'!$F$" &amp; $A$1)</f>
        <v>9641.4500000000007</v>
      </c>
      <c r="P2" s="13">
        <f ca="1">IF(-(L2-Q2+O2)&lt;0, -(L2-Q2+O2), 0)</f>
        <v>-5870.8657521000878</v>
      </c>
      <c r="Q2" s="17" cm="1">
        <f t="array" aca="1" ref="Q2" ca="1">INDIRECT("'data'!$D$" &amp; $A$1)</f>
        <v>14558.397217568145</v>
      </c>
      <c r="R2" s="17">
        <f ca="1">SUM(L2:P2)</f>
        <v>14558.397217568147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1797.0149253731347</v>
      </c>
      <c r="G3" s="14">
        <f ca="1">Q3-O3-P3-F3</f>
        <v>308.54982258618793</v>
      </c>
      <c r="H3" s="14"/>
      <c r="I3" s="14"/>
      <c r="J3" s="14"/>
      <c r="K3" s="13"/>
      <c r="L3" s="16">
        <f t="shared" ca="1" si="0"/>
        <v>2105.5647479593226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13.229999999999999</v>
      </c>
      <c r="P3" s="13" cm="1">
        <f t="array" aca="1" ref="P3" ca="1">-INDIRECT("'data'!$I$" &amp; $A$1)*parameters!$B$13</f>
        <v>-0.94499999999999995</v>
      </c>
      <c r="Q3" s="16" cm="1">
        <f t="array" aca="1" ref="Q3" ca="1">INDIRECT("'data'!$G$" &amp; $A$1)*parameters!$B$13</f>
        <v>2117.8497479593225</v>
      </c>
      <c r="R3" s="16">
        <f t="shared" ref="R3:R10" ca="1" si="2">SUM(L3:P3)</f>
        <v>2117.8497479593225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8199.996802429665</v>
      </c>
      <c r="H4" s="14"/>
      <c r="I4" s="14"/>
      <c r="J4" s="14"/>
      <c r="K4" s="13"/>
      <c r="L4" s="16">
        <f t="shared" ca="1" si="0"/>
        <v>8199.996802429665</v>
      </c>
      <c r="M4" s="16"/>
      <c r="N4" s="16">
        <f t="shared" ca="1" si="1"/>
        <v>402.00319757033503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8602</v>
      </c>
      <c r="R4" s="16">
        <f t="shared" ca="1" si="2"/>
        <v>8602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449.25373134328368</v>
      </c>
      <c r="G5" s="38">
        <f ca="1">E14*parameters!$B$4-O5-P5-F5</f>
        <v>1573.0625703864466</v>
      </c>
      <c r="H5" s="14"/>
      <c r="I5" s="14"/>
      <c r="J5" s="14"/>
      <c r="K5" s="13"/>
      <c r="L5" s="16">
        <f t="shared" ca="1" si="0"/>
        <v>2022.3163017297302</v>
      </c>
      <c r="M5" s="16"/>
      <c r="N5" s="16"/>
      <c r="O5" s="11" cm="1">
        <f t="array" aca="1" ref="O5" ca="1">INDIRECT("'data'!$M$" &amp; $A$1)*parameters!$B$15</f>
        <v>67.62</v>
      </c>
      <c r="P5" s="13" cm="1">
        <f t="array" aca="1" ref="P5" ca="1">-INDIRECT("'data'!$N$" &amp; $A$1)*parameters!$B$15</f>
        <v>-2.94</v>
      </c>
      <c r="Q5" s="16">
        <f ca="1">SUM(L5:P5)</f>
        <v>2086.99630172973</v>
      </c>
      <c r="R5" s="16">
        <f t="shared" ca="1" si="2"/>
        <v>2086.99630172973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2107</v>
      </c>
      <c r="I6" s="14"/>
      <c r="J6" s="14"/>
      <c r="K6" s="13"/>
      <c r="L6" s="16">
        <f t="shared" ca="1" si="0"/>
        <v>2107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2107</v>
      </c>
      <c r="R6" s="16">
        <f t="shared" ca="1" si="2"/>
        <v>2107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9648.1</v>
      </c>
      <c r="I7" s="14"/>
      <c r="J7" s="14"/>
      <c r="K7" s="13"/>
      <c r="L7" s="16">
        <f t="shared" ca="1" si="0"/>
        <v>9648.1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9648.1</v>
      </c>
      <c r="R7" s="16">
        <f t="shared" ca="1" si="2"/>
        <v>9648.1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8460</v>
      </c>
      <c r="J8" s="14">
        <f ca="1">Q10/J18</f>
        <v>6737.7027027027025</v>
      </c>
      <c r="K8" s="13"/>
      <c r="L8" s="16">
        <f t="shared" ca="1" si="0"/>
        <v>15197.702702702703</v>
      </c>
      <c r="M8" s="16"/>
      <c r="N8" s="16">
        <f t="shared" ca="1" si="3"/>
        <v>-419.30270270270375</v>
      </c>
      <c r="O8" s="11" cm="1">
        <f t="array" aca="1" ref="O8" ca="1">INDIRECT("'data'!$R$" &amp; $A$1)*parameters!$B$15</f>
        <v>64.679999999999993</v>
      </c>
      <c r="P8" s="13" cm="1">
        <f t="array" aca="1" ref="P8" ca="1">-INDIRECT("'data'!$S$" &amp; $A$1)*parameters!$B$15</f>
        <v>-3087.98</v>
      </c>
      <c r="Q8" s="16">
        <f ca="1">SUM(Q6:Q7)</f>
        <v>11755.1</v>
      </c>
      <c r="R8" s="16">
        <f t="shared" ca="1" si="2"/>
        <v>11755.1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10128.299999999999</v>
      </c>
      <c r="L9" s="16">
        <f t="shared" ca="1" si="0"/>
        <v>10128.299999999999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-1837.5</v>
      </c>
      <c r="Q9" s="16" cm="1">
        <f t="array" aca="1" ref="Q9" ca="1">INDIRECT("'data'!$T$" &amp; $A$1)*parameters!$B$15</f>
        <v>8290.7999999999993</v>
      </c>
      <c r="R9" s="16">
        <f t="shared" ca="1" si="2"/>
        <v>8290.7999999999993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10237.768648648649</v>
      </c>
      <c r="L10" s="16">
        <f t="shared" ca="1" si="0"/>
        <v>10237.768648648649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-3634.8199999999997</v>
      </c>
      <c r="Q10" s="16" cm="1">
        <f t="array" aca="1" ref="Q10" ca="1">INDIRECT("'data'!$W$" &amp; $A$1)*parameters!$B$15</f>
        <v>6602.9486486486485</v>
      </c>
      <c r="R10" s="16">
        <f t="shared" ca="1" si="2"/>
        <v>6602.9486486486494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20043.023037837836</v>
      </c>
      <c r="N11" s="19"/>
      <c r="O11" s="21" cm="1">
        <f t="array" aca="1" ref="O11" ca="1">INDIRECT("'data'!$Z$" &amp; $A$1)*parameters!$B$15</f>
        <v>39.200000000000003</v>
      </c>
      <c r="P11" s="27" cm="1">
        <f t="array" aca="1" ref="P11" ca="1">-INDIRECT("'data'!$AA$" &amp; $A$1)*parameters!$B$15</f>
        <v>-1757.1399999999999</v>
      </c>
      <c r="Q11" s="16">
        <f ca="1">K9*parameters!$B$10+K10*parameters!$B$11</f>
        <v>18325.083037837838</v>
      </c>
      <c r="R11" s="16">
        <f t="shared" ref="R11:R17" ca="1" si="4">SUM(L11:P11)</f>
        <v>18325.083037837838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-13.427043788008177</v>
      </c>
      <c r="D12" s="9">
        <f ca="1">-(D17-Q4)</f>
        <v>-54.536177920901537</v>
      </c>
      <c r="E12" s="9">
        <f ca="1">-(E17-Q5)</f>
        <v>-257.94336313513531</v>
      </c>
      <c r="F12" s="9">
        <f ca="1">-(F17-Q6)</f>
        <v>-139.26865671641826</v>
      </c>
      <c r="G12" s="9">
        <f ca="1">-(G17-Q7)</f>
        <v>-433.50919540229916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-898.68443696276245</v>
      </c>
      <c r="M12" s="17"/>
      <c r="N12" s="17"/>
      <c r="O12" s="10"/>
      <c r="P12" s="12"/>
      <c r="Q12" s="9">
        <f t="shared" ref="Q12:Q17" ca="1" si="6">SUM(L12:P12)</f>
        <v>-898.68443696276245</v>
      </c>
      <c r="R12" s="17">
        <f t="shared" ca="1" si="4"/>
        <v>-898.68443696276245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-169.20000000000073</v>
      </c>
      <c r="J13" s="14">
        <f ca="1">-(J17-Q10)</f>
        <v>-134.754054054054</v>
      </c>
      <c r="K13" s="13">
        <f ca="1">-(K17-Q11)</f>
        <v>-2040.9856108108106</v>
      </c>
      <c r="L13" s="14">
        <f t="shared" ca="1" si="5"/>
        <v>-2344.9396648648653</v>
      </c>
      <c r="M13" s="16">
        <f ca="1">-E15</f>
        <v>0</v>
      </c>
      <c r="N13" s="16"/>
      <c r="O13" s="11"/>
      <c r="P13" s="13"/>
      <c r="Q13" s="14">
        <f t="shared" ca="1" si="6"/>
        <v>-2344.9396648648653</v>
      </c>
      <c r="R13" s="16">
        <f t="shared" ca="1" si="4"/>
        <v>-2344.9396648648653</v>
      </c>
    </row>
    <row r="14" spans="1:22">
      <c r="A14" s="18" t="s">
        <v>78</v>
      </c>
      <c r="B14" s="11"/>
      <c r="C14" s="14"/>
      <c r="D14" s="14"/>
      <c r="E14" s="14">
        <f ca="1">-(I13+J13)-K13</f>
        <v>2344.9396648648653</v>
      </c>
      <c r="F14" s="14"/>
      <c r="G14" s="14"/>
      <c r="H14" s="14"/>
      <c r="I14" s="14"/>
      <c r="J14" s="14"/>
      <c r="K14" s="13"/>
      <c r="L14" s="14">
        <f t="shared" ca="1" si="5"/>
        <v>2344.9396648648653</v>
      </c>
      <c r="M14" s="16"/>
      <c r="N14" s="16"/>
      <c r="O14" s="11"/>
      <c r="P14" s="13"/>
      <c r="Q14" s="14">
        <f t="shared" ca="1" si="6"/>
        <v>2344.9396648648653</v>
      </c>
      <c r="R14" s="16">
        <f t="shared" ca="1" si="4"/>
        <v>2344.9396648648653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14558.397217568145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14558.397217568145</v>
      </c>
      <c r="M16" s="19"/>
      <c r="N16" s="19"/>
      <c r="O16" s="21"/>
      <c r="P16" s="27"/>
      <c r="Q16" s="22">
        <f t="shared" ca="1" si="6"/>
        <v>14558.397217568145</v>
      </c>
      <c r="R16" s="19">
        <f t="shared" ca="1" si="4"/>
        <v>14558.397217568145</v>
      </c>
    </row>
    <row r="17" spans="1:18">
      <c r="A17" s="29" t="s">
        <v>88</v>
      </c>
      <c r="B17" s="9">
        <f ca="1">B16</f>
        <v>14558.397217568145</v>
      </c>
      <c r="C17" s="9">
        <f ca="1">SUM(C$2:C$11)</f>
        <v>2131.2767917473307</v>
      </c>
      <c r="D17" s="9">
        <f ca="1">SUM(D$2:D$11)</f>
        <v>8656.5361779209015</v>
      </c>
      <c r="E17" s="9">
        <f ca="1">$Q$5/parameters!$B$4</f>
        <v>2344.9396648648653</v>
      </c>
      <c r="F17" s="9">
        <f t="shared" ref="F17:K17" ca="1" si="7">SUM(F$2:F$11)</f>
        <v>2246.2686567164183</v>
      </c>
      <c r="G17" s="9">
        <f t="shared" ca="1" si="7"/>
        <v>10081.6091954023</v>
      </c>
      <c r="H17" s="9">
        <f t="shared" ca="1" si="7"/>
        <v>11755.1</v>
      </c>
      <c r="I17" s="9">
        <f t="shared" ca="1" si="7"/>
        <v>8460</v>
      </c>
      <c r="J17" s="9">
        <f t="shared" ca="1" si="7"/>
        <v>6737.7027027027025</v>
      </c>
      <c r="K17" s="9">
        <f t="shared" ca="1" si="7"/>
        <v>20366.068648648648</v>
      </c>
      <c r="L17" s="17">
        <f t="shared" ca="1" si="5"/>
        <v>87337.89905557131</v>
      </c>
      <c r="M17" s="17"/>
      <c r="N17" s="17"/>
      <c r="O17" s="9"/>
      <c r="P17" s="14"/>
      <c r="Q17" s="11">
        <f t="shared" ca="1" si="6"/>
        <v>87337.89905557131</v>
      </c>
      <c r="R17" s="17">
        <f t="shared" ca="1" si="4"/>
        <v>87337.89905557131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0.89978499797769085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8135.7300996276535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8135.7300996276535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-8135.7300996276535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7177.194029850747</v>
      </c>
      <c r="G3" s="14">
        <f ca="1">Q3-O3-P3-F3</f>
        <v>1808.8109701492522</v>
      </c>
      <c r="H3" s="14"/>
      <c r="I3" s="14"/>
      <c r="J3" s="14"/>
      <c r="K3" s="13"/>
      <c r="L3" s="16">
        <f t="shared" ca="1" si="0"/>
        <v>8986.0049999999992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35.909999999999997</v>
      </c>
      <c r="P3" s="13" cm="1">
        <f t="array" aca="1" ref="P3" ca="1">-INDIRECT("'data'!$I$" &amp; $A$1)*parameters!$B$13</f>
        <v>-937.43999999999994</v>
      </c>
      <c r="Q3" s="16" cm="1">
        <f t="array" aca="1" ref="Q3" ca="1">INDIRECT("'data'!$G$" &amp; $A$1)*parameters!$B$13</f>
        <v>8084.4749999999995</v>
      </c>
      <c r="R3" s="16">
        <f t="shared" ref="R3:R10" ca="1" si="2">SUM(L3:P3)</f>
        <v>8084.4749999999995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221.72</v>
      </c>
      <c r="H4" s="14"/>
      <c r="I4" s="14"/>
      <c r="J4" s="14"/>
      <c r="K4" s="13"/>
      <c r="L4" s="16">
        <f t="shared" ca="1" si="0"/>
        <v>221.72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-221.72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1794.2985074626868</v>
      </c>
      <c r="G5" s="14">
        <f ca="1">Q7/parameters!$B$7-(G3+G4)</f>
        <v>15544.954923267676</v>
      </c>
      <c r="H5" s="14"/>
      <c r="I5" s="14"/>
      <c r="J5" s="14"/>
      <c r="K5" s="13"/>
      <c r="L5" s="16">
        <f t="shared" ca="1" si="0"/>
        <v>17339.253430730365</v>
      </c>
      <c r="M5" s="16"/>
      <c r="N5" s="16"/>
      <c r="O5" s="11" cm="1">
        <f t="array" aca="1" ref="O5" ca="1">INDIRECT("'data'!$M$" &amp; $A$1)*parameters!$B$15</f>
        <v>413.56</v>
      </c>
      <c r="P5" s="13" cm="1">
        <f t="array" aca="1" ref="P5" ca="1">-INDIRECT("'data'!$N$" &amp; $A$1)*parameters!$B$15</f>
        <v>-4499.18</v>
      </c>
      <c r="Q5" s="16">
        <f ca="1">SUM(L5:P5)</f>
        <v>13253.633430730366</v>
      </c>
      <c r="R5" s="16">
        <f t="shared" ca="1" si="2"/>
        <v>13253.633430730366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8415.26</v>
      </c>
      <c r="I6" s="14"/>
      <c r="J6" s="14"/>
      <c r="K6" s="13"/>
      <c r="L6" s="16">
        <f t="shared" ca="1" si="0"/>
        <v>8415.26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8415.26</v>
      </c>
      <c r="R6" s="16">
        <f t="shared" ca="1" si="2"/>
        <v>8415.26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16819.739999999998</v>
      </c>
      <c r="I7" s="14"/>
      <c r="J7" s="14"/>
      <c r="K7" s="13"/>
      <c r="L7" s="16">
        <f t="shared" ca="1" si="0"/>
        <v>16819.739999999998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16819.739999999998</v>
      </c>
      <c r="R7" s="16">
        <f t="shared" ca="1" si="2"/>
        <v>16819.739999999998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14197.561581800284</v>
      </c>
      <c r="J8" s="14">
        <f ca="1">Q10/J18</f>
        <v>13643.258418199714</v>
      </c>
      <c r="K8" s="13"/>
      <c r="L8" s="16">
        <f t="shared" ca="1" si="0"/>
        <v>27840.82</v>
      </c>
      <c r="M8" s="16"/>
      <c r="N8" s="16">
        <f t="shared" ca="1" si="3"/>
        <v>0</v>
      </c>
      <c r="O8" s="11" cm="1">
        <f t="array" aca="1" ref="O8" ca="1">INDIRECT("'data'!$R$" &amp; $A$1)*parameters!$B$15</f>
        <v>889.84</v>
      </c>
      <c r="P8" s="13" cm="1">
        <f t="array" aca="1" ref="P8" ca="1">-INDIRECT("'data'!$S$" &amp; $A$1)*parameters!$B$15</f>
        <v>-3495.66</v>
      </c>
      <c r="Q8" s="16">
        <f ca="1">SUM(Q6:Q7)</f>
        <v>25235</v>
      </c>
      <c r="R8" s="16">
        <f t="shared" ca="1" si="2"/>
        <v>25235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10793.720000000001</v>
      </c>
      <c r="L9" s="16">
        <f t="shared" ca="1" si="0"/>
        <v>10793.720000000001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4189.5</v>
      </c>
      <c r="P9" s="13" cm="1">
        <f t="array" aca="1" ref="P9" ca="1">-INDIRECT("'data'!$V$" &amp; $A$1)*parameters!$B$15</f>
        <v>-2489.1999999999998</v>
      </c>
      <c r="Q9" s="16" cm="1">
        <f t="array" aca="1" ref="Q9" ca="1">INDIRECT("'data'!$T$" &amp; $A$1)*parameters!$B$15</f>
        <v>12494.02</v>
      </c>
      <c r="R9" s="16">
        <f t="shared" ca="1" si="2"/>
        <v>12494.02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14611.066742532006</v>
      </c>
      <c r="L10" s="16">
        <f t="shared" ca="1" si="0"/>
        <v>14611.066742532006</v>
      </c>
      <c r="M10" s="16"/>
      <c r="N10" s="16">
        <f t="shared" ca="1" si="3"/>
        <v>0</v>
      </c>
      <c r="O10" s="11" cm="1">
        <f t="array" aca="1" ref="O10" ca="1">INDIRECT("'data'!$X$" &amp; $A$1)*parameters!$B$15</f>
        <v>6609.12</v>
      </c>
      <c r="P10" s="13" cm="1">
        <f t="array" aca="1" ref="P10" ca="1">-INDIRECT("'data'!$Y$" &amp; $A$1)*parameters!$B$15</f>
        <v>-9213.9599999999991</v>
      </c>
      <c r="Q10" s="16" cm="1">
        <f t="array" aca="1" ref="Q10" ca="1">INDIRECT("'data'!$W$" &amp; $A$1)*parameters!$B$15</f>
        <v>12006.226742532006</v>
      </c>
      <c r="R10" s="16">
        <f t="shared" ca="1" si="2"/>
        <v>12006.226742532006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19728.494198577526</v>
      </c>
      <c r="N11" s="19"/>
      <c r="O11" s="21" cm="1">
        <f t="array" aca="1" ref="O11" ca="1">INDIRECT("'data'!$Z$" &amp; $A$1)*parameters!$B$15</f>
        <v>11806.06</v>
      </c>
      <c r="P11" s="27" cm="1">
        <f t="array" aca="1" ref="P11" ca="1">-INDIRECT("'data'!$AA$" &amp; $A$1)*parameters!$B$15</f>
        <v>-8822.94</v>
      </c>
      <c r="Q11" s="16">
        <f ca="1">K9*parameters!$B$10+K10*parameters!$B$11</f>
        <v>22711.614198577525</v>
      </c>
      <c r="R11" s="16">
        <f t="shared" ref="R11:R17" ca="1" si="4">SUM(L11:P11)</f>
        <v>22711.614198577525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-51.25509962765409</v>
      </c>
      <c r="D12" s="9">
        <f ca="1">-(D17-Q4)</f>
        <v>0</v>
      </c>
      <c r="E12" s="9">
        <f ca="1">-(E17-Q5)</f>
        <v>-1638.0895251464499</v>
      </c>
      <c r="F12" s="9">
        <f ca="1">-(F17-Q6)</f>
        <v>-556.23253731343357</v>
      </c>
      <c r="G12" s="9">
        <f ca="1">-(G17-Q7)</f>
        <v>-755.7458934169299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-3001.3230555044674</v>
      </c>
      <c r="M12" s="17"/>
      <c r="N12" s="17"/>
      <c r="O12" s="10"/>
      <c r="P12" s="12"/>
      <c r="Q12" s="9">
        <f t="shared" ref="Q12:Q17" ca="1" si="6">SUM(L12:P12)</f>
        <v>-3001.3230555044674</v>
      </c>
      <c r="R12" s="17">
        <f t="shared" ca="1" si="4"/>
        <v>-3001.3230555044674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-1703.5415818002839</v>
      </c>
      <c r="J13" s="14">
        <f ca="1">-(J17-Q10)</f>
        <v>-1637.0316756677075</v>
      </c>
      <c r="K13" s="13">
        <f ca="1">-(K17-Q11)</f>
        <v>-2693.1725439544825</v>
      </c>
      <c r="L13" s="14">
        <f t="shared" ca="1" si="5"/>
        <v>-6033.745801422474</v>
      </c>
      <c r="M13" s="16">
        <f ca="1">-E15</f>
        <v>-8857.9771544543419</v>
      </c>
      <c r="N13" s="16"/>
      <c r="O13" s="11"/>
      <c r="P13" s="13"/>
      <c r="Q13" s="14">
        <f t="shared" ca="1" si="6"/>
        <v>-14891.722955876816</v>
      </c>
      <c r="R13" s="16">
        <f t="shared" ca="1" si="4"/>
        <v>-14891.722955876816</v>
      </c>
    </row>
    <row r="14" spans="1:20">
      <c r="A14" s="18" t="s">
        <v>78</v>
      </c>
      <c r="B14" s="11"/>
      <c r="C14" s="14"/>
      <c r="D14" s="14"/>
      <c r="E14" s="14">
        <f ca="1">-(I13+J13)-K13</f>
        <v>6033.745801422474</v>
      </c>
      <c r="F14" s="14"/>
      <c r="G14" s="14"/>
      <c r="H14" s="14"/>
      <c r="I14" s="14"/>
      <c r="J14" s="14"/>
      <c r="K14" s="13"/>
      <c r="L14" s="14">
        <f t="shared" ca="1" si="5"/>
        <v>6033.745801422474</v>
      </c>
      <c r="M14" s="16"/>
      <c r="N14" s="16"/>
      <c r="O14" s="11"/>
      <c r="P14" s="13"/>
      <c r="Q14" s="14">
        <f t="shared" ca="1" si="6"/>
        <v>6033.745801422474</v>
      </c>
      <c r="R14" s="16">
        <f t="shared" ca="1" si="4"/>
        <v>6033.745801422474</v>
      </c>
    </row>
    <row r="15" spans="1:20">
      <c r="A15" s="18" t="s">
        <v>79</v>
      </c>
      <c r="B15" s="11"/>
      <c r="C15" s="14"/>
      <c r="D15" s="14"/>
      <c r="E15" s="14">
        <f ca="1">E17-E14</f>
        <v>8857.9771544543419</v>
      </c>
      <c r="F15" s="14"/>
      <c r="G15" s="14"/>
      <c r="H15" s="14"/>
      <c r="I15" s="14"/>
      <c r="J15" s="14"/>
      <c r="K15" s="13"/>
      <c r="L15" s="14">
        <f t="shared" ca="1" si="5"/>
        <v>8857.9771544543419</v>
      </c>
      <c r="M15" s="16"/>
      <c r="N15" s="16"/>
      <c r="O15" s="11"/>
      <c r="P15" s="13"/>
      <c r="Q15" s="14">
        <f t="shared" ca="1" si="6"/>
        <v>8857.9771544543419</v>
      </c>
      <c r="R15" s="16">
        <f t="shared" ca="1" si="4"/>
        <v>8857.9771544543419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8135.7300996276535</v>
      </c>
      <c r="D17" s="9">
        <f ca="1">SUM(D$2:D$11)</f>
        <v>0</v>
      </c>
      <c r="E17" s="9">
        <f ca="1">$Q$5/parameters!$B$4</f>
        <v>14891.722955876816</v>
      </c>
      <c r="F17" s="9">
        <f t="shared" ref="F17:K17" ca="1" si="7">SUM(F$2:F$11)</f>
        <v>8971.4925373134338</v>
      </c>
      <c r="G17" s="9">
        <f t="shared" ca="1" si="7"/>
        <v>17575.485893416928</v>
      </c>
      <c r="H17" s="9">
        <f t="shared" ca="1" si="7"/>
        <v>25235</v>
      </c>
      <c r="I17" s="9">
        <f t="shared" ca="1" si="7"/>
        <v>14197.561581800284</v>
      </c>
      <c r="J17" s="9">
        <f t="shared" ca="1" si="7"/>
        <v>13643.258418199714</v>
      </c>
      <c r="K17" s="9">
        <f t="shared" ca="1" si="7"/>
        <v>25404.786742532007</v>
      </c>
      <c r="L17" s="17">
        <f t="shared" ca="1" si="5"/>
        <v>128055.03822876682</v>
      </c>
      <c r="M17" s="17"/>
      <c r="N17" s="17"/>
      <c r="O17" s="9"/>
      <c r="P17" s="14"/>
      <c r="Q17" s="11">
        <f t="shared" ca="1" si="6"/>
        <v>128055.03822876682</v>
      </c>
      <c r="R17" s="17">
        <f t="shared" ca="1" si="4"/>
        <v>128055.03822876682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0.88001167862627638</v>
      </c>
      <c r="J18" s="39">
        <f ca="1">I18</f>
        <v>0.88001167862627638</v>
      </c>
      <c r="K18" s="40">
        <f ca="1">1-(-K13)/K17</f>
        <v>0.89398956302019861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26008.659555197744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26008.659555197744</v>
      </c>
      <c r="M2" s="17"/>
      <c r="N2" s="17">
        <f ca="1">Q2-(L2+O2+P2)</f>
        <v>0</v>
      </c>
      <c r="O2" s="11" cm="1">
        <f t="array" aca="1" ref="O2" ca="1">INDIRECT("'data'!$F$" &amp; $A$1)</f>
        <v>21282.3</v>
      </c>
      <c r="P2" s="13">
        <f ca="1">IF(-(L2-Q2+O2)&lt;0, -(L2-Q2+O2), 0)</f>
        <v>-8690.9595551977436</v>
      </c>
      <c r="Q2" s="17" cm="1">
        <f t="array" aca="1" ref="Q2" ca="1">INDIRECT("'data'!$D$" &amp; $A$1)</f>
        <v>38600</v>
      </c>
      <c r="R2" s="17">
        <f ca="1">SUM(L2:P2)</f>
        <v>38600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24352.582089552241</v>
      </c>
      <c r="G3" s="14">
        <f ca="1">Q3-O3-P3-F3</f>
        <v>154.10291044776022</v>
      </c>
      <c r="H3" s="14"/>
      <c r="I3" s="14"/>
      <c r="J3" s="14"/>
      <c r="K3" s="13"/>
      <c r="L3" s="16">
        <f t="shared" ca="1" si="0"/>
        <v>24506.685000000001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1399.5449999999998</v>
      </c>
      <c r="P3" s="13" cm="1">
        <f t="array" aca="1" ref="P3" ca="1">-INDIRECT("'data'!$I$" &amp; $A$1)*parameters!$B$13</f>
        <v>-61.424999999999997</v>
      </c>
      <c r="Q3" s="16" cm="1">
        <f t="array" aca="1" ref="Q3" ca="1">INDIRECT("'data'!$G$" &amp; $A$1)*parameters!$B$13</f>
        <v>25844.805</v>
      </c>
      <c r="R3" s="16">
        <f t="shared" ref="R3:R10" ca="1" si="2">SUM(L3:P3)</f>
        <v>25844.805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318.32</v>
      </c>
      <c r="H4" s="14"/>
      <c r="I4" s="14"/>
      <c r="J4" s="14"/>
      <c r="K4" s="13"/>
      <c r="L4" s="16">
        <f t="shared" ca="1" si="0"/>
        <v>318.32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-318.32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Q6/parameters!$B$5*27%</f>
        <v>9007.1194029850758</v>
      </c>
      <c r="G5" s="14">
        <f ca="1">Q7/parameters!$B$7-(G3+G4)</f>
        <v>1063.6272462920517</v>
      </c>
      <c r="H5" s="14"/>
      <c r="I5" s="14"/>
      <c r="J5" s="14"/>
      <c r="K5" s="13"/>
      <c r="L5" s="16">
        <f t="shared" ca="1" si="0"/>
        <v>10070.746649277127</v>
      </c>
      <c r="M5" s="16"/>
      <c r="N5" s="16"/>
      <c r="O5" s="11" cm="1">
        <f t="array" aca="1" ref="O5" ca="1">INDIRECT("'data'!$M$" &amp; $A$1)*parameters!$B$15</f>
        <v>651.69999999999993</v>
      </c>
      <c r="P5" s="13" cm="1">
        <f t="array" aca="1" ref="P5" ca="1">-INDIRECT("'data'!$N$" &amp; $A$1)*parameters!$B$15</f>
        <v>-9.8000000000000007</v>
      </c>
      <c r="Q5" s="16">
        <f ca="1">SUM(L5:P5)</f>
        <v>10712.646649277129</v>
      </c>
      <c r="R5" s="16">
        <f t="shared" ca="1" si="2"/>
        <v>10712.646649277129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31291.399999999998</v>
      </c>
      <c r="I6" s="14"/>
      <c r="J6" s="14"/>
      <c r="K6" s="13"/>
      <c r="L6" s="16">
        <f t="shared" ca="1" si="0"/>
        <v>31291.399999999998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31291.399999999998</v>
      </c>
      <c r="R6" s="16">
        <f t="shared" ca="1" si="2"/>
        <v>31291.399999999998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1470</v>
      </c>
      <c r="I7" s="14"/>
      <c r="J7" s="14"/>
      <c r="K7" s="13"/>
      <c r="L7" s="16">
        <f t="shared" ca="1" si="0"/>
        <v>1470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1470</v>
      </c>
      <c r="R7" s="16">
        <f t="shared" ca="1" si="2"/>
        <v>1470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10817.669605187217</v>
      </c>
      <c r="J8" s="14">
        <f ca="1">Q10/J18</f>
        <v>11225.470394812783</v>
      </c>
      <c r="K8" s="13"/>
      <c r="L8" s="16">
        <f t="shared" ca="1" si="0"/>
        <v>22043.14</v>
      </c>
      <c r="M8" s="16"/>
      <c r="N8" s="16">
        <f t="shared" ca="1" si="3"/>
        <v>0</v>
      </c>
      <c r="O8" s="11" cm="1">
        <f t="array" aca="1" ref="O8" ca="1">INDIRECT("'data'!$R$" &amp; $A$1)*parameters!$B$15</f>
        <v>11201.4</v>
      </c>
      <c r="P8" s="13" cm="1">
        <f t="array" aca="1" ref="P8" ca="1">-INDIRECT("'data'!$S$" &amp; $A$1)*parameters!$B$15</f>
        <v>-483.14</v>
      </c>
      <c r="Q8" s="16">
        <f ca="1">SUM(Q6:Q7)</f>
        <v>32761.399999999998</v>
      </c>
      <c r="R8" s="16">
        <f t="shared" ca="1" si="2"/>
        <v>32761.4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3038.0000000000009</v>
      </c>
      <c r="L9" s="16">
        <f t="shared" ca="1" si="0"/>
        <v>3038.0000000000009</v>
      </c>
      <c r="M9" s="16"/>
      <c r="N9" s="16">
        <f t="shared" ca="1" si="3"/>
        <v>0</v>
      </c>
      <c r="O9" s="11" cm="1">
        <f t="array" aca="1" ref="O9" ca="1">INDIRECT("'data'!$U$" &amp; $A$1)*parameters!$B$15</f>
        <v>5790.82</v>
      </c>
      <c r="P9" s="13" cm="1">
        <f t="array" aca="1" ref="P9" ca="1">-INDIRECT("'data'!$V$" &amp; $A$1)*parameters!$B$15</f>
        <v>-393.96</v>
      </c>
      <c r="Q9" s="16" cm="1">
        <f t="array" aca="1" ref="Q9" ca="1">INDIRECT("'data'!$T$" &amp; $A$1)*parameters!$B$15</f>
        <v>8434.86</v>
      </c>
      <c r="R9" s="16">
        <f t="shared" ca="1" si="2"/>
        <v>8434.86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3132.5344523470844</v>
      </c>
      <c r="L10" s="16">
        <f t="shared" ca="1" si="0"/>
        <v>3132.5344523470844</v>
      </c>
      <c r="M10" s="16"/>
      <c r="N10" s="16">
        <f t="shared" ca="1" si="3"/>
        <v>0</v>
      </c>
      <c r="O10" s="11" cm="1">
        <f t="array" aca="1" ref="O10" ca="1">INDIRECT("'data'!$X$" &amp; $A$1)*parameters!$B$15</f>
        <v>6433.7</v>
      </c>
      <c r="P10" s="13" cm="1">
        <f t="array" aca="1" ref="P10" ca="1">-INDIRECT("'data'!$Y$" &amp; $A$1)*parameters!$B$15</f>
        <v>-813.4</v>
      </c>
      <c r="Q10" s="16" cm="1">
        <f t="array" aca="1" ref="Q10" ca="1">INDIRECT("'data'!$W$" &amp; $A$1)*parameters!$B$15</f>
        <v>8752.8344523470842</v>
      </c>
      <c r="R10" s="16">
        <f t="shared" ca="1" si="2"/>
        <v>8752.8344523470842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5021.4796290184931</v>
      </c>
      <c r="N11" s="19"/>
      <c r="O11" s="21" cm="1">
        <f t="array" aca="1" ref="O11" ca="1">INDIRECT("'data'!$Z$" &amp; $A$1)*parameters!$B$15</f>
        <v>1906.1</v>
      </c>
      <c r="P11" s="27" cm="1">
        <f t="array" aca="1" ref="P11" ca="1">-INDIRECT("'data'!$AA$" &amp; $A$1)*parameters!$B$15</f>
        <v>-1377.8799999999999</v>
      </c>
      <c r="Q11" s="16">
        <f ca="1">K9*parameters!$B$10+K10*parameters!$B$11</f>
        <v>5549.6996290184934</v>
      </c>
      <c r="R11" s="16">
        <f t="shared" ref="R11:R17" ca="1" si="4">SUM(L11:P11)</f>
        <v>5549.6996290184934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-163.85455519774405</v>
      </c>
      <c r="D12" s="9">
        <f ca="1">-(D17-Q4)</f>
        <v>0</v>
      </c>
      <c r="E12" s="9">
        <f ca="1">-(E17-Q5)</f>
        <v>-1324.0349791241388</v>
      </c>
      <c r="F12" s="9">
        <f ca="1">-(F17-Q6)</f>
        <v>-2068.3014925373172</v>
      </c>
      <c r="G12" s="9">
        <f ca="1">-(G17-Q7)</f>
        <v>-66.050156739811882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-3622.2411835990119</v>
      </c>
      <c r="M12" s="17"/>
      <c r="N12" s="17"/>
      <c r="O12" s="10"/>
      <c r="P12" s="12"/>
      <c r="Q12" s="9">
        <f t="shared" ref="Q12:Q17" ca="1" si="6">SUM(L12:P12)</f>
        <v>-3622.2411835990119</v>
      </c>
      <c r="R12" s="17">
        <f t="shared" ca="1" si="4"/>
        <v>-3622.2411835990119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-2382.8096051872162</v>
      </c>
      <c r="J13" s="14">
        <f ca="1">-(J17-Q10)</f>
        <v>-2472.6359424656985</v>
      </c>
      <c r="K13" s="13">
        <f ca="1">-(K17-Q11)</f>
        <v>-620.83482332859148</v>
      </c>
      <c r="L13" s="14">
        <f t="shared" ca="1" si="5"/>
        <v>-5476.2803709815062</v>
      </c>
      <c r="M13" s="16">
        <f ca="1">-E15</f>
        <v>-6560.4012574197614</v>
      </c>
      <c r="N13" s="16"/>
      <c r="O13" s="11"/>
      <c r="P13" s="13"/>
      <c r="Q13" s="14">
        <f t="shared" ca="1" si="6"/>
        <v>-12036.681628401268</v>
      </c>
      <c r="R13" s="16">
        <f t="shared" ca="1" si="4"/>
        <v>-12036.681628401268</v>
      </c>
    </row>
    <row r="14" spans="1:20">
      <c r="A14" s="18" t="s">
        <v>78</v>
      </c>
      <c r="B14" s="11"/>
      <c r="C14" s="14"/>
      <c r="D14" s="14"/>
      <c r="E14" s="14">
        <f ca="1">-(I13+J13)-K13</f>
        <v>5476.2803709815062</v>
      </c>
      <c r="F14" s="14"/>
      <c r="G14" s="14"/>
      <c r="H14" s="14"/>
      <c r="I14" s="14"/>
      <c r="J14" s="14"/>
      <c r="K14" s="13"/>
      <c r="L14" s="14">
        <f t="shared" ca="1" si="5"/>
        <v>5476.2803709815062</v>
      </c>
      <c r="M14" s="16"/>
      <c r="N14" s="16"/>
      <c r="O14" s="11"/>
      <c r="P14" s="13"/>
      <c r="Q14" s="14">
        <f t="shared" ca="1" si="6"/>
        <v>5476.2803709815062</v>
      </c>
      <c r="R14" s="16">
        <f t="shared" ca="1" si="4"/>
        <v>5476.2803709815062</v>
      </c>
    </row>
    <row r="15" spans="1:20">
      <c r="A15" s="18" t="s">
        <v>79</v>
      </c>
      <c r="B15" s="11"/>
      <c r="C15" s="14"/>
      <c r="D15" s="14"/>
      <c r="E15" s="14">
        <f ca="1">E17-E14</f>
        <v>6560.4012574197614</v>
      </c>
      <c r="F15" s="14"/>
      <c r="G15" s="14"/>
      <c r="H15" s="14"/>
      <c r="I15" s="14"/>
      <c r="J15" s="14"/>
      <c r="K15" s="13"/>
      <c r="L15" s="14">
        <f t="shared" ca="1" si="5"/>
        <v>6560.4012574197614</v>
      </c>
      <c r="M15" s="16"/>
      <c r="N15" s="16"/>
      <c r="O15" s="11"/>
      <c r="P15" s="13"/>
      <c r="Q15" s="14">
        <f t="shared" ca="1" si="6"/>
        <v>6560.4012574197614</v>
      </c>
      <c r="R15" s="16">
        <f t="shared" ca="1" si="4"/>
        <v>6560.4012574197614</v>
      </c>
    </row>
    <row r="16" spans="1:20">
      <c r="A16" s="30" t="s">
        <v>89</v>
      </c>
      <c r="B16" s="21">
        <f ca="1">Q2</f>
        <v>38600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38600</v>
      </c>
      <c r="M16" s="19"/>
      <c r="N16" s="19"/>
      <c r="O16" s="21"/>
      <c r="P16" s="27"/>
      <c r="Q16" s="22">
        <f t="shared" ca="1" si="6"/>
        <v>38600</v>
      </c>
      <c r="R16" s="19">
        <f t="shared" ca="1" si="4"/>
        <v>38600</v>
      </c>
    </row>
    <row r="17" spans="1:18">
      <c r="A17" s="29" t="s">
        <v>88</v>
      </c>
      <c r="B17" s="9">
        <f ca="1">B16</f>
        <v>38600</v>
      </c>
      <c r="C17" s="9">
        <f ca="1">SUM(C$2:C$11)</f>
        <v>26008.659555197744</v>
      </c>
      <c r="D17" s="9">
        <f ca="1">SUM(D$2:D$11)</f>
        <v>0</v>
      </c>
      <c r="E17" s="9">
        <f ca="1">$Q$5/parameters!$B$4</f>
        <v>12036.681628401268</v>
      </c>
      <c r="F17" s="9">
        <f t="shared" ref="F17:K17" ca="1" si="7">SUM(F$2:F$11)</f>
        <v>33359.701492537315</v>
      </c>
      <c r="G17" s="9">
        <f t="shared" ca="1" si="7"/>
        <v>1536.0501567398119</v>
      </c>
      <c r="H17" s="9">
        <f t="shared" ca="1" si="7"/>
        <v>32761.399999999998</v>
      </c>
      <c r="I17" s="9">
        <f t="shared" ca="1" si="7"/>
        <v>10817.669605187217</v>
      </c>
      <c r="J17" s="9">
        <f t="shared" ca="1" si="7"/>
        <v>11225.470394812783</v>
      </c>
      <c r="K17" s="9">
        <f t="shared" ca="1" si="7"/>
        <v>6170.5344523470849</v>
      </c>
      <c r="L17" s="17">
        <f t="shared" ca="1" si="5"/>
        <v>172516.16728522326</v>
      </c>
      <c r="M17" s="17"/>
      <c r="N17" s="17"/>
      <c r="O17" s="9"/>
      <c r="P17" s="14"/>
      <c r="Q17" s="11">
        <f t="shared" ca="1" si="6"/>
        <v>172516.16728522326</v>
      </c>
      <c r="R17" s="17">
        <f t="shared" ca="1" si="4"/>
        <v>172516.16728522326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0.77972985937335082</v>
      </c>
      <c r="J18" s="39">
        <f ca="1">I18</f>
        <v>0.77972985937335082</v>
      </c>
      <c r="K18" s="40">
        <f ca="1">1-(-K13)/K17</f>
        <v>0.89938718791328609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4476.3157894736842</v>
      </c>
      <c r="D2" s="9">
        <f ca="1">Q4/parameters!$B$3</f>
        <v>4969.8701821475297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9446.185971621213</v>
      </c>
      <c r="M2" s="17"/>
      <c r="N2" s="17">
        <f ca="1">Q2-(L2+O2+P2)</f>
        <v>0</v>
      </c>
      <c r="O2" s="11" cm="1">
        <f t="array" aca="1" ref="O2" ca="1">INDIRECT("'data'!$F$" &amp; $A$1)</f>
        <v>2479.75</v>
      </c>
      <c r="P2" s="13">
        <f ca="1">IF(-(L2-Q2+O2)&lt;0, -(L2-Q2+O2), 0)</f>
        <v>-3175.935971621213</v>
      </c>
      <c r="Q2" s="17" cm="1">
        <f t="array" aca="1" ref="Q2" ca="1">INDIRECT("'data'!$D$" &amp; $A$1)</f>
        <v>8750</v>
      </c>
      <c r="R2" s="17">
        <f ca="1">SUM(L2:P2)</f>
        <v>8750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4308.6567164179105</v>
      </c>
      <c r="G3" s="14">
        <f ca="1">Q3-O3-P3-F3</f>
        <v>298.2182835820895</v>
      </c>
      <c r="H3" s="14"/>
      <c r="I3" s="14"/>
      <c r="J3" s="14"/>
      <c r="K3" s="13"/>
      <c r="L3" s="16">
        <f t="shared" ca="1" si="0"/>
        <v>4606.875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-158.76</v>
      </c>
      <c r="Q3" s="16" cm="1">
        <f t="array" aca="1" ref="Q3" ca="1">INDIRECT("'data'!$G$" &amp; $A$1)*parameters!$B$13</f>
        <v>4448.1149999999998</v>
      </c>
      <c r="R3" s="16">
        <f t="shared" ref="R3:R10" ca="1" si="2">SUM(L3:P3)</f>
        <v>4448.1149999999998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4938.5600000000004</v>
      </c>
      <c r="H4" s="14"/>
      <c r="I4" s="14"/>
      <c r="J4" s="14"/>
      <c r="K4" s="13"/>
      <c r="L4" s="16">
        <f t="shared" ca="1" si="0"/>
        <v>4938.5600000000004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4938.5600000000004</v>
      </c>
      <c r="R4" s="16">
        <f t="shared" ca="1" si="2"/>
        <v>4938.5600000000004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1077.1641791044776</v>
      </c>
      <c r="G5" s="14">
        <f ca="1">Q7/parameters!$B$7-(G3+G4)</f>
        <v>6759.7734405558413</v>
      </c>
      <c r="H5" s="14"/>
      <c r="I5" s="14"/>
      <c r="J5" s="14"/>
      <c r="K5" s="13"/>
      <c r="L5" s="16">
        <f t="shared" ca="1" si="0"/>
        <v>7836.9376196603189</v>
      </c>
      <c r="M5" s="16"/>
      <c r="N5" s="16"/>
      <c r="O5" s="11" cm="1">
        <f t="array" aca="1" ref="O5" ca="1">INDIRECT("'data'!$M$" &amp; $A$1)*parameters!$B$15</f>
        <v>993.72</v>
      </c>
      <c r="P5" s="13" cm="1">
        <f t="array" aca="1" ref="P5" ca="1">-INDIRECT("'data'!$N$" &amp; $A$1)*parameters!$B$15</f>
        <v>-915.31999999999994</v>
      </c>
      <c r="Q5" s="16">
        <f ca="1">SUM(L5:P5)</f>
        <v>7915.3376196603185</v>
      </c>
      <c r="R5" s="16">
        <f t="shared" ca="1" si="2"/>
        <v>7915.3376196603185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5051.8999999999996</v>
      </c>
      <c r="I6" s="14"/>
      <c r="J6" s="14"/>
      <c r="K6" s="13"/>
      <c r="L6" s="16">
        <f t="shared" ca="1" si="0"/>
        <v>5051.8999999999996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5051.8999999999996</v>
      </c>
      <c r="R6" s="16">
        <f t="shared" ca="1" si="2"/>
        <v>5051.8999999999996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11480.699999999999</v>
      </c>
      <c r="I7" s="14"/>
      <c r="J7" s="14"/>
      <c r="K7" s="13"/>
      <c r="L7" s="16">
        <f t="shared" ca="1" si="0"/>
        <v>11480.699999999999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11480.699999999999</v>
      </c>
      <c r="R7" s="16">
        <f t="shared" ca="1" si="2"/>
        <v>11480.699999999999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7712.0554314777983</v>
      </c>
      <c r="J8" s="14">
        <f ca="1">Q10/J18</f>
        <v>7419.1445685222006</v>
      </c>
      <c r="K8" s="13"/>
      <c r="L8" s="16">
        <f t="shared" ca="1" si="0"/>
        <v>15131.199999999999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1714.02</v>
      </c>
      <c r="P8" s="13" cm="1">
        <f t="array" aca="1" ref="P8" ca="1">-INDIRECT("'data'!$S$" &amp; $A$1)*parameters!$B$15</f>
        <v>-312.62</v>
      </c>
      <c r="Q8" s="16">
        <f ca="1">SUM(Q6:Q7)</f>
        <v>16532.599999999999</v>
      </c>
      <c r="R8" s="16">
        <f t="shared" ca="1" si="2"/>
        <v>16532.599999999999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7208.88</v>
      </c>
      <c r="L9" s="16">
        <f t="shared" ca="1" si="0"/>
        <v>7208.88</v>
      </c>
      <c r="M9" s="16"/>
      <c r="N9" s="16">
        <f t="shared" ca="1" si="3"/>
        <v>0</v>
      </c>
      <c r="O9" s="11" cm="1">
        <f t="array" aca="1" ref="O9" ca="1">INDIRECT("'data'!$U$" &amp; $A$1)*parameters!$B$15</f>
        <v>1212.26</v>
      </c>
      <c r="P9" s="13" cm="1">
        <f t="array" aca="1" ref="P9" ca="1">-INDIRECT("'data'!$V$" &amp; $A$1)*parameters!$B$15</f>
        <v>-1128.96</v>
      </c>
      <c r="Q9" s="16" cm="1">
        <f t="array" aca="1" ref="Q9" ca="1">INDIRECT("'data'!$T$" &amp; $A$1)*parameters!$B$15</f>
        <v>7292.18</v>
      </c>
      <c r="R9" s="16">
        <f t="shared" ca="1" si="2"/>
        <v>7292.1799999999994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10304.096386913228</v>
      </c>
      <c r="L10" s="16">
        <f t="shared" ca="1" si="0"/>
        <v>10304.096386913228</v>
      </c>
      <c r="M10" s="16"/>
      <c r="N10" s="16">
        <f t="shared" ca="1" si="3"/>
        <v>0</v>
      </c>
      <c r="O10" s="11" cm="1">
        <f t="array" aca="1" ref="O10" ca="1">INDIRECT("'data'!$X$" &amp; $A$1)*parameters!$B$15</f>
        <v>1330.84</v>
      </c>
      <c r="P10" s="13" cm="1">
        <f t="array" aca="1" ref="P10" ca="1">-INDIRECT("'data'!$Y$" &amp; $A$1)*parameters!$B$15</f>
        <v>-4619.72</v>
      </c>
      <c r="Q10" s="16" cm="1">
        <f t="array" aca="1" ref="Q10" ca="1">INDIRECT("'data'!$W$" &amp; $A$1)*parameters!$B$15</f>
        <v>7015.2163869132291</v>
      </c>
      <c r="R10" s="16">
        <f t="shared" ca="1" si="2"/>
        <v>7015.2163869132282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14474.610092745377</v>
      </c>
      <c r="N11" s="19"/>
      <c r="O11" s="21" cm="1">
        <f t="array" aca="1" ref="O11" ca="1">INDIRECT("'data'!$Z$" &amp; $A$1)*parameters!$B$15</f>
        <v>8352.5399999999991</v>
      </c>
      <c r="P11" s="27" cm="1">
        <f t="array" aca="1" ref="P11" ca="1">-INDIRECT("'data'!$AA$" &amp; $A$1)*parameters!$B$15</f>
        <v>-7189.28</v>
      </c>
      <c r="Q11" s="16">
        <f ca="1">K9*parameters!$B$10+K10*parameters!$B$11</f>
        <v>15637.870092745376</v>
      </c>
      <c r="R11" s="16">
        <f t="shared" ref="R11:R17" ca="1" si="4">SUM(L11:P11)</f>
        <v>15637.870092745376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-28.200789473684381</v>
      </c>
      <c r="D12" s="9">
        <f ca="1">-(D17-Q4)</f>
        <v>-31.310182147529304</v>
      </c>
      <c r="E12" s="9">
        <f ca="1">-(E17-Q5)</f>
        <v>-978.30015523891598</v>
      </c>
      <c r="F12" s="9">
        <f ca="1">-(F17-Q6)</f>
        <v>-333.92089552238849</v>
      </c>
      <c r="G12" s="9">
        <f ca="1">-(G17-Q7)</f>
        <v>-515.85172413793225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-1887.5837465204504</v>
      </c>
      <c r="M12" s="17"/>
      <c r="N12" s="17"/>
      <c r="O12" s="10"/>
      <c r="P12" s="12"/>
      <c r="Q12" s="9">
        <f t="shared" ref="Q12:Q17" ca="1" si="6">SUM(L12:P12)</f>
        <v>-1887.5837465204504</v>
      </c>
      <c r="R12" s="17">
        <f t="shared" ca="1" si="4"/>
        <v>-1887.5837465204504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-419.87543147779797</v>
      </c>
      <c r="J13" s="14">
        <f ca="1">-(J17-Q10)</f>
        <v>-403.9281816089715</v>
      </c>
      <c r="K13" s="13">
        <f ca="1">-(K17-Q11)</f>
        <v>-1875.1062941678538</v>
      </c>
      <c r="L13" s="14">
        <f t="shared" ca="1" si="5"/>
        <v>-2698.9099072546232</v>
      </c>
      <c r="M13" s="16">
        <f ca="1">-E15</f>
        <v>-6194.7278676446113</v>
      </c>
      <c r="N13" s="16"/>
      <c r="O13" s="11"/>
      <c r="P13" s="13"/>
      <c r="Q13" s="14">
        <f t="shared" ca="1" si="6"/>
        <v>-8893.6377748992345</v>
      </c>
      <c r="R13" s="16">
        <f t="shared" ca="1" si="4"/>
        <v>-8893.6377748992345</v>
      </c>
    </row>
    <row r="14" spans="1:20">
      <c r="A14" s="18" t="s">
        <v>78</v>
      </c>
      <c r="B14" s="11"/>
      <c r="C14" s="14"/>
      <c r="D14" s="14"/>
      <c r="E14" s="14">
        <f ca="1">-(I13+J13)-K13</f>
        <v>2698.9099072546232</v>
      </c>
      <c r="F14" s="14"/>
      <c r="G14" s="14"/>
      <c r="H14" s="14"/>
      <c r="I14" s="14"/>
      <c r="J14" s="14"/>
      <c r="K14" s="13"/>
      <c r="L14" s="14">
        <f t="shared" ca="1" si="5"/>
        <v>2698.9099072546232</v>
      </c>
      <c r="M14" s="16"/>
      <c r="N14" s="16"/>
      <c r="O14" s="11"/>
      <c r="P14" s="13"/>
      <c r="Q14" s="14">
        <f t="shared" ca="1" si="6"/>
        <v>2698.9099072546232</v>
      </c>
      <c r="R14" s="16">
        <f t="shared" ca="1" si="4"/>
        <v>2698.9099072546232</v>
      </c>
    </row>
    <row r="15" spans="1:20">
      <c r="A15" s="18" t="s">
        <v>79</v>
      </c>
      <c r="B15" s="11"/>
      <c r="C15" s="14"/>
      <c r="D15" s="14"/>
      <c r="E15" s="14">
        <f ca="1">E17-E14</f>
        <v>6194.7278676446113</v>
      </c>
      <c r="F15" s="14"/>
      <c r="G15" s="14"/>
      <c r="H15" s="14"/>
      <c r="I15" s="14"/>
      <c r="J15" s="14"/>
      <c r="K15" s="13"/>
      <c r="L15" s="14">
        <f t="shared" ca="1" si="5"/>
        <v>6194.7278676446113</v>
      </c>
      <c r="M15" s="16"/>
      <c r="N15" s="16"/>
      <c r="O15" s="11"/>
      <c r="P15" s="13"/>
      <c r="Q15" s="14">
        <f t="shared" ca="1" si="6"/>
        <v>6194.7278676446113</v>
      </c>
      <c r="R15" s="16">
        <f t="shared" ca="1" si="4"/>
        <v>6194.7278676446113</v>
      </c>
    </row>
    <row r="16" spans="1:20">
      <c r="A16" s="30" t="s">
        <v>89</v>
      </c>
      <c r="B16" s="21">
        <f ca="1">Q2</f>
        <v>8750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8750</v>
      </c>
      <c r="M16" s="19"/>
      <c r="N16" s="19"/>
      <c r="O16" s="21"/>
      <c r="P16" s="27"/>
      <c r="Q16" s="22">
        <f t="shared" ca="1" si="6"/>
        <v>8750</v>
      </c>
      <c r="R16" s="19">
        <f t="shared" ca="1" si="4"/>
        <v>8750</v>
      </c>
    </row>
    <row r="17" spans="1:18">
      <c r="A17" s="29" t="s">
        <v>88</v>
      </c>
      <c r="B17" s="9">
        <f ca="1">B16</f>
        <v>8750</v>
      </c>
      <c r="C17" s="9">
        <f ca="1">SUM(C$2:C$11)</f>
        <v>4476.3157894736842</v>
      </c>
      <c r="D17" s="9">
        <f ca="1">SUM(D$2:D$11)</f>
        <v>4969.8701821475297</v>
      </c>
      <c r="E17" s="9">
        <f ca="1">$Q$5/parameters!$B$4</f>
        <v>8893.6377748992345</v>
      </c>
      <c r="F17" s="9">
        <f t="shared" ref="F17:K17" ca="1" si="7">SUM(F$2:F$11)</f>
        <v>5385.8208955223881</v>
      </c>
      <c r="G17" s="9">
        <f t="shared" ca="1" si="7"/>
        <v>11996.551724137931</v>
      </c>
      <c r="H17" s="9">
        <f t="shared" ca="1" si="7"/>
        <v>16532.599999999999</v>
      </c>
      <c r="I17" s="9">
        <f t="shared" ca="1" si="7"/>
        <v>7712.0554314777983</v>
      </c>
      <c r="J17" s="9">
        <f t="shared" ca="1" si="7"/>
        <v>7419.1445685222006</v>
      </c>
      <c r="K17" s="9">
        <f t="shared" ca="1" si="7"/>
        <v>17512.976386913229</v>
      </c>
      <c r="L17" s="17">
        <f t="shared" ca="1" si="5"/>
        <v>93648.972753094</v>
      </c>
      <c r="M17" s="17"/>
      <c r="N17" s="17"/>
      <c r="O17" s="9"/>
      <c r="P17" s="14"/>
      <c r="Q17" s="11">
        <f t="shared" ca="1" si="6"/>
        <v>93648.972753094</v>
      </c>
      <c r="R17" s="17">
        <f t="shared" ca="1" si="4"/>
        <v>93648.972753094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0.9455559629714253</v>
      </c>
      <c r="J18" s="39">
        <f ca="1">I18</f>
        <v>0.9455559629714253</v>
      </c>
      <c r="K18" s="40">
        <f ca="1">1-(-K13)/K17</f>
        <v>0.89293046180493629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475.49562242125387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475.49562242125387</v>
      </c>
      <c r="M2" s="17"/>
      <c r="N2" s="17">
        <f ca="1">Q2-(L2+O2+P2)</f>
        <v>259.50437757874624</v>
      </c>
      <c r="O2" s="11" cm="1">
        <f t="array" aca="1" ref="O2" ca="1">INDIRECT("'data'!$F$" &amp; $A$1)</f>
        <v>1235</v>
      </c>
      <c r="P2" s="13">
        <f ca="1">IF(-(L2-Q2+O2)&lt;0, -(L2-Q2+O2), 0)</f>
        <v>0</v>
      </c>
      <c r="Q2" s="17" cm="1">
        <f t="array" aca="1" ref="Q2" ca="1">INDIRECT("'data'!$D$" &amp; $A$1)</f>
        <v>1970</v>
      </c>
      <c r="R2" s="17">
        <f ca="1">SUM(L2:P2)</f>
        <v>1970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450.76499999999999</v>
      </c>
      <c r="H3" s="14"/>
      <c r="I3" s="14"/>
      <c r="J3" s="14"/>
      <c r="K3" s="13"/>
      <c r="L3" s="16">
        <f t="shared" ca="1" si="0"/>
        <v>450.76499999999999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54.809999999999995</v>
      </c>
      <c r="P3" s="13" cm="1">
        <f t="array" aca="1" ref="P3" ca="1">-INDIRECT("'data'!$I$" &amp; $A$1)*parameters!$B$13</f>
        <v>-33.074999999999996</v>
      </c>
      <c r="Q3" s="16" cm="1">
        <f t="array" aca="1" ref="Q3" ca="1">INDIRECT("'data'!$G$" &amp; $A$1)*parameters!$B$13</f>
        <v>472.5</v>
      </c>
      <c r="R3" s="16">
        <f t="shared" ref="R3:R10" ca="1" si="2">SUM(L3:P3)</f>
        <v>472.5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3966.9152507836993</v>
      </c>
      <c r="H5" s="14"/>
      <c r="I5" s="14"/>
      <c r="J5" s="14"/>
      <c r="K5" s="13"/>
      <c r="L5" s="16">
        <f t="shared" ca="1" si="0"/>
        <v>3966.9152507836993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-1851.22</v>
      </c>
      <c r="Q5" s="16">
        <f ca="1">SUM(L5:P5)</f>
        <v>2115.6952507836995</v>
      </c>
      <c r="R5" s="16">
        <f t="shared" ca="1" si="2"/>
        <v>2115.6952507836995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4227.72</v>
      </c>
      <c r="I7" s="14"/>
      <c r="J7" s="14"/>
      <c r="K7" s="13"/>
      <c r="L7" s="16">
        <f t="shared" ca="1" si="0"/>
        <v>4227.72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4227.72</v>
      </c>
      <c r="R7" s="16">
        <f t="shared" ca="1" si="2"/>
        <v>4227.72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6129.9000000000005</v>
      </c>
      <c r="J8" s="14">
        <f ca="1">Q10/J18</f>
        <v>0</v>
      </c>
      <c r="K8" s="13"/>
      <c r="L8" s="16">
        <f t="shared" ca="1" si="0"/>
        <v>6129.9000000000005</v>
      </c>
      <c r="M8" s="16"/>
      <c r="N8" s="16">
        <f t="shared" ca="1" si="3"/>
        <v>0</v>
      </c>
      <c r="O8" s="11" cm="1">
        <f t="array" aca="1" ref="O8" ca="1">INDIRECT("'data'!$R$" &amp; $A$1)*parameters!$B$15</f>
        <v>0.98</v>
      </c>
      <c r="P8" s="13" cm="1">
        <f t="array" aca="1" ref="P8" ca="1">-INDIRECT("'data'!$S$" &amp; $A$1)*parameters!$B$15</f>
        <v>-1903.1599999999999</v>
      </c>
      <c r="Q8" s="16">
        <f ca="1">SUM(Q6:Q7)</f>
        <v>4227.72</v>
      </c>
      <c r="R8" s="16">
        <f t="shared" ca="1" si="2"/>
        <v>4227.72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6768.86</v>
      </c>
      <c r="L9" s="16">
        <f t="shared" ca="1" si="0"/>
        <v>6768.86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-1223.04</v>
      </c>
      <c r="Q9" s="16" cm="1">
        <f t="array" aca="1" ref="Q9" ca="1">INDIRECT("'data'!$T$" &amp; $A$1)*parameters!$B$15</f>
        <v>5545.82</v>
      </c>
      <c r="R9" s="16">
        <f t="shared" ca="1" si="2"/>
        <v>5545.82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5554.64</v>
      </c>
      <c r="L10" s="16">
        <f t="shared" ca="1" si="0"/>
        <v>5554.64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-5554.64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11799.2588</v>
      </c>
      <c r="N11" s="19"/>
      <c r="O11" s="21" cm="1">
        <f t="array" aca="1" ref="O11" ca="1">INDIRECT("'data'!$Z$" &amp; $A$1)*parameters!$B$15</f>
        <v>458.64</v>
      </c>
      <c r="P11" s="27" cm="1">
        <f t="array" aca="1" ref="P11" ca="1">-INDIRECT("'data'!$AA$" &amp; $A$1)*parameters!$B$15</f>
        <v>-1118.18</v>
      </c>
      <c r="Q11" s="16">
        <f ca="1">K9*parameters!$B$10+K10*parameters!$B$11</f>
        <v>11139.718799999999</v>
      </c>
      <c r="R11" s="16">
        <f t="shared" ref="R11:R17" ca="1" si="4">SUM(L11:P11)</f>
        <v>11139.718799999999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-2.99562242125387</v>
      </c>
      <c r="D12" s="9">
        <f ca="1">-(D17-Q4)</f>
        <v>0</v>
      </c>
      <c r="E12" s="9">
        <f ca="1">-(E17-Q5)</f>
        <v>-261.49042425416519</v>
      </c>
      <c r="F12" s="9">
        <f ca="1">-(F17-Q6)</f>
        <v>0</v>
      </c>
      <c r="G12" s="9">
        <f ca="1">-(G17-Q7)</f>
        <v>-189.96025078369894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-454.446297459118</v>
      </c>
      <c r="M12" s="17"/>
      <c r="N12" s="17"/>
      <c r="O12" s="10"/>
      <c r="P12" s="12"/>
      <c r="Q12" s="9">
        <f t="shared" ref="Q12:Q17" ca="1" si="6">SUM(L12:P12)</f>
        <v>-454.446297459118</v>
      </c>
      <c r="R12" s="17">
        <f t="shared" ca="1" si="4"/>
        <v>-454.446297459118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-584.08000000000084</v>
      </c>
      <c r="J13" s="14">
        <f ca="1">-(J17-Q10)</f>
        <v>0</v>
      </c>
      <c r="K13" s="13">
        <f ca="1">-(K17-Q11)</f>
        <v>-1183.7812000000013</v>
      </c>
      <c r="L13" s="14">
        <f t="shared" ca="1" si="5"/>
        <v>-1767.8612000000021</v>
      </c>
      <c r="M13" s="16">
        <f ca="1">-E15</f>
        <v>-609.32447503786261</v>
      </c>
      <c r="N13" s="16"/>
      <c r="O13" s="11"/>
      <c r="P13" s="13"/>
      <c r="Q13" s="14">
        <f t="shared" ca="1" si="6"/>
        <v>-2377.1856750378647</v>
      </c>
      <c r="R13" s="16">
        <f t="shared" ca="1" si="4"/>
        <v>-2377.1856750378647</v>
      </c>
    </row>
    <row r="14" spans="1:20">
      <c r="A14" s="18" t="s">
        <v>78</v>
      </c>
      <c r="B14" s="11"/>
      <c r="C14" s="14"/>
      <c r="D14" s="14"/>
      <c r="E14" s="14">
        <f ca="1">-(I13+J13)-K13</f>
        <v>1767.8612000000021</v>
      </c>
      <c r="F14" s="14"/>
      <c r="G14" s="14"/>
      <c r="H14" s="14"/>
      <c r="I14" s="14"/>
      <c r="J14" s="14"/>
      <c r="K14" s="13"/>
      <c r="L14" s="14">
        <f t="shared" ca="1" si="5"/>
        <v>1767.8612000000021</v>
      </c>
      <c r="M14" s="16"/>
      <c r="N14" s="16"/>
      <c r="O14" s="11"/>
      <c r="P14" s="13"/>
      <c r="Q14" s="14">
        <f t="shared" ca="1" si="6"/>
        <v>1767.8612000000021</v>
      </c>
      <c r="R14" s="16">
        <f t="shared" ca="1" si="4"/>
        <v>1767.8612000000021</v>
      </c>
    </row>
    <row r="15" spans="1:20">
      <c r="A15" s="18" t="s">
        <v>79</v>
      </c>
      <c r="B15" s="11"/>
      <c r="C15" s="14"/>
      <c r="D15" s="14"/>
      <c r="E15" s="14">
        <f ca="1">E17-E14</f>
        <v>609.32447503786261</v>
      </c>
      <c r="F15" s="14"/>
      <c r="G15" s="14"/>
      <c r="H15" s="14"/>
      <c r="I15" s="14"/>
      <c r="J15" s="14"/>
      <c r="K15" s="13"/>
      <c r="L15" s="14">
        <f t="shared" ca="1" si="5"/>
        <v>609.32447503786261</v>
      </c>
      <c r="M15" s="16"/>
      <c r="N15" s="16"/>
      <c r="O15" s="11"/>
      <c r="P15" s="13"/>
      <c r="Q15" s="14">
        <f t="shared" ca="1" si="6"/>
        <v>609.32447503786261</v>
      </c>
      <c r="R15" s="16">
        <f t="shared" ca="1" si="4"/>
        <v>609.32447503786261</v>
      </c>
    </row>
    <row r="16" spans="1:20">
      <c r="A16" s="30" t="s">
        <v>89</v>
      </c>
      <c r="B16" s="21">
        <f ca="1">Q2</f>
        <v>1970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1970</v>
      </c>
      <c r="M16" s="19"/>
      <c r="N16" s="19"/>
      <c r="O16" s="21"/>
      <c r="P16" s="27"/>
      <c r="Q16" s="22">
        <f t="shared" ca="1" si="6"/>
        <v>1970</v>
      </c>
      <c r="R16" s="19">
        <f t="shared" ca="1" si="4"/>
        <v>1970</v>
      </c>
    </row>
    <row r="17" spans="1:18">
      <c r="A17" s="29" t="s">
        <v>88</v>
      </c>
      <c r="B17" s="9">
        <f ca="1">B16</f>
        <v>1970</v>
      </c>
      <c r="C17" s="9">
        <f ca="1">SUM(C$2:C$11)</f>
        <v>475.49562242125387</v>
      </c>
      <c r="D17" s="9">
        <f ca="1">SUM(D$2:D$11)</f>
        <v>0</v>
      </c>
      <c r="E17" s="9">
        <f ca="1">$Q$5/parameters!$B$4</f>
        <v>2377.1856750378647</v>
      </c>
      <c r="F17" s="9">
        <f t="shared" ref="F17:K17" ca="1" si="7">SUM(F$2:F$11)</f>
        <v>0</v>
      </c>
      <c r="G17" s="9">
        <f t="shared" ca="1" si="7"/>
        <v>4417.6802507836992</v>
      </c>
      <c r="H17" s="9">
        <f t="shared" ca="1" si="7"/>
        <v>4227.72</v>
      </c>
      <c r="I17" s="9">
        <f t="shared" ca="1" si="7"/>
        <v>6129.9000000000005</v>
      </c>
      <c r="J17" s="9">
        <f t="shared" ca="1" si="7"/>
        <v>0</v>
      </c>
      <c r="K17" s="9">
        <f t="shared" ca="1" si="7"/>
        <v>12323.5</v>
      </c>
      <c r="L17" s="17">
        <f t="shared" ca="1" si="5"/>
        <v>31921.48154824282</v>
      </c>
      <c r="M17" s="17"/>
      <c r="N17" s="17"/>
      <c r="O17" s="9"/>
      <c r="P17" s="14"/>
      <c r="Q17" s="11">
        <f t="shared" ca="1" si="6"/>
        <v>31921.48154824282</v>
      </c>
      <c r="R17" s="17">
        <f t="shared" ca="1" si="4"/>
        <v>31921.48154824282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0.90471622701838517</v>
      </c>
      <c r="J18" s="39">
        <f ca="1">I18</f>
        <v>0.90471622701838517</v>
      </c>
      <c r="K18" s="40">
        <f ca="1">1-(-K13)/K17</f>
        <v>0.9039411530815108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9640.1982489685015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9640.1982489685015</v>
      </c>
      <c r="M2" s="17"/>
      <c r="N2" s="17">
        <f ca="1">Q2-(L2+O2+P2)</f>
        <v>0</v>
      </c>
      <c r="O2" s="11" cm="1">
        <f t="array" aca="1" ref="O2" ca="1">INDIRECT("'data'!$F$" &amp; $A$1)</f>
        <v>12.35</v>
      </c>
      <c r="P2" s="13">
        <f ca="1">IF(-(L2-Q2+O2)&lt;0, -(L2-Q2+O2), 0)</f>
        <v>-9652.5482489685019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8201.9104477611945</v>
      </c>
      <c r="G3" s="14">
        <f ca="1">Q3-O3-P3-F3</f>
        <v>1454.0995522388057</v>
      </c>
      <c r="H3" s="14"/>
      <c r="I3" s="14"/>
      <c r="J3" s="14"/>
      <c r="K3" s="13"/>
      <c r="L3" s="16">
        <f t="shared" ca="1" si="0"/>
        <v>9656.01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49.14</v>
      </c>
      <c r="P3" s="13" cm="1">
        <f t="array" aca="1" ref="P3" ca="1">-INDIRECT("'data'!$I$" &amp; $A$1)*parameters!$B$13</f>
        <v>-125.68499999999999</v>
      </c>
      <c r="Q3" s="16" cm="1">
        <f t="array" aca="1" ref="Q3" ca="1">INDIRECT("'data'!$G$" &amp; $A$1)*parameters!$B$13</f>
        <v>9579.4650000000001</v>
      </c>
      <c r="R3" s="16">
        <f t="shared" ref="R3:R10" ca="1" si="2">SUM(L3:P3)</f>
        <v>9579.4650000000001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29.44</v>
      </c>
      <c r="H4" s="14"/>
      <c r="I4" s="14"/>
      <c r="J4" s="14"/>
      <c r="K4" s="13"/>
      <c r="L4" s="16">
        <f t="shared" ca="1" si="0"/>
        <v>29.44</v>
      </c>
      <c r="M4" s="16"/>
      <c r="N4" s="16">
        <f t="shared" ca="1" si="1"/>
        <v>0</v>
      </c>
      <c r="O4" s="11" cm="1">
        <f t="array" aca="1" ref="O4" ca="1">INDIRECT("'data'!$K$" &amp; $A$1)*parameters!$B$14</f>
        <v>13.8</v>
      </c>
      <c r="P4" s="13" cm="1">
        <f t="array" aca="1" ref="P4" ca="1">-INDIRECT("'data'!$L$" &amp; $A$1)*parameters!$B$14</f>
        <v>-43.24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2050.4776119402986</v>
      </c>
      <c r="G5" s="14">
        <f ca="1">Q7/parameters!$B$7-(G3+G4)</f>
        <v>4252.0717330276511</v>
      </c>
      <c r="H5" s="14"/>
      <c r="I5" s="14"/>
      <c r="J5" s="14"/>
      <c r="K5" s="13"/>
      <c r="L5" s="16">
        <f t="shared" ca="1" si="0"/>
        <v>6302.5493449679498</v>
      </c>
      <c r="M5" s="16"/>
      <c r="N5" s="16"/>
      <c r="O5" s="11" cm="1">
        <f t="array" aca="1" ref="O5" ca="1">INDIRECT("'data'!$M$" &amp; $A$1)*parameters!$B$15</f>
        <v>6549.34</v>
      </c>
      <c r="P5" s="13" cm="1">
        <f t="array" aca="1" ref="P5" ca="1">-INDIRECT("'data'!$N$" &amp; $A$1)*parameters!$B$15</f>
        <v>-2367.6799999999998</v>
      </c>
      <c r="Q5" s="16">
        <f ca="1">SUM(L5:P5)</f>
        <v>10484.209344967949</v>
      </c>
      <c r="R5" s="16">
        <f t="shared" ca="1" si="2"/>
        <v>10484.209344967949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9616.74</v>
      </c>
      <c r="I6" s="14"/>
      <c r="J6" s="14"/>
      <c r="K6" s="13"/>
      <c r="L6" s="16">
        <f t="shared" ca="1" si="0"/>
        <v>9616.74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9616.74</v>
      </c>
      <c r="R6" s="16">
        <f t="shared" ca="1" si="2"/>
        <v>9616.74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5488.98</v>
      </c>
      <c r="I7" s="14"/>
      <c r="J7" s="14"/>
      <c r="K7" s="13"/>
      <c r="L7" s="16">
        <f t="shared" ca="1" si="0"/>
        <v>5488.98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5488.98</v>
      </c>
      <c r="R7" s="16">
        <f t="shared" ca="1" si="2"/>
        <v>5488.98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4536.2003882567487</v>
      </c>
      <c r="J8" s="14">
        <f ca="1">Q10/J18</f>
        <v>10567.559611743249</v>
      </c>
      <c r="K8" s="13"/>
      <c r="L8" s="16">
        <f t="shared" ca="1" si="0"/>
        <v>15103.759999999998</v>
      </c>
      <c r="M8" s="16"/>
      <c r="N8" s="16">
        <f t="shared" ca="1" si="3"/>
        <v>0</v>
      </c>
      <c r="O8" s="11" cm="1">
        <f t="array" aca="1" ref="O8" ca="1">INDIRECT("'data'!$R$" &amp; $A$1)*parameters!$B$15</f>
        <v>1758.12</v>
      </c>
      <c r="P8" s="13" cm="1">
        <f t="array" aca="1" ref="P8" ca="1">-INDIRECT("'data'!$S$" &amp; $A$1)*parameters!$B$15</f>
        <v>-1756.1599999999999</v>
      </c>
      <c r="Q8" s="16">
        <f ca="1">SUM(Q6:Q7)</f>
        <v>15105.72</v>
      </c>
      <c r="R8" s="16">
        <f t="shared" ca="1" si="2"/>
        <v>15105.719999999998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4791.2199999999993</v>
      </c>
      <c r="L9" s="16">
        <f t="shared" ca="1" si="0"/>
        <v>4791.2199999999993</v>
      </c>
      <c r="M9" s="16"/>
      <c r="N9" s="16">
        <f t="shared" ca="1" si="3"/>
        <v>0</v>
      </c>
      <c r="O9" s="11" cm="1">
        <f t="array" aca="1" ref="O9" ca="1">INDIRECT("'data'!$U$" &amp; $A$1)*parameters!$B$15</f>
        <v>2299.08</v>
      </c>
      <c r="P9" s="13" cm="1">
        <f t="array" aca="1" ref="P9" ca="1">-INDIRECT("'data'!$V$" &amp; $A$1)*parameters!$B$15</f>
        <v>-3129.14</v>
      </c>
      <c r="Q9" s="16" cm="1">
        <f t="array" aca="1" ref="Q9" ca="1">INDIRECT("'data'!$T$" &amp; $A$1)*parameters!$B$15</f>
        <v>3961.16</v>
      </c>
      <c r="R9" s="16">
        <f t="shared" ca="1" si="2"/>
        <v>3961.1599999999994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8211.6820768136549</v>
      </c>
      <c r="L10" s="16">
        <f t="shared" ca="1" si="0"/>
        <v>8211.6820768136549</v>
      </c>
      <c r="M10" s="16"/>
      <c r="N10" s="16">
        <f t="shared" ca="1" si="3"/>
        <v>0</v>
      </c>
      <c r="O10" s="11" cm="1">
        <f t="array" aca="1" ref="O10" ca="1">INDIRECT("'data'!$X$" &amp; $A$1)*parameters!$B$15</f>
        <v>8758.26</v>
      </c>
      <c r="P10" s="13" cm="1">
        <f t="array" aca="1" ref="P10" ca="1">-INDIRECT("'data'!$Y$" &amp; $A$1)*parameters!$B$15</f>
        <v>-7742</v>
      </c>
      <c r="Q10" s="16" cm="1">
        <f t="array" aca="1" ref="Q10" ca="1">INDIRECT("'data'!$W$" &amp; $A$1)*parameters!$B$15</f>
        <v>9227.9420768136551</v>
      </c>
      <c r="R10" s="16">
        <f t="shared" ca="1" si="2"/>
        <v>9227.9420768136551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14411.713386059742</v>
      </c>
      <c r="N11" s="19"/>
      <c r="O11" s="21" cm="1">
        <f t="array" aca="1" ref="O11" ca="1">INDIRECT("'data'!$Z$" &amp; $A$1)*parameters!$B$15</f>
        <v>8436.82</v>
      </c>
      <c r="P11" s="27" cm="1">
        <f t="array" aca="1" ref="P11" ca="1">-INDIRECT("'data'!$AA$" &amp; $A$1)*parameters!$B$15</f>
        <v>-11282.74</v>
      </c>
      <c r="Q11" s="16">
        <f ca="1">K9*parameters!$B$10+K10*parameters!$B$11</f>
        <v>11565.793386059742</v>
      </c>
      <c r="R11" s="16">
        <f t="shared" ref="R11:R17" ca="1" si="4">SUM(L11:P11)</f>
        <v>11565.793386059742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-60.733248968501357</v>
      </c>
      <c r="D12" s="9">
        <f ca="1">-(D17-Q4)</f>
        <v>0</v>
      </c>
      <c r="E12" s="9">
        <f ca="1">-(E17-Q5)</f>
        <v>-1295.8011549960393</v>
      </c>
      <c r="F12" s="9">
        <f ca="1">-(F17-Q6)</f>
        <v>-635.64805970149428</v>
      </c>
      <c r="G12" s="9">
        <f ca="1">-(G17-Q7)</f>
        <v>-246.63128526645778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-2238.8137489324927</v>
      </c>
      <c r="M12" s="17"/>
      <c r="N12" s="17"/>
      <c r="O12" s="10"/>
      <c r="P12" s="12"/>
      <c r="Q12" s="9">
        <f t="shared" ref="Q12:Q17" ca="1" si="6">SUM(L12:P12)</f>
        <v>-2238.8137489324927</v>
      </c>
      <c r="R12" s="17">
        <f t="shared" ca="1" si="4"/>
        <v>-2238.8137489324927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-575.04038825674888</v>
      </c>
      <c r="J13" s="14">
        <f ca="1">-(J17-Q10)</f>
        <v>-1339.6175349295936</v>
      </c>
      <c r="K13" s="13">
        <f ca="1">-(K17-Q11)</f>
        <v>-1437.108690753912</v>
      </c>
      <c r="L13" s="14">
        <f t="shared" ca="1" si="5"/>
        <v>-3351.7666139402545</v>
      </c>
      <c r="M13" s="16">
        <f ca="1">-E15</f>
        <v>-8428.2438860237344</v>
      </c>
      <c r="N13" s="16"/>
      <c r="O13" s="11"/>
      <c r="P13" s="13"/>
      <c r="Q13" s="14">
        <f t="shared" ca="1" si="6"/>
        <v>-11780.010499963988</v>
      </c>
      <c r="R13" s="16">
        <f t="shared" ca="1" si="4"/>
        <v>-11780.010499963988</v>
      </c>
    </row>
    <row r="14" spans="1:20">
      <c r="A14" s="18" t="s">
        <v>78</v>
      </c>
      <c r="B14" s="11"/>
      <c r="C14" s="14"/>
      <c r="D14" s="14"/>
      <c r="E14" s="14">
        <f ca="1">-(I13+J13)-K13</f>
        <v>3351.7666139402545</v>
      </c>
      <c r="F14" s="14"/>
      <c r="G14" s="14"/>
      <c r="H14" s="14"/>
      <c r="I14" s="14"/>
      <c r="J14" s="14"/>
      <c r="K14" s="13"/>
      <c r="L14" s="14">
        <f t="shared" ca="1" si="5"/>
        <v>3351.7666139402545</v>
      </c>
      <c r="M14" s="16"/>
      <c r="N14" s="16"/>
      <c r="O14" s="11"/>
      <c r="P14" s="13"/>
      <c r="Q14" s="14">
        <f t="shared" ca="1" si="6"/>
        <v>3351.7666139402545</v>
      </c>
      <c r="R14" s="16">
        <f t="shared" ca="1" si="4"/>
        <v>3351.7666139402545</v>
      </c>
    </row>
    <row r="15" spans="1:20">
      <c r="A15" s="18" t="s">
        <v>79</v>
      </c>
      <c r="B15" s="11"/>
      <c r="C15" s="14"/>
      <c r="D15" s="14"/>
      <c r="E15" s="14">
        <f ca="1">E17-E14</f>
        <v>8428.2438860237344</v>
      </c>
      <c r="F15" s="14"/>
      <c r="G15" s="14"/>
      <c r="H15" s="14"/>
      <c r="I15" s="14"/>
      <c r="J15" s="14"/>
      <c r="K15" s="13"/>
      <c r="L15" s="14">
        <f t="shared" ca="1" si="5"/>
        <v>8428.2438860237344</v>
      </c>
      <c r="M15" s="16"/>
      <c r="N15" s="16"/>
      <c r="O15" s="11"/>
      <c r="P15" s="13"/>
      <c r="Q15" s="14">
        <f t="shared" ca="1" si="6"/>
        <v>8428.2438860237344</v>
      </c>
      <c r="R15" s="16">
        <f t="shared" ca="1" si="4"/>
        <v>8428.2438860237344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9640.1982489685015</v>
      </c>
      <c r="D17" s="9">
        <f ca="1">SUM(D$2:D$11)</f>
        <v>0</v>
      </c>
      <c r="E17" s="9">
        <f ca="1">$Q$5/parameters!$B$4</f>
        <v>11780.010499963988</v>
      </c>
      <c r="F17" s="9">
        <f t="shared" ref="F17:K17" ca="1" si="7">SUM(F$2:F$11)</f>
        <v>10252.388059701494</v>
      </c>
      <c r="G17" s="9">
        <f t="shared" ca="1" si="7"/>
        <v>5735.6112852664573</v>
      </c>
      <c r="H17" s="9">
        <f t="shared" ca="1" si="7"/>
        <v>15105.72</v>
      </c>
      <c r="I17" s="9">
        <f t="shared" ca="1" si="7"/>
        <v>4536.2003882567487</v>
      </c>
      <c r="J17" s="9">
        <f t="shared" ca="1" si="7"/>
        <v>10567.559611743249</v>
      </c>
      <c r="K17" s="9">
        <f t="shared" ca="1" si="7"/>
        <v>13002.902076813654</v>
      </c>
      <c r="L17" s="17">
        <f t="shared" ca="1" si="5"/>
        <v>80620.590170714102</v>
      </c>
      <c r="M17" s="17"/>
      <c r="N17" s="17"/>
      <c r="O17" s="9"/>
      <c r="P17" s="14"/>
      <c r="Q17" s="11">
        <f t="shared" ca="1" si="6"/>
        <v>80620.590170714102</v>
      </c>
      <c r="R17" s="17">
        <f t="shared" ca="1" si="4"/>
        <v>80620.590170714102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0.8732330278562197</v>
      </c>
      <c r="J18" s="39">
        <f ca="1">I18</f>
        <v>0.8732330278562197</v>
      </c>
      <c r="K18" s="40">
        <f ca="1">1-(-K13)/K17</f>
        <v>0.8894778502318712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3396.9407265774375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3396.9407265774375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-3396.9407265774375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3209.5522388059699</v>
      </c>
      <c r="G3" s="14">
        <f ca="1">Q3-O3-P3-F3</f>
        <v>581.78776119403028</v>
      </c>
      <c r="H3" s="14"/>
      <c r="I3" s="14"/>
      <c r="J3" s="14"/>
      <c r="K3" s="13"/>
      <c r="L3" s="16">
        <f t="shared" ca="1" si="0"/>
        <v>3791.34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-418.63499999999999</v>
      </c>
      <c r="Q3" s="16" cm="1">
        <f t="array" aca="1" ref="Q3" ca="1">INDIRECT("'data'!$G$" &amp; $A$1)*parameters!$B$13</f>
        <v>3375.54</v>
      </c>
      <c r="R3" s="16">
        <f t="shared" ref="R3:R10" ca="1" si="2">SUM(L3:P3)</f>
        <v>3375.54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529.91999999999996</v>
      </c>
      <c r="H4" s="14"/>
      <c r="I4" s="14"/>
      <c r="J4" s="14"/>
      <c r="K4" s="13"/>
      <c r="L4" s="16">
        <f t="shared" ca="1" si="0"/>
        <v>529.91999999999996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-531.76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802.38805970149258</v>
      </c>
      <c r="G5" s="14">
        <f ca="1">Q7/parameters!$B$7-(G3+G4)</f>
        <v>11691.782311951218</v>
      </c>
      <c r="H5" s="14"/>
      <c r="I5" s="14"/>
      <c r="J5" s="14"/>
      <c r="K5" s="13"/>
      <c r="L5" s="16">
        <f t="shared" ca="1" si="0"/>
        <v>12494.17037165271</v>
      </c>
      <c r="M5" s="16"/>
      <c r="N5" s="16"/>
      <c r="O5" s="11" cm="1">
        <f t="array" aca="1" ref="O5" ca="1">INDIRECT("'data'!$M$" &amp; $A$1)*parameters!$B$15</f>
        <v>271.45999999999998</v>
      </c>
      <c r="P5" s="13" cm="1">
        <f t="array" aca="1" ref="P5" ca="1">-INDIRECT("'data'!$N$" &amp; $A$1)*parameters!$B$15</f>
        <v>-5597.76</v>
      </c>
      <c r="Q5" s="16">
        <f ca="1">SUM(L5:P5)</f>
        <v>7167.8703716527089</v>
      </c>
      <c r="R5" s="16">
        <f t="shared" ca="1" si="2"/>
        <v>7167.8703716527089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3763.2</v>
      </c>
      <c r="I6" s="14"/>
      <c r="J6" s="14"/>
      <c r="K6" s="13"/>
      <c r="L6" s="16">
        <f t="shared" ca="1" si="0"/>
        <v>3763.2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3763.2</v>
      </c>
      <c r="R6" s="16">
        <f t="shared" ca="1" si="2"/>
        <v>3763.2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12252.94</v>
      </c>
      <c r="I7" s="14"/>
      <c r="J7" s="14"/>
      <c r="K7" s="13"/>
      <c r="L7" s="16">
        <f t="shared" ca="1" si="0"/>
        <v>12252.94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12252.94</v>
      </c>
      <c r="R7" s="16">
        <f t="shared" ca="1" si="2"/>
        <v>12252.94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11242.799468666801</v>
      </c>
      <c r="J8" s="14">
        <f ca="1">Q10/J18</f>
        <v>5363.3005313331978</v>
      </c>
      <c r="K8" s="13"/>
      <c r="L8" s="16">
        <f t="shared" ca="1" si="0"/>
        <v>16606.099999999999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331.24</v>
      </c>
      <c r="P8" s="13" cm="1">
        <f t="array" aca="1" ref="P8" ca="1">-INDIRECT("'data'!$S$" &amp; $A$1)*parameters!$B$15</f>
        <v>-921.19999999999993</v>
      </c>
      <c r="Q8" s="16">
        <f ca="1">SUM(Q6:Q7)</f>
        <v>16016.14</v>
      </c>
      <c r="R8" s="16">
        <f t="shared" ca="1" si="2"/>
        <v>16016.14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5542.880000000001</v>
      </c>
      <c r="L9" s="16">
        <f t="shared" ca="1" si="0"/>
        <v>5542.880000000001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5839.82</v>
      </c>
      <c r="P9" s="13" cm="1">
        <f t="array" aca="1" ref="P9" ca="1">-INDIRECT("'data'!$V$" &amp; $A$1)*parameters!$B$15</f>
        <v>-1187.76</v>
      </c>
      <c r="Q9" s="16" cm="1">
        <f t="array" aca="1" ref="Q9" ca="1">INDIRECT("'data'!$T$" &amp; $A$1)*parameters!$B$15</f>
        <v>10194.94</v>
      </c>
      <c r="R9" s="16">
        <f t="shared" ca="1" si="2"/>
        <v>10194.94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7981.7863442389753</v>
      </c>
      <c r="L10" s="16">
        <f t="shared" ca="1" si="0"/>
        <v>7981.7863442389753</v>
      </c>
      <c r="M10" s="16"/>
      <c r="N10" s="16">
        <f t="shared" ca="1" si="3"/>
        <v>0</v>
      </c>
      <c r="O10" s="11" cm="1">
        <f t="array" aca="1" ref="O10" ca="1">INDIRECT("'data'!$X$" &amp; $A$1)*parameters!$B$15</f>
        <v>2711.66</v>
      </c>
      <c r="P10" s="13" cm="1">
        <f t="array" aca="1" ref="P10" ca="1">-INDIRECT("'data'!$Y$" &amp; $A$1)*parameters!$B$15</f>
        <v>-5830.0199999999995</v>
      </c>
      <c r="Q10" s="16" cm="1">
        <f t="array" aca="1" ref="Q10" ca="1">INDIRECT("'data'!$W$" &amp; $A$1)*parameters!$B$15</f>
        <v>4863.4263442389756</v>
      </c>
      <c r="R10" s="16">
        <f t="shared" ca="1" si="2"/>
        <v>4863.4263442389756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10958.423456045521</v>
      </c>
      <c r="N11" s="19"/>
      <c r="O11" s="21" cm="1">
        <f t="array" aca="1" ref="O11" ca="1">INDIRECT("'data'!$Z$" &amp; $A$1)*parameters!$B$15</f>
        <v>7906.6399999999994</v>
      </c>
      <c r="P11" s="27" cm="1">
        <f t="array" aca="1" ref="P11" ca="1">-INDIRECT("'data'!$AA$" &amp; $A$1)*parameters!$B$15</f>
        <v>-6790.42</v>
      </c>
      <c r="Q11" s="16">
        <f ca="1">K9*parameters!$B$10+K10*parameters!$B$11</f>
        <v>12074.64345604552</v>
      </c>
      <c r="R11" s="16">
        <f t="shared" ref="R11:R17" ca="1" si="4">SUM(L11:P11)</f>
        <v>12074.643456045522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-21.400726577437581</v>
      </c>
      <c r="D12" s="9">
        <f ca="1">-(D17-Q4)</f>
        <v>0</v>
      </c>
      <c r="E12" s="9">
        <f ca="1">-(E17-Q5)</f>
        <v>-885.91656278853679</v>
      </c>
      <c r="F12" s="9">
        <f ca="1">-(F17-Q6)</f>
        <v>-248.74029850746274</v>
      </c>
      <c r="G12" s="9">
        <f ca="1">-(G17-Q7)</f>
        <v>-550.55007314524664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-1706.6076610186838</v>
      </c>
      <c r="M12" s="17"/>
      <c r="N12" s="17"/>
      <c r="O12" s="10"/>
      <c r="P12" s="12"/>
      <c r="Q12" s="9">
        <f t="shared" ref="Q12:Q17" ca="1" si="6">SUM(L12:P12)</f>
        <v>-1706.6076610186838</v>
      </c>
      <c r="R12" s="17">
        <f t="shared" ca="1" si="4"/>
        <v>-1706.6076610186838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-1047.8594686668002</v>
      </c>
      <c r="J13" s="14">
        <f ca="1">-(J17-Q10)</f>
        <v>-499.87418709422218</v>
      </c>
      <c r="K13" s="13">
        <f ca="1">-(K17-Q11)</f>
        <v>-1450.0228881934563</v>
      </c>
      <c r="L13" s="14">
        <f t="shared" ca="1" si="5"/>
        <v>-2997.7565439544787</v>
      </c>
      <c r="M13" s="16">
        <f ca="1">-E15</f>
        <v>-5056.0303904867669</v>
      </c>
      <c r="N13" s="16"/>
      <c r="O13" s="11"/>
      <c r="P13" s="13"/>
      <c r="Q13" s="14">
        <f t="shared" ca="1" si="6"/>
        <v>-8053.7869344412456</v>
      </c>
      <c r="R13" s="16">
        <f t="shared" ca="1" si="4"/>
        <v>-8053.7869344412456</v>
      </c>
    </row>
    <row r="14" spans="1:20">
      <c r="A14" s="18" t="s">
        <v>78</v>
      </c>
      <c r="B14" s="11"/>
      <c r="C14" s="14"/>
      <c r="D14" s="14"/>
      <c r="E14" s="14">
        <f ca="1">-(I13+J13)-K13</f>
        <v>2997.7565439544787</v>
      </c>
      <c r="F14" s="14"/>
      <c r="G14" s="14"/>
      <c r="H14" s="14"/>
      <c r="I14" s="14"/>
      <c r="J14" s="14"/>
      <c r="K14" s="13"/>
      <c r="L14" s="14">
        <f t="shared" ca="1" si="5"/>
        <v>2997.7565439544787</v>
      </c>
      <c r="M14" s="16"/>
      <c r="N14" s="16"/>
      <c r="O14" s="11"/>
      <c r="P14" s="13"/>
      <c r="Q14" s="14">
        <f t="shared" ca="1" si="6"/>
        <v>2997.7565439544787</v>
      </c>
      <c r="R14" s="16">
        <f t="shared" ca="1" si="4"/>
        <v>2997.7565439544787</v>
      </c>
    </row>
    <row r="15" spans="1:20">
      <c r="A15" s="18" t="s">
        <v>79</v>
      </c>
      <c r="B15" s="11"/>
      <c r="C15" s="14"/>
      <c r="D15" s="14"/>
      <c r="E15" s="14">
        <f ca="1">E17-E14</f>
        <v>5056.0303904867669</v>
      </c>
      <c r="F15" s="14"/>
      <c r="G15" s="14"/>
      <c r="H15" s="14"/>
      <c r="I15" s="14"/>
      <c r="J15" s="14"/>
      <c r="K15" s="13"/>
      <c r="L15" s="14">
        <f t="shared" ca="1" si="5"/>
        <v>5056.0303904867669</v>
      </c>
      <c r="M15" s="16"/>
      <c r="N15" s="16"/>
      <c r="O15" s="11"/>
      <c r="P15" s="13"/>
      <c r="Q15" s="14">
        <f t="shared" ca="1" si="6"/>
        <v>5056.0303904867669</v>
      </c>
      <c r="R15" s="16">
        <f t="shared" ca="1" si="4"/>
        <v>5056.0303904867669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3396.9407265774375</v>
      </c>
      <c r="D17" s="9">
        <f ca="1">SUM(D$2:D$11)</f>
        <v>0</v>
      </c>
      <c r="E17" s="9">
        <f ca="1">$Q$5/parameters!$B$4</f>
        <v>8053.7869344412456</v>
      </c>
      <c r="F17" s="9">
        <f t="shared" ref="F17:K17" ca="1" si="7">SUM(F$2:F$11)</f>
        <v>4011.9402985074626</v>
      </c>
      <c r="G17" s="9">
        <f t="shared" ca="1" si="7"/>
        <v>12803.490073145247</v>
      </c>
      <c r="H17" s="9">
        <f t="shared" ca="1" si="7"/>
        <v>16016.14</v>
      </c>
      <c r="I17" s="9">
        <f t="shared" ca="1" si="7"/>
        <v>11242.799468666801</v>
      </c>
      <c r="J17" s="9">
        <f t="shared" ca="1" si="7"/>
        <v>5363.3005313331978</v>
      </c>
      <c r="K17" s="9">
        <f t="shared" ca="1" si="7"/>
        <v>13524.666344238976</v>
      </c>
      <c r="L17" s="17">
        <f t="shared" ca="1" si="5"/>
        <v>74413.064376910363</v>
      </c>
      <c r="M17" s="17"/>
      <c r="N17" s="17"/>
      <c r="O17" s="9"/>
      <c r="P17" s="14"/>
      <c r="Q17" s="11">
        <f t="shared" ca="1" si="6"/>
        <v>74413.064376910363</v>
      </c>
      <c r="R17" s="17">
        <f t="shared" ca="1" si="4"/>
        <v>74413.064376910363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0.90679728197704323</v>
      </c>
      <c r="J18" s="39">
        <f ca="1">I18</f>
        <v>0.90679728197704323</v>
      </c>
      <c r="K18" s="40">
        <f ca="1">1-(-K13)/K17</f>
        <v>0.89278679035131137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3" sqref="F3:G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7290.2988829626647</v>
      </c>
      <c r="D2" s="9">
        <f ca="1">Q4/parameters!$B$3</f>
        <v>555.49964778102037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7845.7985307436848</v>
      </c>
      <c r="M2" s="17"/>
      <c r="N2" s="17">
        <f ca="1">Q2-(L2+O2+P2)</f>
        <v>0</v>
      </c>
      <c r="O2" s="11" cm="1">
        <f t="array" aca="1" ref="O2" ca="1">INDIRECT("'data'!$F$" &amp; $A$1)</f>
        <v>21113.95</v>
      </c>
      <c r="P2" s="13">
        <f ca="1">IF(-(L2-Q2+O2)&lt;0, -(L2-Q2+O2), 0)</f>
        <v>-5659.7485307436855</v>
      </c>
      <c r="Q2" s="17" cm="1">
        <f t="array" aca="1" ref="Q2" ca="1">INDIRECT("'data'!$D$" &amp; $A$1)</f>
        <v>23300</v>
      </c>
      <c r="R2" s="17">
        <f ca="1">SUM(L2:P2)</f>
        <v>23300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6398.2089552238813</v>
      </c>
      <c r="G3" s="14">
        <f ca="1">Q3-O3-P3-F3</f>
        <v>733.70604477611869</v>
      </c>
      <c r="H3" s="14"/>
      <c r="I3" s="14"/>
      <c r="J3" s="14"/>
      <c r="K3" s="13"/>
      <c r="L3" s="16">
        <f t="shared" ca="1" si="0"/>
        <v>7131.915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134.19</v>
      </c>
      <c r="P3" s="13" cm="1">
        <f t="array" aca="1" ref="P3" ca="1">-INDIRECT("'data'!$I$" &amp; $A$1)*parameters!$B$13</f>
        <v>-21.734999999999999</v>
      </c>
      <c r="Q3" s="16" cm="1">
        <f t="array" aca="1" ref="Q3" ca="1">INDIRECT("'data'!$G$" &amp; $A$1)*parameters!$B$13</f>
        <v>7244.37</v>
      </c>
      <c r="R3" s="16">
        <f t="shared" ref="R3:R10" ca="1" si="2">SUM(L3:P3)</f>
        <v>7244.37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935.6400000000001</v>
      </c>
      <c r="H4" s="14"/>
      <c r="I4" s="14"/>
      <c r="J4" s="14"/>
      <c r="K4" s="13"/>
      <c r="L4" s="16">
        <f t="shared" ca="1" si="0"/>
        <v>935.6400000000001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-383.64000000000004</v>
      </c>
      <c r="Q4" s="16" cm="1">
        <f t="array" aca="1" ref="Q4" ca="1">INDIRECT("'data'!$J$" &amp; $A$1)*parameters!$B$14</f>
        <v>552</v>
      </c>
      <c r="R4" s="16">
        <f t="shared" ca="1" si="2"/>
        <v>552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1599.5522388059703</v>
      </c>
      <c r="G5" s="14">
        <f ca="1">Q7/parameters!$B$7-(G3+G4)</f>
        <v>3814.3530147850097</v>
      </c>
      <c r="H5" s="14"/>
      <c r="I5" s="14"/>
      <c r="J5" s="14"/>
      <c r="K5" s="13"/>
      <c r="L5" s="16">
        <f t="shared" ca="1" si="0"/>
        <v>5413.9052535909796</v>
      </c>
      <c r="M5" s="16"/>
      <c r="N5" s="16"/>
      <c r="O5" s="11" cm="1">
        <f t="array" aca="1" ref="O5" ca="1">INDIRECT("'data'!$M$" &amp; $A$1)*parameters!$B$15</f>
        <v>5087.18</v>
      </c>
      <c r="P5" s="13" cm="1">
        <f t="array" aca="1" ref="P5" ca="1">-INDIRECT("'data'!$N$" &amp; $A$1)*parameters!$B$15</f>
        <v>-2988.02</v>
      </c>
      <c r="Q5" s="16">
        <f ca="1">SUM(L5:P5)</f>
        <v>7513.0652535909794</v>
      </c>
      <c r="R5" s="16">
        <f t="shared" ca="1" si="2"/>
        <v>7513.0652535909794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7501.9</v>
      </c>
      <c r="I6" s="14"/>
      <c r="J6" s="14"/>
      <c r="K6" s="13"/>
      <c r="L6" s="16">
        <f t="shared" ca="1" si="0"/>
        <v>7501.9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7501.9</v>
      </c>
      <c r="R6" s="16">
        <f t="shared" ca="1" si="2"/>
        <v>7501.9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5247.9</v>
      </c>
      <c r="I7" s="14"/>
      <c r="J7" s="14"/>
      <c r="K7" s="13"/>
      <c r="L7" s="16">
        <f t="shared" ca="1" si="0"/>
        <v>5247.9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5247.9</v>
      </c>
      <c r="R7" s="16">
        <f t="shared" ca="1" si="2"/>
        <v>5247.9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2758.833623326615</v>
      </c>
      <c r="J8" s="14">
        <f ca="1">Q10/J18</f>
        <v>8875.7263766733849</v>
      </c>
      <c r="K8" s="13"/>
      <c r="L8" s="16">
        <f t="shared" ca="1" si="0"/>
        <v>11634.56</v>
      </c>
      <c r="M8" s="16"/>
      <c r="N8" s="16">
        <f t="shared" ca="1" si="3"/>
        <v>0</v>
      </c>
      <c r="O8" s="11" cm="1">
        <f t="array" aca="1" ref="O8" ca="1">INDIRECT("'data'!$R$" &amp; $A$1)*parameters!$B$15</f>
        <v>1759.1</v>
      </c>
      <c r="P8" s="13" cm="1">
        <f t="array" aca="1" ref="P8" ca="1">-INDIRECT("'data'!$S$" &amp; $A$1)*parameters!$B$15</f>
        <v>-643.86</v>
      </c>
      <c r="Q8" s="16">
        <f ca="1">SUM(Q6:Q7)</f>
        <v>12749.8</v>
      </c>
      <c r="R8" s="16">
        <f t="shared" ca="1" si="2"/>
        <v>12749.8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3671.08</v>
      </c>
      <c r="L9" s="16">
        <f t="shared" ca="1" si="0"/>
        <v>3671.08</v>
      </c>
      <c r="M9" s="16"/>
      <c r="N9" s="16">
        <f t="shared" ca="1" si="3"/>
        <v>0</v>
      </c>
      <c r="O9" s="11" cm="1">
        <f t="array" aca="1" ref="O9" ca="1">INDIRECT("'data'!$U$" &amp; $A$1)*parameters!$B$15</f>
        <v>1355.34</v>
      </c>
      <c r="P9" s="13" cm="1">
        <f t="array" aca="1" ref="P9" ca="1">-INDIRECT("'data'!$V$" &amp; $A$1)*parameters!$B$15</f>
        <v>-2552.9</v>
      </c>
      <c r="Q9" s="16" cm="1">
        <f t="array" aca="1" ref="Q9" ca="1">INDIRECT("'data'!$T$" &amp; $A$1)*parameters!$B$15</f>
        <v>2473.52</v>
      </c>
      <c r="R9" s="16">
        <f t="shared" ca="1" si="2"/>
        <v>2473.52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9332.7546799431002</v>
      </c>
      <c r="L10" s="16">
        <f t="shared" ca="1" si="0"/>
        <v>9332.7546799431002</v>
      </c>
      <c r="M10" s="16"/>
      <c r="N10" s="16">
        <f t="shared" ca="1" si="3"/>
        <v>0</v>
      </c>
      <c r="O10" s="11" cm="1">
        <f t="array" aca="1" ref="O10" ca="1">INDIRECT("'data'!$X$" &amp; $A$1)*parameters!$B$15</f>
        <v>2797.9</v>
      </c>
      <c r="P10" s="13" cm="1">
        <f t="array" aca="1" ref="P10" ca="1">-INDIRECT("'data'!$Y$" &amp; $A$1)*parameters!$B$15</f>
        <v>-4172.84</v>
      </c>
      <c r="Q10" s="16" cm="1">
        <f t="array" aca="1" ref="Q10" ca="1">INDIRECT("'data'!$W$" &amp; $A$1)*parameters!$B$15</f>
        <v>7957.8146799431006</v>
      </c>
      <c r="R10" s="16">
        <f t="shared" ca="1" si="2"/>
        <v>7957.8146799430997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17235.464224751067</v>
      </c>
      <c r="N11" s="19"/>
      <c r="O11" s="21" cm="1">
        <f t="array" aca="1" ref="O11" ca="1">INDIRECT("'data'!$Z$" &amp; $A$1)*parameters!$B$15</f>
        <v>4739.28</v>
      </c>
      <c r="P11" s="27" cm="1">
        <f t="array" aca="1" ref="P11" ca="1">-INDIRECT("'data'!$AA$" &amp; $A$1)*parameters!$B$15</f>
        <v>-10497.76</v>
      </c>
      <c r="Q11" s="16">
        <f ca="1">K9*parameters!$B$10+K10*parameters!$B$11</f>
        <v>11476.984224751066</v>
      </c>
      <c r="R11" s="16">
        <f t="shared" ref="R11:R17" ca="1" si="4">SUM(L11:P11)</f>
        <v>11476.984224751066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-45.928882962664829</v>
      </c>
      <c r="D12" s="9">
        <f ca="1">-(D17-Q4)</f>
        <v>-3.4996477810203714</v>
      </c>
      <c r="E12" s="9">
        <f ca="1">-(E17-Q5)</f>
        <v>-928.58109875843547</v>
      </c>
      <c r="F12" s="9">
        <f ca="1">-(F17-Q6)</f>
        <v>-495.86119402985241</v>
      </c>
      <c r="G12" s="9">
        <f ca="1">-(G17-Q7)</f>
        <v>-235.79905956112907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-1709.6698830931023</v>
      </c>
      <c r="M12" s="17"/>
      <c r="N12" s="17"/>
      <c r="O12" s="10"/>
      <c r="P12" s="12"/>
      <c r="Q12" s="9">
        <f t="shared" ref="Q12:Q17" ca="1" si="6">SUM(L12:P12)</f>
        <v>-1709.6698830931023</v>
      </c>
      <c r="R12" s="17">
        <f t="shared" ca="1" si="4"/>
        <v>-1709.6698830931023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-285.31362332661502</v>
      </c>
      <c r="J13" s="14">
        <f ca="1">-(J17-Q10)</f>
        <v>-917.91169673028435</v>
      </c>
      <c r="K13" s="13">
        <f ca="1">-(K17-Q11)</f>
        <v>-1526.8504551920341</v>
      </c>
      <c r="L13" s="14">
        <f t="shared" ca="1" si="5"/>
        <v>-2730.0757752489335</v>
      </c>
      <c r="M13" s="16">
        <f ca="1">-E15</f>
        <v>-5711.5705771004814</v>
      </c>
      <c r="N13" s="16"/>
      <c r="O13" s="11"/>
      <c r="P13" s="13"/>
      <c r="Q13" s="14">
        <f t="shared" ca="1" si="6"/>
        <v>-8441.6463523494149</v>
      </c>
      <c r="R13" s="16">
        <f t="shared" ca="1" si="4"/>
        <v>-8441.6463523494149</v>
      </c>
    </row>
    <row r="14" spans="1:20">
      <c r="A14" s="18" t="s">
        <v>78</v>
      </c>
      <c r="B14" s="11"/>
      <c r="C14" s="14"/>
      <c r="D14" s="14"/>
      <c r="E14" s="14">
        <f ca="1">-(I13+J13)-K13</f>
        <v>2730.0757752489335</v>
      </c>
      <c r="F14" s="14"/>
      <c r="G14" s="14"/>
      <c r="H14" s="14"/>
      <c r="I14" s="14"/>
      <c r="J14" s="14"/>
      <c r="K14" s="13"/>
      <c r="L14" s="14">
        <f t="shared" ca="1" si="5"/>
        <v>2730.0757752489335</v>
      </c>
      <c r="M14" s="16"/>
      <c r="N14" s="16"/>
      <c r="O14" s="11"/>
      <c r="P14" s="13"/>
      <c r="Q14" s="14">
        <f t="shared" ca="1" si="6"/>
        <v>2730.0757752489335</v>
      </c>
      <c r="R14" s="16">
        <f t="shared" ca="1" si="4"/>
        <v>2730.0757752489335</v>
      </c>
    </row>
    <row r="15" spans="1:20">
      <c r="A15" s="18" t="s">
        <v>79</v>
      </c>
      <c r="B15" s="11"/>
      <c r="C15" s="14"/>
      <c r="D15" s="14"/>
      <c r="E15" s="14">
        <f ca="1">E17-E14</f>
        <v>5711.5705771004814</v>
      </c>
      <c r="F15" s="14"/>
      <c r="G15" s="14"/>
      <c r="H15" s="14"/>
      <c r="I15" s="14"/>
      <c r="J15" s="14"/>
      <c r="K15" s="13"/>
      <c r="L15" s="14">
        <f t="shared" ca="1" si="5"/>
        <v>5711.5705771004814</v>
      </c>
      <c r="M15" s="16"/>
      <c r="N15" s="16"/>
      <c r="O15" s="11"/>
      <c r="P15" s="13"/>
      <c r="Q15" s="14">
        <f t="shared" ca="1" si="6"/>
        <v>5711.5705771004814</v>
      </c>
      <c r="R15" s="16">
        <f t="shared" ca="1" si="4"/>
        <v>5711.5705771004814</v>
      </c>
    </row>
    <row r="16" spans="1:20">
      <c r="A16" s="30" t="s">
        <v>89</v>
      </c>
      <c r="B16" s="21">
        <f ca="1">Q2</f>
        <v>23300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23300</v>
      </c>
      <c r="M16" s="19"/>
      <c r="N16" s="19"/>
      <c r="O16" s="21"/>
      <c r="P16" s="27"/>
      <c r="Q16" s="22">
        <f t="shared" ca="1" si="6"/>
        <v>23300</v>
      </c>
      <c r="R16" s="19">
        <f t="shared" ca="1" si="4"/>
        <v>23300</v>
      </c>
    </row>
    <row r="17" spans="1:18">
      <c r="A17" s="29" t="s">
        <v>88</v>
      </c>
      <c r="B17" s="9">
        <f ca="1">B16</f>
        <v>23300</v>
      </c>
      <c r="C17" s="9">
        <f ca="1">SUM(C$2:C$11)</f>
        <v>7290.2988829626647</v>
      </c>
      <c r="D17" s="9">
        <f ca="1">SUM(D$2:D$11)</f>
        <v>555.49964778102037</v>
      </c>
      <c r="E17" s="9">
        <f ca="1">$Q$5/parameters!$B$4</f>
        <v>8441.6463523494149</v>
      </c>
      <c r="F17" s="9">
        <f t="shared" ref="F17:K17" ca="1" si="7">SUM(F$2:F$11)</f>
        <v>7997.761194029852</v>
      </c>
      <c r="G17" s="9">
        <f t="shared" ca="1" si="7"/>
        <v>5483.6990595611287</v>
      </c>
      <c r="H17" s="9">
        <f t="shared" ca="1" si="7"/>
        <v>12749.8</v>
      </c>
      <c r="I17" s="9">
        <f t="shared" ca="1" si="7"/>
        <v>2758.833623326615</v>
      </c>
      <c r="J17" s="9">
        <f t="shared" ca="1" si="7"/>
        <v>8875.7263766733849</v>
      </c>
      <c r="K17" s="9">
        <f t="shared" ca="1" si="7"/>
        <v>13003.8346799431</v>
      </c>
      <c r="L17" s="17">
        <f t="shared" ca="1" si="5"/>
        <v>90457.099816627175</v>
      </c>
      <c r="M17" s="17"/>
      <c r="N17" s="17"/>
      <c r="O17" s="9"/>
      <c r="P17" s="14"/>
      <c r="Q17" s="11">
        <f t="shared" ca="1" si="6"/>
        <v>90457.099816627175</v>
      </c>
      <c r="R17" s="17">
        <f t="shared" ca="1" si="4"/>
        <v>90457.099816627175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0.89658179423571671</v>
      </c>
      <c r="J18" s="39">
        <f ca="1">I18</f>
        <v>0.89658179423571671</v>
      </c>
      <c r="K18" s="40">
        <f ca="1">1-(-K13)/K17</f>
        <v>0.88258459963759583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tabSelected="1"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1179.5109187883668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1179.5109187883668</v>
      </c>
      <c r="M2" s="17"/>
      <c r="N2" s="17">
        <f ca="1">Q2-(L2+O2+P2)</f>
        <v>0</v>
      </c>
      <c r="O2" s="11" cm="1">
        <f t="array" aca="1" ref="O2" ca="1">INDIRECT("'data'!$F$" &amp; $A$1)</f>
        <v>5626.4000000000005</v>
      </c>
      <c r="P2" s="13">
        <f ca="1">IF(-(L2-Q2+O2)&lt;0, -(L2-Q2+O2), 0)</f>
        <v>-3975.9109187883673</v>
      </c>
      <c r="Q2" s="17" cm="1">
        <f t="array" aca="1" ref="Q2" ca="1">INDIRECT("'data'!$D$" &amp; $A$1)</f>
        <v>2830</v>
      </c>
      <c r="R2" s="17">
        <f ca="1">SUM(L2:P2)</f>
        <v>2830.0000000000005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38"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-66.150000000000006</v>
      </c>
      <c r="O3" s="11" cm="1">
        <f t="array" aca="1" ref="O3" ca="1">INDIRECT("'data'!$H$" &amp; $A$1)*parameters!$B$13</f>
        <v>110.565</v>
      </c>
      <c r="P3" s="13" cm="1">
        <f t="array" aca="1" ref="P3" ca="1">-INDIRECT("'data'!$I$" &amp; $A$1)*parameters!$B$13</f>
        <v>-44.414999999999999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38">
        <f ca="1">Q7/parameters!$B$7-G3-G5</f>
        <v>1274.7403894539143</v>
      </c>
      <c r="H4" s="14"/>
      <c r="I4" s="14"/>
      <c r="J4" s="14"/>
      <c r="K4" s="13"/>
      <c r="L4" s="16">
        <f t="shared" ca="1" si="0"/>
        <v>1274.7403894539143</v>
      </c>
      <c r="M4" s="16"/>
      <c r="N4" s="16">
        <f t="shared" ca="1" si="1"/>
        <v>39.93961054608576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-143.52000000000001</v>
      </c>
      <c r="Q4" s="16" cm="1">
        <f t="array" aca="1" ref="Q4" ca="1">INDIRECT("'data'!$J$" &amp; $A$1)*parameters!$B$14</f>
        <v>1172.0800000000002</v>
      </c>
      <c r="R4" s="16">
        <f t="shared" ca="1" si="2"/>
        <v>1172.0800000000002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2477.318126742533</v>
      </c>
      <c r="H5" s="14"/>
      <c r="I5" s="14"/>
      <c r="J5" s="14"/>
      <c r="K5" s="13"/>
      <c r="L5" s="16">
        <f t="shared" ca="1" si="0"/>
        <v>2477.318126742533</v>
      </c>
      <c r="M5" s="16"/>
      <c r="N5" s="16"/>
      <c r="O5" s="11" cm="1">
        <f t="array" aca="1" ref="O5" ca="1">INDIRECT("'data'!$M$" &amp; $A$1)*parameters!$B$15</f>
        <v>39.200000000000003</v>
      </c>
      <c r="P5" s="13" cm="1">
        <f t="array" aca="1" ref="P5" ca="1">-INDIRECT("'data'!$N$" &amp; $A$1)*parameters!$B$15</f>
        <v>-1611.12</v>
      </c>
      <c r="Q5" s="16">
        <f ca="1">SUM(L5:P5)</f>
        <v>905.3981267425329</v>
      </c>
      <c r="R5" s="16">
        <f t="shared" ca="1" si="2"/>
        <v>905.3981267425329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3590.72</v>
      </c>
      <c r="I7" s="14"/>
      <c r="J7" s="14"/>
      <c r="K7" s="13"/>
      <c r="L7" s="16">
        <f t="shared" ca="1" si="0"/>
        <v>3590.72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3590.72</v>
      </c>
      <c r="R7" s="16">
        <f t="shared" ca="1" si="2"/>
        <v>3590.72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2804</v>
      </c>
      <c r="J8" s="14">
        <f ca="1">Q10/J18</f>
        <v>2338.5220483641538</v>
      </c>
      <c r="K8" s="13"/>
      <c r="L8" s="16">
        <f t="shared" ca="1" si="0"/>
        <v>5142.5220483641533</v>
      </c>
      <c r="M8" s="16"/>
      <c r="N8" s="16">
        <f t="shared" ca="1" si="3"/>
        <v>801.17795163584651</v>
      </c>
      <c r="O8" s="11" cm="1">
        <f t="array" aca="1" ref="O8" ca="1">INDIRECT("'data'!$R$" &amp; $A$1)*parameters!$B$15</f>
        <v>12.74</v>
      </c>
      <c r="P8" s="13" cm="1">
        <f t="array" aca="1" ref="P8" ca="1">-INDIRECT("'data'!$S$" &amp; $A$1)*parameters!$B$15</f>
        <v>-2365.7199999999998</v>
      </c>
      <c r="Q8" s="16">
        <f ca="1">SUM(Q6:Q7)</f>
        <v>3590.72</v>
      </c>
      <c r="R8" s="16">
        <f t="shared" ca="1" si="2"/>
        <v>3590.72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3669.1200000000003</v>
      </c>
      <c r="L9" s="16">
        <f t="shared" ca="1" si="0"/>
        <v>3669.1200000000003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184.24</v>
      </c>
      <c r="P9" s="13" cm="1">
        <f t="array" aca="1" ref="P9" ca="1">-INDIRECT("'data'!$V$" &amp; $A$1)*parameters!$B$15</f>
        <v>-1105.44</v>
      </c>
      <c r="Q9" s="16" cm="1">
        <f t="array" aca="1" ref="Q9" ca="1">INDIRECT("'data'!$T$" &amp; $A$1)*parameters!$B$15</f>
        <v>2747.92</v>
      </c>
      <c r="R9" s="16">
        <f t="shared" ca="1" si="2"/>
        <v>2747.9200000000005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4959.3116073968704</v>
      </c>
      <c r="L10" s="16">
        <f t="shared" ca="1" si="0"/>
        <v>4959.3116073968704</v>
      </c>
      <c r="M10" s="16"/>
      <c r="N10" s="16">
        <f t="shared" ca="1" si="3"/>
        <v>0</v>
      </c>
      <c r="O10" s="11" cm="1">
        <f t="array" aca="1" ref="O10" ca="1">INDIRECT("'data'!$X$" &amp; $A$1)*parameters!$B$15</f>
        <v>528.22</v>
      </c>
      <c r="P10" s="13" cm="1">
        <f t="array" aca="1" ref="P10" ca="1">-INDIRECT("'data'!$Y$" &amp; $A$1)*parameters!$B$15</f>
        <v>-3195.7799999999997</v>
      </c>
      <c r="Q10" s="16" cm="1">
        <f t="array" aca="1" ref="Q10" ca="1">INDIRECT("'data'!$W$" &amp; $A$1)*parameters!$B$15</f>
        <v>2291.7516073968704</v>
      </c>
      <c r="R10" s="16">
        <f t="shared" ca="1" si="2"/>
        <v>2291.7516073968709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10296.280782361308</v>
      </c>
      <c r="N11" s="19"/>
      <c r="O11" s="21" cm="1">
        <f t="array" aca="1" ref="O11" ca="1">INDIRECT("'data'!$Z$" &amp; $A$1)*parameters!$B$15</f>
        <v>1437.66</v>
      </c>
      <c r="P11" s="27" cm="1">
        <f t="array" aca="1" ref="P11" ca="1">-INDIRECT("'data'!$AA$" &amp; $A$1)*parameters!$B$15</f>
        <v>-4019.96</v>
      </c>
      <c r="Q11" s="16">
        <f ca="1">K9*parameters!$B$10+K10*parameters!$B$11</f>
        <v>7713.9807823613082</v>
      </c>
      <c r="R11" s="16">
        <f t="shared" ref="R11:R17" ca="1" si="4">SUM(L11:P11)</f>
        <v>7713.9807823613073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-7.4309187883666254</v>
      </c>
      <c r="E12" s="9">
        <f ca="1">-(E17-Q5)</f>
        <v>-111.90313926031308</v>
      </c>
      <c r="F12" s="9">
        <f ca="1">-(F17-Q6)</f>
        <v>0</v>
      </c>
      <c r="G12" s="9">
        <f ca="1">-(G17-Q7)</f>
        <v>-161.33851619644747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-280.67257424512718</v>
      </c>
      <c r="M12" s="17"/>
      <c r="N12" s="17"/>
      <c r="O12" s="10"/>
      <c r="P12" s="12"/>
      <c r="Q12" s="9">
        <f t="shared" ref="Q12:Q17" ca="1" si="6">SUM(L12:P12)</f>
        <v>-280.67257424512718</v>
      </c>
      <c r="R12" s="17">
        <f t="shared" ca="1" si="4"/>
        <v>-280.67257424512718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-56.079999999999927</v>
      </c>
      <c r="J13" s="14">
        <f ca="1">-(J17-Q10)</f>
        <v>-46.770440967283321</v>
      </c>
      <c r="K13" s="13">
        <f ca="1">-(K17-Q11)</f>
        <v>-914.45082503556296</v>
      </c>
      <c r="L13" s="14">
        <f t="shared" ca="1" si="5"/>
        <v>-1017.3012660028462</v>
      </c>
      <c r="M13" s="16">
        <f ca="1">-E15</f>
        <v>0</v>
      </c>
      <c r="N13" s="16"/>
      <c r="O13" s="11"/>
      <c r="P13" s="13"/>
      <c r="Q13" s="14">
        <f t="shared" ca="1" si="6"/>
        <v>-1017.3012660028462</v>
      </c>
      <c r="R13" s="16">
        <f t="shared" ca="1" si="4"/>
        <v>-1017.3012660028462</v>
      </c>
    </row>
    <row r="14" spans="1:19">
      <c r="A14" s="18" t="s">
        <v>78</v>
      </c>
      <c r="B14" s="11"/>
      <c r="C14" s="14"/>
      <c r="D14" s="14"/>
      <c r="E14" s="14">
        <f ca="1">-(I13+J13)-K13</f>
        <v>1017.3012660028462</v>
      </c>
      <c r="F14" s="14"/>
      <c r="G14" s="14"/>
      <c r="H14" s="14"/>
      <c r="I14" s="14"/>
      <c r="J14" s="14"/>
      <c r="K14" s="13"/>
      <c r="L14" s="14">
        <f t="shared" ca="1" si="5"/>
        <v>1017.3012660028462</v>
      </c>
      <c r="M14" s="16"/>
      <c r="N14" s="16"/>
      <c r="O14" s="11"/>
      <c r="P14" s="13"/>
      <c r="Q14" s="14">
        <f t="shared" ca="1" si="6"/>
        <v>1017.3012660028462</v>
      </c>
      <c r="R14" s="16">
        <f t="shared" ca="1" si="4"/>
        <v>1017.3012660028462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2830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2830</v>
      </c>
      <c r="M16" s="19"/>
      <c r="N16" s="19"/>
      <c r="O16" s="21"/>
      <c r="P16" s="27"/>
      <c r="Q16" s="22">
        <f t="shared" ca="1" si="6"/>
        <v>2830</v>
      </c>
      <c r="R16" s="19">
        <f t="shared" ca="1" si="4"/>
        <v>2830</v>
      </c>
    </row>
    <row r="17" spans="1:18">
      <c r="A17" s="29" t="s">
        <v>88</v>
      </c>
      <c r="B17" s="9">
        <f ca="1">B16</f>
        <v>2830</v>
      </c>
      <c r="C17" s="9">
        <f ca="1">SUM(C$2:C$11)</f>
        <v>0</v>
      </c>
      <c r="D17" s="9">
        <f ca="1">SUM(D$2:D$11)</f>
        <v>1179.5109187883668</v>
      </c>
      <c r="E17" s="9">
        <f ca="1">$Q$5/parameters!$B$4</f>
        <v>1017.301266002846</v>
      </c>
      <c r="F17" s="9">
        <f t="shared" ref="F17:K17" ca="1" si="7">SUM(F$2:F$11)</f>
        <v>0</v>
      </c>
      <c r="G17" s="9">
        <f t="shared" ca="1" si="7"/>
        <v>3752.0585161964473</v>
      </c>
      <c r="H17" s="9">
        <f t="shared" ca="1" si="7"/>
        <v>3590.72</v>
      </c>
      <c r="I17" s="9">
        <f t="shared" ca="1" si="7"/>
        <v>2804</v>
      </c>
      <c r="J17" s="9">
        <f t="shared" ca="1" si="7"/>
        <v>2338.5220483641538</v>
      </c>
      <c r="K17" s="9">
        <f t="shared" ca="1" si="7"/>
        <v>8628.4316073968712</v>
      </c>
      <c r="L17" s="17">
        <f t="shared" ca="1" si="5"/>
        <v>26140.544356748687</v>
      </c>
      <c r="M17" s="17"/>
      <c r="N17" s="17"/>
      <c r="O17" s="9"/>
      <c r="P17" s="14"/>
      <c r="Q17" s="11">
        <f t="shared" ca="1" si="6"/>
        <v>26140.544356748687</v>
      </c>
      <c r="R17" s="17">
        <f t="shared" ca="1" si="4"/>
        <v>26140.544356748687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0.89401888238279204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3459.7061487370433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3459.7061487370433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-3459.7061487370433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3339.1044776119402</v>
      </c>
      <c r="G3" s="14">
        <f ca="1">Q3-O3-P3-F3</f>
        <v>256.62052238805973</v>
      </c>
      <c r="H3" s="14"/>
      <c r="I3" s="14"/>
      <c r="J3" s="14"/>
      <c r="K3" s="13"/>
      <c r="L3" s="16">
        <f t="shared" ca="1" si="0"/>
        <v>3595.7249999999999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-157.815</v>
      </c>
      <c r="Q3" s="16" cm="1">
        <f t="array" aca="1" ref="Q3" ca="1">INDIRECT("'data'!$G$" &amp; $A$1)*parameters!$B$13</f>
        <v>3437.91</v>
      </c>
      <c r="R3" s="16">
        <f t="shared" ref="R3:R10" ca="1" si="2">SUM(L3:P3)</f>
        <v>3437.91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834.77611940298505</v>
      </c>
      <c r="G5" s="14">
        <f ca="1">Q7/parameters!$B$7-(G3+G4)</f>
        <v>3837.4651620424524</v>
      </c>
      <c r="H5" s="14"/>
      <c r="I5" s="14"/>
      <c r="J5" s="14"/>
      <c r="K5" s="13"/>
      <c r="L5" s="16">
        <f t="shared" ca="1" si="0"/>
        <v>4672.2412814454374</v>
      </c>
      <c r="M5" s="16"/>
      <c r="N5" s="16"/>
      <c r="O5" s="11" cm="1">
        <f t="array" aca="1" ref="O5" ca="1">INDIRECT("'data'!$M$" &amp; $A$1)*parameters!$B$15</f>
        <v>1257.3399999999999</v>
      </c>
      <c r="P5" s="13" cm="1">
        <f t="array" aca="1" ref="P5" ca="1">-INDIRECT("'data'!$N$" &amp; $A$1)*parameters!$B$15</f>
        <v>-364.56</v>
      </c>
      <c r="Q5" s="16">
        <f ca="1">SUM(L5:P5)</f>
        <v>5565.0212814454371</v>
      </c>
      <c r="R5" s="16">
        <f t="shared" ca="1" si="2"/>
        <v>5565.0212814454371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3915.1</v>
      </c>
      <c r="I6" s="14"/>
      <c r="J6" s="14"/>
      <c r="K6" s="13"/>
      <c r="L6" s="16">
        <f t="shared" ca="1" si="0"/>
        <v>3915.1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3915.1</v>
      </c>
      <c r="R6" s="16">
        <f t="shared" ca="1" si="2"/>
        <v>3915.1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3918.04</v>
      </c>
      <c r="I7" s="14"/>
      <c r="J7" s="14"/>
      <c r="K7" s="13"/>
      <c r="L7" s="16">
        <f t="shared" ca="1" si="0"/>
        <v>3918.04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3918.04</v>
      </c>
      <c r="R7" s="16">
        <f t="shared" ca="1" si="2"/>
        <v>3918.04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5032.6994807136316</v>
      </c>
      <c r="J8" s="14">
        <f ca="1">Q10/J18</f>
        <v>2443.7205192863671</v>
      </c>
      <c r="K8" s="13"/>
      <c r="L8" s="16">
        <f t="shared" ca="1" si="0"/>
        <v>7476.4199999999983</v>
      </c>
      <c r="M8" s="16"/>
      <c r="N8" s="16">
        <f t="shared" ca="1" si="3"/>
        <v>0</v>
      </c>
      <c r="O8" s="11" cm="1">
        <f t="array" aca="1" ref="O8" ca="1">INDIRECT("'data'!$R$" &amp; $A$1)*parameters!$B$15</f>
        <v>473.34</v>
      </c>
      <c r="P8" s="13" cm="1">
        <f t="array" aca="1" ref="P8" ca="1">-INDIRECT("'data'!$S$" &amp; $A$1)*parameters!$B$15</f>
        <v>-116.62</v>
      </c>
      <c r="Q8" s="16">
        <f ca="1">SUM(Q6:Q7)</f>
        <v>7833.1399999999994</v>
      </c>
      <c r="R8" s="16">
        <f t="shared" ca="1" si="2"/>
        <v>7833.1399999999985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3464.3</v>
      </c>
      <c r="L9" s="16">
        <f t="shared" ca="1" si="0"/>
        <v>3464.3</v>
      </c>
      <c r="M9" s="16"/>
      <c r="N9" s="16">
        <f t="shared" ca="1" si="3"/>
        <v>0</v>
      </c>
      <c r="O9" s="11" cm="1">
        <f t="array" aca="1" ref="O9" ca="1">INDIRECT("'data'!$U$" &amp; $A$1)*parameters!$B$15</f>
        <v>2426.48</v>
      </c>
      <c r="P9" s="13" cm="1">
        <f t="array" aca="1" ref="P9" ca="1">-INDIRECT("'data'!$V$" &amp; $A$1)*parameters!$B$15</f>
        <v>-1284.78</v>
      </c>
      <c r="Q9" s="16" cm="1">
        <f t="array" aca="1" ref="Q9" ca="1">INDIRECT("'data'!$T$" &amp; $A$1)*parameters!$B$15</f>
        <v>4606</v>
      </c>
      <c r="R9" s="16">
        <f t="shared" ca="1" si="2"/>
        <v>4606.0000000000009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5728.2686770981509</v>
      </c>
      <c r="L10" s="16">
        <f t="shared" ca="1" si="0"/>
        <v>5728.2686770981509</v>
      </c>
      <c r="M10" s="16"/>
      <c r="N10" s="16">
        <f t="shared" ca="1" si="3"/>
        <v>0</v>
      </c>
      <c r="O10" s="11" cm="1">
        <f t="array" aca="1" ref="O10" ca="1">INDIRECT("'data'!$X$" &amp; $A$1)*parameters!$B$15</f>
        <v>865.34</v>
      </c>
      <c r="P10" s="13" cm="1">
        <f t="array" aca="1" ref="P10" ca="1">-INDIRECT("'data'!$Y$" &amp; $A$1)*parameters!$B$15</f>
        <v>-4357.08</v>
      </c>
      <c r="Q10" s="16" cm="1">
        <f t="array" aca="1" ref="Q10" ca="1">INDIRECT("'data'!$W$" &amp; $A$1)*parameters!$B$15</f>
        <v>2236.5286770981506</v>
      </c>
      <c r="R10" s="16">
        <f t="shared" ca="1" si="2"/>
        <v>2236.5286770981511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6745.0930623044096</v>
      </c>
      <c r="N11" s="19"/>
      <c r="O11" s="21" cm="1">
        <f t="array" aca="1" ref="O11" ca="1">INDIRECT("'data'!$Z$" &amp; $A$1)*parameters!$B$15</f>
        <v>6663.0199999999995</v>
      </c>
      <c r="P11" s="27" cm="1">
        <f t="array" aca="1" ref="P11" ca="1">-INDIRECT("'data'!$AA$" &amp; $A$1)*parameters!$B$15</f>
        <v>-5225.3599999999997</v>
      </c>
      <c r="Q11" s="16">
        <f ca="1">K9*parameters!$B$10+K10*parameters!$B$11</f>
        <v>8182.7530623044095</v>
      </c>
      <c r="R11" s="16">
        <f t="shared" ref="R11:R17" ca="1" si="4">SUM(L11:P11)</f>
        <v>8182.7530623044086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-21.796148737043495</v>
      </c>
      <c r="D12" s="9">
        <f ca="1">-(D17-Q4)</f>
        <v>0</v>
      </c>
      <c r="E12" s="9">
        <f ca="1">-(E17-Q5)</f>
        <v>-687.8116190550536</v>
      </c>
      <c r="F12" s="9">
        <f ca="1">-(F17-Q6)</f>
        <v>-258.78059701492521</v>
      </c>
      <c r="G12" s="9">
        <f ca="1">-(G17-Q7)</f>
        <v>-176.04568443051221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-1144.4340492375345</v>
      </c>
      <c r="M12" s="17"/>
      <c r="N12" s="17"/>
      <c r="O12" s="10"/>
      <c r="P12" s="12"/>
      <c r="Q12" s="9">
        <f t="shared" ref="Q12:Q17" ca="1" si="6">SUM(L12:P12)</f>
        <v>-1144.4340492375345</v>
      </c>
      <c r="R12" s="17">
        <f t="shared" ca="1" si="4"/>
        <v>-1144.4340492375345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-426.6994807136316</v>
      </c>
      <c r="J13" s="14">
        <f ca="1">-(J17-Q10)</f>
        <v>-207.19184218821647</v>
      </c>
      <c r="K13" s="13">
        <f ca="1">-(K17-Q11)</f>
        <v>-1009.8156147937425</v>
      </c>
      <c r="L13" s="14">
        <f t="shared" ca="1" si="5"/>
        <v>-1643.7069376955906</v>
      </c>
      <c r="M13" s="16">
        <f ca="1">-E15</f>
        <v>-4609.1259628049002</v>
      </c>
      <c r="N13" s="16"/>
      <c r="O13" s="11"/>
      <c r="P13" s="13"/>
      <c r="Q13" s="14">
        <f t="shared" ca="1" si="6"/>
        <v>-6252.8329005004907</v>
      </c>
      <c r="R13" s="16">
        <f t="shared" ca="1" si="4"/>
        <v>-6252.8329005004907</v>
      </c>
    </row>
    <row r="14" spans="1:20">
      <c r="A14" s="18" t="s">
        <v>78</v>
      </c>
      <c r="B14" s="11"/>
      <c r="C14" s="14"/>
      <c r="D14" s="14"/>
      <c r="E14" s="14">
        <f ca="1">-(I13+J13)-K13</f>
        <v>1643.7069376955906</v>
      </c>
      <c r="F14" s="14"/>
      <c r="G14" s="14"/>
      <c r="H14" s="14"/>
      <c r="I14" s="14"/>
      <c r="J14" s="14"/>
      <c r="K14" s="13"/>
      <c r="L14" s="14">
        <f t="shared" ca="1" si="5"/>
        <v>1643.7069376955906</v>
      </c>
      <c r="M14" s="16"/>
      <c r="N14" s="16"/>
      <c r="O14" s="11"/>
      <c r="P14" s="13"/>
      <c r="Q14" s="14">
        <f t="shared" ca="1" si="6"/>
        <v>1643.7069376955906</v>
      </c>
      <c r="R14" s="16">
        <f t="shared" ca="1" si="4"/>
        <v>1643.7069376955906</v>
      </c>
    </row>
    <row r="15" spans="1:20">
      <c r="A15" s="18" t="s">
        <v>79</v>
      </c>
      <c r="B15" s="11"/>
      <c r="C15" s="14"/>
      <c r="D15" s="14"/>
      <c r="E15" s="14">
        <f ca="1">E17-E14</f>
        <v>4609.1259628049002</v>
      </c>
      <c r="F15" s="14"/>
      <c r="G15" s="14"/>
      <c r="H15" s="14"/>
      <c r="I15" s="14"/>
      <c r="J15" s="14"/>
      <c r="K15" s="13"/>
      <c r="L15" s="14">
        <f t="shared" ca="1" si="5"/>
        <v>4609.1259628049002</v>
      </c>
      <c r="M15" s="16"/>
      <c r="N15" s="16"/>
      <c r="O15" s="11"/>
      <c r="P15" s="13"/>
      <c r="Q15" s="14">
        <f t="shared" ca="1" si="6"/>
        <v>4609.1259628049002</v>
      </c>
      <c r="R15" s="16">
        <f t="shared" ca="1" si="4"/>
        <v>4609.1259628049002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3459.7061487370433</v>
      </c>
      <c r="D17" s="9">
        <f ca="1">SUM(D$2:D$11)</f>
        <v>0</v>
      </c>
      <c r="E17" s="9">
        <f ca="1">$Q$5/parameters!$B$4</f>
        <v>6252.8329005004907</v>
      </c>
      <c r="F17" s="9">
        <f t="shared" ref="F17:K17" ca="1" si="7">SUM(F$2:F$11)</f>
        <v>4173.8805970149251</v>
      </c>
      <c r="G17" s="9">
        <f t="shared" ca="1" si="7"/>
        <v>4094.0856844305122</v>
      </c>
      <c r="H17" s="9">
        <f t="shared" ca="1" si="7"/>
        <v>7833.1399999999994</v>
      </c>
      <c r="I17" s="9">
        <f t="shared" ca="1" si="7"/>
        <v>5032.6994807136316</v>
      </c>
      <c r="J17" s="9">
        <f t="shared" ca="1" si="7"/>
        <v>2443.7205192863671</v>
      </c>
      <c r="K17" s="9">
        <f t="shared" ca="1" si="7"/>
        <v>9192.568677098152</v>
      </c>
      <c r="L17" s="17">
        <f t="shared" ca="1" si="5"/>
        <v>42482.634007781118</v>
      </c>
      <c r="M17" s="17"/>
      <c r="N17" s="17"/>
      <c r="O17" s="9"/>
      <c r="P17" s="14"/>
      <c r="Q17" s="11">
        <f t="shared" ca="1" si="6"/>
        <v>42482.634007781118</v>
      </c>
      <c r="R17" s="17">
        <f t="shared" ca="1" si="4"/>
        <v>42482.634007781118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0.91521459162248131</v>
      </c>
      <c r="J18" s="39">
        <f ca="1">I18</f>
        <v>0.91521459162248131</v>
      </c>
      <c r="K18" s="40">
        <f ca="1">1-(-K13)/K17</f>
        <v>0.8901487005139771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570.59474690550462</v>
      </c>
      <c r="D2" s="9">
        <f ca="1">Q4/parameters!$B$3</f>
        <v>2745.0940927845427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3315.6888396900472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-1655.6888396900472</v>
      </c>
      <c r="Q2" s="17" cm="1">
        <f t="array" aca="1" ref="Q2" ca="1">INDIRECT("'data'!$D$" &amp; $A$1)</f>
        <v>1660</v>
      </c>
      <c r="R2" s="17">
        <f ca="1">SUM(L2:P2)</f>
        <v>1660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501.49253731343288</v>
      </c>
      <c r="G3" s="14">
        <f ca="1">Q3-O3-P3-F3</f>
        <v>98.582462686567169</v>
      </c>
      <c r="H3" s="14"/>
      <c r="I3" s="14"/>
      <c r="J3" s="14"/>
      <c r="K3" s="13"/>
      <c r="L3" s="16">
        <f t="shared" ca="1" si="0"/>
        <v>600.07500000000005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-33.074999999999996</v>
      </c>
      <c r="Q3" s="16" cm="1">
        <f t="array" aca="1" ref="Q3" ca="1">INDIRECT("'data'!$G$" &amp; $A$1)*parameters!$B$13</f>
        <v>567</v>
      </c>
      <c r="R3" s="16">
        <f t="shared" ref="R3:R10" ca="1" si="2">SUM(L3:P3)</f>
        <v>567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2873.1600000000003</v>
      </c>
      <c r="H4" s="14"/>
      <c r="I4" s="14"/>
      <c r="J4" s="14"/>
      <c r="K4" s="13"/>
      <c r="L4" s="16">
        <f t="shared" ca="1" si="0"/>
        <v>2873.1600000000003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-145.36000000000001</v>
      </c>
      <c r="Q4" s="16" cm="1">
        <f t="array" aca="1" ref="Q4" ca="1">INDIRECT("'data'!$J$" &amp; $A$1)*parameters!$B$14</f>
        <v>2727.8</v>
      </c>
      <c r="R4" s="16">
        <f t="shared" ca="1" si="2"/>
        <v>2727.8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125.37313432835822</v>
      </c>
      <c r="G5" s="14">
        <f ca="1">Q7/parameters!$B$7-(G3+G4)</f>
        <v>3249.2606721096708</v>
      </c>
      <c r="H5" s="14"/>
      <c r="I5" s="14"/>
      <c r="J5" s="14"/>
      <c r="K5" s="13"/>
      <c r="L5" s="16">
        <f t="shared" ca="1" si="0"/>
        <v>3374.6338064380288</v>
      </c>
      <c r="M5" s="16"/>
      <c r="N5" s="16"/>
      <c r="O5" s="11" cm="1">
        <f t="array" aca="1" ref="O5" ca="1">INDIRECT("'data'!$M$" &amp; $A$1)*parameters!$B$15</f>
        <v>770.28</v>
      </c>
      <c r="P5" s="13" cm="1">
        <f t="array" aca="1" ref="P5" ca="1">-INDIRECT("'data'!$N$" &amp; $A$1)*parameters!$B$15</f>
        <v>-2681.2799999999997</v>
      </c>
      <c r="Q5" s="16">
        <f ca="1">SUM(L5:P5)</f>
        <v>1463.6338064380288</v>
      </c>
      <c r="R5" s="16">
        <f t="shared" ca="1" si="2"/>
        <v>1463.6338064380288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588</v>
      </c>
      <c r="I6" s="14"/>
      <c r="J6" s="14"/>
      <c r="K6" s="13"/>
      <c r="L6" s="16">
        <f t="shared" ca="1" si="0"/>
        <v>588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588</v>
      </c>
      <c r="R6" s="16">
        <f t="shared" ca="1" si="2"/>
        <v>588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5953.5</v>
      </c>
      <c r="I7" s="14"/>
      <c r="J7" s="14"/>
      <c r="K7" s="13"/>
      <c r="L7" s="16">
        <f t="shared" ca="1" si="0"/>
        <v>5953.5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5953.5</v>
      </c>
      <c r="R7" s="16">
        <f t="shared" ca="1" si="2"/>
        <v>5953.5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6302</v>
      </c>
      <c r="J8" s="14">
        <f ca="1">Q10/J18</f>
        <v>1590.4281650071123</v>
      </c>
      <c r="K8" s="13"/>
      <c r="L8" s="16">
        <f t="shared" ca="1" si="0"/>
        <v>7892.4281650071125</v>
      </c>
      <c r="M8" s="16"/>
      <c r="N8" s="16">
        <f t="shared" ca="1" si="3"/>
        <v>-214.12816500711233</v>
      </c>
      <c r="O8" s="11" cm="1">
        <f t="array" aca="1" ref="O8" ca="1">INDIRECT("'data'!$R$" &amp; $A$1)*parameters!$B$15</f>
        <v>15.68</v>
      </c>
      <c r="P8" s="13" cm="1">
        <f t="array" aca="1" ref="P8" ca="1">-INDIRECT("'data'!$S$" &amp; $A$1)*parameters!$B$15</f>
        <v>-1152.48</v>
      </c>
      <c r="Q8" s="16">
        <f ca="1">SUM(Q6:Q7)</f>
        <v>6541.5</v>
      </c>
      <c r="R8" s="16">
        <f t="shared" ca="1" si="2"/>
        <v>6541.5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6799.24</v>
      </c>
      <c r="L9" s="16">
        <f t="shared" ca="1" si="0"/>
        <v>6799.24</v>
      </c>
      <c r="M9" s="16"/>
      <c r="N9" s="16">
        <f t="shared" ca="1" si="3"/>
        <v>0</v>
      </c>
      <c r="O9" s="11" cm="1">
        <f t="array" aca="1" ref="O9" ca="1">INDIRECT("'data'!$U$" &amp; $A$1)*parameters!$B$15</f>
        <v>371.42</v>
      </c>
      <c r="P9" s="13" cm="1">
        <f t="array" aca="1" ref="P9" ca="1">-INDIRECT("'data'!$V$" &amp; $A$1)*parameters!$B$15</f>
        <v>-994.69999999999993</v>
      </c>
      <c r="Q9" s="16" cm="1">
        <f t="array" aca="1" ref="Q9" ca="1">INDIRECT("'data'!$T$" &amp; $A$1)*parameters!$B$15</f>
        <v>6175.96</v>
      </c>
      <c r="R9" s="16">
        <f t="shared" ca="1" si="2"/>
        <v>6175.96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1594.8796017069701</v>
      </c>
      <c r="L10" s="16">
        <f t="shared" ca="1" si="0"/>
        <v>1594.8796017069701</v>
      </c>
      <c r="M10" s="16"/>
      <c r="N10" s="16">
        <f t="shared" ca="1" si="3"/>
        <v>0</v>
      </c>
      <c r="O10" s="11" cm="1">
        <f t="array" aca="1" ref="O10" ca="1">INDIRECT("'data'!$X$" &amp; $A$1)*parameters!$B$15</f>
        <v>760.48</v>
      </c>
      <c r="P10" s="13" cm="1">
        <f t="array" aca="1" ref="P10" ca="1">-INDIRECT("'data'!$Y$" &amp; $A$1)*parameters!$B$15</f>
        <v>-796.74</v>
      </c>
      <c r="Q10" s="16" cm="1">
        <f t="array" aca="1" ref="Q10" ca="1">INDIRECT("'data'!$W$" &amp; $A$1)*parameters!$B$15</f>
        <v>1558.6196017069701</v>
      </c>
      <c r="R10" s="16">
        <f t="shared" ca="1" si="2"/>
        <v>1558.6196017069703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9337.7420574679927</v>
      </c>
      <c r="N11" s="19"/>
      <c r="O11" s="21" cm="1">
        <f t="array" aca="1" ref="O11" ca="1">INDIRECT("'data'!$Z$" &amp; $A$1)*parameters!$B$15</f>
        <v>313.60000000000002</v>
      </c>
      <c r="P11" s="27" cm="1">
        <f t="array" aca="1" ref="P11" ca="1">-INDIRECT("'data'!$AA$" &amp; $A$1)*parameters!$B$15</f>
        <v>-1888.46</v>
      </c>
      <c r="Q11" s="16">
        <f ca="1">K9*parameters!$B$10+K10*parameters!$B$11</f>
        <v>7762.8820574679939</v>
      </c>
      <c r="R11" s="16">
        <f t="shared" ref="R11:R17" ca="1" si="4">SUM(L11:P11)</f>
        <v>7762.882057467993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-3.5947469055046213</v>
      </c>
      <c r="D12" s="9">
        <f ca="1">-(D17-Q4)</f>
        <v>-17.294092784542499</v>
      </c>
      <c r="E12" s="9">
        <f ca="1">-(E17-Q5)</f>
        <v>-180.89856034627314</v>
      </c>
      <c r="F12" s="9">
        <f ca="1">-(F17-Q6)</f>
        <v>-38.865671641791096</v>
      </c>
      <c r="G12" s="9">
        <f ca="1">-(G17-Q7)</f>
        <v>-267.50313479623856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-508.15620647434991</v>
      </c>
      <c r="M12" s="17"/>
      <c r="N12" s="17"/>
      <c r="O12" s="10"/>
      <c r="P12" s="12"/>
      <c r="Q12" s="9">
        <f t="shared" ref="Q12:Q17" ca="1" si="6">SUM(L12:P12)</f>
        <v>-508.15620647434991</v>
      </c>
      <c r="R12" s="17">
        <f t="shared" ca="1" si="4"/>
        <v>-508.15620647434991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-126.03999999999996</v>
      </c>
      <c r="J13" s="14">
        <f ca="1">-(J17-Q10)</f>
        <v>-31.808563300142168</v>
      </c>
      <c r="K13" s="13">
        <f ca="1">-(K17-Q11)</f>
        <v>-631.23754423897662</v>
      </c>
      <c r="L13" s="14">
        <f t="shared" ca="1" si="5"/>
        <v>-789.08610753911876</v>
      </c>
      <c r="M13" s="16">
        <f ca="1">-E15</f>
        <v>-855.44625924518323</v>
      </c>
      <c r="N13" s="16"/>
      <c r="O13" s="11"/>
      <c r="P13" s="13"/>
      <c r="Q13" s="14">
        <f t="shared" ca="1" si="6"/>
        <v>-1644.532366784302</v>
      </c>
      <c r="R13" s="16">
        <f t="shared" ca="1" si="4"/>
        <v>-1644.532366784302</v>
      </c>
    </row>
    <row r="14" spans="1:19">
      <c r="A14" s="18" t="s">
        <v>78</v>
      </c>
      <c r="B14" s="11"/>
      <c r="C14" s="14"/>
      <c r="D14" s="14"/>
      <c r="E14" s="14">
        <f ca="1">-(I13+J13)-K13</f>
        <v>789.08610753911876</v>
      </c>
      <c r="F14" s="14"/>
      <c r="G14" s="14"/>
      <c r="H14" s="14"/>
      <c r="I14" s="14"/>
      <c r="J14" s="14"/>
      <c r="K14" s="13"/>
      <c r="L14" s="14">
        <f t="shared" ca="1" si="5"/>
        <v>789.08610753911876</v>
      </c>
      <c r="M14" s="16"/>
      <c r="N14" s="16"/>
      <c r="O14" s="11"/>
      <c r="P14" s="13"/>
      <c r="Q14" s="14">
        <f t="shared" ca="1" si="6"/>
        <v>789.08610753911876</v>
      </c>
      <c r="R14" s="16">
        <f t="shared" ca="1" si="4"/>
        <v>789.08610753911876</v>
      </c>
    </row>
    <row r="15" spans="1:19">
      <c r="A15" s="18" t="s">
        <v>79</v>
      </c>
      <c r="B15" s="11"/>
      <c r="C15" s="14"/>
      <c r="D15" s="14"/>
      <c r="E15" s="14">
        <f ca="1">E17-E14</f>
        <v>855.44625924518323</v>
      </c>
      <c r="F15" s="14"/>
      <c r="G15" s="14"/>
      <c r="H15" s="14"/>
      <c r="I15" s="14"/>
      <c r="J15" s="14"/>
      <c r="K15" s="13"/>
      <c r="L15" s="14">
        <f t="shared" ca="1" si="5"/>
        <v>855.44625924518323</v>
      </c>
      <c r="M15" s="16"/>
      <c r="N15" s="16"/>
      <c r="O15" s="11"/>
      <c r="P15" s="13"/>
      <c r="Q15" s="14">
        <f t="shared" ca="1" si="6"/>
        <v>855.44625924518323</v>
      </c>
      <c r="R15" s="16">
        <f t="shared" ca="1" si="4"/>
        <v>855.44625924518323</v>
      </c>
    </row>
    <row r="16" spans="1:19">
      <c r="A16" s="30" t="s">
        <v>89</v>
      </c>
      <c r="B16" s="21">
        <f ca="1">Q2</f>
        <v>1660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1660</v>
      </c>
      <c r="M16" s="19"/>
      <c r="N16" s="19"/>
      <c r="O16" s="21"/>
      <c r="P16" s="27"/>
      <c r="Q16" s="22">
        <f t="shared" ca="1" si="6"/>
        <v>1660</v>
      </c>
      <c r="R16" s="19">
        <f t="shared" ca="1" si="4"/>
        <v>1660</v>
      </c>
    </row>
    <row r="17" spans="1:18">
      <c r="A17" s="29" t="s">
        <v>88</v>
      </c>
      <c r="B17" s="9">
        <f ca="1">B16</f>
        <v>1660</v>
      </c>
      <c r="C17" s="9">
        <f ca="1">SUM(C$2:C$11)</f>
        <v>570.59474690550462</v>
      </c>
      <c r="D17" s="9">
        <f ca="1">SUM(D$2:D$11)</f>
        <v>2745.0940927845427</v>
      </c>
      <c r="E17" s="9">
        <f ca="1">$Q$5/parameters!$B$4</f>
        <v>1644.532366784302</v>
      </c>
      <c r="F17" s="9">
        <f t="shared" ref="F17:K17" ca="1" si="7">SUM(F$2:F$11)</f>
        <v>626.8656716417911</v>
      </c>
      <c r="G17" s="9">
        <f t="shared" ca="1" si="7"/>
        <v>6221.0031347962386</v>
      </c>
      <c r="H17" s="9">
        <f t="shared" ca="1" si="7"/>
        <v>6541.5</v>
      </c>
      <c r="I17" s="9">
        <f t="shared" ca="1" si="7"/>
        <v>6302</v>
      </c>
      <c r="J17" s="9">
        <f t="shared" ca="1" si="7"/>
        <v>1590.4281650071123</v>
      </c>
      <c r="K17" s="9">
        <f t="shared" ca="1" si="7"/>
        <v>8394.1196017069706</v>
      </c>
      <c r="L17" s="17">
        <f t="shared" ca="1" si="5"/>
        <v>36296.137779626457</v>
      </c>
      <c r="M17" s="17"/>
      <c r="N17" s="17"/>
      <c r="O17" s="9"/>
      <c r="P17" s="14"/>
      <c r="Q17" s="11">
        <f t="shared" ca="1" si="6"/>
        <v>36296.137779626457</v>
      </c>
      <c r="R17" s="17">
        <f t="shared" ca="1" si="4"/>
        <v>36296.137779626457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0.92480002976004627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4570.8362684914964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4570.8362684914964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-4570.8362684914964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8.504999999999999</v>
      </c>
      <c r="H3" s="14"/>
      <c r="I3" s="14"/>
      <c r="J3" s="14"/>
      <c r="K3" s="13"/>
      <c r="L3" s="16">
        <f t="shared" ca="1" si="0"/>
        <v>8.504999999999999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-8.504999999999999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38">
        <f ca="1">Q7/parameters!$B$7-G3-G5</f>
        <v>2793.7174690215825</v>
      </c>
      <c r="H4" s="14"/>
      <c r="I4" s="14"/>
      <c r="J4" s="14"/>
      <c r="K4" s="13"/>
      <c r="L4" s="16">
        <f t="shared" ca="1" si="0"/>
        <v>2793.7174690215825</v>
      </c>
      <c r="M4" s="16"/>
      <c r="N4" s="16">
        <f t="shared" ca="1" si="1"/>
        <v>1793.4025309784174</v>
      </c>
      <c r="O4" s="11" cm="1">
        <f t="array" aca="1" ref="O4" ca="1">INDIRECT("'data'!$K$" &amp; $A$1)*parameters!$B$14</f>
        <v>38.64</v>
      </c>
      <c r="P4" s="13" cm="1">
        <f t="array" aca="1" ref="P4" ca="1">-INDIRECT("'data'!$L$" &amp; $A$1)*parameters!$B$14</f>
        <v>-83.72</v>
      </c>
      <c r="Q4" s="16" cm="1">
        <f t="array" aca="1" ref="Q4" ca="1">INDIRECT("'data'!$J$" &amp; $A$1)*parameters!$B$14</f>
        <v>4542.04</v>
      </c>
      <c r="R4" s="16">
        <f t="shared" ca="1" si="2"/>
        <v>4542.04</v>
      </c>
      <c r="S4" s="7"/>
    </row>
    <row r="5" spans="1:22">
      <c r="A5" s="18" t="s">
        <v>108</v>
      </c>
      <c r="B5" s="11"/>
      <c r="C5" s="14"/>
      <c r="D5" s="14"/>
      <c r="E5" s="14"/>
      <c r="F5" s="14">
        <f ca="1">Q6/parameters!$B$5*20%</f>
        <v>0</v>
      </c>
      <c r="G5" s="38">
        <f ca="1">E14*parameters!$B$4-O5-P5-F5</f>
        <v>2333.3052216785218</v>
      </c>
      <c r="H5" s="14"/>
      <c r="I5" s="14"/>
      <c r="J5" s="14"/>
      <c r="K5" s="13"/>
      <c r="L5" s="16">
        <f t="shared" ca="1" si="0"/>
        <v>2333.3052216785218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2333.3052216785218</v>
      </c>
      <c r="R5" s="16">
        <f t="shared" ca="1" si="2"/>
        <v>2333.3052216785218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4914.7</v>
      </c>
      <c r="I7" s="14"/>
      <c r="J7" s="14"/>
      <c r="K7" s="13"/>
      <c r="L7" s="16">
        <f t="shared" ca="1" si="0"/>
        <v>4914.7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4914.7</v>
      </c>
      <c r="R7" s="16">
        <f t="shared" ca="1" si="2"/>
        <v>4914.7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3730.0569893796442</v>
      </c>
      <c r="J8" s="14">
        <f ca="1">Q10/J18</f>
        <v>2466.4830106203567</v>
      </c>
      <c r="K8" s="13"/>
      <c r="L8" s="16">
        <f t="shared" ca="1" si="0"/>
        <v>6196.5400000000009</v>
      </c>
      <c r="M8" s="16"/>
      <c r="N8" s="16">
        <f t="shared" ca="1" si="3"/>
        <v>0</v>
      </c>
      <c r="O8" s="11" cm="1">
        <f t="array" aca="1" ref="O8" ca="1">INDIRECT("'data'!$R$" &amp; $A$1)*parameters!$B$15</f>
        <v>0</v>
      </c>
      <c r="P8" s="13" cm="1">
        <f t="array" aca="1" ref="P8" ca="1">-INDIRECT("'data'!$S$" &amp; $A$1)*parameters!$B$15</f>
        <v>-1281.8399999999999</v>
      </c>
      <c r="Q8" s="16">
        <f ca="1">SUM(Q6:Q7)</f>
        <v>4914.7</v>
      </c>
      <c r="R8" s="16">
        <f t="shared" ca="1" si="2"/>
        <v>4914.7000000000007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3925.88</v>
      </c>
      <c r="L9" s="16">
        <f t="shared" ca="1" si="0"/>
        <v>3925.88</v>
      </c>
      <c r="M9" s="16"/>
      <c r="N9" s="16">
        <f t="shared" ca="1" si="3"/>
        <v>0</v>
      </c>
      <c r="O9" s="11" cm="1">
        <f t="array" aca="1" ref="O9" ca="1">INDIRECT("'data'!$U$" &amp; $A$1)*parameters!$B$15</f>
        <v>0</v>
      </c>
      <c r="P9" s="13" cm="1">
        <f t="array" aca="1" ref="P9" ca="1">-INDIRECT("'data'!$V$" &amp; $A$1)*parameters!$B$15</f>
        <v>-1348.48</v>
      </c>
      <c r="Q9" s="16" cm="1">
        <f t="array" aca="1" ref="Q9" ca="1">INDIRECT("'data'!$T$" &amp; $A$1)*parameters!$B$15</f>
        <v>2577.4</v>
      </c>
      <c r="R9" s="16">
        <f t="shared" ca="1" si="2"/>
        <v>2577.4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3366.3738833570414</v>
      </c>
      <c r="L10" s="16">
        <f t="shared" ca="1" si="0"/>
        <v>3366.3738833570414</v>
      </c>
      <c r="M10" s="16"/>
      <c r="N10" s="16">
        <f t="shared" ca="1" si="3"/>
        <v>0</v>
      </c>
      <c r="O10" s="11" cm="1">
        <f t="array" aca="1" ref="O10" ca="1">INDIRECT("'data'!$X$" &amp; $A$1)*parameters!$B$15</f>
        <v>0</v>
      </c>
      <c r="P10" s="13" cm="1">
        <f t="array" aca="1" ref="P10" ca="1">-INDIRECT("'data'!$Y$" &amp; $A$1)*parameters!$B$15</f>
        <v>-1662.08</v>
      </c>
      <c r="Q10" s="16" cm="1">
        <f t="array" aca="1" ref="Q10" ca="1">INDIRECT("'data'!$W$" &amp; $A$1)*parameters!$B$15</f>
        <v>1704.2938833570413</v>
      </c>
      <c r="R10" s="16">
        <f t="shared" ca="1" si="2"/>
        <v>1704.2938833570415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8764.928739687055</v>
      </c>
      <c r="N11" s="19"/>
      <c r="O11" s="21" cm="1">
        <f t="array" aca="1" ref="O11" ca="1">INDIRECT("'data'!$Z$" &amp; $A$1)*parameters!$B$15</f>
        <v>271.45999999999998</v>
      </c>
      <c r="P11" s="27" cm="1">
        <f t="array" aca="1" ref="P11" ca="1">-INDIRECT("'data'!$AA$" &amp; $A$1)*parameters!$B$15</f>
        <v>-2450.98</v>
      </c>
      <c r="Q11" s="16">
        <f ca="1">K9*parameters!$B$10+K10*parameters!$B$11</f>
        <v>6585.4087396870555</v>
      </c>
      <c r="R11" s="16">
        <f t="shared" ref="R11:R17" ca="1" si="4">SUM(L11:P11)</f>
        <v>6585.4087396870545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-28.796268491496448</v>
      </c>
      <c r="E12" s="9">
        <f ca="1">-(E17-Q5)</f>
        <v>-288.38603863442404</v>
      </c>
      <c r="F12" s="9">
        <f ca="1">-(F17-Q6)</f>
        <v>0</v>
      </c>
      <c r="G12" s="9">
        <f ca="1">-(G17-Q7)</f>
        <v>-220.82769070010454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-538.00999782602503</v>
      </c>
      <c r="M12" s="17"/>
      <c r="N12" s="17"/>
      <c r="O12" s="10"/>
      <c r="P12" s="12"/>
      <c r="Q12" s="9">
        <f t="shared" ref="Q12:Q17" ca="1" si="6">SUM(L12:P12)</f>
        <v>-538.00999782602503</v>
      </c>
      <c r="R12" s="17">
        <f t="shared" ca="1" si="4"/>
        <v>-538.00999782602503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-1152.6569893796441</v>
      </c>
      <c r="J13" s="14">
        <f ca="1">-(J17-Q10)</f>
        <v>-762.18912726331541</v>
      </c>
      <c r="K13" s="13">
        <f ca="1">-(K17-Q11)</f>
        <v>-706.8451436699861</v>
      </c>
      <c r="L13" s="14">
        <f t="shared" ca="1" si="5"/>
        <v>-2621.6912603129458</v>
      </c>
      <c r="M13" s="16">
        <f ca="1">-E15</f>
        <v>0</v>
      </c>
      <c r="N13" s="16"/>
      <c r="O13" s="11"/>
      <c r="P13" s="13"/>
      <c r="Q13" s="14">
        <f t="shared" ca="1" si="6"/>
        <v>-2621.6912603129458</v>
      </c>
      <c r="R13" s="16">
        <f t="shared" ca="1" si="4"/>
        <v>-2621.6912603129458</v>
      </c>
    </row>
    <row r="14" spans="1:22">
      <c r="A14" s="18" t="s">
        <v>78</v>
      </c>
      <c r="B14" s="11"/>
      <c r="C14" s="14"/>
      <c r="D14" s="14"/>
      <c r="E14" s="14">
        <f ca="1">-(I13+J13)-K13</f>
        <v>2621.6912603129458</v>
      </c>
      <c r="F14" s="14"/>
      <c r="G14" s="14"/>
      <c r="H14" s="14"/>
      <c r="I14" s="14"/>
      <c r="J14" s="14"/>
      <c r="K14" s="13"/>
      <c r="L14" s="14">
        <f t="shared" ca="1" si="5"/>
        <v>2621.6912603129458</v>
      </c>
      <c r="M14" s="16"/>
      <c r="N14" s="16"/>
      <c r="O14" s="11"/>
      <c r="P14" s="13"/>
      <c r="Q14" s="14">
        <f t="shared" ca="1" si="6"/>
        <v>2621.6912603129458</v>
      </c>
      <c r="R14" s="16">
        <f t="shared" ca="1" si="4"/>
        <v>2621.6912603129458</v>
      </c>
    </row>
    <row r="15" spans="1:22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4570.8362684914964</v>
      </c>
      <c r="E17" s="9">
        <f ca="1">$Q$5/parameters!$B$4</f>
        <v>2621.6912603129458</v>
      </c>
      <c r="F17" s="9">
        <f t="shared" ref="F17:K17" ca="1" si="7">SUM(F$2:F$11)</f>
        <v>0</v>
      </c>
      <c r="G17" s="9">
        <f t="shared" ca="1" si="7"/>
        <v>5135.5276907001044</v>
      </c>
      <c r="H17" s="9">
        <f t="shared" ca="1" si="7"/>
        <v>4914.7</v>
      </c>
      <c r="I17" s="9">
        <f t="shared" ca="1" si="7"/>
        <v>3730.0569893796442</v>
      </c>
      <c r="J17" s="9">
        <f t="shared" ca="1" si="7"/>
        <v>2466.4830106203567</v>
      </c>
      <c r="K17" s="9">
        <f t="shared" ca="1" si="7"/>
        <v>7292.2538833570416</v>
      </c>
      <c r="L17" s="17">
        <f t="shared" ca="1" si="5"/>
        <v>30731.549102861587</v>
      </c>
      <c r="M17" s="17"/>
      <c r="N17" s="17"/>
      <c r="O17" s="9"/>
      <c r="P17" s="14"/>
      <c r="Q17" s="11">
        <f t="shared" ca="1" si="6"/>
        <v>30731.549102861587</v>
      </c>
      <c r="R17" s="17">
        <f t="shared" ca="1" si="4"/>
        <v>30731.549102861587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0.69098139983878759</v>
      </c>
      <c r="J18" s="39">
        <f ca="1">I18</f>
        <v>0.69098139983878759</v>
      </c>
      <c r="K18" s="40">
        <f ca="1">1-(-K13)/K17</f>
        <v>0.90306904353903472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5345.5217872597359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5345.5217872597359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-4052.5217872597359</v>
      </c>
      <c r="Q2" s="17" cm="1">
        <f t="array" aca="1" ref="Q2" ca="1">INDIRECT("'data'!$D$" &amp; $A$1)</f>
        <v>1293</v>
      </c>
      <c r="R2" s="17">
        <f ca="1">SUM(L2:P2)</f>
        <v>1293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5284.6134328358212</v>
      </c>
      <c r="G3" s="14">
        <f ca="1">Q3-O3-P3-F3</f>
        <v>47.076567164178414</v>
      </c>
      <c r="H3" s="14"/>
      <c r="I3" s="14"/>
      <c r="J3" s="14"/>
      <c r="K3" s="13"/>
      <c r="L3" s="16">
        <f t="shared" ca="1" si="0"/>
        <v>5331.69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3.78</v>
      </c>
      <c r="P3" s="13" cm="1">
        <f t="array" aca="1" ref="P3" ca="1">-INDIRECT("'data'!$I$" &amp; $A$1)*parameters!$B$13</f>
        <v>-23.625</v>
      </c>
      <c r="Q3" s="16" cm="1">
        <f t="array" aca="1" ref="Q3" ca="1">INDIRECT("'data'!$G$" &amp; $A$1)*parameters!$B$13</f>
        <v>5311.8449999999993</v>
      </c>
      <c r="R3" s="16">
        <f t="shared" ref="R3:R10" ca="1" si="2">SUM(L3:P3)</f>
        <v>5311.8449999999993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Q6/parameters!$B$5*23%</f>
        <v>1578.5208955223882</v>
      </c>
      <c r="G5" s="14">
        <f ca="1">Q7/parameters!$B$7-(G3+G4)</f>
        <v>605.23273273132838</v>
      </c>
      <c r="H5" s="14"/>
      <c r="I5" s="14"/>
      <c r="J5" s="14"/>
      <c r="K5" s="13"/>
      <c r="L5" s="16">
        <f t="shared" ca="1" si="0"/>
        <v>2183.7536282537167</v>
      </c>
      <c r="M5" s="16"/>
      <c r="N5" s="16"/>
      <c r="O5" s="11" cm="1">
        <f t="array" aca="1" ref="O5" ca="1">INDIRECT("'data'!$M$" &amp; $A$1)*parameters!$B$15</f>
        <v>949.62</v>
      </c>
      <c r="P5" s="13" cm="1">
        <f t="array" aca="1" ref="P5" ca="1">-INDIRECT("'data'!$N$" &amp; $A$1)*parameters!$B$15</f>
        <v>-947.66</v>
      </c>
      <c r="Q5" s="16">
        <f ca="1">SUM(L5:P5)</f>
        <v>2185.7136282537167</v>
      </c>
      <c r="R5" s="16">
        <f t="shared" ca="1" si="2"/>
        <v>2185.7136282537167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6437.62</v>
      </c>
      <c r="I6" s="14"/>
      <c r="J6" s="14"/>
      <c r="K6" s="13"/>
      <c r="L6" s="16">
        <f t="shared" ca="1" si="0"/>
        <v>6437.62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6437.62</v>
      </c>
      <c r="R6" s="16">
        <f t="shared" ca="1" si="2"/>
        <v>6437.62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624.26</v>
      </c>
      <c r="I7" s="14"/>
      <c r="J7" s="14"/>
      <c r="K7" s="13"/>
      <c r="L7" s="16">
        <f t="shared" ca="1" si="0"/>
        <v>624.26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624.26</v>
      </c>
      <c r="R7" s="16">
        <f t="shared" ca="1" si="2"/>
        <v>624.26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1928.9405811799311</v>
      </c>
      <c r="J8" s="14">
        <f ca="1">Q10/J18</f>
        <v>5106.4794188200685</v>
      </c>
      <c r="K8" s="13"/>
      <c r="L8" s="16">
        <f t="shared" ca="1" si="0"/>
        <v>7035.42</v>
      </c>
      <c r="M8" s="16"/>
      <c r="N8" s="16">
        <f t="shared" ca="1" si="3"/>
        <v>0</v>
      </c>
      <c r="O8" s="11" cm="1">
        <f t="array" aca="1" ref="O8" ca="1">INDIRECT("'data'!$R$" &amp; $A$1)*parameters!$B$15</f>
        <v>185.22</v>
      </c>
      <c r="P8" s="13" cm="1">
        <f t="array" aca="1" ref="P8" ca="1">-INDIRECT("'data'!$S$" &amp; $A$1)*parameters!$B$15</f>
        <v>-158.76</v>
      </c>
      <c r="Q8" s="16">
        <f ca="1">SUM(Q6:Q7)</f>
        <v>7061.88</v>
      </c>
      <c r="R8" s="16">
        <f t="shared" ca="1" si="2"/>
        <v>7061.88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1409.2400000000002</v>
      </c>
      <c r="L9" s="16">
        <f t="shared" ca="1" si="0"/>
        <v>1409.2400000000002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1305.3599999999999</v>
      </c>
      <c r="P9" s="13" cm="1">
        <f t="array" aca="1" ref="P9" ca="1">-INDIRECT("'data'!$V$" &amp; $A$1)*parameters!$B$15</f>
        <v>-973.14</v>
      </c>
      <c r="Q9" s="16" cm="1">
        <f t="array" aca="1" ref="Q9" ca="1">INDIRECT("'data'!$T$" &amp; $A$1)*parameters!$B$15</f>
        <v>1741.46</v>
      </c>
      <c r="R9" s="16">
        <f t="shared" ca="1" si="2"/>
        <v>1741.4600000000005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2256.2025604551918</v>
      </c>
      <c r="L10" s="16">
        <f t="shared" ca="1" si="0"/>
        <v>2256.2025604551918</v>
      </c>
      <c r="M10" s="16"/>
      <c r="N10" s="16">
        <f t="shared" ca="1" si="3"/>
        <v>0</v>
      </c>
      <c r="O10" s="11" cm="1">
        <f t="array" aca="1" ref="O10" ca="1">INDIRECT("'data'!$X$" &amp; $A$1)*parameters!$B$15</f>
        <v>4007.22</v>
      </c>
      <c r="P10" s="13" cm="1">
        <f t="array" aca="1" ref="P10" ca="1">-INDIRECT("'data'!$Y$" &amp; $A$1)*parameters!$B$15</f>
        <v>-1653.26</v>
      </c>
      <c r="Q10" s="16" cm="1">
        <f t="array" aca="1" ref="Q10" ca="1">INDIRECT("'data'!$W$" &amp; $A$1)*parameters!$B$15</f>
        <v>4610.1625604551919</v>
      </c>
      <c r="R10" s="16">
        <f t="shared" ca="1" si="2"/>
        <v>4610.1625604551919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3343.4198019914652</v>
      </c>
      <c r="N11" s="19"/>
      <c r="O11" s="21" cm="1">
        <f t="array" aca="1" ref="O11" ca="1">INDIRECT("'data'!$Z$" &amp; $A$1)*parameters!$B$15</f>
        <v>3125.22</v>
      </c>
      <c r="P11" s="27" cm="1">
        <f t="array" aca="1" ref="P11" ca="1">-INDIRECT("'data'!$AA$" &amp; $A$1)*parameters!$B$15</f>
        <v>-3203.62</v>
      </c>
      <c r="Q11" s="16">
        <f ca="1">K9*parameters!$B$10+K10*parameters!$B$11</f>
        <v>3265.0198019914651</v>
      </c>
      <c r="R11" s="16">
        <f t="shared" ref="R11:R17" ca="1" si="4">SUM(L11:P11)</f>
        <v>3265.0198019914651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-33.676787259736557</v>
      </c>
      <c r="D12" s="9">
        <f ca="1">-(D17-Q4)</f>
        <v>0</v>
      </c>
      <c r="E12" s="9">
        <f ca="1">-(E17-Q5)</f>
        <v>-270.14438102012218</v>
      </c>
      <c r="F12" s="9">
        <f ca="1">-(F17-Q6)</f>
        <v>-425.51432835820924</v>
      </c>
      <c r="G12" s="9">
        <f ca="1">-(G17-Q7)</f>
        <v>-28.049299895506806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-757.38479653357479</v>
      </c>
      <c r="M12" s="17"/>
      <c r="N12" s="17"/>
      <c r="O12" s="10"/>
      <c r="P12" s="12"/>
      <c r="Q12" s="9">
        <f t="shared" ref="Q12:Q17" ca="1" si="6">SUM(L12:P12)</f>
        <v>-757.38479653357479</v>
      </c>
      <c r="R12" s="17">
        <f t="shared" ca="1" si="4"/>
        <v>-757.38479653357479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-187.48058117993105</v>
      </c>
      <c r="J13" s="14">
        <f ca="1">-(J17-Q10)</f>
        <v>-496.31685836487668</v>
      </c>
      <c r="K13" s="13">
        <f ca="1">-(K17-Q11)</f>
        <v>-400.42275846372695</v>
      </c>
      <c r="L13" s="14">
        <f t="shared" ca="1" si="5"/>
        <v>-1084.2201980085347</v>
      </c>
      <c r="M13" s="16">
        <f ca="1">-E15</f>
        <v>-1371.6378112653042</v>
      </c>
      <c r="N13" s="16"/>
      <c r="O13" s="11"/>
      <c r="P13" s="13"/>
      <c r="Q13" s="14">
        <f t="shared" ca="1" si="6"/>
        <v>-2455.8580092738389</v>
      </c>
      <c r="R13" s="16">
        <f t="shared" ca="1" si="4"/>
        <v>-2455.8580092738389</v>
      </c>
    </row>
    <row r="14" spans="1:20">
      <c r="A14" s="18" t="s">
        <v>78</v>
      </c>
      <c r="B14" s="11"/>
      <c r="C14" s="14"/>
      <c r="D14" s="14"/>
      <c r="E14" s="14">
        <f ca="1">-(I13+J13)-K13</f>
        <v>1084.2201980085347</v>
      </c>
      <c r="F14" s="14"/>
      <c r="G14" s="14"/>
      <c r="H14" s="14"/>
      <c r="I14" s="14"/>
      <c r="J14" s="14"/>
      <c r="K14" s="13"/>
      <c r="L14" s="14">
        <f t="shared" ca="1" si="5"/>
        <v>1084.2201980085347</v>
      </c>
      <c r="M14" s="16"/>
      <c r="N14" s="16"/>
      <c r="O14" s="11"/>
      <c r="P14" s="13"/>
      <c r="Q14" s="14">
        <f t="shared" ca="1" si="6"/>
        <v>1084.2201980085347</v>
      </c>
      <c r="R14" s="16">
        <f t="shared" ca="1" si="4"/>
        <v>1084.2201980085347</v>
      </c>
    </row>
    <row r="15" spans="1:20">
      <c r="A15" s="18" t="s">
        <v>79</v>
      </c>
      <c r="B15" s="11"/>
      <c r="C15" s="14"/>
      <c r="D15" s="14"/>
      <c r="E15" s="14">
        <f ca="1">E17-E14</f>
        <v>1371.6378112653042</v>
      </c>
      <c r="F15" s="14"/>
      <c r="G15" s="14"/>
      <c r="H15" s="14"/>
      <c r="I15" s="14"/>
      <c r="J15" s="14"/>
      <c r="K15" s="13"/>
      <c r="L15" s="14">
        <f t="shared" ca="1" si="5"/>
        <v>1371.6378112653042</v>
      </c>
      <c r="M15" s="16"/>
      <c r="N15" s="16"/>
      <c r="O15" s="11"/>
      <c r="P15" s="13"/>
      <c r="Q15" s="14">
        <f t="shared" ca="1" si="6"/>
        <v>1371.6378112653042</v>
      </c>
      <c r="R15" s="16">
        <f t="shared" ca="1" si="4"/>
        <v>1371.6378112653042</v>
      </c>
    </row>
    <row r="16" spans="1:20">
      <c r="A16" s="30" t="s">
        <v>89</v>
      </c>
      <c r="B16" s="21">
        <f ca="1">Q2</f>
        <v>1293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1293</v>
      </c>
      <c r="M16" s="19"/>
      <c r="N16" s="19"/>
      <c r="O16" s="21"/>
      <c r="P16" s="27"/>
      <c r="Q16" s="22">
        <f t="shared" ca="1" si="6"/>
        <v>1293</v>
      </c>
      <c r="R16" s="19">
        <f t="shared" ca="1" si="4"/>
        <v>1293</v>
      </c>
    </row>
    <row r="17" spans="1:18">
      <c r="A17" s="29" t="s">
        <v>88</v>
      </c>
      <c r="B17" s="9">
        <f ca="1">B16</f>
        <v>1293</v>
      </c>
      <c r="C17" s="9">
        <f ca="1">SUM(C$2:C$11)</f>
        <v>5345.5217872597359</v>
      </c>
      <c r="D17" s="9">
        <f ca="1">SUM(D$2:D$11)</f>
        <v>0</v>
      </c>
      <c r="E17" s="9">
        <f ca="1">$Q$5/parameters!$B$4</f>
        <v>2455.8580092738389</v>
      </c>
      <c r="F17" s="9">
        <f t="shared" ref="F17:K17" ca="1" si="7">SUM(F$2:F$11)</f>
        <v>6863.1343283582091</v>
      </c>
      <c r="G17" s="9">
        <f t="shared" ca="1" si="7"/>
        <v>652.3092998955068</v>
      </c>
      <c r="H17" s="9">
        <f t="shared" ca="1" si="7"/>
        <v>7061.88</v>
      </c>
      <c r="I17" s="9">
        <f t="shared" ca="1" si="7"/>
        <v>1928.9405811799311</v>
      </c>
      <c r="J17" s="9">
        <f t="shared" ca="1" si="7"/>
        <v>5106.4794188200685</v>
      </c>
      <c r="K17" s="9">
        <f t="shared" ca="1" si="7"/>
        <v>3665.4425604551921</v>
      </c>
      <c r="L17" s="17">
        <f t="shared" ca="1" si="5"/>
        <v>34372.56598524248</v>
      </c>
      <c r="M17" s="17"/>
      <c r="N17" s="17"/>
      <c r="O17" s="9"/>
      <c r="P17" s="14"/>
      <c r="Q17" s="11">
        <f t="shared" ca="1" si="6"/>
        <v>34372.56598524248</v>
      </c>
      <c r="R17" s="17">
        <f t="shared" ca="1" si="4"/>
        <v>34372.56598524248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0.90280645085228628</v>
      </c>
      <c r="J18" s="39">
        <f ca="1">I18</f>
        <v>0.90280645085228628</v>
      </c>
      <c r="K18" s="40">
        <f ca="1">1-(-K13)/K17</f>
        <v>0.890757322789966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4458.2469558216762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4458.2469558216762</v>
      </c>
      <c r="M2" s="17"/>
      <c r="N2" s="17">
        <f ca="1">Q2-(L2+O2+P2)</f>
        <v>0</v>
      </c>
      <c r="O2" s="11" cm="1">
        <f t="array" aca="1" ref="O2" ca="1">INDIRECT("'data'!$F$" &amp; $A$1)</f>
        <v>237.9</v>
      </c>
      <c r="P2" s="13">
        <f ca="1">IF(-(L2-Q2+O2)&lt;0, -(L2-Q2+O2), 0)</f>
        <v>-4696.1469558216759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4327.0447761194027</v>
      </c>
      <c r="G3" s="14">
        <f ca="1">Q3-O3-P3-F3</f>
        <v>200.45022388059715</v>
      </c>
      <c r="H3" s="14"/>
      <c r="I3" s="14"/>
      <c r="J3" s="14"/>
      <c r="K3" s="13"/>
      <c r="L3" s="16">
        <f t="shared" ca="1" si="0"/>
        <v>4527.4949999999999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240.03</v>
      </c>
      <c r="P3" s="13" cm="1">
        <f t="array" aca="1" ref="P3" ca="1">-INDIRECT("'data'!$I$" &amp; $A$1)*parameters!$B$13</f>
        <v>-337.36500000000001</v>
      </c>
      <c r="Q3" s="16" cm="1">
        <f t="array" aca="1" ref="Q3" ca="1">INDIRECT("'data'!$G$" &amp; $A$1)*parameters!$B$13</f>
        <v>4430.16</v>
      </c>
      <c r="R3" s="16">
        <f t="shared" ref="R3:R10" ca="1" si="2">SUM(L3:P3)</f>
        <v>4430.16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11.04</v>
      </c>
      <c r="H4" s="14"/>
      <c r="I4" s="14"/>
      <c r="J4" s="14"/>
      <c r="K4" s="13"/>
      <c r="L4" s="16">
        <f t="shared" ca="1" si="0"/>
        <v>11.04</v>
      </c>
      <c r="M4" s="16"/>
      <c r="N4" s="16">
        <f t="shared" ca="1" si="1"/>
        <v>0</v>
      </c>
      <c r="O4" s="11" cm="1">
        <f t="array" aca="1" ref="O4" ca="1">INDIRECT("'data'!$K$" &amp; $A$1)*parameters!$B$14</f>
        <v>10.120000000000001</v>
      </c>
      <c r="P4" s="13" cm="1">
        <f t="array" aca="1" ref="P4" ca="1">-INDIRECT("'data'!$L$" &amp; $A$1)*parameters!$B$14</f>
        <v>-21.16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1081.7611940298509</v>
      </c>
      <c r="G5" s="14">
        <f ca="1">Q7/parameters!$B$7-(G3+G4)</f>
        <v>2651.7072682824123</v>
      </c>
      <c r="H5" s="14"/>
      <c r="I5" s="14"/>
      <c r="J5" s="14"/>
      <c r="K5" s="13"/>
      <c r="L5" s="16">
        <f t="shared" ca="1" si="0"/>
        <v>3733.468462312263</v>
      </c>
      <c r="M5" s="16"/>
      <c r="N5" s="16"/>
      <c r="O5" s="11" cm="1">
        <f t="array" aca="1" ref="O5" ca="1">INDIRECT("'data'!$M$" &amp; $A$1)*parameters!$B$15</f>
        <v>3626.98</v>
      </c>
      <c r="P5" s="13" cm="1">
        <f t="array" aca="1" ref="P5" ca="1">-INDIRECT("'data'!$N$" &amp; $A$1)*parameters!$B$15</f>
        <v>-5188.12</v>
      </c>
      <c r="Q5" s="16">
        <f ca="1">SUM(L5:P5)</f>
        <v>2172.3284623122627</v>
      </c>
      <c r="R5" s="16">
        <f t="shared" ca="1" si="2"/>
        <v>2172.3284623122627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5073.46</v>
      </c>
      <c r="I6" s="14"/>
      <c r="J6" s="14"/>
      <c r="K6" s="13"/>
      <c r="L6" s="16">
        <f t="shared" ca="1" si="0"/>
        <v>5073.46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5073.46</v>
      </c>
      <c r="R6" s="16">
        <f t="shared" ca="1" si="2"/>
        <v>5073.46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2740.08</v>
      </c>
      <c r="I7" s="14"/>
      <c r="J7" s="14"/>
      <c r="K7" s="13"/>
      <c r="L7" s="16">
        <f t="shared" ca="1" si="0"/>
        <v>2740.08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2740.08</v>
      </c>
      <c r="R7" s="16">
        <f t="shared" ca="1" si="2"/>
        <v>2740.08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886.91040862142586</v>
      </c>
      <c r="J8" s="14">
        <f ca="1">Q10/J18</f>
        <v>8977.7695913785738</v>
      </c>
      <c r="K8" s="13"/>
      <c r="L8" s="16">
        <f t="shared" ca="1" si="0"/>
        <v>9864.68</v>
      </c>
      <c r="M8" s="16"/>
      <c r="N8" s="16">
        <f t="shared" ca="1" si="3"/>
        <v>0</v>
      </c>
      <c r="O8" s="11" cm="1">
        <f t="array" aca="1" ref="O8" ca="1">INDIRECT("'data'!$R$" &amp; $A$1)*parameters!$B$15</f>
        <v>465.5</v>
      </c>
      <c r="P8" s="13" cm="1">
        <f t="array" aca="1" ref="P8" ca="1">-INDIRECT("'data'!$S$" &amp; $A$1)*parameters!$B$15</f>
        <v>-2516.64</v>
      </c>
      <c r="Q8" s="16">
        <f ca="1">SUM(Q6:Q7)</f>
        <v>7813.54</v>
      </c>
      <c r="R8" s="16">
        <f t="shared" ca="1" si="2"/>
        <v>7813.5400000000009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1134.8399999999997</v>
      </c>
      <c r="L9" s="16">
        <f t="shared" ca="1" si="0"/>
        <v>1134.8399999999997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1449.42</v>
      </c>
      <c r="P9" s="13" cm="1">
        <f t="array" aca="1" ref="P9" ca="1">-INDIRECT("'data'!$V$" &amp; $A$1)*parameters!$B$15</f>
        <v>-1756.1599999999999</v>
      </c>
      <c r="Q9" s="16" cm="1">
        <f t="array" aca="1" ref="Q9" ca="1">INDIRECT("'data'!$T$" &amp; $A$1)*parameters!$B$15</f>
        <v>828.1</v>
      </c>
      <c r="R9" s="16">
        <f t="shared" ca="1" si="2"/>
        <v>828.09999999999991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2203.5599715504977</v>
      </c>
      <c r="L10" s="16">
        <f t="shared" ca="1" si="0"/>
        <v>2203.5599715504977</v>
      </c>
      <c r="M10" s="16"/>
      <c r="N10" s="16">
        <f t="shared" ca="1" si="3"/>
        <v>0</v>
      </c>
      <c r="O10" s="11" cm="1">
        <f t="array" aca="1" ref="O10" ca="1">INDIRECT("'data'!$X$" &amp; $A$1)*parameters!$B$15</f>
        <v>12521.46</v>
      </c>
      <c r="P10" s="13" cm="1">
        <f t="array" aca="1" ref="P10" ca="1">-INDIRECT("'data'!$Y$" &amp; $A$1)*parameters!$B$15</f>
        <v>-6342.5599999999995</v>
      </c>
      <c r="Q10" s="16" cm="1">
        <f t="array" aca="1" ref="Q10" ca="1">INDIRECT("'data'!$W$" &amp; $A$1)*parameters!$B$15</f>
        <v>8382.4599715504974</v>
      </c>
      <c r="R10" s="16">
        <f t="shared" ca="1" si="2"/>
        <v>8382.4599715504974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3245.0311755334278</v>
      </c>
      <c r="N11" s="19"/>
      <c r="O11" s="21" cm="1">
        <f t="array" aca="1" ref="O11" ca="1">INDIRECT("'data'!$Z$" &amp; $A$1)*parameters!$B$15</f>
        <v>5361.58</v>
      </c>
      <c r="P11" s="27" cm="1">
        <f t="array" aca="1" ref="P11" ca="1">-INDIRECT("'data'!$AA$" &amp; $A$1)*parameters!$B$15</f>
        <v>-5644.8</v>
      </c>
      <c r="Q11" s="16">
        <f ca="1">K9*parameters!$B$10+K10*parameters!$B$11</f>
        <v>2961.8111755334276</v>
      </c>
      <c r="R11" s="16">
        <f t="shared" ref="R11:R17" ca="1" si="4">SUM(L11:P11)</f>
        <v>2961.8111755334276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-28.086955821676383</v>
      </c>
      <c r="D12" s="9">
        <f ca="1">-(D17-Q4)</f>
        <v>0</v>
      </c>
      <c r="E12" s="9">
        <f ca="1">-(E17-Q5)</f>
        <v>-268.49003466780778</v>
      </c>
      <c r="F12" s="9">
        <f ca="1">-(F17-Q6)</f>
        <v>-335.34597014925384</v>
      </c>
      <c r="G12" s="9">
        <f ca="1">-(G17-Q7)</f>
        <v>-123.1174921630095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-755.04045280174751</v>
      </c>
      <c r="M12" s="17"/>
      <c r="N12" s="17"/>
      <c r="O12" s="10"/>
      <c r="P12" s="12"/>
      <c r="Q12" s="9">
        <f t="shared" ref="Q12:Q17" ca="1" si="6">SUM(L12:P12)</f>
        <v>-755.04045280174751</v>
      </c>
      <c r="R12" s="17">
        <f t="shared" ca="1" si="4"/>
        <v>-755.04045280174751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-58.810408621425836</v>
      </c>
      <c r="J13" s="14">
        <f ca="1">-(J17-Q10)</f>
        <v>-595.30961982807639</v>
      </c>
      <c r="K13" s="13">
        <f ca="1">-(K17-Q11)</f>
        <v>-376.58879601706985</v>
      </c>
      <c r="L13" s="14">
        <f t="shared" ca="1" si="5"/>
        <v>-1030.708824466572</v>
      </c>
      <c r="M13" s="16">
        <f ca="1">-E15</f>
        <v>-1410.1096725134985</v>
      </c>
      <c r="N13" s="16"/>
      <c r="O13" s="11"/>
      <c r="P13" s="13"/>
      <c r="Q13" s="14">
        <f t="shared" ca="1" si="6"/>
        <v>-2440.8184969800704</v>
      </c>
      <c r="R13" s="16">
        <f t="shared" ca="1" si="4"/>
        <v>-2440.8184969800704</v>
      </c>
    </row>
    <row r="14" spans="1:20">
      <c r="A14" s="18" t="s">
        <v>78</v>
      </c>
      <c r="B14" s="11"/>
      <c r="C14" s="14"/>
      <c r="D14" s="14"/>
      <c r="E14" s="14">
        <f ca="1">-(I13+J13)-K13</f>
        <v>1030.708824466572</v>
      </c>
      <c r="F14" s="14"/>
      <c r="G14" s="14"/>
      <c r="H14" s="14"/>
      <c r="I14" s="14"/>
      <c r="J14" s="14"/>
      <c r="K14" s="13"/>
      <c r="L14" s="14">
        <f t="shared" ca="1" si="5"/>
        <v>1030.708824466572</v>
      </c>
      <c r="M14" s="16"/>
      <c r="N14" s="16"/>
      <c r="O14" s="11"/>
      <c r="P14" s="13"/>
      <c r="Q14" s="14">
        <f t="shared" ca="1" si="6"/>
        <v>1030.708824466572</v>
      </c>
      <c r="R14" s="16">
        <f t="shared" ca="1" si="4"/>
        <v>1030.708824466572</v>
      </c>
    </row>
    <row r="15" spans="1:20">
      <c r="A15" s="18" t="s">
        <v>79</v>
      </c>
      <c r="B15" s="11"/>
      <c r="C15" s="14"/>
      <c r="D15" s="14"/>
      <c r="E15" s="14">
        <f ca="1">E17-E14</f>
        <v>1410.1096725134985</v>
      </c>
      <c r="F15" s="14"/>
      <c r="G15" s="14"/>
      <c r="H15" s="14"/>
      <c r="I15" s="14"/>
      <c r="J15" s="14"/>
      <c r="K15" s="13"/>
      <c r="L15" s="14">
        <f t="shared" ca="1" si="5"/>
        <v>1410.1096725134985</v>
      </c>
      <c r="M15" s="16"/>
      <c r="N15" s="16"/>
      <c r="O15" s="11"/>
      <c r="P15" s="13"/>
      <c r="Q15" s="14">
        <f t="shared" ca="1" si="6"/>
        <v>1410.1096725134985</v>
      </c>
      <c r="R15" s="16">
        <f t="shared" ca="1" si="4"/>
        <v>1410.1096725134985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4458.2469558216762</v>
      </c>
      <c r="D17" s="9">
        <f ca="1">SUM(D$2:D$11)</f>
        <v>0</v>
      </c>
      <c r="E17" s="9">
        <f ca="1">$Q$5/parameters!$B$4</f>
        <v>2440.8184969800704</v>
      </c>
      <c r="F17" s="9">
        <f t="shared" ref="F17:K17" ca="1" si="7">SUM(F$2:F$11)</f>
        <v>5408.8059701492539</v>
      </c>
      <c r="G17" s="9">
        <f t="shared" ca="1" si="7"/>
        <v>2863.1974921630094</v>
      </c>
      <c r="H17" s="9">
        <f t="shared" ca="1" si="7"/>
        <v>7813.54</v>
      </c>
      <c r="I17" s="9">
        <f t="shared" ca="1" si="7"/>
        <v>886.91040862142586</v>
      </c>
      <c r="J17" s="9">
        <f t="shared" ca="1" si="7"/>
        <v>8977.7695913785738</v>
      </c>
      <c r="K17" s="9">
        <f t="shared" ca="1" si="7"/>
        <v>3338.3999715504974</v>
      </c>
      <c r="L17" s="17">
        <f t="shared" ca="1" si="5"/>
        <v>36187.688886664509</v>
      </c>
      <c r="M17" s="17"/>
      <c r="N17" s="17"/>
      <c r="O17" s="9"/>
      <c r="P17" s="14"/>
      <c r="Q17" s="11">
        <f t="shared" ca="1" si="6"/>
        <v>36187.688886664509</v>
      </c>
      <c r="R17" s="17">
        <f t="shared" ca="1" si="4"/>
        <v>36187.688886664509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0.93369069970343666</v>
      </c>
      <c r="J18" s="39">
        <f ca="1">I18</f>
        <v>0.93369069970343666</v>
      </c>
      <c r="K18" s="40">
        <f ca="1">1-(-K13)/K17</f>
        <v>0.88719482409947248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6878.5196739458579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6878.5196739458579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-6878.5196739458579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6426.7522388059706</v>
      </c>
      <c r="G3" s="14">
        <f ca="1">Q3-O3-P3-F3</f>
        <v>442.45276119402843</v>
      </c>
      <c r="H3" s="14"/>
      <c r="I3" s="14"/>
      <c r="J3" s="14"/>
      <c r="K3" s="13"/>
      <c r="L3" s="16">
        <f t="shared" ca="1" si="0"/>
        <v>6869.204999999999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4.7249999999999996</v>
      </c>
      <c r="P3" s="13" cm="1">
        <f t="array" aca="1" ref="P3" ca="1">-INDIRECT("'data'!$I$" &amp; $A$1)*parameters!$B$13</f>
        <v>-38.744999999999997</v>
      </c>
      <c r="Q3" s="16" cm="1">
        <f t="array" aca="1" ref="Q3" ca="1">INDIRECT("'data'!$G$" &amp; $A$1)*parameters!$B$13</f>
        <v>6835.1849999999995</v>
      </c>
      <c r="R3" s="16">
        <f t="shared" ref="R3:R10" ca="1" si="2">SUM(L3:P3)</f>
        <v>6835.1849999999995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72.680000000000007</v>
      </c>
      <c r="H4" s="14"/>
      <c r="I4" s="14"/>
      <c r="J4" s="14"/>
      <c r="K4" s="13"/>
      <c r="L4" s="16">
        <f t="shared" ca="1" si="0"/>
        <v>72.680000000000007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-72.680000000000007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Q6/parameters!$B$5*16%</f>
        <v>1224.1432835820897</v>
      </c>
      <c r="G5" s="14">
        <f ca="1">Q7/parameters!$B$7-(G3+G4)</f>
        <v>1927.1869880222728</v>
      </c>
      <c r="H5" s="14"/>
      <c r="I5" s="14"/>
      <c r="J5" s="14"/>
      <c r="K5" s="13"/>
      <c r="L5" s="16">
        <f t="shared" ca="1" si="0"/>
        <v>3151.3302716043627</v>
      </c>
      <c r="M5" s="16"/>
      <c r="N5" s="16"/>
      <c r="O5" s="11" cm="1">
        <f t="array" aca="1" ref="O5" ca="1">INDIRECT("'data'!$M$" &amp; $A$1)*parameters!$B$15</f>
        <v>7368.62</v>
      </c>
      <c r="P5" s="13" cm="1">
        <f t="array" aca="1" ref="P5" ca="1">-INDIRECT("'data'!$N$" &amp; $A$1)*parameters!$B$15</f>
        <v>-271.45999999999998</v>
      </c>
      <c r="Q5" s="16">
        <f ca="1">SUM(L5:P5)</f>
        <v>10248.490271604363</v>
      </c>
      <c r="R5" s="16">
        <f t="shared" ca="1" si="2"/>
        <v>10248.490271604363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7176.54</v>
      </c>
      <c r="I6" s="14"/>
      <c r="J6" s="14"/>
      <c r="K6" s="13"/>
      <c r="L6" s="16">
        <f t="shared" ca="1" si="0"/>
        <v>7176.54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7176.54</v>
      </c>
      <c r="R6" s="16">
        <f t="shared" ca="1" si="2"/>
        <v>7176.54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2337.3000000000002</v>
      </c>
      <c r="I7" s="14"/>
      <c r="J7" s="14"/>
      <c r="K7" s="13"/>
      <c r="L7" s="16">
        <f t="shared" ca="1" si="0"/>
        <v>2337.3000000000002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2337.3000000000002</v>
      </c>
      <c r="R7" s="16">
        <f t="shared" ca="1" si="2"/>
        <v>2337.3000000000002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3980.6885719426527</v>
      </c>
      <c r="J8" s="14">
        <f ca="1">Q10/J18</f>
        <v>5144.0914280573479</v>
      </c>
      <c r="K8" s="13"/>
      <c r="L8" s="16">
        <f t="shared" ca="1" si="0"/>
        <v>9124.7800000000007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1114.26</v>
      </c>
      <c r="P8" s="13" cm="1">
        <f t="array" aca="1" ref="P8" ca="1">-INDIRECT("'data'!$S$" &amp; $A$1)*parameters!$B$15</f>
        <v>-725.19999999999993</v>
      </c>
      <c r="Q8" s="16">
        <f ca="1">SUM(Q6:Q7)</f>
        <v>9513.84</v>
      </c>
      <c r="R8" s="16">
        <f t="shared" ca="1" si="2"/>
        <v>9513.84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2943.9199999999996</v>
      </c>
      <c r="L9" s="16">
        <f t="shared" ca="1" si="0"/>
        <v>2943.9199999999996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2091.3200000000002</v>
      </c>
      <c r="P9" s="13" cm="1">
        <f t="array" aca="1" ref="P9" ca="1">-INDIRECT("'data'!$V$" &amp; $A$1)*parameters!$B$15</f>
        <v>-1496.46</v>
      </c>
      <c r="Q9" s="16" cm="1">
        <f t="array" aca="1" ref="Q9" ca="1">INDIRECT("'data'!$T$" &amp; $A$1)*parameters!$B$15</f>
        <v>3538.7799999999997</v>
      </c>
      <c r="R9" s="16">
        <f t="shared" ca="1" si="2"/>
        <v>3538.7799999999997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5552.0499004267422</v>
      </c>
      <c r="L10" s="16">
        <f t="shared" ca="1" si="0"/>
        <v>5552.0499004267422</v>
      </c>
      <c r="M10" s="16"/>
      <c r="N10" s="16">
        <f t="shared" ca="1" si="3"/>
        <v>0</v>
      </c>
      <c r="O10" s="11" cm="1">
        <f t="array" aca="1" ref="O10" ca="1">INDIRECT("'data'!$X$" &amp; $A$1)*parameters!$B$15</f>
        <v>2118.7599999999998</v>
      </c>
      <c r="P10" s="13" cm="1">
        <f t="array" aca="1" ref="P10" ca="1">-INDIRECT("'data'!$Y$" &amp; $A$1)*parameters!$B$15</f>
        <v>-3097.7799999999997</v>
      </c>
      <c r="Q10" s="16" cm="1">
        <f t="array" aca="1" ref="Q10" ca="1">INDIRECT("'data'!$W$" &amp; $A$1)*parameters!$B$15</f>
        <v>4573.0299004267426</v>
      </c>
      <c r="R10" s="16">
        <f t="shared" ca="1" si="2"/>
        <v>4573.0299004267426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11271.927714366999</v>
      </c>
      <c r="N11" s="19"/>
      <c r="O11" s="21" cm="1">
        <f t="array" aca="1" ref="O11" ca="1">INDIRECT("'data'!$Z$" &amp; $A$1)*parameters!$B$15</f>
        <v>5534.0599999999995</v>
      </c>
      <c r="P11" s="27" cm="1">
        <f t="array" aca="1" ref="P11" ca="1">-INDIRECT("'data'!$AA$" &amp; $A$1)*parameters!$B$15</f>
        <v>-9263.94</v>
      </c>
      <c r="Q11" s="16">
        <f ca="1">K9*parameters!$B$10+K10*parameters!$B$11</f>
        <v>7542.0477143669978</v>
      </c>
      <c r="R11" s="16">
        <f t="shared" ref="R11:R17" ca="1" si="4">SUM(L11:P11)</f>
        <v>7542.0477143669978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-43.334673945858412</v>
      </c>
      <c r="D12" s="9">
        <f ca="1">-(D17-Q4)</f>
        <v>0</v>
      </c>
      <c r="E12" s="9">
        <f ca="1">-(E17-Q5)</f>
        <v>-1266.667336939865</v>
      </c>
      <c r="F12" s="9">
        <f ca="1">-(F17-Q6)</f>
        <v>-474.35552238806031</v>
      </c>
      <c r="G12" s="9">
        <f ca="1">-(G17-Q7)</f>
        <v>-105.01974921630108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-1889.3772824900848</v>
      </c>
      <c r="M12" s="17"/>
      <c r="N12" s="17"/>
      <c r="O12" s="10"/>
      <c r="P12" s="12"/>
      <c r="Q12" s="9">
        <f t="shared" ref="Q12:Q17" ca="1" si="6">SUM(L12:P12)</f>
        <v>-1889.3772824900848</v>
      </c>
      <c r="R12" s="17">
        <f t="shared" ca="1" si="4"/>
        <v>-1889.3772824900848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-441.908571942653</v>
      </c>
      <c r="J13" s="14">
        <f ca="1">-(J17-Q10)</f>
        <v>-571.06152763060527</v>
      </c>
      <c r="K13" s="13">
        <f ca="1">-(K17-Q11)</f>
        <v>-953.92218605974449</v>
      </c>
      <c r="L13" s="14">
        <f t="shared" ca="1" si="5"/>
        <v>-1966.8922856330028</v>
      </c>
      <c r="M13" s="16">
        <f ca="1">-E15</f>
        <v>-9548.2653229112257</v>
      </c>
      <c r="N13" s="16"/>
      <c r="O13" s="11"/>
      <c r="P13" s="13"/>
      <c r="Q13" s="14">
        <f t="shared" ca="1" si="6"/>
        <v>-11515.157608544228</v>
      </c>
      <c r="R13" s="16">
        <f t="shared" ca="1" si="4"/>
        <v>-11515.157608544228</v>
      </c>
    </row>
    <row r="14" spans="1:20">
      <c r="A14" s="18" t="s">
        <v>78</v>
      </c>
      <c r="B14" s="11"/>
      <c r="C14" s="14"/>
      <c r="D14" s="14"/>
      <c r="E14" s="14">
        <f ca="1">-(I13+J13)-K13</f>
        <v>1966.8922856330028</v>
      </c>
      <c r="F14" s="14"/>
      <c r="G14" s="14"/>
      <c r="H14" s="14"/>
      <c r="I14" s="14"/>
      <c r="J14" s="14"/>
      <c r="K14" s="13"/>
      <c r="L14" s="14">
        <f t="shared" ca="1" si="5"/>
        <v>1966.8922856330028</v>
      </c>
      <c r="M14" s="16"/>
      <c r="N14" s="16"/>
      <c r="O14" s="11"/>
      <c r="P14" s="13"/>
      <c r="Q14" s="14">
        <f t="shared" ca="1" si="6"/>
        <v>1966.8922856330028</v>
      </c>
      <c r="R14" s="16">
        <f t="shared" ca="1" si="4"/>
        <v>1966.8922856330028</v>
      </c>
    </row>
    <row r="15" spans="1:20">
      <c r="A15" s="18" t="s">
        <v>79</v>
      </c>
      <c r="B15" s="11"/>
      <c r="C15" s="14"/>
      <c r="D15" s="14"/>
      <c r="E15" s="14">
        <f ca="1">E17-E14</f>
        <v>9548.2653229112257</v>
      </c>
      <c r="F15" s="14"/>
      <c r="G15" s="14"/>
      <c r="H15" s="14"/>
      <c r="I15" s="14"/>
      <c r="J15" s="14"/>
      <c r="K15" s="13"/>
      <c r="L15" s="14">
        <f t="shared" ca="1" si="5"/>
        <v>9548.2653229112257</v>
      </c>
      <c r="M15" s="16"/>
      <c r="N15" s="16"/>
      <c r="O15" s="11"/>
      <c r="P15" s="13"/>
      <c r="Q15" s="14">
        <f t="shared" ca="1" si="6"/>
        <v>9548.2653229112257</v>
      </c>
      <c r="R15" s="16">
        <f t="shared" ca="1" si="4"/>
        <v>9548.2653229112257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6878.5196739458579</v>
      </c>
      <c r="D17" s="9">
        <f ca="1">SUM(D$2:D$11)</f>
        <v>0</v>
      </c>
      <c r="E17" s="9">
        <f ca="1">$Q$5/parameters!$B$4</f>
        <v>11515.157608544228</v>
      </c>
      <c r="F17" s="9">
        <f t="shared" ref="F17:K17" ca="1" si="7">SUM(F$2:F$11)</f>
        <v>7650.8955223880603</v>
      </c>
      <c r="G17" s="9">
        <f t="shared" ca="1" si="7"/>
        <v>2442.3197492163013</v>
      </c>
      <c r="H17" s="9">
        <f t="shared" ca="1" si="7"/>
        <v>9513.84</v>
      </c>
      <c r="I17" s="9">
        <f t="shared" ca="1" si="7"/>
        <v>3980.6885719426527</v>
      </c>
      <c r="J17" s="9">
        <f t="shared" ca="1" si="7"/>
        <v>5144.0914280573479</v>
      </c>
      <c r="K17" s="9">
        <f t="shared" ca="1" si="7"/>
        <v>8495.9699004267422</v>
      </c>
      <c r="L17" s="17">
        <f t="shared" ca="1" si="5"/>
        <v>55621.482454521189</v>
      </c>
      <c r="M17" s="17"/>
      <c r="N17" s="17"/>
      <c r="O17" s="9"/>
      <c r="P17" s="14"/>
      <c r="Q17" s="11">
        <f t="shared" ca="1" si="6"/>
        <v>55621.482454521189</v>
      </c>
      <c r="R17" s="17">
        <f t="shared" ca="1" si="4"/>
        <v>55621.482454521189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0.88898690164877858</v>
      </c>
      <c r="J18" s="39">
        <f ca="1">I18</f>
        <v>0.88898690164877858</v>
      </c>
      <c r="K18" s="40">
        <f ca="1">1-(-K13)/K17</f>
        <v>0.88772062551541875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5078.0165978355099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5078.0165978355099</v>
      </c>
      <c r="M2" s="17"/>
      <c r="N2" s="17">
        <f ca="1">Q2-(L2+O2+P2)</f>
        <v>0</v>
      </c>
      <c r="O2" s="11" cm="1">
        <f t="array" aca="1" ref="O2" ca="1">INDIRECT("'data'!$F$" &amp; $A$1)</f>
        <v>16245.45</v>
      </c>
      <c r="P2" s="13">
        <f ca="1">IF(-(L2-Q2+O2)&lt;0, -(L2-Q2+O2), 0)</f>
        <v>-21323.466597835511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5043.1552238805971</v>
      </c>
      <c r="G3" s="14">
        <f ca="1">Q3-O3-P3-F3</f>
        <v>66.184869388548577</v>
      </c>
      <c r="H3" s="14"/>
      <c r="I3" s="14"/>
      <c r="J3" s="14"/>
      <c r="K3" s="13"/>
      <c r="L3" s="16">
        <f t="shared" ca="1" si="0"/>
        <v>5109.3400932691457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147.41999999999999</v>
      </c>
      <c r="P3" s="13" cm="1">
        <f t="array" aca="1" ref="P3" ca="1">-INDIRECT("'data'!$I$" &amp; $A$1)*parameters!$B$13</f>
        <v>-210.73499999999999</v>
      </c>
      <c r="Q3" s="16" cm="1">
        <f t="array" aca="1" ref="Q3" ca="1">INDIRECT("'data'!$G$" &amp; $A$1)*parameters!$B$13</f>
        <v>5046.0250932691461</v>
      </c>
      <c r="R3" s="16">
        <f t="shared" ref="R3:R10" ca="1" si="2">SUM(L3:P3)</f>
        <v>5046.0250932691461</v>
      </c>
    </row>
    <row r="4" spans="1:19">
      <c r="A4" s="18" t="s">
        <v>65</v>
      </c>
      <c r="B4" s="11"/>
      <c r="C4" s="14"/>
      <c r="D4" s="14"/>
      <c r="E4" s="14"/>
      <c r="F4" s="14"/>
      <c r="G4" s="49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340.40000000000003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-340.40000000000003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108</v>
      </c>
      <c r="B5" s="11"/>
      <c r="C5" s="14"/>
      <c r="D5" s="14"/>
      <c r="E5" s="14"/>
      <c r="F5" s="14">
        <f ca="1">Q6/parameters!$B$5*26%</f>
        <v>1771.9194029850748</v>
      </c>
      <c r="G5" s="14">
        <f ca="1">Q7/parameters!$B$7-(G3+G4)</f>
        <v>64.891410653248698</v>
      </c>
      <c r="H5" s="14"/>
      <c r="I5" s="14"/>
      <c r="J5" s="14"/>
      <c r="K5" s="13"/>
      <c r="L5" s="16">
        <f t="shared" ca="1" si="0"/>
        <v>1836.8108136383235</v>
      </c>
      <c r="M5" s="16"/>
      <c r="N5" s="16"/>
      <c r="O5" s="11" cm="1">
        <f t="array" aca="1" ref="O5" ca="1">INDIRECT("'data'!$M$" &amp; $A$1)*parameters!$B$15</f>
        <v>4978.3999999999996</v>
      </c>
      <c r="P5" s="13" cm="1">
        <f t="array" aca="1" ref="P5" ca="1">-INDIRECT("'data'!$N$" &amp; $A$1)*parameters!$B$15</f>
        <v>-1766.94</v>
      </c>
      <c r="Q5" s="16">
        <f ca="1">SUM(L5:P5)</f>
        <v>5048.2708136383226</v>
      </c>
      <c r="R5" s="16">
        <f t="shared" ca="1" si="2"/>
        <v>5048.2708136383226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48"/>
      <c r="H6" s="14">
        <f ca="1">Q6</f>
        <v>6392.54</v>
      </c>
      <c r="I6" s="14"/>
      <c r="J6" s="14"/>
      <c r="K6" s="13"/>
      <c r="L6" s="16">
        <f t="shared" ca="1" si="0"/>
        <v>6392.54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6392.54</v>
      </c>
      <c r="R6" s="16">
        <f t="shared" ca="1" si="2"/>
        <v>6392.54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125.44</v>
      </c>
      <c r="I7" s="14"/>
      <c r="J7" s="14"/>
      <c r="K7" s="13"/>
      <c r="L7" s="16">
        <f t="shared" ca="1" si="0"/>
        <v>125.44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125.44</v>
      </c>
      <c r="R7" s="16">
        <f t="shared" ca="1" si="2"/>
        <v>125.44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219.18556469785722</v>
      </c>
      <c r="J8" s="14">
        <f ca="1">Q10/J18</f>
        <v>5972.454435302142</v>
      </c>
      <c r="K8" s="13"/>
      <c r="L8" s="16">
        <f t="shared" ca="1" si="0"/>
        <v>6191.6399999999994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782.04</v>
      </c>
      <c r="P8" s="13" cm="1">
        <f t="array" aca="1" ref="P8" ca="1">-INDIRECT("'data'!$S$" &amp; $A$1)*parameters!$B$15</f>
        <v>-455.7</v>
      </c>
      <c r="Q8" s="16">
        <f ca="1">SUM(Q6:Q7)</f>
        <v>6517.98</v>
      </c>
      <c r="R8" s="16">
        <f t="shared" ca="1" si="2"/>
        <v>6517.98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1878.66</v>
      </c>
      <c r="L9" s="16">
        <f t="shared" ca="1" si="0"/>
        <v>1878.66</v>
      </c>
      <c r="M9" s="16"/>
      <c r="N9" s="16">
        <f t="shared" ca="1" si="3"/>
        <v>0</v>
      </c>
      <c r="O9" s="11" cm="1">
        <f t="array" aca="1" ref="O9" ca="1">INDIRECT("'data'!$U$" &amp; $A$1)*parameters!$B$15</f>
        <v>787.92</v>
      </c>
      <c r="P9" s="13" cm="1">
        <f t="array" aca="1" ref="P9" ca="1">-INDIRECT("'data'!$V$" &amp; $A$1)*parameters!$B$15</f>
        <v>-2454.9</v>
      </c>
      <c r="Q9" s="16" cm="1">
        <f t="array" aca="1" ref="Q9" ca="1">INDIRECT("'data'!$T$" &amp; $A$1)*parameters!$B$15</f>
        <v>211.68</v>
      </c>
      <c r="R9" s="16">
        <f t="shared" ca="1" si="2"/>
        <v>211.67999999999984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1968.4798577524889</v>
      </c>
      <c r="L10" s="16">
        <f t="shared" ca="1" si="0"/>
        <v>1968.4798577524889</v>
      </c>
      <c r="M10" s="16"/>
      <c r="N10" s="16">
        <f t="shared" ca="1" si="3"/>
        <v>0</v>
      </c>
      <c r="O10" s="11" cm="1">
        <f t="array" aca="1" ref="O10" ca="1">INDIRECT("'data'!$X$" &amp; $A$1)*parameters!$B$15</f>
        <v>6948.2</v>
      </c>
      <c r="P10" s="13" cm="1">
        <f t="array" aca="1" ref="P10" ca="1">-INDIRECT("'data'!$Y$" &amp; $A$1)*parameters!$B$15</f>
        <v>-3148.74</v>
      </c>
      <c r="Q10" s="16" cm="1">
        <f t="array" aca="1" ref="Q10" ca="1">INDIRECT("'data'!$W$" &amp; $A$1)*parameters!$B$15</f>
        <v>5767.9398577524889</v>
      </c>
      <c r="R10" s="16">
        <f t="shared" ca="1" si="2"/>
        <v>5767.9398577524898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3966.4730776671395</v>
      </c>
      <c r="N11" s="19"/>
      <c r="O11" s="21" cm="1">
        <f t="array" aca="1" ref="O11" ca="1">INDIRECT("'data'!$Z$" &amp; $A$1)*parameters!$B$15</f>
        <v>5034.26</v>
      </c>
      <c r="P11" s="27" cm="1">
        <f t="array" aca="1" ref="P11" ca="1">-INDIRECT("'data'!$AA$" &amp; $A$1)*parameters!$B$15</f>
        <v>-5541.9</v>
      </c>
      <c r="Q11" s="16">
        <f ca="1">K9*parameters!$B$10+K10*parameters!$B$11</f>
        <v>3458.8330776671401</v>
      </c>
      <c r="R11" s="16">
        <f t="shared" ref="R11:R17" ca="1" si="4">SUM(L11:P11)</f>
        <v>3458.833077667141</v>
      </c>
    </row>
    <row r="12" spans="1:19">
      <c r="A12" s="29" t="s">
        <v>86</v>
      </c>
      <c r="B12" s="10">
        <f ca="1">-(B17-Q2)</f>
        <v>0</v>
      </c>
      <c r="C12" s="9">
        <f ca="1">-(C17-Q3)</f>
        <v>-31.991504566363801</v>
      </c>
      <c r="D12" s="9">
        <f ca="1">-(D17-Q4)</f>
        <v>0</v>
      </c>
      <c r="E12" s="9">
        <f ca="1">-(E17-Q5)</f>
        <v>-623.94358370810733</v>
      </c>
      <c r="F12" s="9">
        <f ca="1">-(F17-Q6)</f>
        <v>-422.53462686567218</v>
      </c>
      <c r="G12" s="9">
        <f ca="1">-(G17-Q7)</f>
        <v>-5.6362800417972778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-1084.1059951819407</v>
      </c>
      <c r="M12" s="17"/>
      <c r="N12" s="17"/>
      <c r="O12" s="10"/>
      <c r="P12" s="12"/>
      <c r="Q12" s="9">
        <f t="shared" ref="Q12:Q17" ca="1" si="6">SUM(L12:P12)</f>
        <v>-1084.1059951819407</v>
      </c>
      <c r="R12" s="17">
        <f t="shared" ca="1" si="4"/>
        <v>-1084.1059951819407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-7.5055646978572099</v>
      </c>
      <c r="J13" s="14">
        <f ca="1">-(J17-Q10)</f>
        <v>-204.51457754965304</v>
      </c>
      <c r="K13" s="13">
        <f ca="1">-(K17-Q11)</f>
        <v>-388.30678008534869</v>
      </c>
      <c r="L13" s="14">
        <f t="shared" ca="1" si="5"/>
        <v>-600.32692233285889</v>
      </c>
      <c r="M13" s="16">
        <f ca="1">-E15</f>
        <v>-5071.887475013571</v>
      </c>
      <c r="N13" s="16"/>
      <c r="O13" s="11"/>
      <c r="P13" s="13"/>
      <c r="Q13" s="14">
        <f t="shared" ca="1" si="6"/>
        <v>-5672.2143973464299</v>
      </c>
      <c r="R13" s="16">
        <f t="shared" ca="1" si="4"/>
        <v>-5672.2143973464299</v>
      </c>
    </row>
    <row r="14" spans="1:19">
      <c r="A14" s="18" t="s">
        <v>78</v>
      </c>
      <c r="B14" s="11"/>
      <c r="C14" s="14"/>
      <c r="D14" s="14"/>
      <c r="E14" s="14">
        <f ca="1">-(I13+J13)-K13</f>
        <v>600.32692233285889</v>
      </c>
      <c r="F14" s="14"/>
      <c r="G14" s="14"/>
      <c r="H14" s="14"/>
      <c r="I14" s="14"/>
      <c r="J14" s="14"/>
      <c r="K14" s="13"/>
      <c r="L14" s="14">
        <f t="shared" ca="1" si="5"/>
        <v>600.32692233285889</v>
      </c>
      <c r="M14" s="16"/>
      <c r="N14" s="16"/>
      <c r="O14" s="11"/>
      <c r="P14" s="13"/>
      <c r="Q14" s="14">
        <f t="shared" ca="1" si="6"/>
        <v>600.32692233285889</v>
      </c>
      <c r="R14" s="16">
        <f t="shared" ca="1" si="4"/>
        <v>600.32692233285889</v>
      </c>
    </row>
    <row r="15" spans="1:19">
      <c r="A15" s="18" t="s">
        <v>79</v>
      </c>
      <c r="B15" s="11"/>
      <c r="C15" s="14"/>
      <c r="D15" s="14"/>
      <c r="E15" s="14">
        <f ca="1">E17-E14</f>
        <v>5071.887475013571</v>
      </c>
      <c r="F15" s="14"/>
      <c r="G15" s="14"/>
      <c r="H15" s="14"/>
      <c r="I15" s="14"/>
      <c r="J15" s="14"/>
      <c r="K15" s="13"/>
      <c r="L15" s="14">
        <f t="shared" ca="1" si="5"/>
        <v>5071.887475013571</v>
      </c>
      <c r="M15" s="16"/>
      <c r="N15" s="16"/>
      <c r="O15" s="11"/>
      <c r="P15" s="13"/>
      <c r="Q15" s="14">
        <f t="shared" ca="1" si="6"/>
        <v>5071.887475013571</v>
      </c>
      <c r="R15" s="16">
        <f t="shared" ca="1" si="4"/>
        <v>5071.887475013571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5078.0165978355099</v>
      </c>
      <c r="D17" s="9">
        <f ca="1">SUM(D$2:D$11)</f>
        <v>0</v>
      </c>
      <c r="E17" s="9">
        <f ca="1">$Q$5/parameters!$B$4</f>
        <v>5672.2143973464299</v>
      </c>
      <c r="F17" s="9">
        <f t="shared" ref="F17:K17" ca="1" si="7">SUM(F$2:F$11)</f>
        <v>6815.0746268656721</v>
      </c>
      <c r="G17" s="9">
        <f t="shared" ca="1" si="7"/>
        <v>131.07628004179728</v>
      </c>
      <c r="H17" s="9">
        <f t="shared" ca="1" si="7"/>
        <v>6517.98</v>
      </c>
      <c r="I17" s="9">
        <f t="shared" ca="1" si="7"/>
        <v>219.18556469785722</v>
      </c>
      <c r="J17" s="9">
        <f t="shared" ca="1" si="7"/>
        <v>5972.454435302142</v>
      </c>
      <c r="K17" s="9">
        <f t="shared" ca="1" si="7"/>
        <v>3847.1398577524888</v>
      </c>
      <c r="L17" s="17">
        <f t="shared" ca="1" si="5"/>
        <v>34253.141759841899</v>
      </c>
      <c r="M17" s="17"/>
      <c r="N17" s="17"/>
      <c r="O17" s="9"/>
      <c r="P17" s="14"/>
      <c r="Q17" s="11">
        <f t="shared" ca="1" si="6"/>
        <v>34253.141759841899</v>
      </c>
      <c r="R17" s="17">
        <f t="shared" ca="1" si="4"/>
        <v>34253.141759841899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0.96575703008451552</v>
      </c>
      <c r="J18" s="39">
        <f ca="1">I18</f>
        <v>0.96575703008451552</v>
      </c>
      <c r="K18" s="40">
        <f ca="1">1-(-K13)/K17</f>
        <v>0.89906611289348892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5710.7024252792589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5710.7024252792589</v>
      </c>
      <c r="M2" s="17"/>
      <c r="N2" s="17">
        <f ca="1">Q2-(L2+O2+P2)</f>
        <v>0</v>
      </c>
      <c r="O2" s="11" cm="1">
        <f t="array" aca="1" ref="O2" ca="1">INDIRECT("'data'!$F$" &amp; $A$1)</f>
        <v>277802.85000000003</v>
      </c>
      <c r="P2" s="13">
        <f ca="1">IF(-(L2-Q2+O2)&lt;0, -(L2-Q2+O2), 0)</f>
        <v>-12513.552425279282</v>
      </c>
      <c r="Q2" s="17" cm="1">
        <f t="array" aca="1" ref="Q2" ca="1">INDIRECT("'data'!$D$" &amp; $A$1)</f>
        <v>271000</v>
      </c>
      <c r="R2" s="17">
        <f ca="1">SUM(L2:P2)</f>
        <v>271000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5070.9253731343288</v>
      </c>
      <c r="G3" s="14">
        <f ca="1">Q3-O3-P3-F3</f>
        <v>612.3046268656708</v>
      </c>
      <c r="H3" s="14"/>
      <c r="I3" s="14"/>
      <c r="J3" s="14"/>
      <c r="K3" s="13"/>
      <c r="L3" s="16">
        <f t="shared" ca="1" si="0"/>
        <v>5683.23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2.835</v>
      </c>
      <c r="P3" s="13" cm="1">
        <f t="array" aca="1" ref="P3" ca="1">-INDIRECT("'data'!$I$" &amp; $A$1)*parameters!$B$13</f>
        <v>-11.34</v>
      </c>
      <c r="Q3" s="16" cm="1">
        <f t="array" aca="1" ref="Q3" ca="1">INDIRECT("'data'!$G$" &amp; $A$1)*parameters!$B$13</f>
        <v>5674.7249999999995</v>
      </c>
      <c r="R3" s="16">
        <f t="shared" ref="R3:R10" ca="1" si="2">SUM(L3:P3)</f>
        <v>5674.7249999999995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46.92</v>
      </c>
      <c r="H4" s="14"/>
      <c r="I4" s="14"/>
      <c r="J4" s="14"/>
      <c r="K4" s="13"/>
      <c r="L4" s="16">
        <f t="shared" ca="1" si="0"/>
        <v>46.92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-46.92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1267.7313432835822</v>
      </c>
      <c r="G5" s="14">
        <f ca="1">Q7/parameters!$B$7-(G3+G4)</f>
        <v>599.31246822314858</v>
      </c>
      <c r="H5" s="14"/>
      <c r="I5" s="14"/>
      <c r="J5" s="14"/>
      <c r="K5" s="13"/>
      <c r="L5" s="16">
        <f t="shared" ca="1" si="0"/>
        <v>1867.0438115067309</v>
      </c>
      <c r="M5" s="16"/>
      <c r="N5" s="16"/>
      <c r="O5" s="11" cm="1">
        <f t="array" aca="1" ref="O5" ca="1">INDIRECT("'data'!$M$" &amp; $A$1)*parameters!$B$15</f>
        <v>1603.28</v>
      </c>
      <c r="P5" s="13" cm="1">
        <f t="array" aca="1" ref="P5" ca="1">-INDIRECT("'data'!$N$" &amp; $A$1)*parameters!$B$15</f>
        <v>-2.94</v>
      </c>
      <c r="Q5" s="16">
        <f ca="1">SUM(L5:P5)</f>
        <v>3467.3838115067306</v>
      </c>
      <c r="R5" s="16">
        <f t="shared" ca="1" si="2"/>
        <v>3467.3838115067306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5945.66</v>
      </c>
      <c r="I6" s="14"/>
      <c r="J6" s="14"/>
      <c r="K6" s="13"/>
      <c r="L6" s="16">
        <f t="shared" ca="1" si="0"/>
        <v>5945.66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5945.66</v>
      </c>
      <c r="R6" s="16">
        <f t="shared" ca="1" si="2"/>
        <v>5945.66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1204.42</v>
      </c>
      <c r="I7" s="14"/>
      <c r="J7" s="14"/>
      <c r="K7" s="13"/>
      <c r="L7" s="16">
        <f t="shared" ca="1" si="0"/>
        <v>1204.42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1204.42</v>
      </c>
      <c r="R7" s="16">
        <f t="shared" ca="1" si="2"/>
        <v>1204.42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2232.6453358576509</v>
      </c>
      <c r="J8" s="14">
        <f ca="1">Q10/J18</f>
        <v>4951.7346641423483</v>
      </c>
      <c r="K8" s="13"/>
      <c r="L8" s="16">
        <f t="shared" ca="1" si="0"/>
        <v>7184.3799999999992</v>
      </c>
      <c r="M8" s="16"/>
      <c r="N8" s="16">
        <f t="shared" ca="1" si="3"/>
        <v>0</v>
      </c>
      <c r="O8" s="11" cm="1">
        <f t="array" aca="1" ref="O8" ca="1">INDIRECT("'data'!$R$" &amp; $A$1)*parameters!$B$15</f>
        <v>17.64</v>
      </c>
      <c r="P8" s="13" cm="1">
        <f t="array" aca="1" ref="P8" ca="1">-INDIRECT("'data'!$S$" &amp; $A$1)*parameters!$B$15</f>
        <v>-51.94</v>
      </c>
      <c r="Q8" s="16">
        <f ca="1">SUM(Q6:Q7)</f>
        <v>7150.08</v>
      </c>
      <c r="R8" s="16">
        <f t="shared" ca="1" si="2"/>
        <v>7150.08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2646.98</v>
      </c>
      <c r="L9" s="16">
        <f t="shared" ca="1" si="0"/>
        <v>2646.98</v>
      </c>
      <c r="M9" s="16"/>
      <c r="N9" s="16">
        <f t="shared" ca="1" si="3"/>
        <v>0</v>
      </c>
      <c r="O9" s="11" cm="1">
        <f t="array" aca="1" ref="O9" ca="1">INDIRECT("'data'!$U$" &amp; $A$1)*parameters!$B$15</f>
        <v>80.36</v>
      </c>
      <c r="P9" s="13" cm="1">
        <f t="array" aca="1" ref="P9" ca="1">-INDIRECT("'data'!$V$" &amp; $A$1)*parameters!$B$15</f>
        <v>-838.88</v>
      </c>
      <c r="Q9" s="16" cm="1">
        <f t="array" aca="1" ref="Q9" ca="1">INDIRECT("'data'!$T$" &amp; $A$1)*parameters!$B$15</f>
        <v>1888.46</v>
      </c>
      <c r="R9" s="16">
        <f t="shared" ca="1" si="2"/>
        <v>1888.46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3700.3336273115215</v>
      </c>
      <c r="L10" s="16">
        <f t="shared" ca="1" si="0"/>
        <v>3700.3336273115215</v>
      </c>
      <c r="M10" s="16"/>
      <c r="N10" s="16">
        <f t="shared" ca="1" si="3"/>
        <v>0</v>
      </c>
      <c r="O10" s="11" cm="1">
        <f t="array" aca="1" ref="O10" ca="1">INDIRECT("'data'!$X$" &amp; $A$1)*parameters!$B$15</f>
        <v>1461.18</v>
      </c>
      <c r="P10" s="13" cm="1">
        <f t="array" aca="1" ref="P10" ca="1">-INDIRECT("'data'!$Y$" &amp; $A$1)*parameters!$B$15</f>
        <v>-973.14</v>
      </c>
      <c r="Q10" s="16" cm="1">
        <f t="array" aca="1" ref="Q10" ca="1">INDIRECT("'data'!$W$" &amp; $A$1)*parameters!$B$15</f>
        <v>4188.3736273115219</v>
      </c>
      <c r="R10" s="16">
        <f t="shared" ca="1" si="2"/>
        <v>4188.373627311521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9155.3281194879091</v>
      </c>
      <c r="N11" s="19"/>
      <c r="O11" s="21" cm="1">
        <f t="array" aca="1" ref="O11" ca="1">INDIRECT("'data'!$Z$" &amp; $A$1)*parameters!$B$15</f>
        <v>653.66</v>
      </c>
      <c r="P11" s="27" cm="1">
        <f t="array" aca="1" ref="P11" ca="1">-INDIRECT("'data'!$AA$" &amp; $A$1)*parameters!$B$15</f>
        <v>-4138.54</v>
      </c>
      <c r="Q11" s="16">
        <f ca="1">K9*parameters!$B$10+K10*parameters!$B$11</f>
        <v>5670.4481194879081</v>
      </c>
      <c r="R11" s="16">
        <f t="shared" ref="R11:R17" ca="1" si="4">SUM(L11:P11)</f>
        <v>5670.448119487909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-35.977425279259478</v>
      </c>
      <c r="D12" s="9">
        <f ca="1">-(D17-Q4)</f>
        <v>0</v>
      </c>
      <c r="E12" s="9">
        <f ca="1">-(E17-Q5)</f>
        <v>-428.55305535476418</v>
      </c>
      <c r="F12" s="9">
        <f ca="1">-(F17-Q6)</f>
        <v>-392.99671641791065</v>
      </c>
      <c r="G12" s="9">
        <f ca="1">-(G17-Q7)</f>
        <v>-54.117095088819269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-911.64429214075358</v>
      </c>
      <c r="M12" s="17"/>
      <c r="N12" s="17"/>
      <c r="O12" s="10"/>
      <c r="P12" s="12"/>
      <c r="Q12" s="9">
        <f t="shared" ref="Q12:Q17" ca="1" si="6">SUM(L12:P12)</f>
        <v>-911.64429214075358</v>
      </c>
      <c r="R12" s="17">
        <f t="shared" ca="1" si="4"/>
        <v>-911.64429214075358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-344.1853358576509</v>
      </c>
      <c r="J13" s="14">
        <f ca="1">-(J17-Q10)</f>
        <v>-763.36103683082638</v>
      </c>
      <c r="K13" s="13">
        <f ca="1">-(K17-Q11)</f>
        <v>-676.86550782361337</v>
      </c>
      <c r="L13" s="14">
        <f t="shared" ca="1" si="5"/>
        <v>-1784.4118805120906</v>
      </c>
      <c r="M13" s="16">
        <f ca="1">-E15</f>
        <v>-2111.5249863494041</v>
      </c>
      <c r="N13" s="16"/>
      <c r="O13" s="11"/>
      <c r="P13" s="13"/>
      <c r="Q13" s="14">
        <f t="shared" ca="1" si="6"/>
        <v>-3895.9368668614948</v>
      </c>
      <c r="R13" s="16">
        <f t="shared" ca="1" si="4"/>
        <v>-3895.9368668614948</v>
      </c>
    </row>
    <row r="14" spans="1:19">
      <c r="A14" s="18" t="s">
        <v>78</v>
      </c>
      <c r="B14" s="11"/>
      <c r="C14" s="14"/>
      <c r="D14" s="14"/>
      <c r="E14" s="14">
        <f ca="1">-(I13+J13)-K13</f>
        <v>1784.4118805120906</v>
      </c>
      <c r="F14" s="14"/>
      <c r="G14" s="14"/>
      <c r="H14" s="14"/>
      <c r="I14" s="14"/>
      <c r="J14" s="14"/>
      <c r="K14" s="13"/>
      <c r="L14" s="14">
        <f t="shared" ca="1" si="5"/>
        <v>1784.4118805120906</v>
      </c>
      <c r="M14" s="16"/>
      <c r="N14" s="16"/>
      <c r="O14" s="11"/>
      <c r="P14" s="13"/>
      <c r="Q14" s="14">
        <f t="shared" ca="1" si="6"/>
        <v>1784.4118805120906</v>
      </c>
      <c r="R14" s="16">
        <f t="shared" ca="1" si="4"/>
        <v>1784.4118805120906</v>
      </c>
    </row>
    <row r="15" spans="1:19">
      <c r="A15" s="18" t="s">
        <v>79</v>
      </c>
      <c r="B15" s="11"/>
      <c r="C15" s="14"/>
      <c r="D15" s="14"/>
      <c r="E15" s="14">
        <f ca="1">E17-E14</f>
        <v>2111.5249863494041</v>
      </c>
      <c r="F15" s="14"/>
      <c r="G15" s="14"/>
      <c r="H15" s="14"/>
      <c r="I15" s="14"/>
      <c r="J15" s="14"/>
      <c r="K15" s="13"/>
      <c r="L15" s="14">
        <f t="shared" ca="1" si="5"/>
        <v>2111.5249863494041</v>
      </c>
      <c r="M15" s="16"/>
      <c r="N15" s="16"/>
      <c r="O15" s="11"/>
      <c r="P15" s="13"/>
      <c r="Q15" s="14">
        <f t="shared" ca="1" si="6"/>
        <v>2111.5249863494041</v>
      </c>
      <c r="R15" s="16">
        <f t="shared" ca="1" si="4"/>
        <v>2111.5249863494041</v>
      </c>
    </row>
    <row r="16" spans="1:19">
      <c r="A16" s="30" t="s">
        <v>89</v>
      </c>
      <c r="B16" s="21">
        <f ca="1">Q2</f>
        <v>271000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271000</v>
      </c>
      <c r="M16" s="19"/>
      <c r="N16" s="19"/>
      <c r="O16" s="21"/>
      <c r="P16" s="27"/>
      <c r="Q16" s="22">
        <f t="shared" ca="1" si="6"/>
        <v>271000</v>
      </c>
      <c r="R16" s="19">
        <f t="shared" ca="1" si="4"/>
        <v>271000</v>
      </c>
    </row>
    <row r="17" spans="1:18">
      <c r="A17" s="29" t="s">
        <v>88</v>
      </c>
      <c r="B17" s="9">
        <f ca="1">B16</f>
        <v>271000</v>
      </c>
      <c r="C17" s="9">
        <f ca="1">SUM(C$2:C$11)</f>
        <v>5710.7024252792589</v>
      </c>
      <c r="D17" s="9">
        <f ca="1">SUM(D$2:D$11)</f>
        <v>0</v>
      </c>
      <c r="E17" s="9">
        <f ca="1">$Q$5/parameters!$B$4</f>
        <v>3895.9368668614948</v>
      </c>
      <c r="F17" s="9">
        <f t="shared" ref="F17:K17" ca="1" si="7">SUM(F$2:F$11)</f>
        <v>6338.6567164179105</v>
      </c>
      <c r="G17" s="9">
        <f t="shared" ca="1" si="7"/>
        <v>1258.5370950888193</v>
      </c>
      <c r="H17" s="9">
        <f t="shared" ca="1" si="7"/>
        <v>7150.08</v>
      </c>
      <c r="I17" s="9">
        <f t="shared" ca="1" si="7"/>
        <v>2232.6453358576509</v>
      </c>
      <c r="J17" s="9">
        <f t="shared" ca="1" si="7"/>
        <v>4951.7346641423483</v>
      </c>
      <c r="K17" s="9">
        <f t="shared" ca="1" si="7"/>
        <v>6347.3136273115215</v>
      </c>
      <c r="L17" s="17">
        <f t="shared" ca="1" si="5"/>
        <v>308885.60673095897</v>
      </c>
      <c r="M17" s="17"/>
      <c r="N17" s="17"/>
      <c r="O17" s="9"/>
      <c r="P17" s="14"/>
      <c r="Q17" s="11">
        <f t="shared" ca="1" si="6"/>
        <v>308885.60673095897</v>
      </c>
      <c r="R17" s="17">
        <f t="shared" ca="1" si="4"/>
        <v>308885.60673095897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0.84583967263863025</v>
      </c>
      <c r="J18" s="39">
        <f ca="1">I18</f>
        <v>0.84583967263863025</v>
      </c>
      <c r="K18" s="40">
        <f ca="1">1-(-K13)/K17</f>
        <v>0.89336189330378057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5162.9314682499744</v>
      </c>
      <c r="D2" s="9">
        <f ca="1">Q4/parameters!$B$3</f>
        <v>1036.9326758579048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6199.8641441078789</v>
      </c>
      <c r="M2" s="17"/>
      <c r="N2" s="17">
        <f ca="1">Q2-(L2+O2+P2)</f>
        <v>0</v>
      </c>
      <c r="O2" s="11" cm="1">
        <f t="array" aca="1" ref="O2" ca="1">INDIRECT("'data'!$F$" &amp; $A$1)</f>
        <v>31181.15</v>
      </c>
      <c r="P2" s="13">
        <f ca="1">IF(-(L2-Q2+O2)&lt;0, -(L2-Q2+O2), 0)</f>
        <v>-481.01414410788129</v>
      </c>
      <c r="Q2" s="17" cm="1">
        <f t="array" aca="1" ref="Q2" ca="1">INDIRECT("'data'!$D$" &amp; $A$1)</f>
        <v>36900</v>
      </c>
      <c r="R2" s="17">
        <f ca="1">SUM(L2:P2)</f>
        <v>36900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3650.0298507462685</v>
      </c>
      <c r="G3" s="14">
        <f ca="1">Q3-O3-P3-F3</f>
        <v>890.69514925373096</v>
      </c>
      <c r="H3" s="14"/>
      <c r="I3" s="14"/>
      <c r="J3" s="14"/>
      <c r="K3" s="13"/>
      <c r="L3" s="16">
        <f t="shared" ca="1" si="0"/>
        <v>4540.7249999999995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589.67999999999995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5130.4049999999997</v>
      </c>
      <c r="R3" s="16">
        <f t="shared" ref="R3:R10" ca="1" si="2">SUM(L3:P3)</f>
        <v>5130.4049999999997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1030.4000000000001</v>
      </c>
      <c r="H4" s="14"/>
      <c r="I4" s="14"/>
      <c r="J4" s="14"/>
      <c r="K4" s="13"/>
      <c r="L4" s="16">
        <f t="shared" ca="1" si="0"/>
        <v>1030.4000000000001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1030.4000000000001</v>
      </c>
      <c r="R4" s="16">
        <f t="shared" ca="1" si="2"/>
        <v>1030.4000000000001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912.50746268656712</v>
      </c>
      <c r="G5" s="14">
        <f ca="1">Q7/parameters!$B$7-(G3+G4)</f>
        <v>1407.0135236825281</v>
      </c>
      <c r="H5" s="14"/>
      <c r="I5" s="14"/>
      <c r="J5" s="14"/>
      <c r="K5" s="13"/>
      <c r="L5" s="16">
        <f t="shared" ca="1" si="0"/>
        <v>2319.5209863690952</v>
      </c>
      <c r="M5" s="16"/>
      <c r="N5" s="16"/>
      <c r="O5" s="11" cm="1">
        <f t="array" aca="1" ref="O5" ca="1">INDIRECT("'data'!$M$" &amp; $A$1)*parameters!$B$15</f>
        <v>1199.52</v>
      </c>
      <c r="P5" s="13" cm="1">
        <f t="array" aca="1" ref="P5" ca="1">-INDIRECT("'data'!$N$" &amp; $A$1)*parameters!$B$15</f>
        <v>-52.92</v>
      </c>
      <c r="Q5" s="16">
        <f ca="1">SUM(L5:P5)</f>
        <v>3466.1209863690951</v>
      </c>
      <c r="R5" s="16">
        <f t="shared" ca="1" si="2"/>
        <v>3466.1209863690951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4279.66</v>
      </c>
      <c r="I6" s="14"/>
      <c r="J6" s="14"/>
      <c r="K6" s="13"/>
      <c r="L6" s="16">
        <f t="shared" ca="1" si="0"/>
        <v>4279.66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4279.66</v>
      </c>
      <c r="R6" s="16">
        <f t="shared" ca="1" si="2"/>
        <v>4279.66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3185</v>
      </c>
      <c r="I7" s="14"/>
      <c r="J7" s="14"/>
      <c r="K7" s="13"/>
      <c r="L7" s="16">
        <f t="shared" ca="1" si="0"/>
        <v>3185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3185</v>
      </c>
      <c r="R7" s="16">
        <f t="shared" ca="1" si="2"/>
        <v>3185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2976.7262435170037</v>
      </c>
      <c r="J8" s="14">
        <f ca="1">Q10/J18</f>
        <v>4270.3737564829962</v>
      </c>
      <c r="K8" s="13"/>
      <c r="L8" s="16">
        <f t="shared" ca="1" si="0"/>
        <v>7247.1</v>
      </c>
      <c r="M8" s="16"/>
      <c r="N8" s="16">
        <f t="shared" ca="1" si="3"/>
        <v>0</v>
      </c>
      <c r="O8" s="11" cm="1">
        <f t="array" aca="1" ref="O8" ca="1">INDIRECT("'data'!$R$" &amp; $A$1)*parameters!$B$15</f>
        <v>223.44</v>
      </c>
      <c r="P8" s="13" cm="1">
        <f t="array" aca="1" ref="P8" ca="1">-INDIRECT("'data'!$S$" &amp; $A$1)*parameters!$B$15</f>
        <v>-5.88</v>
      </c>
      <c r="Q8" s="16">
        <f ca="1">SUM(Q6:Q7)</f>
        <v>7464.66</v>
      </c>
      <c r="R8" s="16">
        <f t="shared" ca="1" si="2"/>
        <v>7464.66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1695.4</v>
      </c>
      <c r="L9" s="16">
        <f t="shared" ca="1" si="0"/>
        <v>1695.4</v>
      </c>
      <c r="M9" s="16"/>
      <c r="N9" s="16">
        <f t="shared" ca="1" si="3"/>
        <v>0</v>
      </c>
      <c r="O9" s="11" cm="1">
        <f t="array" aca="1" ref="O9" ca="1">INDIRECT("'data'!$U$" &amp; $A$1)*parameters!$B$15</f>
        <v>793.8</v>
      </c>
      <c r="P9" s="13" cm="1">
        <f t="array" aca="1" ref="P9" ca="1">-INDIRECT("'data'!$V$" &amp; $A$1)*parameters!$B$15</f>
        <v>-186.2</v>
      </c>
      <c r="Q9" s="16" cm="1">
        <f t="array" aca="1" ref="Q9" ca="1">INDIRECT("'data'!$T$" &amp; $A$1)*parameters!$B$15</f>
        <v>2303</v>
      </c>
      <c r="R9" s="16">
        <f t="shared" ca="1" si="2"/>
        <v>2303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2023.9746230440967</v>
      </c>
      <c r="L10" s="16">
        <f t="shared" ca="1" si="0"/>
        <v>2023.9746230440967</v>
      </c>
      <c r="M10" s="16"/>
      <c r="N10" s="16">
        <f t="shared" ca="1" si="3"/>
        <v>0</v>
      </c>
      <c r="O10" s="11" cm="1">
        <f t="array" aca="1" ref="O10" ca="1">INDIRECT("'data'!$X$" &amp; $A$1)*parameters!$B$15</f>
        <v>1793.3999999999999</v>
      </c>
      <c r="P10" s="13" cm="1">
        <f t="array" aca="1" ref="P10" ca="1">-INDIRECT("'data'!$Y$" &amp; $A$1)*parameters!$B$15</f>
        <v>-513.52</v>
      </c>
      <c r="Q10" s="16" cm="1">
        <f t="array" aca="1" ref="Q10" ca="1">INDIRECT("'data'!$W$" &amp; $A$1)*parameters!$B$15</f>
        <v>3303.8546230440966</v>
      </c>
      <c r="R10" s="16">
        <f t="shared" ca="1" si="2"/>
        <v>3303.8546230440966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3633.1941758179228</v>
      </c>
      <c r="N11" s="19"/>
      <c r="O11" s="21" cm="1">
        <f t="array" aca="1" ref="O11" ca="1">INDIRECT("'data'!$Z$" &amp; $A$1)*parameters!$B$15</f>
        <v>1212.26</v>
      </c>
      <c r="P11" s="27" cm="1">
        <f t="array" aca="1" ref="P11" ca="1">-INDIRECT("'data'!$AA$" &amp; $A$1)*parameters!$B$15</f>
        <v>-1511.16</v>
      </c>
      <c r="Q11" s="16">
        <f ca="1">K9*parameters!$B$10+K10*parameters!$B$11</f>
        <v>3334.2941758179231</v>
      </c>
      <c r="R11" s="16">
        <f t="shared" ref="R11:R17" ca="1" si="4">SUM(L11:P11)</f>
        <v>3334.2941758179231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-32.526468249974641</v>
      </c>
      <c r="D12" s="9">
        <f ca="1">-(D17-Q4)</f>
        <v>-6.5326758579046782</v>
      </c>
      <c r="E12" s="9">
        <f ca="1">-(E17-Q5)</f>
        <v>-428.39697584337137</v>
      </c>
      <c r="F12" s="9">
        <f ca="1">-(F17-Q6)</f>
        <v>-282.87731343283576</v>
      </c>
      <c r="G12" s="9">
        <f ca="1">-(G17-Q7)</f>
        <v>-143.10867293625915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-893.4421063203456</v>
      </c>
      <c r="M12" s="17"/>
      <c r="N12" s="17"/>
      <c r="O12" s="10"/>
      <c r="P12" s="12"/>
      <c r="Q12" s="9">
        <f t="shared" ref="Q12:Q17" ca="1" si="6">SUM(L12:P12)</f>
        <v>-893.4421063203456</v>
      </c>
      <c r="R12" s="17">
        <f t="shared" ca="1" si="4"/>
        <v>-893.4421063203456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-673.7262435170037</v>
      </c>
      <c r="J13" s="14">
        <f ca="1">-(J17-Q10)</f>
        <v>-966.51913343889964</v>
      </c>
      <c r="K13" s="13">
        <f ca="1">-(K17-Q11)</f>
        <v>-385.08044722617342</v>
      </c>
      <c r="L13" s="14">
        <f t="shared" ca="1" si="5"/>
        <v>-2025.3258241820768</v>
      </c>
      <c r="M13" s="16">
        <f ca="1">-E15</f>
        <v>-1869.1921380303897</v>
      </c>
      <c r="N13" s="16"/>
      <c r="O13" s="11"/>
      <c r="P13" s="13"/>
      <c r="Q13" s="14">
        <f t="shared" ca="1" si="6"/>
        <v>-3894.5179622124665</v>
      </c>
      <c r="R13" s="16">
        <f t="shared" ca="1" si="4"/>
        <v>-3894.5179622124665</v>
      </c>
    </row>
    <row r="14" spans="1:20">
      <c r="A14" s="18" t="s">
        <v>78</v>
      </c>
      <c r="B14" s="11"/>
      <c r="C14" s="14"/>
      <c r="D14" s="14"/>
      <c r="E14" s="14">
        <f ca="1">-(I13+J13)-K13</f>
        <v>2025.3258241820768</v>
      </c>
      <c r="F14" s="14"/>
      <c r="G14" s="14"/>
      <c r="H14" s="14"/>
      <c r="I14" s="14"/>
      <c r="J14" s="14"/>
      <c r="K14" s="13"/>
      <c r="L14" s="14">
        <f t="shared" ca="1" si="5"/>
        <v>2025.3258241820768</v>
      </c>
      <c r="M14" s="16"/>
      <c r="N14" s="16"/>
      <c r="O14" s="11"/>
      <c r="P14" s="13"/>
      <c r="Q14" s="14">
        <f t="shared" ca="1" si="6"/>
        <v>2025.3258241820768</v>
      </c>
      <c r="R14" s="16">
        <f t="shared" ca="1" si="4"/>
        <v>2025.3258241820768</v>
      </c>
    </row>
    <row r="15" spans="1:20">
      <c r="A15" s="18" t="s">
        <v>79</v>
      </c>
      <c r="B15" s="11"/>
      <c r="C15" s="14"/>
      <c r="D15" s="14"/>
      <c r="E15" s="14">
        <f ca="1">E17-E14</f>
        <v>1869.1921380303897</v>
      </c>
      <c r="F15" s="14"/>
      <c r="G15" s="14"/>
      <c r="H15" s="14"/>
      <c r="I15" s="14"/>
      <c r="J15" s="14"/>
      <c r="K15" s="13"/>
      <c r="L15" s="14">
        <f t="shared" ca="1" si="5"/>
        <v>1869.1921380303897</v>
      </c>
      <c r="M15" s="16"/>
      <c r="N15" s="16"/>
      <c r="O15" s="11"/>
      <c r="P15" s="13"/>
      <c r="Q15" s="14">
        <f t="shared" ca="1" si="6"/>
        <v>1869.1921380303897</v>
      </c>
      <c r="R15" s="16">
        <f t="shared" ca="1" si="4"/>
        <v>1869.1921380303897</v>
      </c>
    </row>
    <row r="16" spans="1:20">
      <c r="A16" s="30" t="s">
        <v>89</v>
      </c>
      <c r="B16" s="21">
        <f ca="1">Q2</f>
        <v>36900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36900</v>
      </c>
      <c r="M16" s="19"/>
      <c r="N16" s="19"/>
      <c r="O16" s="21"/>
      <c r="P16" s="27"/>
      <c r="Q16" s="22">
        <f t="shared" ca="1" si="6"/>
        <v>36900</v>
      </c>
      <c r="R16" s="19">
        <f t="shared" ca="1" si="4"/>
        <v>36900</v>
      </c>
    </row>
    <row r="17" spans="1:18">
      <c r="A17" s="29" t="s">
        <v>88</v>
      </c>
      <c r="B17" s="9">
        <f ca="1">B16</f>
        <v>36900</v>
      </c>
      <c r="C17" s="9">
        <f ca="1">SUM(C$2:C$11)</f>
        <v>5162.9314682499744</v>
      </c>
      <c r="D17" s="9">
        <f ca="1">SUM(D$2:D$11)</f>
        <v>1036.9326758579048</v>
      </c>
      <c r="E17" s="9">
        <f ca="1">$Q$5/parameters!$B$4</f>
        <v>3894.5179622124665</v>
      </c>
      <c r="F17" s="9">
        <f t="shared" ref="F17:K17" ca="1" si="7">SUM(F$2:F$11)</f>
        <v>4562.5373134328356</v>
      </c>
      <c r="G17" s="9">
        <f t="shared" ca="1" si="7"/>
        <v>3328.1086729362592</v>
      </c>
      <c r="H17" s="9">
        <f t="shared" ca="1" si="7"/>
        <v>7464.66</v>
      </c>
      <c r="I17" s="9">
        <f t="shared" ca="1" si="7"/>
        <v>2976.7262435170037</v>
      </c>
      <c r="J17" s="9">
        <f t="shared" ca="1" si="7"/>
        <v>4270.3737564829962</v>
      </c>
      <c r="K17" s="9">
        <f t="shared" ca="1" si="7"/>
        <v>3719.3746230440966</v>
      </c>
      <c r="L17" s="17">
        <f t="shared" ca="1" si="5"/>
        <v>73316.162715733546</v>
      </c>
      <c r="M17" s="17"/>
      <c r="N17" s="17"/>
      <c r="O17" s="9"/>
      <c r="P17" s="14"/>
      <c r="Q17" s="11">
        <f t="shared" ca="1" si="6"/>
        <v>73316.162715733546</v>
      </c>
      <c r="R17" s="17">
        <f t="shared" ca="1" si="4"/>
        <v>73316.162715733546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0.77366872584124635</v>
      </c>
      <c r="J18" s="39">
        <f ca="1">I18</f>
        <v>0.77366872584124635</v>
      </c>
      <c r="K18" s="40">
        <f ca="1">1-(-K13)/K17</f>
        <v>0.89646634548713278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2212.740263661065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2212.740263661065</v>
      </c>
      <c r="M2" s="17"/>
      <c r="N2" s="17">
        <f ca="1">Q2-(L2+O2+P2)</f>
        <v>0</v>
      </c>
      <c r="O2" s="11" cm="1">
        <f t="array" aca="1" ref="O2" ca="1">INDIRECT("'data'!$F$" &amp; $A$1)</f>
        <v>1829.75</v>
      </c>
      <c r="P2" s="13">
        <f ca="1">IF(-(L2-Q2+O2)&lt;0, -(L2-Q2+O2), 0)</f>
        <v>-1822.490263661065</v>
      </c>
      <c r="Q2" s="17" cm="1">
        <f t="array" aca="1" ref="Q2" ca="1">INDIRECT("'data'!$D$" &amp; $A$1)</f>
        <v>2220</v>
      </c>
      <c r="R2" s="17">
        <f ca="1">SUM(L2:P2)</f>
        <v>2220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3.78</v>
      </c>
      <c r="H3" s="14"/>
      <c r="I3" s="14"/>
      <c r="J3" s="14"/>
      <c r="K3" s="13"/>
      <c r="L3" s="16">
        <f t="shared" ca="1" si="0"/>
        <v>3.78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-3.78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1933.8400000000001</v>
      </c>
      <c r="H4" s="14"/>
      <c r="I4" s="14"/>
      <c r="J4" s="14"/>
      <c r="K4" s="13"/>
      <c r="L4" s="16">
        <f t="shared" ca="1" si="0"/>
        <v>1933.8400000000001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435.16</v>
      </c>
      <c r="P4" s="13" cm="1">
        <f t="array" aca="1" ref="P4" ca="1">-INDIRECT("'data'!$L$" &amp; $A$1)*parameters!$B$14</f>
        <v>-170.20000000000002</v>
      </c>
      <c r="Q4" s="16" cm="1">
        <f t="array" aca="1" ref="Q4" ca="1">INDIRECT("'data'!$J$" &amp; $A$1)*parameters!$B$14</f>
        <v>2198.8000000000002</v>
      </c>
      <c r="R4" s="16">
        <f t="shared" ca="1" si="2"/>
        <v>2198.8000000000002</v>
      </c>
      <c r="S4" s="7"/>
    </row>
    <row r="5" spans="1:19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3893.2263949843264</v>
      </c>
      <c r="H5" s="14"/>
      <c r="I5" s="14"/>
      <c r="J5" s="14"/>
      <c r="K5" s="13"/>
      <c r="L5" s="16">
        <f t="shared" ca="1" si="0"/>
        <v>3893.2263949843264</v>
      </c>
      <c r="M5" s="16"/>
      <c r="N5" s="16"/>
      <c r="O5" s="11" cm="1">
        <f t="array" aca="1" ref="O5" ca="1">INDIRECT("'data'!$M$" &amp; $A$1)*parameters!$B$15</f>
        <v>98.98</v>
      </c>
      <c r="P5" s="13" cm="1">
        <f t="array" aca="1" ref="P5" ca="1">-INDIRECT("'data'!$N$" &amp; $A$1)*parameters!$B$15</f>
        <v>-2261.84</v>
      </c>
      <c r="Q5" s="16">
        <f ca="1">SUM(L5:P5)</f>
        <v>1730.3663949843262</v>
      </c>
      <c r="R5" s="16">
        <f t="shared" ca="1" si="2"/>
        <v>1730.3663949843262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5580.12</v>
      </c>
      <c r="I7" s="14"/>
      <c r="J7" s="14"/>
      <c r="K7" s="13"/>
      <c r="L7" s="16">
        <f t="shared" ca="1" si="0"/>
        <v>5580.12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5580.12</v>
      </c>
      <c r="R7" s="16">
        <f t="shared" ca="1" si="2"/>
        <v>5580.12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3788.8211035188247</v>
      </c>
      <c r="J8" s="14">
        <f ca="1">Q10/J18</f>
        <v>1396.3588964811756</v>
      </c>
      <c r="K8" s="13"/>
      <c r="L8" s="16">
        <f t="shared" ca="1" si="0"/>
        <v>5185.18</v>
      </c>
      <c r="M8" s="16"/>
      <c r="N8" s="16">
        <f t="shared" ca="1" si="3"/>
        <v>0</v>
      </c>
      <c r="O8" s="11" cm="1">
        <f t="array" aca="1" ref="O8" ca="1">INDIRECT("'data'!$R$" &amp; $A$1)*parameters!$B$15</f>
        <v>553.70000000000005</v>
      </c>
      <c r="P8" s="13" cm="1">
        <f t="array" aca="1" ref="P8" ca="1">-INDIRECT("'data'!$S$" &amp; $A$1)*parameters!$B$15</f>
        <v>-158.76</v>
      </c>
      <c r="Q8" s="16">
        <f ca="1">SUM(Q6:Q7)</f>
        <v>5580.12</v>
      </c>
      <c r="R8" s="16">
        <f t="shared" ca="1" si="2"/>
        <v>5580.12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3957.2400000000002</v>
      </c>
      <c r="L9" s="16">
        <f t="shared" ca="1" si="0"/>
        <v>3957.2400000000002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702.66</v>
      </c>
      <c r="P9" s="13" cm="1">
        <f t="array" aca="1" ref="P9" ca="1">-INDIRECT("'data'!$V$" &amp; $A$1)*parameters!$B$15</f>
        <v>-1130.92</v>
      </c>
      <c r="Q9" s="16" cm="1">
        <f t="array" aca="1" ref="Q9" ca="1">INDIRECT("'data'!$T$" &amp; $A$1)*parameters!$B$15</f>
        <v>3528.98</v>
      </c>
      <c r="R9" s="16">
        <f t="shared" ca="1" si="2"/>
        <v>3528.9800000000005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3844.6752204836412</v>
      </c>
      <c r="L10" s="16">
        <f t="shared" ca="1" si="0"/>
        <v>3844.6752204836412</v>
      </c>
      <c r="M10" s="16"/>
      <c r="N10" s="16">
        <f t="shared" ca="1" si="3"/>
        <v>0</v>
      </c>
      <c r="O10" s="11" cm="1">
        <f t="array" aca="1" ref="O10" ca="1">INDIRECT("'data'!$X$" &amp; $A$1)*parameters!$B$15</f>
        <v>513.52</v>
      </c>
      <c r="P10" s="13" cm="1">
        <f t="array" aca="1" ref="P10" ca="1">-INDIRECT("'data'!$Y$" &amp; $A$1)*parameters!$B$15</f>
        <v>-3057.6</v>
      </c>
      <c r="Q10" s="16" cm="1">
        <f t="array" aca="1" ref="Q10" ca="1">INDIRECT("'data'!$W$" &amp; $A$1)*parameters!$B$15</f>
        <v>1300.5952204836415</v>
      </c>
      <c r="R10" s="16">
        <f t="shared" ca="1" si="2"/>
        <v>1300.5952204836417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7923.9062896159321</v>
      </c>
      <c r="N11" s="19"/>
      <c r="O11" s="21" cm="1">
        <f t="array" aca="1" ref="O11" ca="1">INDIRECT("'data'!$Z$" &amp; $A$1)*parameters!$B$15</f>
        <v>1967.84</v>
      </c>
      <c r="P11" s="27" cm="1">
        <f t="array" aca="1" ref="P11" ca="1">-INDIRECT("'data'!$AA$" &amp; $A$1)*parameters!$B$15</f>
        <v>-2865.52</v>
      </c>
      <c r="Q11" s="16">
        <f ca="1">K9*parameters!$B$10+K10*parameters!$B$11</f>
        <v>7026.2262896159318</v>
      </c>
      <c r="R11" s="16">
        <f t="shared" ref="R11:R17" ca="1" si="4">SUM(L11:P11)</f>
        <v>7026.2262896159318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-13.940263661064819</v>
      </c>
      <c r="E12" s="9">
        <f ca="1">-(E17-Q5)</f>
        <v>-213.86550949244474</v>
      </c>
      <c r="F12" s="9">
        <f ca="1">-(F17-Q6)</f>
        <v>0</v>
      </c>
      <c r="G12" s="9">
        <f ca="1">-(G17-Q7)</f>
        <v>-250.72639498432636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-478.53216813783592</v>
      </c>
      <c r="M12" s="17"/>
      <c r="N12" s="17"/>
      <c r="O12" s="10"/>
      <c r="P12" s="12"/>
      <c r="Q12" s="9">
        <f t="shared" ref="Q12:Q17" ca="1" si="6">SUM(L12:P12)</f>
        <v>-478.53216813783592</v>
      </c>
      <c r="R12" s="17">
        <f t="shared" ca="1" si="4"/>
        <v>-478.53216813783592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-259.84110351882464</v>
      </c>
      <c r="J13" s="14">
        <f ca="1">-(J17-Q10)</f>
        <v>-95.763675997534165</v>
      </c>
      <c r="K13" s="13">
        <f ca="1">-(K17-Q11)</f>
        <v>-775.68893086770913</v>
      </c>
      <c r="L13" s="14">
        <f t="shared" ca="1" si="5"/>
        <v>-1131.2937103840679</v>
      </c>
      <c r="M13" s="16">
        <f ca="1">-E15</f>
        <v>-812.93819409270304</v>
      </c>
      <c r="N13" s="16"/>
      <c r="O13" s="11"/>
      <c r="P13" s="13"/>
      <c r="Q13" s="14">
        <f t="shared" ca="1" si="6"/>
        <v>-1944.231904476771</v>
      </c>
      <c r="R13" s="16">
        <f t="shared" ca="1" si="4"/>
        <v>-1944.231904476771</v>
      </c>
    </row>
    <row r="14" spans="1:19">
      <c r="A14" s="18" t="s">
        <v>78</v>
      </c>
      <c r="B14" s="11"/>
      <c r="C14" s="14"/>
      <c r="D14" s="14"/>
      <c r="E14" s="14">
        <f ca="1">-(I13+J13)-K13</f>
        <v>1131.2937103840679</v>
      </c>
      <c r="F14" s="14"/>
      <c r="G14" s="14"/>
      <c r="H14" s="14"/>
      <c r="I14" s="14"/>
      <c r="J14" s="14"/>
      <c r="K14" s="13"/>
      <c r="L14" s="14">
        <f t="shared" ca="1" si="5"/>
        <v>1131.2937103840679</v>
      </c>
      <c r="M14" s="16"/>
      <c r="N14" s="16"/>
      <c r="O14" s="11"/>
      <c r="P14" s="13"/>
      <c r="Q14" s="14">
        <f t="shared" ca="1" si="6"/>
        <v>1131.2937103840679</v>
      </c>
      <c r="R14" s="16">
        <f t="shared" ca="1" si="4"/>
        <v>1131.2937103840679</v>
      </c>
    </row>
    <row r="15" spans="1:19">
      <c r="A15" s="18" t="s">
        <v>79</v>
      </c>
      <c r="B15" s="11"/>
      <c r="C15" s="14"/>
      <c r="D15" s="14"/>
      <c r="E15" s="14">
        <f ca="1">E17-E14</f>
        <v>812.93819409270304</v>
      </c>
      <c r="F15" s="14"/>
      <c r="G15" s="14"/>
      <c r="H15" s="14"/>
      <c r="I15" s="14"/>
      <c r="J15" s="14"/>
      <c r="K15" s="13"/>
      <c r="L15" s="14">
        <f t="shared" ca="1" si="5"/>
        <v>812.93819409270304</v>
      </c>
      <c r="M15" s="16"/>
      <c r="N15" s="16"/>
      <c r="O15" s="11"/>
      <c r="P15" s="13"/>
      <c r="Q15" s="14">
        <f t="shared" ca="1" si="6"/>
        <v>812.93819409270304</v>
      </c>
      <c r="R15" s="16">
        <f t="shared" ca="1" si="4"/>
        <v>812.93819409270304</v>
      </c>
    </row>
    <row r="16" spans="1:19">
      <c r="A16" s="30" t="s">
        <v>89</v>
      </c>
      <c r="B16" s="21">
        <f ca="1">Q2</f>
        <v>2220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2220</v>
      </c>
      <c r="M16" s="19"/>
      <c r="N16" s="19"/>
      <c r="O16" s="21"/>
      <c r="P16" s="27"/>
      <c r="Q16" s="22">
        <f t="shared" ca="1" si="6"/>
        <v>2220</v>
      </c>
      <c r="R16" s="19">
        <f t="shared" ca="1" si="4"/>
        <v>2220</v>
      </c>
    </row>
    <row r="17" spans="1:18">
      <c r="A17" s="29" t="s">
        <v>88</v>
      </c>
      <c r="B17" s="9">
        <f ca="1">B16</f>
        <v>2220</v>
      </c>
      <c r="C17" s="9">
        <f ca="1">SUM(C$2:C$11)</f>
        <v>0</v>
      </c>
      <c r="D17" s="9">
        <f ca="1">SUM(D$2:D$11)</f>
        <v>2212.740263661065</v>
      </c>
      <c r="E17" s="9">
        <f ca="1">$Q$5/parameters!$B$4</f>
        <v>1944.231904476771</v>
      </c>
      <c r="F17" s="9">
        <f t="shared" ref="F17:K17" ca="1" si="7">SUM(F$2:F$11)</f>
        <v>0</v>
      </c>
      <c r="G17" s="9">
        <f t="shared" ca="1" si="7"/>
        <v>5830.8463949843263</v>
      </c>
      <c r="H17" s="9">
        <f t="shared" ca="1" si="7"/>
        <v>5580.12</v>
      </c>
      <c r="I17" s="9">
        <f t="shared" ca="1" si="7"/>
        <v>3788.8211035188247</v>
      </c>
      <c r="J17" s="9">
        <f t="shared" ca="1" si="7"/>
        <v>1396.3588964811756</v>
      </c>
      <c r="K17" s="9">
        <f t="shared" ca="1" si="7"/>
        <v>7801.915220483641</v>
      </c>
      <c r="L17" s="17">
        <f t="shared" ca="1" si="5"/>
        <v>30775.033783605802</v>
      </c>
      <c r="M17" s="17"/>
      <c r="N17" s="17"/>
      <c r="O17" s="9"/>
      <c r="P17" s="14"/>
      <c r="Q17" s="11">
        <f t="shared" ca="1" si="6"/>
        <v>30775.033783605802</v>
      </c>
      <c r="R17" s="17">
        <f t="shared" ca="1" si="4"/>
        <v>30775.033783605802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0.93141900965514046</v>
      </c>
      <c r="J18" s="39">
        <f ca="1">I18</f>
        <v>0.93141900965514046</v>
      </c>
      <c r="K18" s="40">
        <f ca="1">1-(-K13)/K17</f>
        <v>0.90057711357447634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547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547</v>
      </c>
      <c r="R2" s="17">
        <f ca="1">SUM(L2:P2)</f>
        <v>547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286.33499999999998</v>
      </c>
      <c r="H3" s="14"/>
      <c r="I3" s="14"/>
      <c r="J3" s="14"/>
      <c r="K3" s="13"/>
      <c r="L3" s="16">
        <f t="shared" ca="1" si="0"/>
        <v>286.33499999999998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-286.33499999999998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3958.2835997910133</v>
      </c>
      <c r="H5" s="14"/>
      <c r="I5" s="14"/>
      <c r="J5" s="14"/>
      <c r="K5" s="13"/>
      <c r="L5" s="16">
        <f t="shared" ca="1" si="0"/>
        <v>3958.2835997910133</v>
      </c>
      <c r="M5" s="16"/>
      <c r="N5" s="16"/>
      <c r="O5" s="11" cm="1">
        <f t="array" aca="1" ref="O5" ca="1">INDIRECT("'data'!$M$" &amp; $A$1)*parameters!$B$15</f>
        <v>536.05999999999995</v>
      </c>
      <c r="P5" s="13" cm="1">
        <f t="array" aca="1" ref="P5" ca="1">-INDIRECT("'data'!$N$" &amp; $A$1)*parameters!$B$15</f>
        <v>-1453.34</v>
      </c>
      <c r="Q5" s="16">
        <f ca="1">SUM(L5:P5)</f>
        <v>3041.0035997910127</v>
      </c>
      <c r="R5" s="16">
        <f t="shared" ca="1" si="2"/>
        <v>3041.0035997910127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4062.1</v>
      </c>
      <c r="I7" s="14"/>
      <c r="J7" s="14"/>
      <c r="K7" s="13"/>
      <c r="L7" s="16">
        <f t="shared" ca="1" si="0"/>
        <v>4062.1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4062.1</v>
      </c>
      <c r="R7" s="16">
        <f t="shared" ca="1" si="2"/>
        <v>4062.1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3862.6714993531236</v>
      </c>
      <c r="J8" s="14">
        <f ca="1">Q10/J18</f>
        <v>3913.6285006468752</v>
      </c>
      <c r="K8" s="13"/>
      <c r="L8" s="16">
        <f t="shared" ca="1" si="0"/>
        <v>7776.2999999999993</v>
      </c>
      <c r="M8" s="16"/>
      <c r="N8" s="16">
        <f t="shared" ca="1" si="3"/>
        <v>0</v>
      </c>
      <c r="O8" s="11" cm="1">
        <f t="array" aca="1" ref="O8" ca="1">INDIRECT("'data'!$R$" &amp; $A$1)*parameters!$B$15</f>
        <v>215.6</v>
      </c>
      <c r="P8" s="13" cm="1">
        <f t="array" aca="1" ref="P8" ca="1">-INDIRECT("'data'!$S$" &amp; $A$1)*parameters!$B$15</f>
        <v>-3929.7999999999997</v>
      </c>
      <c r="Q8" s="16">
        <f ca="1">SUM(Q6:Q7)</f>
        <v>4062.1</v>
      </c>
      <c r="R8" s="16">
        <f t="shared" ca="1" si="2"/>
        <v>4062.1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4336.5</v>
      </c>
      <c r="L9" s="16">
        <f t="shared" ca="1" si="0"/>
        <v>4336.5</v>
      </c>
      <c r="M9" s="16"/>
      <c r="N9" s="16">
        <f t="shared" ca="1" si="3"/>
        <v>0</v>
      </c>
      <c r="O9" s="11" cm="1">
        <f t="array" aca="1" ref="O9" ca="1">INDIRECT("'data'!$U$" &amp; $A$1)*parameters!$B$15</f>
        <v>754.6</v>
      </c>
      <c r="P9" s="13" cm="1">
        <f t="array" aca="1" ref="P9" ca="1">-INDIRECT("'data'!$V$" &amp; $A$1)*parameters!$B$15</f>
        <v>-1501.36</v>
      </c>
      <c r="Q9" s="16" cm="1">
        <f t="array" aca="1" ref="Q9" ca="1">INDIRECT("'data'!$T$" &amp; $A$1)*parameters!$B$15</f>
        <v>3589.74</v>
      </c>
      <c r="R9" s="16">
        <f t="shared" ca="1" si="2"/>
        <v>3589.7400000000007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9345.5964438122319</v>
      </c>
      <c r="L10" s="16">
        <f t="shared" ca="1" si="0"/>
        <v>9345.5964438122319</v>
      </c>
      <c r="M10" s="16"/>
      <c r="N10" s="16">
        <f t="shared" ca="1" si="3"/>
        <v>0</v>
      </c>
      <c r="O10" s="11" cm="1">
        <f t="array" aca="1" ref="O10" ca="1">INDIRECT("'data'!$X$" &amp; $A$1)*parameters!$B$15</f>
        <v>472.36</v>
      </c>
      <c r="P10" s="13" cm="1">
        <f t="array" aca="1" ref="P10" ca="1">-INDIRECT("'data'!$Y$" &amp; $A$1)*parameters!$B$15</f>
        <v>-6180.86</v>
      </c>
      <c r="Q10" s="16" cm="1">
        <f t="array" aca="1" ref="Q10" ca="1">INDIRECT("'data'!$W$" &amp; $A$1)*parameters!$B$15</f>
        <v>3637.0964438122332</v>
      </c>
      <c r="R10" s="16">
        <f t="shared" ca="1" si="2"/>
        <v>3637.0964438122328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10936.542941678519</v>
      </c>
      <c r="N11" s="19"/>
      <c r="O11" s="21" cm="1">
        <f t="array" aca="1" ref="O11" ca="1">INDIRECT("'data'!$Z$" &amp; $A$1)*parameters!$B$15</f>
        <v>3613.2599999999998</v>
      </c>
      <c r="P11" s="27" cm="1">
        <f t="array" aca="1" ref="P11" ca="1">-INDIRECT("'data'!$AA$" &amp; $A$1)*parameters!$B$15</f>
        <v>-2436.2799999999997</v>
      </c>
      <c r="Q11" s="16">
        <f ca="1">K9*parameters!$B$10+K10*parameters!$B$11</f>
        <v>12113.522941678519</v>
      </c>
      <c r="R11" s="16">
        <f t="shared" ref="R11:R17" ca="1" si="4">SUM(L11:P11)</f>
        <v>12113.522941678519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-375.85437750225992</v>
      </c>
      <c r="F12" s="9">
        <f ca="1">-(F17-Q6)</f>
        <v>0</v>
      </c>
      <c r="G12" s="9">
        <f ca="1">-(G17-Q7)</f>
        <v>-182.51859979101346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-558.37297729327338</v>
      </c>
      <c r="M12" s="17"/>
      <c r="N12" s="17"/>
      <c r="O12" s="10"/>
      <c r="P12" s="12"/>
      <c r="Q12" s="9">
        <f t="shared" ref="Q12:Q17" ca="1" si="6">SUM(L12:P12)</f>
        <v>-558.37297729327338</v>
      </c>
      <c r="R12" s="17">
        <f t="shared" ca="1" si="4"/>
        <v>-558.37297729327338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-272.93149935312385</v>
      </c>
      <c r="J13" s="14">
        <f ca="1">-(J17-Q10)</f>
        <v>-276.53205683464193</v>
      </c>
      <c r="K13" s="13">
        <f ca="1">-(K17-Q11)</f>
        <v>-1568.5735021337132</v>
      </c>
      <c r="L13" s="14">
        <f t="shared" ca="1" si="5"/>
        <v>-2118.037058321479</v>
      </c>
      <c r="M13" s="16">
        <f ca="1">-E15</f>
        <v>-1298.8209189717936</v>
      </c>
      <c r="N13" s="16"/>
      <c r="O13" s="11"/>
      <c r="P13" s="13"/>
      <c r="Q13" s="14">
        <f t="shared" ca="1" si="6"/>
        <v>-3416.8579772932726</v>
      </c>
      <c r="R13" s="16">
        <f t="shared" ca="1" si="4"/>
        <v>-3416.8579772932726</v>
      </c>
    </row>
    <row r="14" spans="1:20">
      <c r="A14" s="18" t="s">
        <v>78</v>
      </c>
      <c r="B14" s="11"/>
      <c r="C14" s="14"/>
      <c r="D14" s="14"/>
      <c r="E14" s="14">
        <f ca="1">-(I13+J13)-K13</f>
        <v>2118.037058321479</v>
      </c>
      <c r="F14" s="14"/>
      <c r="G14" s="14"/>
      <c r="H14" s="14"/>
      <c r="I14" s="14"/>
      <c r="J14" s="14"/>
      <c r="K14" s="13"/>
      <c r="L14" s="14">
        <f t="shared" ca="1" si="5"/>
        <v>2118.037058321479</v>
      </c>
      <c r="M14" s="16"/>
      <c r="N14" s="16"/>
      <c r="O14" s="11"/>
      <c r="P14" s="13"/>
      <c r="Q14" s="14">
        <f t="shared" ca="1" si="6"/>
        <v>2118.037058321479</v>
      </c>
      <c r="R14" s="16">
        <f t="shared" ca="1" si="4"/>
        <v>2118.037058321479</v>
      </c>
    </row>
    <row r="15" spans="1:20">
      <c r="A15" s="18" t="s">
        <v>79</v>
      </c>
      <c r="B15" s="11"/>
      <c r="C15" s="14"/>
      <c r="D15" s="14"/>
      <c r="E15" s="14">
        <f ca="1">E17-E14</f>
        <v>1298.8209189717936</v>
      </c>
      <c r="F15" s="14"/>
      <c r="G15" s="14"/>
      <c r="H15" s="14"/>
      <c r="I15" s="14"/>
      <c r="J15" s="14"/>
      <c r="K15" s="13"/>
      <c r="L15" s="14">
        <f t="shared" ca="1" si="5"/>
        <v>1298.8209189717936</v>
      </c>
      <c r="M15" s="16"/>
      <c r="N15" s="16"/>
      <c r="O15" s="11"/>
      <c r="P15" s="13"/>
      <c r="Q15" s="14">
        <f t="shared" ca="1" si="6"/>
        <v>1298.8209189717936</v>
      </c>
      <c r="R15" s="16">
        <f t="shared" ca="1" si="4"/>
        <v>1298.8209189717936</v>
      </c>
    </row>
    <row r="16" spans="1:20">
      <c r="A16" s="30" t="s">
        <v>89</v>
      </c>
      <c r="B16" s="21">
        <f ca="1">Q2</f>
        <v>547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547</v>
      </c>
      <c r="M16" s="19"/>
      <c r="N16" s="19"/>
      <c r="O16" s="21"/>
      <c r="P16" s="27"/>
      <c r="Q16" s="22">
        <f t="shared" ca="1" si="6"/>
        <v>547</v>
      </c>
      <c r="R16" s="19">
        <f t="shared" ca="1" si="4"/>
        <v>547</v>
      </c>
    </row>
    <row r="17" spans="1:18">
      <c r="A17" s="29" t="s">
        <v>88</v>
      </c>
      <c r="B17" s="9">
        <f ca="1">B16</f>
        <v>547</v>
      </c>
      <c r="C17" s="9">
        <f ca="1">SUM(C$2:C$11)</f>
        <v>0</v>
      </c>
      <c r="D17" s="9">
        <f ca="1">SUM(D$2:D$11)</f>
        <v>0</v>
      </c>
      <c r="E17" s="9">
        <f ca="1">$Q$5/parameters!$B$4</f>
        <v>3416.8579772932726</v>
      </c>
      <c r="F17" s="9">
        <f t="shared" ref="F17:K17" ca="1" si="7">SUM(F$2:F$11)</f>
        <v>0</v>
      </c>
      <c r="G17" s="9">
        <f t="shared" ca="1" si="7"/>
        <v>4244.6185997910134</v>
      </c>
      <c r="H17" s="9">
        <f t="shared" ca="1" si="7"/>
        <v>4062.1</v>
      </c>
      <c r="I17" s="9">
        <f t="shared" ca="1" si="7"/>
        <v>3862.6714993531236</v>
      </c>
      <c r="J17" s="9">
        <f t="shared" ca="1" si="7"/>
        <v>3913.6285006468752</v>
      </c>
      <c r="K17" s="9">
        <f t="shared" ca="1" si="7"/>
        <v>13682.096443812232</v>
      </c>
      <c r="L17" s="17">
        <f t="shared" ca="1" si="5"/>
        <v>33728.973020896519</v>
      </c>
      <c r="M17" s="17"/>
      <c r="N17" s="17"/>
      <c r="O17" s="9"/>
      <c r="P17" s="14"/>
      <c r="Q17" s="11">
        <f t="shared" ca="1" si="6"/>
        <v>33728.973020896519</v>
      </c>
      <c r="R17" s="17">
        <f t="shared" ca="1" si="4"/>
        <v>33728.973020896519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0.92934126047249133</v>
      </c>
      <c r="J18" s="39">
        <f ca="1">I18</f>
        <v>0.92934126047249133</v>
      </c>
      <c r="K18" s="40">
        <f ca="1">1-(-K13)/K17</f>
        <v>0.88535576338207256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3278.0668209721243</v>
      </c>
      <c r="D2" s="9">
        <f ca="1">Q4/parameters!$B$3</f>
        <v>113.8774277951092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3391.9442487672336</v>
      </c>
      <c r="M2" s="17"/>
      <c r="N2" s="17">
        <f ca="1">Q2-(L2+O2+P2)</f>
        <v>570.60575123276431</v>
      </c>
      <c r="O2" s="11" cm="1">
        <f t="array" aca="1" ref="O2" ca="1">INDIRECT("'data'!$F$" &amp; $A$1)</f>
        <v>13437.45</v>
      </c>
      <c r="P2" s="13">
        <f ca="1">IF(-(L2-Q2+O2)&lt;0, -(L2-Q2+O2), 0)</f>
        <v>0</v>
      </c>
      <c r="Q2" s="17" cm="1">
        <f t="array" aca="1" ref="Q2" ca="1">INDIRECT("'data'!$D$" &amp; $A$1)</f>
        <v>17400</v>
      </c>
      <c r="R2" s="17">
        <f ca="1">SUM(L2:P2)</f>
        <v>17400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2782.4477611940301</v>
      </c>
      <c r="G3" s="14">
        <f ca="1">Q3-O3-P3-F3</f>
        <v>392.75223880597014</v>
      </c>
      <c r="H3" s="14"/>
      <c r="I3" s="14"/>
      <c r="J3" s="14"/>
      <c r="K3" s="13"/>
      <c r="L3" s="16">
        <f t="shared" ca="1" si="0"/>
        <v>3175.2000000000003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137.97</v>
      </c>
      <c r="P3" s="13" cm="1">
        <f t="array" aca="1" ref="P3" ca="1">-INDIRECT("'data'!$I$" &amp; $A$1)*parameters!$B$13</f>
        <v>-55.754999999999995</v>
      </c>
      <c r="Q3" s="16" cm="1">
        <f t="array" aca="1" ref="Q3" ca="1">INDIRECT("'data'!$G$" &amp; $A$1)*parameters!$B$13</f>
        <v>3257.415</v>
      </c>
      <c r="R3" s="16">
        <f t="shared" ref="R3:R10" ca="1" si="2">SUM(L3:P3)</f>
        <v>3257.415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101.20000000000002</v>
      </c>
      <c r="H4" s="14"/>
      <c r="I4" s="14"/>
      <c r="J4" s="14"/>
      <c r="K4" s="13"/>
      <c r="L4" s="16">
        <f t="shared" ca="1" si="0"/>
        <v>101.20000000000002</v>
      </c>
      <c r="M4" s="16"/>
      <c r="N4" s="16">
        <f t="shared" ca="1" si="1"/>
        <v>0</v>
      </c>
      <c r="O4" s="11" cm="1">
        <f t="array" aca="1" ref="O4" ca="1">INDIRECT("'data'!$K$" &amp; $A$1)*parameters!$B$14</f>
        <v>11.96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113.16000000000001</v>
      </c>
      <c r="R4" s="16">
        <f t="shared" ca="1" si="2"/>
        <v>113.16000000000003</v>
      </c>
      <c r="S4" s="7"/>
    </row>
    <row r="5" spans="1:20">
      <c r="A5" s="18" t="s">
        <v>108</v>
      </c>
      <c r="B5" s="11"/>
      <c r="C5" s="14"/>
      <c r="D5" s="14"/>
      <c r="E5" s="14"/>
      <c r="F5" s="14">
        <f ca="1">Q6/parameters!$B$5*20%</f>
        <v>695.61194029850753</v>
      </c>
      <c r="G5" s="14">
        <f ca="1">Q7/parameters!$B$7-(G3+G4)</f>
        <v>1059.506486376893</v>
      </c>
      <c r="H5" s="14"/>
      <c r="I5" s="14"/>
      <c r="J5" s="14"/>
      <c r="K5" s="13"/>
      <c r="L5" s="16">
        <f t="shared" ca="1" si="0"/>
        <v>1755.1184266754005</v>
      </c>
      <c r="M5" s="16"/>
      <c r="N5" s="16"/>
      <c r="O5" s="11" cm="1">
        <f t="array" aca="1" ref="O5" ca="1">INDIRECT("'data'!$M$" &amp; $A$1)*parameters!$B$15</f>
        <v>1286.74</v>
      </c>
      <c r="P5" s="13" cm="1">
        <f t="array" aca="1" ref="P5" ca="1">-INDIRECT("'data'!$N$" &amp; $A$1)*parameters!$B$15</f>
        <v>-220.5</v>
      </c>
      <c r="Q5" s="16">
        <f ca="1">SUM(L5:P5)</f>
        <v>2821.3584266754006</v>
      </c>
      <c r="R5" s="16">
        <f t="shared" ca="1" si="2"/>
        <v>2821.3584266754006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3262.42</v>
      </c>
      <c r="I6" s="14"/>
      <c r="J6" s="14"/>
      <c r="K6" s="13"/>
      <c r="L6" s="16">
        <f t="shared" ca="1" si="0"/>
        <v>3262.42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3262.42</v>
      </c>
      <c r="R6" s="16">
        <f t="shared" ca="1" si="2"/>
        <v>3262.42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1486.66</v>
      </c>
      <c r="I7" s="14"/>
      <c r="J7" s="14"/>
      <c r="K7" s="13"/>
      <c r="L7" s="16">
        <f t="shared" ca="1" si="0"/>
        <v>1486.66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1486.66</v>
      </c>
      <c r="R7" s="16">
        <f t="shared" ca="1" si="2"/>
        <v>1486.66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1032.4387687131493</v>
      </c>
      <c r="J8" s="14">
        <f ca="1">Q10/J18</f>
        <v>3657.8412312868504</v>
      </c>
      <c r="K8" s="13"/>
      <c r="L8" s="16">
        <f t="shared" ca="1" si="0"/>
        <v>4690.28</v>
      </c>
      <c r="M8" s="16"/>
      <c r="N8" s="16">
        <f t="shared" ca="1" si="3"/>
        <v>0</v>
      </c>
      <c r="O8" s="11" cm="1">
        <f t="array" aca="1" ref="O8" ca="1">INDIRECT("'data'!$R$" &amp; $A$1)*parameters!$B$15</f>
        <v>228.34</v>
      </c>
      <c r="P8" s="13" cm="1">
        <f t="array" aca="1" ref="P8" ca="1">-INDIRECT("'data'!$S$" &amp; $A$1)*parameters!$B$15</f>
        <v>-169.54</v>
      </c>
      <c r="Q8" s="16">
        <f ca="1">SUM(Q6:Q7)</f>
        <v>4749.08</v>
      </c>
      <c r="R8" s="16">
        <f t="shared" ca="1" si="2"/>
        <v>4749.08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1119.1599999999999</v>
      </c>
      <c r="L9" s="16">
        <f t="shared" ca="1" si="0"/>
        <v>1119.1599999999999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565.46</v>
      </c>
      <c r="P9" s="13" cm="1">
        <f t="array" aca="1" ref="P9" ca="1">-INDIRECT("'data'!$V$" &amp; $A$1)*parameters!$B$15</f>
        <v>-819.28</v>
      </c>
      <c r="Q9" s="16" cm="1">
        <f t="array" aca="1" ref="Q9" ca="1">INDIRECT("'data'!$T$" &amp; $A$1)*parameters!$B$15</f>
        <v>865.34</v>
      </c>
      <c r="R9" s="16">
        <f t="shared" ca="1" si="2"/>
        <v>865.33999999999992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2503.3047510668566</v>
      </c>
      <c r="L10" s="16">
        <f t="shared" ca="1" si="0"/>
        <v>2503.3047510668566</v>
      </c>
      <c r="M10" s="16"/>
      <c r="N10" s="16">
        <f t="shared" ca="1" si="3"/>
        <v>0</v>
      </c>
      <c r="O10" s="11" cm="1">
        <f t="array" aca="1" ref="O10" ca="1">INDIRECT("'data'!$X$" &amp; $A$1)*parameters!$B$15</f>
        <v>2559.7599999999998</v>
      </c>
      <c r="P10" s="13" cm="1">
        <f t="array" aca="1" ref="P10" ca="1">-INDIRECT("'data'!$Y$" &amp; $A$1)*parameters!$B$15</f>
        <v>-1997.24</v>
      </c>
      <c r="Q10" s="16" cm="1">
        <f t="array" aca="1" ref="Q10" ca="1">INDIRECT("'data'!$W$" &amp; $A$1)*parameters!$B$15</f>
        <v>3065.8247510668566</v>
      </c>
      <c r="R10" s="16">
        <f t="shared" ca="1" si="2"/>
        <v>3065.8247510668571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3492.9724859174967</v>
      </c>
      <c r="N11" s="19"/>
      <c r="O11" s="21" cm="1">
        <f t="array" aca="1" ref="O11" ca="1">INDIRECT("'data'!$Z$" &amp; $A$1)*parameters!$B$15</f>
        <v>2523.5</v>
      </c>
      <c r="P11" s="27" cm="1">
        <f t="array" aca="1" ref="P11" ca="1">-INDIRECT("'data'!$AA$" &amp; $A$1)*parameters!$B$15</f>
        <v>-2811.62</v>
      </c>
      <c r="Q11" s="16">
        <f ca="1">K9*parameters!$B$10+K10*parameters!$B$11</f>
        <v>3204.8524859174968</v>
      </c>
      <c r="R11" s="16">
        <f t="shared" ref="R11:R17" ca="1" si="4">SUM(L11:P11)</f>
        <v>3204.8524859174968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-20.651820972124369</v>
      </c>
      <c r="D12" s="9">
        <f ca="1">-(D17-Q4)</f>
        <v>-0.71742779510918808</v>
      </c>
      <c r="E12" s="9">
        <f ca="1">-(E17-Q5)</f>
        <v>-348.70722127448744</v>
      </c>
      <c r="F12" s="9">
        <f ca="1">-(F17-Q6)</f>
        <v>-215.63970149253782</v>
      </c>
      <c r="G12" s="9">
        <f ca="1">-(G17-Q7)</f>
        <v>-66.798725182863109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-652.51489671712193</v>
      </c>
      <c r="M12" s="17"/>
      <c r="N12" s="17"/>
      <c r="O12" s="10"/>
      <c r="P12" s="12"/>
      <c r="Q12" s="9">
        <f t="shared" ref="Q12:Q17" ca="1" si="6">SUM(L12:P12)</f>
        <v>-652.51489671712193</v>
      </c>
      <c r="R12" s="17">
        <f t="shared" ca="1" si="4"/>
        <v>-652.51489671712193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-167.0987687131493</v>
      </c>
      <c r="J13" s="14">
        <f ca="1">-(J17-Q10)</f>
        <v>-592.01648021999381</v>
      </c>
      <c r="K13" s="13">
        <f ca="1">-(K17-Q11)</f>
        <v>-417.6122651493597</v>
      </c>
      <c r="L13" s="14">
        <f t="shared" ca="1" si="5"/>
        <v>-1176.7275140825027</v>
      </c>
      <c r="M13" s="16">
        <f ca="1">-E15</f>
        <v>-1993.3381338673853</v>
      </c>
      <c r="N13" s="16"/>
      <c r="O13" s="11"/>
      <c r="P13" s="13"/>
      <c r="Q13" s="14">
        <f t="shared" ca="1" si="6"/>
        <v>-3170.065647949888</v>
      </c>
      <c r="R13" s="16">
        <f t="shared" ca="1" si="4"/>
        <v>-3170.065647949888</v>
      </c>
    </row>
    <row r="14" spans="1:20">
      <c r="A14" s="18" t="s">
        <v>78</v>
      </c>
      <c r="B14" s="11"/>
      <c r="C14" s="14"/>
      <c r="D14" s="14"/>
      <c r="E14" s="14">
        <f ca="1">-(I13+J13)-K13</f>
        <v>1176.7275140825027</v>
      </c>
      <c r="F14" s="14"/>
      <c r="G14" s="14"/>
      <c r="H14" s="14"/>
      <c r="I14" s="14"/>
      <c r="J14" s="14"/>
      <c r="K14" s="13"/>
      <c r="L14" s="14">
        <f t="shared" ca="1" si="5"/>
        <v>1176.7275140825027</v>
      </c>
      <c r="M14" s="16"/>
      <c r="N14" s="16"/>
      <c r="O14" s="11"/>
      <c r="P14" s="13"/>
      <c r="Q14" s="14">
        <f t="shared" ca="1" si="6"/>
        <v>1176.7275140825027</v>
      </c>
      <c r="R14" s="16">
        <f t="shared" ca="1" si="4"/>
        <v>1176.7275140825027</v>
      </c>
    </row>
    <row r="15" spans="1:20">
      <c r="A15" s="18" t="s">
        <v>79</v>
      </c>
      <c r="B15" s="11"/>
      <c r="C15" s="14"/>
      <c r="D15" s="14"/>
      <c r="E15" s="14">
        <f ca="1">E17-E14</f>
        <v>1993.3381338673853</v>
      </c>
      <c r="F15" s="14"/>
      <c r="G15" s="14"/>
      <c r="H15" s="14"/>
      <c r="I15" s="14"/>
      <c r="J15" s="14"/>
      <c r="K15" s="13"/>
      <c r="L15" s="14">
        <f t="shared" ca="1" si="5"/>
        <v>1993.3381338673853</v>
      </c>
      <c r="M15" s="16"/>
      <c r="N15" s="16"/>
      <c r="O15" s="11"/>
      <c r="P15" s="13"/>
      <c r="Q15" s="14">
        <f t="shared" ca="1" si="6"/>
        <v>1993.3381338673853</v>
      </c>
      <c r="R15" s="16">
        <f t="shared" ca="1" si="4"/>
        <v>1993.3381338673853</v>
      </c>
    </row>
    <row r="16" spans="1:20">
      <c r="A16" s="30" t="s">
        <v>89</v>
      </c>
      <c r="B16" s="21">
        <f ca="1">Q2</f>
        <v>17400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17400</v>
      </c>
      <c r="M16" s="19"/>
      <c r="N16" s="19"/>
      <c r="O16" s="21"/>
      <c r="P16" s="27"/>
      <c r="Q16" s="22">
        <f t="shared" ca="1" si="6"/>
        <v>17400</v>
      </c>
      <c r="R16" s="19">
        <f t="shared" ca="1" si="4"/>
        <v>17400</v>
      </c>
    </row>
    <row r="17" spans="1:18">
      <c r="A17" s="29" t="s">
        <v>88</v>
      </c>
      <c r="B17" s="9">
        <f ca="1">B16</f>
        <v>17400</v>
      </c>
      <c r="C17" s="9">
        <f ca="1">SUM(C$2:C$11)</f>
        <v>3278.0668209721243</v>
      </c>
      <c r="D17" s="9">
        <f ca="1">SUM(D$2:D$11)</f>
        <v>113.8774277951092</v>
      </c>
      <c r="E17" s="9">
        <f ca="1">$Q$5/parameters!$B$4</f>
        <v>3170.065647949888</v>
      </c>
      <c r="F17" s="9">
        <f t="shared" ref="F17:K17" ca="1" si="7">SUM(F$2:F$11)</f>
        <v>3478.0597014925379</v>
      </c>
      <c r="G17" s="9">
        <f t="shared" ca="1" si="7"/>
        <v>1553.4587251828632</v>
      </c>
      <c r="H17" s="9">
        <f t="shared" ca="1" si="7"/>
        <v>4749.08</v>
      </c>
      <c r="I17" s="9">
        <f t="shared" ca="1" si="7"/>
        <v>1032.4387687131493</v>
      </c>
      <c r="J17" s="9">
        <f t="shared" ca="1" si="7"/>
        <v>3657.8412312868504</v>
      </c>
      <c r="K17" s="9">
        <f t="shared" ca="1" si="7"/>
        <v>3622.4647510668565</v>
      </c>
      <c r="L17" s="17">
        <f t="shared" ca="1" si="5"/>
        <v>42055.353074459381</v>
      </c>
      <c r="M17" s="17"/>
      <c r="N17" s="17"/>
      <c r="O17" s="9"/>
      <c r="P17" s="14"/>
      <c r="Q17" s="11">
        <f t="shared" ca="1" si="6"/>
        <v>42055.353074459381</v>
      </c>
      <c r="R17" s="17">
        <f t="shared" ca="1" si="4"/>
        <v>42055.353074459381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0.83815140057029791</v>
      </c>
      <c r="J18" s="39">
        <f ca="1">I18</f>
        <v>0.83815140057029791</v>
      </c>
      <c r="K18" s="40">
        <f ca="1">1-(-K13)/K17</f>
        <v>0.8847159892925478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2024-08-12T08:54:14Z</dcterms:modified>
</cp:coreProperties>
</file>